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EstaPastaDeTrabalho" defaultThemeVersion="166925"/>
  <mc:AlternateContent xmlns:mc="http://schemas.openxmlformats.org/markup-compatibility/2006">
    <mc:Choice Requires="x15">
      <x15ac:absPath xmlns:x15ac="http://schemas.microsoft.com/office/spreadsheetml/2010/11/ac" url="C:\Users\Engenharia_01\Desktop\SABRINA\ALMOXARIFADO\8. Planilha Orcamentaria (NOVA Construcoes)\"/>
    </mc:Choice>
  </mc:AlternateContent>
  <xr:revisionPtr revIDLastSave="0" documentId="13_ncr:1_{176B2E68-C2CD-4CD0-B38C-79D7C5FF4C36}" xr6:coauthVersionLast="45" xr6:coauthVersionMax="45" xr10:uidLastSave="{00000000-0000-0000-0000-000000000000}"/>
  <bookViews>
    <workbookView xWindow="-120" yWindow="-120" windowWidth="20730" windowHeight="11160" xr2:uid="{00000000-000D-0000-FFFF-FFFF00000000}"/>
  </bookViews>
  <sheets>
    <sheet name="PO" sheetId="3" r:id="rId1"/>
    <sheet name="MC" sheetId="4" r:id="rId2"/>
    <sheet name="CPU" sheetId="5" r:id="rId3"/>
    <sheet name="BDI" sheetId="16" r:id="rId4"/>
    <sheet name="BDI (2)" sheetId="17" state="hidden" r:id="rId5"/>
    <sheet name="Cronograma Fisico - Financeiro" sheetId="9" r:id="rId6"/>
    <sheet name="Curva ABC" sheetId="15" state="hidden" r:id="rId7"/>
    <sheet name="Cotações" sheetId="2" state="hidden" r:id="rId8"/>
    <sheet name="Serviço02" sheetId="22" state="hidden" r:id="rId9"/>
    <sheet name="Material" sheetId="13" state="hidden" r:id="rId10"/>
    <sheet name="MATERIAL02" sheetId="2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 localSheetId="6">#REF!</definedName>
    <definedName name="_">#REF!</definedName>
    <definedName name="_________ABR95" localSheetId="3">[1]Consultoria!#REF!</definedName>
    <definedName name="_________ABR95" localSheetId="4">[1]Consultoria!#REF!</definedName>
    <definedName name="_________ABR95" localSheetId="6">[1]Consultoria!#REF!</definedName>
    <definedName name="_________ABR95">[1]Consultoria!#REF!</definedName>
    <definedName name="_________ABR96" localSheetId="3">[1]Consultoria!#REF!</definedName>
    <definedName name="_________ABR96" localSheetId="4">[1]Consultoria!#REF!</definedName>
    <definedName name="_________ABR96" localSheetId="6">[1]Consultoria!#REF!</definedName>
    <definedName name="_________ABR96">[1]Consultoria!#REF!</definedName>
    <definedName name="_________ABR97" localSheetId="3">[1]Consultoria!#REF!</definedName>
    <definedName name="_________ABR97" localSheetId="4">[1]Consultoria!#REF!</definedName>
    <definedName name="_________ABR97">[1]Consultoria!#REF!</definedName>
    <definedName name="_________ABR98" localSheetId="3">[1]Consultoria!#REF!</definedName>
    <definedName name="_________ABR98" localSheetId="4">[1]Consultoria!#REF!</definedName>
    <definedName name="_________ABR98">[1]Consultoria!#REF!</definedName>
    <definedName name="_________ABR99">[1]Consultoria!#REF!</definedName>
    <definedName name="_________AGO95">[1]Consultoria!#REF!</definedName>
    <definedName name="_________AGO96">[1]Consultoria!#REF!</definedName>
    <definedName name="_________AGO97">[1]Consultoria!#REF!</definedName>
    <definedName name="_________AGO98">[1]Consultoria!#REF!</definedName>
    <definedName name="_________AGO99">[1]Consultoria!#REF!</definedName>
    <definedName name="_________DEZ94">[1]Consultoria!#REF!</definedName>
    <definedName name="_________DEZ95">[1]Consultoria!#REF!</definedName>
    <definedName name="_________DEZ96">[1]Consultoria!#REF!</definedName>
    <definedName name="_________DEZ97">[1]Consultoria!#REF!</definedName>
    <definedName name="_________DEZ98">[1]Consultoria!#REF!</definedName>
    <definedName name="_________DEZ99">[1]Consultoria!#REF!</definedName>
    <definedName name="_________FEV95">[1]Consultoria!#REF!</definedName>
    <definedName name="_________FEV96">[1]Consultoria!#REF!</definedName>
    <definedName name="_________FEV97">[1]Consultoria!#REF!</definedName>
    <definedName name="_________FEV98">[1]Consultoria!#REF!</definedName>
    <definedName name="_________FEV99">[1]Consultoria!#REF!</definedName>
    <definedName name="_________JAN95">[1]Consultoria!#REF!</definedName>
    <definedName name="_________JAN96">[1]Consultoria!#REF!</definedName>
    <definedName name="_________JAN97">[1]Consultoria!#REF!</definedName>
    <definedName name="_________JAN98">[1]Consultoria!#REF!</definedName>
    <definedName name="_________JAN99">[1]Consultoria!#REF!</definedName>
    <definedName name="_________JUL95">[1]Consultoria!#REF!</definedName>
    <definedName name="_________JUL96">[1]Consultoria!#REF!</definedName>
    <definedName name="_________JUL97">[1]Consultoria!#REF!</definedName>
    <definedName name="_________JUL98">[1]Consultoria!#REF!</definedName>
    <definedName name="_________JUL99">[1]Consultoria!#REF!</definedName>
    <definedName name="_________JUN95">[1]Consultoria!#REF!</definedName>
    <definedName name="_________JUN96">[1]Consultoria!#REF!</definedName>
    <definedName name="_________JUN97">[1]Consultoria!#REF!</definedName>
    <definedName name="_________JUN98">[1]Consultoria!#REF!</definedName>
    <definedName name="_________JUN99">[1]Consultoria!#REF!</definedName>
    <definedName name="_________MAI95">[1]Consultoria!#REF!</definedName>
    <definedName name="_________MAI96">[1]Consultoria!#REF!</definedName>
    <definedName name="_________MAI97">[1]Consultoria!#REF!</definedName>
    <definedName name="_________MAI98">[1]Consultoria!#REF!</definedName>
    <definedName name="_________MAI99">[1]Consultoria!#REF!</definedName>
    <definedName name="_________MAR95">[1]Consultoria!#REF!</definedName>
    <definedName name="_________MAR96">[1]Consultoria!#REF!</definedName>
    <definedName name="_________MAR97">[1]Consultoria!#REF!</definedName>
    <definedName name="_________MAR98">[1]Consultoria!#REF!</definedName>
    <definedName name="_________MAR99">[1]Consultoria!#REF!</definedName>
    <definedName name="_________NOV94">[1]Consultoria!#REF!</definedName>
    <definedName name="_________NOV95">[1]Consultoria!#REF!</definedName>
    <definedName name="_________NOV96">[1]Consultoria!#REF!</definedName>
    <definedName name="_________NOV97">[1]Consultoria!#REF!</definedName>
    <definedName name="_________NOV98">[1]Consultoria!#REF!</definedName>
    <definedName name="_________NOV99">[1]Consultoria!#REF!</definedName>
    <definedName name="_________OUT94">[1]Consultoria!#REF!</definedName>
    <definedName name="_________OUT95">[1]Consultoria!#REF!</definedName>
    <definedName name="_________OUT96">[1]Consultoria!#REF!</definedName>
    <definedName name="_________OUT97">[1]Consultoria!#REF!</definedName>
    <definedName name="_________OUT98">[1]Consultoria!#REF!</definedName>
    <definedName name="_________OUT99">[1]Consultoria!#REF!</definedName>
    <definedName name="_________SET94">[1]Consultoria!#REF!</definedName>
    <definedName name="_________SET95">[1]Consultoria!#REF!</definedName>
    <definedName name="_________SET96">[1]Consultoria!#REF!</definedName>
    <definedName name="_________SET97">[1]Consultoria!#REF!</definedName>
    <definedName name="_________SET98">[1]Consultoria!#REF!</definedName>
    <definedName name="_________SET99">[1]Consultoria!#REF!</definedName>
    <definedName name="________ABR95">[1]Consultoria!#REF!</definedName>
    <definedName name="________ABR96">[1]Consultoria!#REF!</definedName>
    <definedName name="________ABR97">[1]Consultoria!#REF!</definedName>
    <definedName name="________ABR98">[1]Consultoria!#REF!</definedName>
    <definedName name="________ABR99">[1]Consultoria!#REF!</definedName>
    <definedName name="________AGO95">[1]Consultoria!#REF!</definedName>
    <definedName name="________AGO96">[1]Consultoria!#REF!</definedName>
    <definedName name="________AGO97">[1]Consultoria!#REF!</definedName>
    <definedName name="________AGO98">[1]Consultoria!#REF!</definedName>
    <definedName name="________AGO99">[1]Consultoria!#REF!</definedName>
    <definedName name="________DEZ94">[1]Consultoria!#REF!</definedName>
    <definedName name="________DEZ95">[1]Consultoria!#REF!</definedName>
    <definedName name="________DEZ96">[1]Consultoria!#REF!</definedName>
    <definedName name="________DEZ97">[1]Consultoria!#REF!</definedName>
    <definedName name="________DEZ98">[1]Consultoria!#REF!</definedName>
    <definedName name="________DEZ99">[1]Consultoria!#REF!</definedName>
    <definedName name="________FEV95">[1]Consultoria!#REF!</definedName>
    <definedName name="________FEV96">[1]Consultoria!#REF!</definedName>
    <definedName name="________FEV97">[1]Consultoria!#REF!</definedName>
    <definedName name="________FEV98">[1]Consultoria!#REF!</definedName>
    <definedName name="________FEV99">[1]Consultoria!#REF!</definedName>
    <definedName name="________JAN95">[1]Consultoria!#REF!</definedName>
    <definedName name="________JAN96">[1]Consultoria!#REF!</definedName>
    <definedName name="________JAN97">[1]Consultoria!#REF!</definedName>
    <definedName name="________JAN98">[1]Consultoria!#REF!</definedName>
    <definedName name="________JAN99">[1]Consultoria!#REF!</definedName>
    <definedName name="________JUL95">[1]Consultoria!#REF!</definedName>
    <definedName name="________JUL96">[1]Consultoria!#REF!</definedName>
    <definedName name="________JUL97">[1]Consultoria!#REF!</definedName>
    <definedName name="________JUL98">[1]Consultoria!#REF!</definedName>
    <definedName name="________JUL99">[1]Consultoria!#REF!</definedName>
    <definedName name="________JUN95">[1]Consultoria!#REF!</definedName>
    <definedName name="________JUN96">[1]Consultoria!#REF!</definedName>
    <definedName name="________JUN97">[1]Consultoria!#REF!</definedName>
    <definedName name="________JUN98">[1]Consultoria!#REF!</definedName>
    <definedName name="________JUN99">[1]Consultoria!#REF!</definedName>
    <definedName name="________MAI95">[1]Consultoria!#REF!</definedName>
    <definedName name="________MAI96">[1]Consultoria!#REF!</definedName>
    <definedName name="________MAI97">[1]Consultoria!#REF!</definedName>
    <definedName name="________MAI98">[1]Consultoria!#REF!</definedName>
    <definedName name="________MAI99">[1]Consultoria!#REF!</definedName>
    <definedName name="________MAR95">[1]Consultoria!#REF!</definedName>
    <definedName name="________MAR96">[1]Consultoria!#REF!</definedName>
    <definedName name="________MAR97">[1]Consultoria!#REF!</definedName>
    <definedName name="________MAR98">[1]Consultoria!#REF!</definedName>
    <definedName name="________MAR99">[1]Consultoria!#REF!</definedName>
    <definedName name="________NOV94">[1]Consultoria!#REF!</definedName>
    <definedName name="________NOV95">[1]Consultoria!#REF!</definedName>
    <definedName name="________NOV96">[1]Consultoria!#REF!</definedName>
    <definedName name="________NOV97">[1]Consultoria!#REF!</definedName>
    <definedName name="________NOV98">[1]Consultoria!#REF!</definedName>
    <definedName name="________NOV99">[1]Consultoria!#REF!</definedName>
    <definedName name="________OUT94">[1]Consultoria!#REF!</definedName>
    <definedName name="________OUT95">[1]Consultoria!#REF!</definedName>
    <definedName name="________OUT96">[1]Consultoria!#REF!</definedName>
    <definedName name="________OUT97">[1]Consultoria!#REF!</definedName>
    <definedName name="________OUT98">[1]Consultoria!#REF!</definedName>
    <definedName name="________OUT99">[1]Consultoria!#REF!</definedName>
    <definedName name="________SET94">[1]Consultoria!#REF!</definedName>
    <definedName name="________SET95">[1]Consultoria!#REF!</definedName>
    <definedName name="________SET96">[1]Consultoria!#REF!</definedName>
    <definedName name="________SET97">[1]Consultoria!#REF!</definedName>
    <definedName name="________SET98">[1]Consultoria!#REF!</definedName>
    <definedName name="________SET99">[1]Consultoria!#REF!</definedName>
    <definedName name="_______ABR95">[1]Consultoria!#REF!</definedName>
    <definedName name="_______ABR96">[1]Consultoria!#REF!</definedName>
    <definedName name="_______ABR97">[1]Consultoria!#REF!</definedName>
    <definedName name="_______ABR98">[1]Consultoria!#REF!</definedName>
    <definedName name="_______ABR99">[1]Consultoria!#REF!</definedName>
    <definedName name="_______AGO95">[1]Consultoria!#REF!</definedName>
    <definedName name="_______AGO96">[1]Consultoria!#REF!</definedName>
    <definedName name="_______AGO97">[1]Consultoria!#REF!</definedName>
    <definedName name="_______AGO98">[1]Consultoria!#REF!</definedName>
    <definedName name="_______AGO99">[1]Consultoria!#REF!</definedName>
    <definedName name="_______DEZ94">[1]Consultoria!#REF!</definedName>
    <definedName name="_______DEZ95">[1]Consultoria!#REF!</definedName>
    <definedName name="_______DEZ96">[1]Consultoria!#REF!</definedName>
    <definedName name="_______DEZ97">[1]Consultoria!#REF!</definedName>
    <definedName name="_______DEZ98">[1]Consultoria!#REF!</definedName>
    <definedName name="_______DEZ99">[1]Consultoria!#REF!</definedName>
    <definedName name="_______FEV95">[1]Consultoria!#REF!</definedName>
    <definedName name="_______FEV96">[1]Consultoria!#REF!</definedName>
    <definedName name="_______FEV97">[1]Consultoria!#REF!</definedName>
    <definedName name="_______FEV98">[1]Consultoria!#REF!</definedName>
    <definedName name="_______FEV99">[1]Consultoria!#REF!</definedName>
    <definedName name="_______JAN95">[1]Consultoria!#REF!</definedName>
    <definedName name="_______JAN96">[1]Consultoria!#REF!</definedName>
    <definedName name="_______JAN97">[1]Consultoria!#REF!</definedName>
    <definedName name="_______JAN98">[1]Consultoria!#REF!</definedName>
    <definedName name="_______JAN99">[1]Consultoria!#REF!</definedName>
    <definedName name="_______JUL95">[1]Consultoria!#REF!</definedName>
    <definedName name="_______JUL96">[1]Consultoria!#REF!</definedName>
    <definedName name="_______JUL97">[1]Consultoria!#REF!</definedName>
    <definedName name="_______JUL98">[1]Consultoria!#REF!</definedName>
    <definedName name="_______JUL99">[1]Consultoria!#REF!</definedName>
    <definedName name="_______JUN95">[1]Consultoria!#REF!</definedName>
    <definedName name="_______JUN96">[1]Consultoria!#REF!</definedName>
    <definedName name="_______JUN97">[1]Consultoria!#REF!</definedName>
    <definedName name="_______JUN98">[1]Consultoria!#REF!</definedName>
    <definedName name="_______JUN99">[1]Consultoria!#REF!</definedName>
    <definedName name="_______MAI95">[1]Consultoria!#REF!</definedName>
    <definedName name="_______MAI96">[1]Consultoria!#REF!</definedName>
    <definedName name="_______MAI97">[1]Consultoria!#REF!</definedName>
    <definedName name="_______MAI98">[1]Consultoria!#REF!</definedName>
    <definedName name="_______MAI99">[1]Consultoria!#REF!</definedName>
    <definedName name="_______MAR95">[1]Consultoria!#REF!</definedName>
    <definedName name="_______MAR96">[1]Consultoria!#REF!</definedName>
    <definedName name="_______MAR97">[1]Consultoria!#REF!</definedName>
    <definedName name="_______MAR98">[1]Consultoria!#REF!</definedName>
    <definedName name="_______MAR99">[1]Consultoria!#REF!</definedName>
    <definedName name="_______NOV94">[1]Consultoria!#REF!</definedName>
    <definedName name="_______NOV95">[1]Consultoria!#REF!</definedName>
    <definedName name="_______NOV96">[1]Consultoria!#REF!</definedName>
    <definedName name="_______NOV97">[1]Consultoria!#REF!</definedName>
    <definedName name="_______NOV98">[1]Consultoria!#REF!</definedName>
    <definedName name="_______NOV99">[1]Consultoria!#REF!</definedName>
    <definedName name="_______OUT94">[1]Consultoria!#REF!</definedName>
    <definedName name="_______OUT95">[1]Consultoria!#REF!</definedName>
    <definedName name="_______OUT96">[1]Consultoria!#REF!</definedName>
    <definedName name="_______OUT97">[1]Consultoria!#REF!</definedName>
    <definedName name="_______OUT98">[1]Consultoria!#REF!</definedName>
    <definedName name="_______OUT99">[1]Consultoria!#REF!</definedName>
    <definedName name="_______SET94">[1]Consultoria!#REF!</definedName>
    <definedName name="_______SET95">[1]Consultoria!#REF!</definedName>
    <definedName name="_______SET96">[1]Consultoria!#REF!</definedName>
    <definedName name="_______SET97">[1]Consultoria!#REF!</definedName>
    <definedName name="_______SET98">[1]Consultoria!#REF!</definedName>
    <definedName name="_______SET99">[1]Consultoria!#REF!</definedName>
    <definedName name="______ABR95">[2]Consultoria!#REF!</definedName>
    <definedName name="______ABR96">[2]Consultoria!#REF!</definedName>
    <definedName name="______ABR97">[2]Consultoria!#REF!</definedName>
    <definedName name="______ABR98">[2]Consultoria!#REF!</definedName>
    <definedName name="______ABR99">[2]Consultoria!#REF!</definedName>
    <definedName name="______AGO95">[2]Consultoria!#REF!</definedName>
    <definedName name="______AGO96">[2]Consultoria!#REF!</definedName>
    <definedName name="______AGO97">[2]Consultoria!#REF!</definedName>
    <definedName name="______AGO98">[2]Consultoria!#REF!</definedName>
    <definedName name="______AGO99">[2]Consultoria!#REF!</definedName>
    <definedName name="______DEZ94">[2]Consultoria!#REF!</definedName>
    <definedName name="______DEZ95">[2]Consultoria!#REF!</definedName>
    <definedName name="______DEZ96">[2]Consultoria!#REF!</definedName>
    <definedName name="______DEZ97">[2]Consultoria!#REF!</definedName>
    <definedName name="______DEZ98">[2]Consultoria!#REF!</definedName>
    <definedName name="______DEZ99">[2]Consultoria!#REF!</definedName>
    <definedName name="______FEV95">[2]Consultoria!#REF!</definedName>
    <definedName name="______FEV96">[2]Consultoria!#REF!</definedName>
    <definedName name="______FEV97">[2]Consultoria!#REF!</definedName>
    <definedName name="______FEV98">[2]Consultoria!#REF!</definedName>
    <definedName name="______FEV99">[2]Consultoria!#REF!</definedName>
    <definedName name="______JAN95">[2]Consultoria!#REF!</definedName>
    <definedName name="______JAN96">[2]Consultoria!#REF!</definedName>
    <definedName name="______JAN97">[2]Consultoria!#REF!</definedName>
    <definedName name="______JAN98">[2]Consultoria!#REF!</definedName>
    <definedName name="______JAN99">[2]Consultoria!#REF!</definedName>
    <definedName name="______JUL95">[2]Consultoria!#REF!</definedName>
    <definedName name="______JUL96">[2]Consultoria!#REF!</definedName>
    <definedName name="______JUL97">[2]Consultoria!#REF!</definedName>
    <definedName name="______JUL98">[2]Consultoria!#REF!</definedName>
    <definedName name="______JUL99">[2]Consultoria!#REF!</definedName>
    <definedName name="______JUN95">[2]Consultoria!#REF!</definedName>
    <definedName name="______JUN96">[2]Consultoria!#REF!</definedName>
    <definedName name="______JUN97">[2]Consultoria!#REF!</definedName>
    <definedName name="______JUN98">[2]Consultoria!#REF!</definedName>
    <definedName name="______JUN99">[2]Consultoria!#REF!</definedName>
    <definedName name="______MAI95">[2]Consultoria!#REF!</definedName>
    <definedName name="______MAI96">[2]Consultoria!#REF!</definedName>
    <definedName name="______MAI97">[2]Consultoria!#REF!</definedName>
    <definedName name="______MAI98">[2]Consultoria!#REF!</definedName>
    <definedName name="______MAI99">[2]Consultoria!#REF!</definedName>
    <definedName name="______MAR95">[2]Consultoria!#REF!</definedName>
    <definedName name="______MAR96">[2]Consultoria!#REF!</definedName>
    <definedName name="______MAR97">[2]Consultoria!#REF!</definedName>
    <definedName name="______MAR98">[2]Consultoria!#REF!</definedName>
    <definedName name="______MAR99">[2]Consultoria!#REF!</definedName>
    <definedName name="______NOV94">[2]Consultoria!#REF!</definedName>
    <definedName name="______NOV95">[2]Consultoria!#REF!</definedName>
    <definedName name="______NOV96">[2]Consultoria!#REF!</definedName>
    <definedName name="______NOV97">[2]Consultoria!#REF!</definedName>
    <definedName name="______NOV98">[2]Consultoria!#REF!</definedName>
    <definedName name="______NOV99">[2]Consultoria!#REF!</definedName>
    <definedName name="______OUT94">[2]Consultoria!#REF!</definedName>
    <definedName name="______OUT95">[2]Consultoria!#REF!</definedName>
    <definedName name="______OUT96">[2]Consultoria!#REF!</definedName>
    <definedName name="______OUT97">[2]Consultoria!#REF!</definedName>
    <definedName name="______OUT98">[2]Consultoria!#REF!</definedName>
    <definedName name="______OUT99">[2]Consultoria!#REF!</definedName>
    <definedName name="______SET94">[2]Consultoria!#REF!</definedName>
    <definedName name="______SET95">[2]Consultoria!#REF!</definedName>
    <definedName name="______SET96">[2]Consultoria!#REF!</definedName>
    <definedName name="______SET97">[2]Consultoria!#REF!</definedName>
    <definedName name="______SET98">[2]Consultoria!#REF!</definedName>
    <definedName name="______SET99">[2]Consultoria!#REF!</definedName>
    <definedName name="______tx1">[3]PLANIL!#REF!</definedName>
    <definedName name="_____ABR95">[2]Consultoria!#REF!</definedName>
    <definedName name="_____ABR96">[2]Consultoria!#REF!</definedName>
    <definedName name="_____ABR97">[2]Consultoria!#REF!</definedName>
    <definedName name="_____ABR98">[2]Consultoria!#REF!</definedName>
    <definedName name="_____ABR99">[2]Consultoria!#REF!</definedName>
    <definedName name="_____AGO95">[2]Consultoria!#REF!</definedName>
    <definedName name="_____AGO96">[2]Consultoria!#REF!</definedName>
    <definedName name="_____AGO97">[2]Consultoria!#REF!</definedName>
    <definedName name="_____AGO98">[2]Consultoria!#REF!</definedName>
    <definedName name="_____AGO99">[2]Consultoria!#REF!</definedName>
    <definedName name="_____DEZ94">[2]Consultoria!#REF!</definedName>
    <definedName name="_____DEZ95">[2]Consultoria!#REF!</definedName>
    <definedName name="_____DEZ96">[2]Consultoria!#REF!</definedName>
    <definedName name="_____DEZ97">[2]Consultoria!#REF!</definedName>
    <definedName name="_____DEZ98">[2]Consultoria!#REF!</definedName>
    <definedName name="_____DEZ99">[2]Consultoria!#REF!</definedName>
    <definedName name="_____E112803">[4]Composição_Playground!#REF!</definedName>
    <definedName name="_____FEV95">[2]Consultoria!#REF!</definedName>
    <definedName name="_____FEV96">[2]Consultoria!#REF!</definedName>
    <definedName name="_____FEV97">[2]Consultoria!#REF!</definedName>
    <definedName name="_____FEV98">[2]Consultoria!#REF!</definedName>
    <definedName name="_____FEV99">[2]Consultoria!#REF!</definedName>
    <definedName name="_____JAN95">[2]Consultoria!#REF!</definedName>
    <definedName name="_____JAN96">[2]Consultoria!#REF!</definedName>
    <definedName name="_____JAN97">[2]Consultoria!#REF!</definedName>
    <definedName name="_____JAN98">[2]Consultoria!#REF!</definedName>
    <definedName name="_____JAN99">[2]Consultoria!#REF!</definedName>
    <definedName name="_____JUL95">[2]Consultoria!#REF!</definedName>
    <definedName name="_____JUL96">[2]Consultoria!#REF!</definedName>
    <definedName name="_____JUL97">[2]Consultoria!#REF!</definedName>
    <definedName name="_____JUL98">[2]Consultoria!#REF!</definedName>
    <definedName name="_____JUL99">[2]Consultoria!#REF!</definedName>
    <definedName name="_____JUN95">[2]Consultoria!#REF!</definedName>
    <definedName name="_____JUN96">[2]Consultoria!#REF!</definedName>
    <definedName name="_____JUN97">[2]Consultoria!#REF!</definedName>
    <definedName name="_____JUN98">[2]Consultoria!#REF!</definedName>
    <definedName name="_____JUN99">[2]Consultoria!#REF!</definedName>
    <definedName name="_____MAI95">[2]Consultoria!#REF!</definedName>
    <definedName name="_____MAI96">[2]Consultoria!#REF!</definedName>
    <definedName name="_____MAI97">[2]Consultoria!#REF!</definedName>
    <definedName name="_____MAI98">[2]Consultoria!#REF!</definedName>
    <definedName name="_____MAI99">[2]Consultoria!#REF!</definedName>
    <definedName name="_____MAR95">[2]Consultoria!#REF!</definedName>
    <definedName name="_____MAR96">[2]Consultoria!#REF!</definedName>
    <definedName name="_____MAR97">[2]Consultoria!#REF!</definedName>
    <definedName name="_____MAR98">[2]Consultoria!#REF!</definedName>
    <definedName name="_____MAR99">[2]Consultoria!#REF!</definedName>
    <definedName name="_____NOV94">[2]Consultoria!#REF!</definedName>
    <definedName name="_____NOV95">[2]Consultoria!#REF!</definedName>
    <definedName name="_____NOV96">[2]Consultoria!#REF!</definedName>
    <definedName name="_____NOV97">[2]Consultoria!#REF!</definedName>
    <definedName name="_____NOV98">[2]Consultoria!#REF!</definedName>
    <definedName name="_____NOV99">[2]Consultoria!#REF!</definedName>
    <definedName name="_____OUT94">[2]Consultoria!#REF!</definedName>
    <definedName name="_____OUT95">[2]Consultoria!#REF!</definedName>
    <definedName name="_____OUT96">[2]Consultoria!#REF!</definedName>
    <definedName name="_____OUT97">[2]Consultoria!#REF!</definedName>
    <definedName name="_____OUT98">[2]Consultoria!#REF!</definedName>
    <definedName name="_____OUT99">[2]Consultoria!#REF!</definedName>
    <definedName name="_____SET94">[2]Consultoria!#REF!</definedName>
    <definedName name="_____SET95">[2]Consultoria!#REF!</definedName>
    <definedName name="_____SET96">[2]Consultoria!#REF!</definedName>
    <definedName name="_____SET97">[2]Consultoria!#REF!</definedName>
    <definedName name="_____SET98">[2]Consultoria!#REF!</definedName>
    <definedName name="_____SET99">[2]Consultoria!#REF!</definedName>
    <definedName name="_____tx1">[3]PLANIL!#REF!</definedName>
    <definedName name="____ABR95">[2]Consultoria!#REF!</definedName>
    <definedName name="____ABR96">[2]Consultoria!#REF!</definedName>
    <definedName name="____ABR97">[2]Consultoria!#REF!</definedName>
    <definedName name="____ABR98">[2]Consultoria!#REF!</definedName>
    <definedName name="____ABR99">[2]Consultoria!#REF!</definedName>
    <definedName name="____AGO95">[2]Consultoria!#REF!</definedName>
    <definedName name="____AGO96">[2]Consultoria!#REF!</definedName>
    <definedName name="____AGO97">[2]Consultoria!#REF!</definedName>
    <definedName name="____AGO98">[2]Consultoria!#REF!</definedName>
    <definedName name="____AGO99">[2]Consultoria!#REF!</definedName>
    <definedName name="____DEZ94">[2]Consultoria!#REF!</definedName>
    <definedName name="____DEZ95">[2]Consultoria!#REF!</definedName>
    <definedName name="____DEZ96">[2]Consultoria!#REF!</definedName>
    <definedName name="____DEZ97">[2]Consultoria!#REF!</definedName>
    <definedName name="____DEZ98">[2]Consultoria!#REF!</definedName>
    <definedName name="____DEZ99">[2]Consultoria!#REF!</definedName>
    <definedName name="____E112803">[4]Composição_Playground!#REF!</definedName>
    <definedName name="____FEV95">[2]Consultoria!#REF!</definedName>
    <definedName name="____FEV96">[2]Consultoria!#REF!</definedName>
    <definedName name="____FEV97">[2]Consultoria!#REF!</definedName>
    <definedName name="____FEV98">[2]Consultoria!#REF!</definedName>
    <definedName name="____FEV99">[2]Consultoria!#REF!</definedName>
    <definedName name="____JAN95">[2]Consultoria!#REF!</definedName>
    <definedName name="____JAN96">[2]Consultoria!#REF!</definedName>
    <definedName name="____JAN97">[2]Consultoria!#REF!</definedName>
    <definedName name="____JAN98">[2]Consultoria!#REF!</definedName>
    <definedName name="____JAN99">[2]Consultoria!#REF!</definedName>
    <definedName name="____JUL95">[2]Consultoria!#REF!</definedName>
    <definedName name="____JUL96">[2]Consultoria!#REF!</definedName>
    <definedName name="____JUL97">[2]Consultoria!#REF!</definedName>
    <definedName name="____JUL98">[2]Consultoria!#REF!</definedName>
    <definedName name="____JUL99">[2]Consultoria!#REF!</definedName>
    <definedName name="____JUN95">[2]Consultoria!#REF!</definedName>
    <definedName name="____JUN96">[2]Consultoria!#REF!</definedName>
    <definedName name="____JUN97">[2]Consultoria!#REF!</definedName>
    <definedName name="____JUN98">[2]Consultoria!#REF!</definedName>
    <definedName name="____JUN99">[2]Consultoria!#REF!</definedName>
    <definedName name="____MAI95">[2]Consultoria!#REF!</definedName>
    <definedName name="____MAI96">[2]Consultoria!#REF!</definedName>
    <definedName name="____MAI97">[2]Consultoria!#REF!</definedName>
    <definedName name="____MAI98">[2]Consultoria!#REF!</definedName>
    <definedName name="____MAI99">[2]Consultoria!#REF!</definedName>
    <definedName name="____MAR95">[2]Consultoria!#REF!</definedName>
    <definedName name="____MAR96">[2]Consultoria!#REF!</definedName>
    <definedName name="____MAR97">[2]Consultoria!#REF!</definedName>
    <definedName name="____MAR98">[2]Consultoria!#REF!</definedName>
    <definedName name="____MAR99">[2]Consultoria!#REF!</definedName>
    <definedName name="____NOV94">[2]Consultoria!#REF!</definedName>
    <definedName name="____NOV95">[2]Consultoria!#REF!</definedName>
    <definedName name="____NOV96">[2]Consultoria!#REF!</definedName>
    <definedName name="____NOV97">[2]Consultoria!#REF!</definedName>
    <definedName name="____NOV98">[2]Consultoria!#REF!</definedName>
    <definedName name="____NOV99">[2]Consultoria!#REF!</definedName>
    <definedName name="____OUT94">[2]Consultoria!#REF!</definedName>
    <definedName name="____OUT95">[2]Consultoria!#REF!</definedName>
    <definedName name="____OUT96">[2]Consultoria!#REF!</definedName>
    <definedName name="____OUT97">[2]Consultoria!#REF!</definedName>
    <definedName name="____OUT98">[2]Consultoria!#REF!</definedName>
    <definedName name="____OUT99">[2]Consultoria!#REF!</definedName>
    <definedName name="____SET94">[2]Consultoria!#REF!</definedName>
    <definedName name="____SET95">[2]Consultoria!#REF!</definedName>
    <definedName name="____SET96">[2]Consultoria!#REF!</definedName>
    <definedName name="____SET97">[2]Consultoria!#REF!</definedName>
    <definedName name="____SET98">[2]Consultoria!#REF!</definedName>
    <definedName name="____SET99">[2]Consultoria!#REF!</definedName>
    <definedName name="____tx1">[3]PLANIL!#REF!</definedName>
    <definedName name="___ABR95">[1]Consultoria!#REF!</definedName>
    <definedName name="___ABR96">[1]Consultoria!#REF!</definedName>
    <definedName name="___ABR97">[1]Consultoria!#REF!</definedName>
    <definedName name="___ABR98">[1]Consultoria!#REF!</definedName>
    <definedName name="___ABR99">[1]Consultoria!#REF!</definedName>
    <definedName name="___AGO95">[1]Consultoria!#REF!</definedName>
    <definedName name="___AGO96">[1]Consultoria!#REF!</definedName>
    <definedName name="___AGO97">[1]Consultoria!#REF!</definedName>
    <definedName name="___AGO98">[1]Consultoria!#REF!</definedName>
    <definedName name="___AGO99">[1]Consultoria!#REF!</definedName>
    <definedName name="___DEZ94">[1]Consultoria!#REF!</definedName>
    <definedName name="___DEZ95">[1]Consultoria!#REF!</definedName>
    <definedName name="___DEZ96">[1]Consultoria!#REF!</definedName>
    <definedName name="___DEZ97">[1]Consultoria!#REF!</definedName>
    <definedName name="___DEZ98">[1]Consultoria!#REF!</definedName>
    <definedName name="___DEZ99">[1]Consultoria!#REF!</definedName>
    <definedName name="___E112803">[4]Composição_Playground!#REF!</definedName>
    <definedName name="___FEV95">[1]Consultoria!#REF!</definedName>
    <definedName name="___FEV96">[1]Consultoria!#REF!</definedName>
    <definedName name="___FEV97">[1]Consultoria!#REF!</definedName>
    <definedName name="___FEV98">[1]Consultoria!#REF!</definedName>
    <definedName name="___FEV99">[1]Consultoria!#REF!</definedName>
    <definedName name="___JAN95">[1]Consultoria!#REF!</definedName>
    <definedName name="___JAN96">[1]Consultoria!#REF!</definedName>
    <definedName name="___JAN97">[1]Consultoria!#REF!</definedName>
    <definedName name="___JAN98">[1]Consultoria!#REF!</definedName>
    <definedName name="___JAN99">[1]Consultoria!#REF!</definedName>
    <definedName name="___JUL95">[1]Consultoria!#REF!</definedName>
    <definedName name="___JUL96">[1]Consultoria!#REF!</definedName>
    <definedName name="___JUL97">[1]Consultoria!#REF!</definedName>
    <definedName name="___JUL98">[1]Consultoria!#REF!</definedName>
    <definedName name="___JUL99">[1]Consultoria!#REF!</definedName>
    <definedName name="___JUN95">[1]Consultoria!#REF!</definedName>
    <definedName name="___JUN96">[1]Consultoria!#REF!</definedName>
    <definedName name="___JUN97">[1]Consultoria!#REF!</definedName>
    <definedName name="___JUN98">[1]Consultoria!#REF!</definedName>
    <definedName name="___JUN99">[1]Consultoria!#REF!</definedName>
    <definedName name="___MAI95">[1]Consultoria!#REF!</definedName>
    <definedName name="___MAI96">[1]Consultoria!#REF!</definedName>
    <definedName name="___MAI97">[1]Consultoria!#REF!</definedName>
    <definedName name="___MAI98">[1]Consultoria!#REF!</definedName>
    <definedName name="___MAI99">[1]Consultoria!#REF!</definedName>
    <definedName name="___MAR95">[1]Consultoria!#REF!</definedName>
    <definedName name="___MAR96">[1]Consultoria!#REF!</definedName>
    <definedName name="___MAR97">[1]Consultoria!#REF!</definedName>
    <definedName name="___MAR98">[1]Consultoria!#REF!</definedName>
    <definedName name="___MAR99">[1]Consultoria!#REF!</definedName>
    <definedName name="___NOV94">[1]Consultoria!#REF!</definedName>
    <definedName name="___NOV95">[1]Consultoria!#REF!</definedName>
    <definedName name="___NOV96">[1]Consultoria!#REF!</definedName>
    <definedName name="___NOV97">[1]Consultoria!#REF!</definedName>
    <definedName name="___NOV98">[1]Consultoria!#REF!</definedName>
    <definedName name="___NOV99">[1]Consultoria!#REF!</definedName>
    <definedName name="___OUT94">[1]Consultoria!#REF!</definedName>
    <definedName name="___OUT95">[1]Consultoria!#REF!</definedName>
    <definedName name="___OUT96">[1]Consultoria!#REF!</definedName>
    <definedName name="___OUT97">[1]Consultoria!#REF!</definedName>
    <definedName name="___OUT98">[1]Consultoria!#REF!</definedName>
    <definedName name="___OUT99">[1]Consultoria!#REF!</definedName>
    <definedName name="___SET94">[1]Consultoria!#REF!</definedName>
    <definedName name="___SET95">[1]Consultoria!#REF!</definedName>
    <definedName name="___SET96">[1]Consultoria!#REF!</definedName>
    <definedName name="___SET97">[1]Consultoria!#REF!</definedName>
    <definedName name="___SET98">[1]Consultoria!#REF!</definedName>
    <definedName name="___SET99">[1]Consultoria!#REF!</definedName>
    <definedName name="___tx1">[3]PLANIL!#REF!</definedName>
    <definedName name="__ABR95">[1]Consultoria!#REF!</definedName>
    <definedName name="__ABR96">[1]Consultoria!#REF!</definedName>
    <definedName name="__ABR97">[1]Consultoria!#REF!</definedName>
    <definedName name="__ABR98">[1]Consultoria!#REF!</definedName>
    <definedName name="__ABR99">[1]Consultoria!#REF!</definedName>
    <definedName name="__AGO95">[1]Consultoria!#REF!</definedName>
    <definedName name="__AGO96">[1]Consultoria!#REF!</definedName>
    <definedName name="__AGO97">[1]Consultoria!#REF!</definedName>
    <definedName name="__AGO98">[1]Consultoria!#REF!</definedName>
    <definedName name="__AGO99">[1]Consultoria!#REF!</definedName>
    <definedName name="__DEZ94">[1]Consultoria!#REF!</definedName>
    <definedName name="__DEZ95">[1]Consultoria!#REF!</definedName>
    <definedName name="__DEZ96">[1]Consultoria!#REF!</definedName>
    <definedName name="__DEZ97">[1]Consultoria!#REF!</definedName>
    <definedName name="__DEZ98">[1]Consultoria!#REF!</definedName>
    <definedName name="__DEZ99">[1]Consultoria!#REF!</definedName>
    <definedName name="__E112803">[4]Composição_Playground!#REF!</definedName>
    <definedName name="__FEV95">[1]Consultoria!#REF!</definedName>
    <definedName name="__FEV96">[1]Consultoria!#REF!</definedName>
    <definedName name="__FEV97">[1]Consultoria!#REF!</definedName>
    <definedName name="__FEV98">[1]Consultoria!#REF!</definedName>
    <definedName name="__FEV99">[1]Consultoria!#REF!</definedName>
    <definedName name="__JAN95">[1]Consultoria!#REF!</definedName>
    <definedName name="__JAN96">[1]Consultoria!#REF!</definedName>
    <definedName name="__JAN97">[1]Consultoria!#REF!</definedName>
    <definedName name="__JAN98">[1]Consultoria!#REF!</definedName>
    <definedName name="__JAN99">[1]Consultoria!#REF!</definedName>
    <definedName name="__JUL95">[1]Consultoria!#REF!</definedName>
    <definedName name="__JUL96">[1]Consultoria!#REF!</definedName>
    <definedName name="__JUL97">[1]Consultoria!#REF!</definedName>
    <definedName name="__JUL98">[1]Consultoria!#REF!</definedName>
    <definedName name="__JUL99">[1]Consultoria!#REF!</definedName>
    <definedName name="__JUN95">[1]Consultoria!#REF!</definedName>
    <definedName name="__JUN96">[1]Consultoria!#REF!</definedName>
    <definedName name="__JUN97">[1]Consultoria!#REF!</definedName>
    <definedName name="__JUN98">[1]Consultoria!#REF!</definedName>
    <definedName name="__JUN99">[1]Consultoria!#REF!</definedName>
    <definedName name="__MAI95">[1]Consultoria!#REF!</definedName>
    <definedName name="__MAI96">[1]Consultoria!#REF!</definedName>
    <definedName name="__MAI97">[1]Consultoria!#REF!</definedName>
    <definedName name="__MAI98">[1]Consultoria!#REF!</definedName>
    <definedName name="__MAI99">[1]Consultoria!#REF!</definedName>
    <definedName name="__MAR95">[1]Consultoria!#REF!</definedName>
    <definedName name="__MAR96">[1]Consultoria!#REF!</definedName>
    <definedName name="__MAR97">[1]Consultoria!#REF!</definedName>
    <definedName name="__MAR98">[1]Consultoria!#REF!</definedName>
    <definedName name="__MAR99">[1]Consultoria!#REF!</definedName>
    <definedName name="__NOV94">[1]Consultoria!#REF!</definedName>
    <definedName name="__NOV95">[1]Consultoria!#REF!</definedName>
    <definedName name="__NOV96">[1]Consultoria!#REF!</definedName>
    <definedName name="__NOV97">[1]Consultoria!#REF!</definedName>
    <definedName name="__NOV98">[1]Consultoria!#REF!</definedName>
    <definedName name="__NOV99">[1]Consultoria!#REF!</definedName>
    <definedName name="__OUT94">[1]Consultoria!#REF!</definedName>
    <definedName name="__OUT95">[1]Consultoria!#REF!</definedName>
    <definedName name="__OUT96">[1]Consultoria!#REF!</definedName>
    <definedName name="__OUT97">[1]Consultoria!#REF!</definedName>
    <definedName name="__OUT98">[1]Consultoria!#REF!</definedName>
    <definedName name="__OUT99">[1]Consultoria!#REF!</definedName>
    <definedName name="__SET94">[1]Consultoria!#REF!</definedName>
    <definedName name="__SET95">[1]Consultoria!#REF!</definedName>
    <definedName name="__SET96">[1]Consultoria!#REF!</definedName>
    <definedName name="__SET97">[1]Consultoria!#REF!</definedName>
    <definedName name="__SET98">[1]Consultoria!#REF!</definedName>
    <definedName name="__SET99">[1]Consultoria!#REF!</definedName>
    <definedName name="__tx1">[3]PLANIL!#REF!</definedName>
    <definedName name="_0" localSheetId="3">#REF!</definedName>
    <definedName name="_0" localSheetId="4">#REF!</definedName>
    <definedName name="_0">#REF!</definedName>
    <definedName name="_ABR95" localSheetId="3">[1]Consultoria!#REF!</definedName>
    <definedName name="_ABR95" localSheetId="4">[1]Consultoria!#REF!</definedName>
    <definedName name="_ABR95" localSheetId="5">[1]Consultoria!#REF!</definedName>
    <definedName name="_ABR95" localSheetId="6">[1]Consultoria!#REF!</definedName>
    <definedName name="_ABR95">[1]Consultoria!#REF!</definedName>
    <definedName name="_ABR96" localSheetId="3">[1]Consultoria!#REF!</definedName>
    <definedName name="_ABR96" localSheetId="4">[1]Consultoria!#REF!</definedName>
    <definedName name="_ABR96" localSheetId="5">[1]Consultoria!#REF!</definedName>
    <definedName name="_ABR96" localSheetId="6">[1]Consultoria!#REF!</definedName>
    <definedName name="_ABR96">[1]Consultoria!#REF!</definedName>
    <definedName name="_ABR97" localSheetId="3">[1]Consultoria!#REF!</definedName>
    <definedName name="_ABR97" localSheetId="4">[1]Consultoria!#REF!</definedName>
    <definedName name="_ABR97" localSheetId="5">[1]Consultoria!#REF!</definedName>
    <definedName name="_ABR97">[1]Consultoria!#REF!</definedName>
    <definedName name="_ABR98" localSheetId="3">[1]Consultoria!#REF!</definedName>
    <definedName name="_ABR98" localSheetId="4">[1]Consultoria!#REF!</definedName>
    <definedName name="_ABR98" localSheetId="5">[1]Consultoria!#REF!</definedName>
    <definedName name="_ABR98">[1]Consultoria!#REF!</definedName>
    <definedName name="_ABR99" localSheetId="3">[1]Consultoria!#REF!</definedName>
    <definedName name="_ABR99" localSheetId="4">[1]Consultoria!#REF!</definedName>
    <definedName name="_ABR99" localSheetId="5">[1]Consultoria!#REF!</definedName>
    <definedName name="_ABR99">[1]Consultoria!#REF!</definedName>
    <definedName name="_AGO95" localSheetId="3">[1]Consultoria!#REF!</definedName>
    <definedName name="_AGO95" localSheetId="4">[1]Consultoria!#REF!</definedName>
    <definedName name="_AGO95" localSheetId="5">[1]Consultoria!#REF!</definedName>
    <definedName name="_AGO95">[1]Consultoria!#REF!</definedName>
    <definedName name="_AGO96" localSheetId="3">[1]Consultoria!#REF!</definedName>
    <definedName name="_AGO96" localSheetId="4">[1]Consultoria!#REF!</definedName>
    <definedName name="_AGO96" localSheetId="5">[1]Consultoria!#REF!</definedName>
    <definedName name="_AGO96">[1]Consultoria!#REF!</definedName>
    <definedName name="_AGO97" localSheetId="3">[1]Consultoria!#REF!</definedName>
    <definedName name="_AGO97" localSheetId="4">[1]Consultoria!#REF!</definedName>
    <definedName name="_AGO97" localSheetId="5">[1]Consultoria!#REF!</definedName>
    <definedName name="_AGO97">[1]Consultoria!#REF!</definedName>
    <definedName name="_AGO98" localSheetId="3">[1]Consultoria!#REF!</definedName>
    <definedName name="_AGO98" localSheetId="4">[1]Consultoria!#REF!</definedName>
    <definedName name="_AGO98" localSheetId="5">[1]Consultoria!#REF!</definedName>
    <definedName name="_AGO98">[1]Consultoria!#REF!</definedName>
    <definedName name="_AGO99" localSheetId="3">[1]Consultoria!#REF!</definedName>
    <definedName name="_AGO99" localSheetId="4">[1]Consultoria!#REF!</definedName>
    <definedName name="_AGO99" localSheetId="5">[1]Consultoria!#REF!</definedName>
    <definedName name="_AGO99">[1]Consultoria!#REF!</definedName>
    <definedName name="_BD2" localSheetId="3">#REF!</definedName>
    <definedName name="_BD2" localSheetId="4">#REF!</definedName>
    <definedName name="_BD2">#REF!</definedName>
    <definedName name="_DEZ94" localSheetId="3">[1]Consultoria!#REF!</definedName>
    <definedName name="_DEZ94" localSheetId="4">[1]Consultoria!#REF!</definedName>
    <definedName name="_DEZ94" localSheetId="5">[1]Consultoria!#REF!</definedName>
    <definedName name="_DEZ94" localSheetId="6">[1]Consultoria!#REF!</definedName>
    <definedName name="_DEZ94">[1]Consultoria!#REF!</definedName>
    <definedName name="_DEZ95" localSheetId="3">[1]Consultoria!#REF!</definedName>
    <definedName name="_DEZ95" localSheetId="4">[1]Consultoria!#REF!</definedName>
    <definedName name="_DEZ95" localSheetId="5">[1]Consultoria!#REF!</definedName>
    <definedName name="_DEZ95" localSheetId="6">[1]Consultoria!#REF!</definedName>
    <definedName name="_DEZ95">[1]Consultoria!#REF!</definedName>
    <definedName name="_DEZ96" localSheetId="3">[1]Consultoria!#REF!</definedName>
    <definedName name="_DEZ96" localSheetId="4">[1]Consultoria!#REF!</definedName>
    <definedName name="_DEZ96" localSheetId="5">[1]Consultoria!#REF!</definedName>
    <definedName name="_DEZ96">[1]Consultoria!#REF!</definedName>
    <definedName name="_DEZ97" localSheetId="3">[1]Consultoria!#REF!</definedName>
    <definedName name="_DEZ97" localSheetId="4">[1]Consultoria!#REF!</definedName>
    <definedName name="_DEZ97" localSheetId="5">[1]Consultoria!#REF!</definedName>
    <definedName name="_DEZ97">[1]Consultoria!#REF!</definedName>
    <definedName name="_DEZ98" localSheetId="3">[1]Consultoria!#REF!</definedName>
    <definedName name="_DEZ98" localSheetId="4">[1]Consultoria!#REF!</definedName>
    <definedName name="_DEZ98" localSheetId="5">[1]Consultoria!#REF!</definedName>
    <definedName name="_DEZ98">[1]Consultoria!#REF!</definedName>
    <definedName name="_DEZ99" localSheetId="3">[1]Consultoria!#REF!</definedName>
    <definedName name="_DEZ99" localSheetId="4">[1]Consultoria!#REF!</definedName>
    <definedName name="_DEZ99" localSheetId="5">[1]Consultoria!#REF!</definedName>
    <definedName name="_DEZ99">[1]Consultoria!#REF!</definedName>
    <definedName name="_E112803" localSheetId="3">#REF!</definedName>
    <definedName name="_E112803" localSheetId="4">#REF!</definedName>
    <definedName name="_E112803">#REF!</definedName>
    <definedName name="_FEV95" localSheetId="3">[1]Consultoria!#REF!</definedName>
    <definedName name="_FEV95" localSheetId="4">[1]Consultoria!#REF!</definedName>
    <definedName name="_FEV95" localSheetId="5">[1]Consultoria!#REF!</definedName>
    <definedName name="_FEV95" localSheetId="6">[1]Consultoria!#REF!</definedName>
    <definedName name="_FEV95">[1]Consultoria!#REF!</definedName>
    <definedName name="_FEV96" localSheetId="3">[1]Consultoria!#REF!</definedName>
    <definedName name="_FEV96" localSheetId="4">[1]Consultoria!#REF!</definedName>
    <definedName name="_FEV96" localSheetId="5">[1]Consultoria!#REF!</definedName>
    <definedName name="_FEV96" localSheetId="6">[1]Consultoria!#REF!</definedName>
    <definedName name="_FEV96">[1]Consultoria!#REF!</definedName>
    <definedName name="_FEV97" localSheetId="3">[1]Consultoria!#REF!</definedName>
    <definedName name="_FEV97" localSheetId="4">[1]Consultoria!#REF!</definedName>
    <definedName name="_FEV97" localSheetId="5">[1]Consultoria!#REF!</definedName>
    <definedName name="_FEV97">[1]Consultoria!#REF!</definedName>
    <definedName name="_FEV98" localSheetId="3">[1]Consultoria!#REF!</definedName>
    <definedName name="_FEV98" localSheetId="4">[1]Consultoria!#REF!</definedName>
    <definedName name="_FEV98" localSheetId="5">[1]Consultoria!#REF!</definedName>
    <definedName name="_FEV98">[1]Consultoria!#REF!</definedName>
    <definedName name="_FEV99" localSheetId="3">[1]Consultoria!#REF!</definedName>
    <definedName name="_FEV99" localSheetId="4">[1]Consultoria!#REF!</definedName>
    <definedName name="_FEV99" localSheetId="5">[1]Consultoria!#REF!</definedName>
    <definedName name="_FEV99">[1]Consultoria!#REF!</definedName>
    <definedName name="_Fill" localSheetId="3" hidden="1">#REF!</definedName>
    <definedName name="_Fill" localSheetId="4" hidden="1">#REF!</definedName>
    <definedName name="_Fill" hidden="1">#REF!</definedName>
    <definedName name="_xlnm._FilterDatabase" localSheetId="6" hidden="1">'Curva ABC'!$B$7:$D$262</definedName>
    <definedName name="_JAN95" localSheetId="3">[1]Consultoria!#REF!</definedName>
    <definedName name="_JAN95" localSheetId="4">[1]Consultoria!#REF!</definedName>
    <definedName name="_JAN95" localSheetId="5">[1]Consultoria!#REF!</definedName>
    <definedName name="_JAN95" localSheetId="6">[1]Consultoria!#REF!</definedName>
    <definedName name="_JAN95">[1]Consultoria!#REF!</definedName>
    <definedName name="_JAN96" localSheetId="3">[1]Consultoria!#REF!</definedName>
    <definedName name="_JAN96" localSheetId="4">[1]Consultoria!#REF!</definedName>
    <definedName name="_JAN96" localSheetId="5">[1]Consultoria!#REF!</definedName>
    <definedName name="_JAN96" localSheetId="6">[1]Consultoria!#REF!</definedName>
    <definedName name="_JAN96">[1]Consultoria!#REF!</definedName>
    <definedName name="_JAN97" localSheetId="3">[1]Consultoria!#REF!</definedName>
    <definedName name="_JAN97" localSheetId="4">[1]Consultoria!#REF!</definedName>
    <definedName name="_JAN97" localSheetId="5">[1]Consultoria!#REF!</definedName>
    <definedName name="_JAN97" localSheetId="6">[1]Consultoria!#REF!</definedName>
    <definedName name="_JAN97">[1]Consultoria!#REF!</definedName>
    <definedName name="_JAN98" localSheetId="3">[1]Consultoria!#REF!</definedName>
    <definedName name="_JAN98" localSheetId="4">[1]Consultoria!#REF!</definedName>
    <definedName name="_JAN98" localSheetId="5">[1]Consultoria!#REF!</definedName>
    <definedName name="_JAN98" localSheetId="6">[1]Consultoria!#REF!</definedName>
    <definedName name="_JAN98">[1]Consultoria!#REF!</definedName>
    <definedName name="_JAN99" localSheetId="3">[1]Consultoria!#REF!</definedName>
    <definedName name="_JAN99" localSheetId="4">[1]Consultoria!#REF!</definedName>
    <definedName name="_JAN99" localSheetId="5">[1]Consultoria!#REF!</definedName>
    <definedName name="_JAN99">[1]Consultoria!#REF!</definedName>
    <definedName name="_juk96">[1]Consultoria!#REF!</definedName>
    <definedName name="_JUL95" localSheetId="3">[1]Consultoria!#REF!</definedName>
    <definedName name="_JUL95" localSheetId="4">[1]Consultoria!#REF!</definedName>
    <definedName name="_JUL95" localSheetId="5">[1]Consultoria!#REF!</definedName>
    <definedName name="_JUL95">[1]Consultoria!#REF!</definedName>
    <definedName name="_JUL96" localSheetId="3">[1]Consultoria!#REF!</definedName>
    <definedName name="_JUL96" localSheetId="4">[1]Consultoria!#REF!</definedName>
    <definedName name="_JUL96" localSheetId="5">[1]Consultoria!#REF!</definedName>
    <definedName name="_JUL96">[1]Consultoria!#REF!</definedName>
    <definedName name="_JUL97" localSheetId="3">[1]Consultoria!#REF!</definedName>
    <definedName name="_JUL97" localSheetId="4">[1]Consultoria!#REF!</definedName>
    <definedName name="_JUL97" localSheetId="5">[1]Consultoria!#REF!</definedName>
    <definedName name="_JUL97">[1]Consultoria!#REF!</definedName>
    <definedName name="_JUL98" localSheetId="3">[1]Consultoria!#REF!</definedName>
    <definedName name="_JUL98" localSheetId="4">[1]Consultoria!#REF!</definedName>
    <definedName name="_JUL98" localSheetId="5">[1]Consultoria!#REF!</definedName>
    <definedName name="_JUL98">[1]Consultoria!#REF!</definedName>
    <definedName name="_JUL99" localSheetId="3">[1]Consultoria!#REF!</definedName>
    <definedName name="_JUL99" localSheetId="4">[1]Consultoria!#REF!</definedName>
    <definedName name="_JUL99" localSheetId="5">[1]Consultoria!#REF!</definedName>
    <definedName name="_JUL99">[1]Consultoria!#REF!</definedName>
    <definedName name="_JUN95" localSheetId="3">[1]Consultoria!#REF!</definedName>
    <definedName name="_JUN95" localSheetId="4">[1]Consultoria!#REF!</definedName>
    <definedName name="_JUN95" localSheetId="5">[1]Consultoria!#REF!</definedName>
    <definedName name="_JUN95">[1]Consultoria!#REF!</definedName>
    <definedName name="_JUN96" localSheetId="3">[1]Consultoria!#REF!</definedName>
    <definedName name="_JUN96" localSheetId="4">[1]Consultoria!#REF!</definedName>
    <definedName name="_JUN96" localSheetId="5">[1]Consultoria!#REF!</definedName>
    <definedName name="_JUN96">[1]Consultoria!#REF!</definedName>
    <definedName name="_JUN97" localSheetId="3">[1]Consultoria!#REF!</definedName>
    <definedName name="_JUN97" localSheetId="4">[1]Consultoria!#REF!</definedName>
    <definedName name="_JUN97" localSheetId="5">[1]Consultoria!#REF!</definedName>
    <definedName name="_JUN97">[1]Consultoria!#REF!</definedName>
    <definedName name="_JUN98" localSheetId="3">[1]Consultoria!#REF!</definedName>
    <definedName name="_JUN98" localSheetId="4">[1]Consultoria!#REF!</definedName>
    <definedName name="_JUN98" localSheetId="5">[1]Consultoria!#REF!</definedName>
    <definedName name="_JUN98">[1]Consultoria!#REF!</definedName>
    <definedName name="_JUN99" localSheetId="3">[1]Consultoria!#REF!</definedName>
    <definedName name="_JUN99" localSheetId="4">[1]Consultoria!#REF!</definedName>
    <definedName name="_JUN99" localSheetId="5">[1]Consultoria!#REF!</definedName>
    <definedName name="_JUN99">[1]Consultoria!#REF!</definedName>
    <definedName name="_MAI95" localSheetId="3">[1]Consultoria!#REF!</definedName>
    <definedName name="_MAI95" localSheetId="4">[1]Consultoria!#REF!</definedName>
    <definedName name="_MAI95" localSheetId="5">[1]Consultoria!#REF!</definedName>
    <definedName name="_MAI95">[1]Consultoria!#REF!</definedName>
    <definedName name="_MAI96" localSheetId="3">[1]Consultoria!#REF!</definedName>
    <definedName name="_MAI96" localSheetId="4">[1]Consultoria!#REF!</definedName>
    <definedName name="_MAI96" localSheetId="5">[1]Consultoria!#REF!</definedName>
    <definedName name="_MAI96">[1]Consultoria!#REF!</definedName>
    <definedName name="_MAI97" localSheetId="3">[1]Consultoria!#REF!</definedName>
    <definedName name="_MAI97" localSheetId="4">[1]Consultoria!#REF!</definedName>
    <definedName name="_MAI97" localSheetId="5">[1]Consultoria!#REF!</definedName>
    <definedName name="_MAI97">[1]Consultoria!#REF!</definedName>
    <definedName name="_MAI98" localSheetId="3">[1]Consultoria!#REF!</definedName>
    <definedName name="_MAI98" localSheetId="4">[1]Consultoria!#REF!</definedName>
    <definedName name="_MAI98" localSheetId="5">[1]Consultoria!#REF!</definedName>
    <definedName name="_MAI98">[1]Consultoria!#REF!</definedName>
    <definedName name="_MAI99" localSheetId="3">[1]Consultoria!#REF!</definedName>
    <definedName name="_MAI99" localSheetId="4">[1]Consultoria!#REF!</definedName>
    <definedName name="_MAI99" localSheetId="5">[1]Consultoria!#REF!</definedName>
    <definedName name="_MAI99">[1]Consultoria!#REF!</definedName>
    <definedName name="_MAR95" localSheetId="3">[1]Consultoria!#REF!</definedName>
    <definedName name="_MAR95" localSheetId="4">[1]Consultoria!#REF!</definedName>
    <definedName name="_MAR95" localSheetId="5">[1]Consultoria!#REF!</definedName>
    <definedName name="_MAR95">[1]Consultoria!#REF!</definedName>
    <definedName name="_MAR96" localSheetId="3">[1]Consultoria!#REF!</definedName>
    <definedName name="_MAR96" localSheetId="4">[1]Consultoria!#REF!</definedName>
    <definedName name="_MAR96" localSheetId="5">[1]Consultoria!#REF!</definedName>
    <definedName name="_MAR96">[1]Consultoria!#REF!</definedName>
    <definedName name="_MAR97" localSheetId="3">[1]Consultoria!#REF!</definedName>
    <definedName name="_MAR97" localSheetId="4">[1]Consultoria!#REF!</definedName>
    <definedName name="_MAR97" localSheetId="5">[1]Consultoria!#REF!</definedName>
    <definedName name="_MAR97">[1]Consultoria!#REF!</definedName>
    <definedName name="_MAR98" localSheetId="3">[1]Consultoria!#REF!</definedName>
    <definedName name="_MAR98" localSheetId="4">[1]Consultoria!#REF!</definedName>
    <definedName name="_MAR98" localSheetId="5">[1]Consultoria!#REF!</definedName>
    <definedName name="_MAR98">[1]Consultoria!#REF!</definedName>
    <definedName name="_MAR99" localSheetId="3">[1]Consultoria!#REF!</definedName>
    <definedName name="_MAR99" localSheetId="4">[1]Consultoria!#REF!</definedName>
    <definedName name="_MAR99" localSheetId="5">[1]Consultoria!#REF!</definedName>
    <definedName name="_MAR99">[1]Consultoria!#REF!</definedName>
    <definedName name="_NOV94" localSheetId="3">[1]Consultoria!#REF!</definedName>
    <definedName name="_NOV94" localSheetId="4">[1]Consultoria!#REF!</definedName>
    <definedName name="_NOV94" localSheetId="5">[1]Consultoria!#REF!</definedName>
    <definedName name="_NOV94">[1]Consultoria!#REF!</definedName>
    <definedName name="_NOV95" localSheetId="3">[1]Consultoria!#REF!</definedName>
    <definedName name="_NOV95" localSheetId="4">[1]Consultoria!#REF!</definedName>
    <definedName name="_NOV95" localSheetId="5">[1]Consultoria!#REF!</definedName>
    <definedName name="_NOV95">[1]Consultoria!#REF!</definedName>
    <definedName name="_NOV96" localSheetId="3">[1]Consultoria!#REF!</definedName>
    <definedName name="_NOV96" localSheetId="4">[1]Consultoria!#REF!</definedName>
    <definedName name="_NOV96" localSheetId="5">[1]Consultoria!#REF!</definedName>
    <definedName name="_NOV96">[1]Consultoria!#REF!</definedName>
    <definedName name="_NOV97" localSheetId="3">[1]Consultoria!#REF!</definedName>
    <definedName name="_NOV97" localSheetId="4">[1]Consultoria!#REF!</definedName>
    <definedName name="_NOV97" localSheetId="5">[1]Consultoria!#REF!</definedName>
    <definedName name="_NOV97">[1]Consultoria!#REF!</definedName>
    <definedName name="_NOV98" localSheetId="3">[1]Consultoria!#REF!</definedName>
    <definedName name="_NOV98" localSheetId="4">[1]Consultoria!#REF!</definedName>
    <definedName name="_NOV98" localSheetId="5">[1]Consultoria!#REF!</definedName>
    <definedName name="_NOV98">[1]Consultoria!#REF!</definedName>
    <definedName name="_NOV99" localSheetId="3">[1]Consultoria!#REF!</definedName>
    <definedName name="_NOV99" localSheetId="4">[1]Consultoria!#REF!</definedName>
    <definedName name="_NOV99" localSheetId="5">[1]Consultoria!#REF!</definedName>
    <definedName name="_NOV99">[1]Consultoria!#REF!</definedName>
    <definedName name="_OUT94" localSheetId="3">[1]Consultoria!#REF!</definedName>
    <definedName name="_OUT94" localSheetId="4">[1]Consultoria!#REF!</definedName>
    <definedName name="_OUT94" localSheetId="5">[1]Consultoria!#REF!</definedName>
    <definedName name="_OUT94">[1]Consultoria!#REF!</definedName>
    <definedName name="_OUT95" localSheetId="3">[1]Consultoria!#REF!</definedName>
    <definedName name="_OUT95" localSheetId="4">[1]Consultoria!#REF!</definedName>
    <definedName name="_OUT95" localSheetId="5">[1]Consultoria!#REF!</definedName>
    <definedName name="_OUT95">[1]Consultoria!#REF!</definedName>
    <definedName name="_OUT96" localSheetId="3">[1]Consultoria!#REF!</definedName>
    <definedName name="_OUT96" localSheetId="4">[1]Consultoria!#REF!</definedName>
    <definedName name="_OUT96" localSheetId="5">[1]Consultoria!#REF!</definedName>
    <definedName name="_OUT96">[1]Consultoria!#REF!</definedName>
    <definedName name="_OUT97" localSheetId="3">[1]Consultoria!#REF!</definedName>
    <definedName name="_OUT97" localSheetId="4">[1]Consultoria!#REF!</definedName>
    <definedName name="_OUT97" localSheetId="5">[1]Consultoria!#REF!</definedName>
    <definedName name="_OUT97">[1]Consultoria!#REF!</definedName>
    <definedName name="_OUT98" localSheetId="3">[1]Consultoria!#REF!</definedName>
    <definedName name="_OUT98" localSheetId="4">[1]Consultoria!#REF!</definedName>
    <definedName name="_OUT98" localSheetId="5">[1]Consultoria!#REF!</definedName>
    <definedName name="_OUT98">[1]Consultoria!#REF!</definedName>
    <definedName name="_OUT99" localSheetId="3">[1]Consultoria!#REF!</definedName>
    <definedName name="_OUT99" localSheetId="4">[1]Consultoria!#REF!</definedName>
    <definedName name="_OUT99" localSheetId="5">[1]Consultoria!#REF!</definedName>
    <definedName name="_OUT99">[1]Consultoria!#REF!</definedName>
    <definedName name="_SET94" localSheetId="3">[1]Consultoria!#REF!</definedName>
    <definedName name="_SET94" localSheetId="4">[1]Consultoria!#REF!</definedName>
    <definedName name="_SET94" localSheetId="5">[1]Consultoria!#REF!</definedName>
    <definedName name="_SET94">[1]Consultoria!#REF!</definedName>
    <definedName name="_SET95" localSheetId="3">[1]Consultoria!#REF!</definedName>
    <definedName name="_SET95" localSheetId="4">[1]Consultoria!#REF!</definedName>
    <definedName name="_SET95" localSheetId="5">[1]Consultoria!#REF!</definedName>
    <definedName name="_SET95">[1]Consultoria!#REF!</definedName>
    <definedName name="_SET96" localSheetId="3">[1]Consultoria!#REF!</definedName>
    <definedName name="_SET96" localSheetId="4">[1]Consultoria!#REF!</definedName>
    <definedName name="_SET96" localSheetId="5">[1]Consultoria!#REF!</definedName>
    <definedName name="_SET96">[1]Consultoria!#REF!</definedName>
    <definedName name="_SET97" localSheetId="3">[1]Consultoria!#REF!</definedName>
    <definedName name="_SET97" localSheetId="4">[1]Consultoria!#REF!</definedName>
    <definedName name="_SET97" localSheetId="5">[1]Consultoria!#REF!</definedName>
    <definedName name="_SET97">[1]Consultoria!#REF!</definedName>
    <definedName name="_SET98" localSheetId="3">[1]Consultoria!#REF!</definedName>
    <definedName name="_SET98" localSheetId="4">[1]Consultoria!#REF!</definedName>
    <definedName name="_SET98" localSheetId="5">[1]Consultoria!#REF!</definedName>
    <definedName name="_SET98">[1]Consultoria!#REF!</definedName>
    <definedName name="_SET99" localSheetId="3">[1]Consultoria!#REF!</definedName>
    <definedName name="_SET99" localSheetId="4">[1]Consultoria!#REF!</definedName>
    <definedName name="_SET99" localSheetId="5">[1]Consultoria!#REF!</definedName>
    <definedName name="_SET99">[1]Consultoria!#REF!</definedName>
    <definedName name="_tx1">[5]PLANIL!#REF!</definedName>
    <definedName name="A" localSheetId="3">[6]TERRAPLENAGEM!#REF!</definedName>
    <definedName name="A" localSheetId="4">[6]TERRAPLENAGEM!#REF!</definedName>
    <definedName name="A" localSheetId="5">[6]TERRAPLENAGEM!#REF!</definedName>
    <definedName name="A" localSheetId="6">[7]ORÇAMENTO!#REF!</definedName>
    <definedName name="A">#REF!</definedName>
    <definedName name="a0" localSheetId="6">#REF!</definedName>
    <definedName name="a0">#REF!</definedName>
    <definedName name="A1080000" localSheetId="6">[8]Planilha!#REF!</definedName>
    <definedName name="A1080000">[8]Planilha!#REF!</definedName>
    <definedName name="A1089999" localSheetId="6">[8]Planilha!#REF!</definedName>
    <definedName name="A1089999">[8]Planilha!#REF!</definedName>
    <definedName name="A1090000" localSheetId="6">[8]Planilha!#REF!</definedName>
    <definedName name="A1090000">[8]Planilha!#REF!</definedName>
    <definedName name="A1099999">[8]Planilha!#REF!</definedName>
    <definedName name="A1100000">[8]Planilha!#REF!</definedName>
    <definedName name="A1200000">[8]Planilha!#REF!</definedName>
    <definedName name="A9999999">[8]Planilha!#REF!</definedName>
    <definedName name="a99999999">[8]Planilha!#REF!</definedName>
    <definedName name="ABR00" localSheetId="3">[1]Consultoria!#REF!</definedName>
    <definedName name="ABR00" localSheetId="4">[1]Consultoria!#REF!</definedName>
    <definedName name="ABR00" localSheetId="5">[1]Consultoria!#REF!</definedName>
    <definedName name="ABR00">[1]Consultoria!#REF!</definedName>
    <definedName name="AC" localSheetId="3">#REF!</definedName>
    <definedName name="AC" localSheetId="4">#REF!</definedName>
    <definedName name="AC">#REF!</definedName>
    <definedName name="administração">#REF!</definedName>
    <definedName name="_xlnm.Extract" localSheetId="6">#REF!</definedName>
    <definedName name="_xlnm.Extract">#REF!</definedName>
    <definedName name="_xlnm.Print_Area" localSheetId="3">BDI!$A$1:$O$39</definedName>
    <definedName name="_xlnm.Print_Area" localSheetId="4">'BDI (2)'!$A$1:$O$39</definedName>
    <definedName name="_xlnm.Print_Area" localSheetId="7">Cotações!$A$1:$K$53</definedName>
    <definedName name="_xlnm.Print_Area" localSheetId="2">CPU!$A$1:$F$2262</definedName>
    <definedName name="_xlnm.Print_Area" localSheetId="5">'Cronograma Fisico - Financeiro'!$A$1:$I$51</definedName>
    <definedName name="_xlnm.Print_Area" localSheetId="6">'Curva ABC'!$A$1:$G$325</definedName>
    <definedName name="_xlnm.Print_Area" localSheetId="1">MC!$A$1:$J$2462</definedName>
    <definedName name="_xlnm.Print_Area" localSheetId="0">PO!$A$1:$K$434</definedName>
    <definedName name="Área_impressão_IM" localSheetId="3">#REF!</definedName>
    <definedName name="Área_impressão_IM" localSheetId="4">#REF!</definedName>
    <definedName name="Área_impressão_IM" localSheetId="5">#REF!</definedName>
    <definedName name="Área_impressão_IM" localSheetId="6">#REF!</definedName>
    <definedName name="Área_impressão_IM">#REF!</definedName>
    <definedName name="AreaTeste">#REF!</definedName>
    <definedName name="AreaTeste2">#REF!</definedName>
    <definedName name="AS">[1]Consultoria!#REF!</definedName>
    <definedName name="B" localSheetId="6">[9]PLAN!#REF!</definedName>
    <definedName name="B">[10]PARETO!$C$64:$M$139</definedName>
    <definedName name="B1049000" localSheetId="3">[8]Planilha!#REF!</definedName>
    <definedName name="B1049000" localSheetId="4">[8]Planilha!#REF!</definedName>
    <definedName name="B1049000">[8]Planilha!#REF!</definedName>
    <definedName name="B1049755" localSheetId="6">[8]Planilha!#REF!</definedName>
    <definedName name="B1049755">[8]Planilha!#REF!</definedName>
    <definedName name="B1049999" localSheetId="6">[8]Planilha!#REF!</definedName>
    <definedName name="B1049999">[8]Planilha!#REF!</definedName>
    <definedName name="B10499999">[8]Planilha!#REF!</definedName>
    <definedName name="B1055512">[8]Planilha!#REF!</definedName>
    <definedName name="B1079755">[8]Planilha!#REF!</definedName>
    <definedName name="_xlnm.Database" localSheetId="3">#REF!</definedName>
    <definedName name="_xlnm.Database" localSheetId="4">#REF!</definedName>
    <definedName name="_xlnm.Database" localSheetId="6">#REF!</definedName>
    <definedName name="_xlnm.Database">#REF!</definedName>
    <definedName name="BASCARROCERIA" localSheetId="3">[6]TERRAPLENAGEM!#REF!</definedName>
    <definedName name="BASCARROCERIA" localSheetId="4">[6]TERRAPLENAGEM!#REF!</definedName>
    <definedName name="BASCARROCERIA" localSheetId="5">[6]TERRAPLENAGEM!#REF!</definedName>
    <definedName name="BASCARROCERIA" localSheetId="6">#REF!</definedName>
    <definedName name="BASCARROCERIA">#REF!</definedName>
    <definedName name="base" localSheetId="3">[1]Consultoria!#REF!</definedName>
    <definedName name="base" localSheetId="4">[1]Consultoria!#REF!</definedName>
    <definedName name="base" localSheetId="5">[1]Consultoria!#REF!</definedName>
    <definedName name="base" localSheetId="6">[1]Consultoria!#REF!</definedName>
    <definedName name="base">[1]Consultoria!#REF!</definedName>
    <definedName name="Básico" localSheetId="3">#REF!</definedName>
    <definedName name="Básico" localSheetId="4">#REF!</definedName>
    <definedName name="Básico">#REF!</definedName>
    <definedName name="bdi">#REF!</definedName>
    <definedName name="BNovo">[9]PLAN!#REF!</definedName>
    <definedName name="BUEIROMETÁLICO" localSheetId="3">#REF!</definedName>
    <definedName name="BUEIROMETÁLICO" localSheetId="4">#REF!</definedName>
    <definedName name="BUEIROMETÁLICO" localSheetId="6">#REF!</definedName>
    <definedName name="BUEIROMETÁLICO">#REF!</definedName>
    <definedName name="BUEIROSMETALICOS" localSheetId="3">#REF!</definedName>
    <definedName name="BUEIROSMETALICOS" localSheetId="4">#REF!</definedName>
    <definedName name="BUEIROSMETALICOS" localSheetId="5">#REF!</definedName>
    <definedName name="BUEIROSMETALICOS">#REF!</definedName>
    <definedName name="BuiltIn_Database">NA()</definedName>
    <definedName name="BuiltIn_Database___0">NA()</definedName>
    <definedName name="BuiltIn_Database___3">NA()</definedName>
    <definedName name="BuiltIn_Database___5" localSheetId="3">#REF!</definedName>
    <definedName name="BuiltIn_Database___5" localSheetId="4">#REF!</definedName>
    <definedName name="BuiltIn_Database___5">#REF!</definedName>
    <definedName name="BuiltIn_Database___7">#REF!</definedName>
    <definedName name="BuiltIn_Print_Area">#REF!</definedName>
    <definedName name="BuiltIn_Print_Area___0">#REF!</definedName>
    <definedName name="BuiltIn_Print_Area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Titles">#REF!</definedName>
    <definedName name="BuiltIn_Print_Titles___1">#REF!</definedName>
    <definedName name="BuiltIn_Print_Titles___2">NA()</definedName>
    <definedName name="BuiltIn_Print_Titles___3">NA()</definedName>
    <definedName name="BuiltIn_Print_Titles___4">NA()</definedName>
    <definedName name="BuiltIn_Print_Titles___5" localSheetId="3">#REF!</definedName>
    <definedName name="BuiltIn_Print_Titles___5" localSheetId="4">#REF!</definedName>
    <definedName name="BuiltIn_Print_Titles___5">#REF!</definedName>
    <definedName name="BuiltIn_Print_Titles___6">#REF!</definedName>
    <definedName name="C_">#REF!</definedName>
    <definedName name="CABO">#N/A</definedName>
    <definedName name="CADASTRO" localSheetId="3">#REF!</definedName>
    <definedName name="CADASTRO" localSheetId="4">#REF!</definedName>
    <definedName name="CADASTRO">#REF!</definedName>
    <definedName name="CAIX">#N/A</definedName>
    <definedName name="Carro" localSheetId="3">#REF!</definedName>
    <definedName name="Carro" localSheetId="4">#REF!</definedName>
    <definedName name="Carro">#REF!</definedName>
    <definedName name="CDT">#N/A</definedName>
    <definedName name="CélulaInicioPlanilha" localSheetId="6">#REF!</definedName>
    <definedName name="CélulaInicioPlanilha">#REF!</definedName>
    <definedName name="CélulaResumo" localSheetId="6">#REF!</definedName>
    <definedName name="CélulaResumo">#REF!</definedName>
    <definedName name="CODIGO">#REF!</definedName>
    <definedName name="Coeficiente">#REF!</definedName>
    <definedName name="COMBINA">#REF!</definedName>
    <definedName name="COMBUSTÍVEL">#REF!</definedName>
    <definedName name="COND">#N/A</definedName>
    <definedName name="CONE">#N/A</definedName>
    <definedName name="CONS.ASF." localSheetId="3">#REF!</definedName>
    <definedName name="CONS.ASF." localSheetId="4">#REF!</definedName>
    <definedName name="CONS.ASF.">#REF!</definedName>
    <definedName name="CONS_ASF_" localSheetId="3">[6]TERRAPLENAGEM!#REF!</definedName>
    <definedName name="CONS_ASF_" localSheetId="4">[6]TERRAPLENAGEM!#REF!</definedName>
    <definedName name="CONS_ASF_" localSheetId="6">[6]TERRAPLENAGEM!#REF!</definedName>
    <definedName name="CONS_ASF_">[6]TERRAPLENAGEM!#REF!</definedName>
    <definedName name="CONSERV_RESTA" localSheetId="3">#REF!</definedName>
    <definedName name="CONSERV_RESTA" localSheetId="4">#REF!</definedName>
    <definedName name="CONSERV_RESTA" localSheetId="6">#REF!</definedName>
    <definedName name="CONSERV_RESTA">#REF!</definedName>
    <definedName name="CONSERVAÇ">#REF!</definedName>
    <definedName name="CONSERVAÇÃO" localSheetId="3">[6]TERRAPLENAGEM!#REF!</definedName>
    <definedName name="CONSERVAÇÃO" localSheetId="4">[6]TERRAPLENAGEM!#REF!</definedName>
    <definedName name="CONSERVAÇÃO" localSheetId="5">[6]TERRAPLENAGEM!#REF!</definedName>
    <definedName name="CONSERVAÇÃO" localSheetId="6">#REF!</definedName>
    <definedName name="CONSERVAÇÃO">#REF!</definedName>
    <definedName name="CONSERVASF" localSheetId="6">#REF!</definedName>
    <definedName name="CONSERVASF">#REF!</definedName>
    <definedName name="COTAÇÕES">#REF!</definedName>
    <definedName name="COTAÇÕES_5">#REF!</definedName>
    <definedName name="_xlnm.Criteria">'[11]LE354002 Fut'!#REF!</definedName>
    <definedName name="cronograma">[1]Consultoria!#REF!</definedName>
    <definedName name="CRUZEIROS" localSheetId="3">#REF!</definedName>
    <definedName name="CRUZEIROS" localSheetId="4">#REF!</definedName>
    <definedName name="CRUZEIROS">#REF!</definedName>
    <definedName name="DADOS">#REF!</definedName>
    <definedName name="Database_MI">#REF!</definedName>
    <definedName name="DDDDDDD">'[12]João Leandro Barbosa'!$A$1:$L$123</definedName>
    <definedName name="DERCONS" localSheetId="3">#REF!</definedName>
    <definedName name="DERCONS" localSheetId="4">#REF!</definedName>
    <definedName name="DERCONS" localSheetId="6">#REF!</definedName>
    <definedName name="DERCONS">#REF!</definedName>
    <definedName name="DERSEGT">#REF!</definedName>
    <definedName name="DERSIN">#REF!</definedName>
    <definedName name="DERSSEG">#REF!</definedName>
    <definedName name="DIVE">#N/A</definedName>
    <definedName name="DOLAR" localSheetId="3">#REF!</definedName>
    <definedName name="DOLAR" localSheetId="4">#REF!</definedName>
    <definedName name="DOLAR">#REF!</definedName>
    <definedName name="DRENAGEM" localSheetId="3">[6]TERRAPLENAGEM!#REF!</definedName>
    <definedName name="DRENAGEM" localSheetId="4">[6]TERRAPLENAGEM!#REF!</definedName>
    <definedName name="DRENAGEM" localSheetId="5">[6]TERRAPLENAGEM!#REF!</definedName>
    <definedName name="DRENAGEM" localSheetId="6">#REF!</definedName>
    <definedName name="DRENAGEM">#REF!</definedName>
    <definedName name="e" localSheetId="3">'[11]LE354002 Fut'!#REF!</definedName>
    <definedName name="e" localSheetId="4">'[11]LE354002 Fut'!#REF!</definedName>
    <definedName name="e" localSheetId="6">'[11]LE354002 Fut'!#REF!</definedName>
    <definedName name="e">'[11]LE354002 Fut'!#REF!</definedName>
    <definedName name="ENTRADA" localSheetId="3">#REF!</definedName>
    <definedName name="ENTRADA" localSheetId="4">#REF!</definedName>
    <definedName name="ENTRADA" localSheetId="6">#REF!</definedName>
    <definedName name="ENTRADA">#REF!</definedName>
    <definedName name="EQUI">#N/A</definedName>
    <definedName name="equilibrar" localSheetId="3">#REF!</definedName>
    <definedName name="equilibrar" localSheetId="4">#REF!</definedName>
    <definedName name="equilibrar">#REF!</definedName>
    <definedName name="EQUIPAMENTOS" localSheetId="3">[6]TERRAPLENAGEM!#REF!</definedName>
    <definedName name="EQUIPAMENTOS" localSheetId="4">[6]TERRAPLENAGEM!#REF!</definedName>
    <definedName name="EQUIPAMENTOS" localSheetId="5">[6]TERRAPLENAGEM!#REF!</definedName>
    <definedName name="EQUIPAMENTOS" localSheetId="6">#REF!</definedName>
    <definedName name="EQUIPAMENTOS">#REF!</definedName>
    <definedName name="ererer" localSheetId="6">#REF!</definedName>
    <definedName name="ererer">#REF!</definedName>
    <definedName name="ERRO">#REF!</definedName>
    <definedName name="etet">#REF!</definedName>
    <definedName name="Excel_BuiltIn_Database" localSheetId="3">#REF!</definedName>
    <definedName name="Excel_BuiltIn_Database" localSheetId="4">#REF!</definedName>
    <definedName name="Excel_BuiltIn_Database">#REF!</definedName>
    <definedName name="Extract_MI">#REF!</definedName>
    <definedName name="FEV00" localSheetId="3">[1]Consultoria!#REF!</definedName>
    <definedName name="FEV00" localSheetId="4">[1]Consultoria!#REF!</definedName>
    <definedName name="FEV00" localSheetId="5">[1]Consultoria!#REF!</definedName>
    <definedName name="FEV00">[1]Consultoria!#REF!</definedName>
    <definedName name="FORMULAS" localSheetId="3">#REF!</definedName>
    <definedName name="FORMULAS" localSheetId="4">#REF!</definedName>
    <definedName name="FORMULAS">#REF!</definedName>
    <definedName name="h.bar">#REF!</definedName>
    <definedName name="h.mezanino">#REF!</definedName>
    <definedName name="h.rest">#REF!</definedName>
    <definedName name="h.terreo">#REF!</definedName>
    <definedName name="HORAMÁQUINA" localSheetId="3">[6]TERRAPLENAGEM!#REF!</definedName>
    <definedName name="HORAMÁQUINA" localSheetId="4">[6]TERRAPLENAGEM!#REF!</definedName>
    <definedName name="HORAMÁQUINA" localSheetId="5">[6]TERRAPLENAGEM!#REF!</definedName>
    <definedName name="HORAMÁQUINA" localSheetId="6">#REF!</definedName>
    <definedName name="HORAMÁQUINA">#REF!</definedName>
    <definedName name="i" localSheetId="6">#REF!</definedName>
    <definedName name="i">#REF!</definedName>
    <definedName name="ILUM">#N/A</definedName>
    <definedName name="Imprimir_títulos_IM">#N/A</definedName>
    <definedName name="INSUMO" localSheetId="3">#REF!</definedName>
    <definedName name="INSUMO" localSheetId="4">#REF!</definedName>
    <definedName name="INSUMO">#REF!</definedName>
    <definedName name="insumos">#REF!</definedName>
    <definedName name="INTE">#N/A</definedName>
    <definedName name="ITEM" localSheetId="3">#REF!</definedName>
    <definedName name="ITEM" localSheetId="4">#REF!</definedName>
    <definedName name="ITEM">#REF!</definedName>
    <definedName name="ITEMINV">#REF!</definedName>
    <definedName name="JAN00" localSheetId="3">[1]Consultoria!#REF!</definedName>
    <definedName name="JAN00" localSheetId="4">[1]Consultoria!#REF!</definedName>
    <definedName name="JAN00" localSheetId="5">[1]Consultoria!#REF!</definedName>
    <definedName name="JAN00">[1]Consultoria!#REF!</definedName>
    <definedName name="jun00" localSheetId="3">[1]Consultoria!#REF!</definedName>
    <definedName name="jun00" localSheetId="4">[1]Consultoria!#REF!</definedName>
    <definedName name="jun00" localSheetId="5">[1]Consultoria!#REF!</definedName>
    <definedName name="jun00">[1]Consultoria!#REF!</definedName>
    <definedName name="LINHA" localSheetId="3">#REF!</definedName>
    <definedName name="LINHA" localSheetId="4">#REF!</definedName>
    <definedName name="LINHA">#REF!</definedName>
    <definedName name="LISTA">#REF!</definedName>
    <definedName name="ls">#REF!</definedName>
    <definedName name="mai00" localSheetId="3">[1]Consultoria!#REF!</definedName>
    <definedName name="mai00" localSheetId="4">[1]Consultoria!#REF!</definedName>
    <definedName name="mai00" localSheetId="5">[1]Consultoria!#REF!</definedName>
    <definedName name="mai00">[1]Consultoria!#REF!</definedName>
    <definedName name="mão_de_obra" localSheetId="3">#REF!</definedName>
    <definedName name="mão_de_obra" localSheetId="4">#REF!</definedName>
    <definedName name="mão_de_obra">#REF!</definedName>
    <definedName name="MAQSERV" localSheetId="3">#REF!</definedName>
    <definedName name="MAQSERV" localSheetId="4">#REF!</definedName>
    <definedName name="MAQSERV" localSheetId="5">#REF!</definedName>
    <definedName name="MAQSERV">#REF!</definedName>
    <definedName name="MAQSERV048" localSheetId="3">#REF!</definedName>
    <definedName name="MAQSERV048" localSheetId="4">#REF!</definedName>
    <definedName name="MAQSERV048" localSheetId="5">#REF!</definedName>
    <definedName name="MAQSERV048">#REF!</definedName>
    <definedName name="MAR00" localSheetId="3">[1]Consultoria!#REF!</definedName>
    <definedName name="MAR00" localSheetId="4">[1]Consultoria!#REF!</definedName>
    <definedName name="MAR00" localSheetId="5">[1]Consultoria!#REF!</definedName>
    <definedName name="MAR00">[1]Consultoria!#REF!</definedName>
    <definedName name="MATERIAIS" localSheetId="3">[6]TERRAPLENAGEM!#REF!</definedName>
    <definedName name="MATERIAIS" localSheetId="4">[6]TERRAPLENAGEM!#REF!</definedName>
    <definedName name="MATERIAIS" localSheetId="5">[6]TERRAPLENAGEM!#REF!</definedName>
    <definedName name="MATERIAIS" localSheetId="6">#REF!</definedName>
    <definedName name="MATERIAIS">#REF!</definedName>
    <definedName name="MATERIAL1" localSheetId="6">#REF!</definedName>
    <definedName name="MATERIAL1">#REF!</definedName>
    <definedName name="MATERIAL2">#REF!</definedName>
    <definedName name="MOTOR">#REF!</definedName>
    <definedName name="NOME">[1]Consultoria!#REF!</definedName>
    <definedName name="O.A.E." localSheetId="3">#REF!</definedName>
    <definedName name="O.A.E." localSheetId="4">#REF!</definedName>
    <definedName name="O.A.E.">#REF!</definedName>
    <definedName name="O.COMPLEM.">#REF!</definedName>
    <definedName name="O_A_E_">#REF!</definedName>
    <definedName name="O_COMPLEM_">#REF!</definedName>
    <definedName name="OAC" localSheetId="3">[6]TERRAPLENAGEM!#REF!</definedName>
    <definedName name="OAC" localSheetId="4">[6]TERRAPLENAGEM!#REF!</definedName>
    <definedName name="OAC" localSheetId="5">[6]TERRAPLENAGEM!#REF!</definedName>
    <definedName name="OAC" localSheetId="6">#REF!</definedName>
    <definedName name="OAC">#REF!</definedName>
    <definedName name="OAE" localSheetId="6">#REF!</definedName>
    <definedName name="OAE">#REF!</definedName>
    <definedName name="OAE_MAR94" localSheetId="3">#REF!</definedName>
    <definedName name="OAE_MAR94" localSheetId="4">#REF!</definedName>
    <definedName name="OAE_MAR94" localSheetId="5">#REF!</definedName>
    <definedName name="OAE_MAR94">#REF!</definedName>
    <definedName name="PARA">#N/A</definedName>
    <definedName name="PAV_MAR94" localSheetId="3">#REF!</definedName>
    <definedName name="PAV_MAR94" localSheetId="4">#REF!</definedName>
    <definedName name="PAV_MAR94" localSheetId="5">#REF!</definedName>
    <definedName name="PAV_MAR94" localSheetId="6">#REF!</definedName>
    <definedName name="PAV_MAR94">#REF!</definedName>
    <definedName name="PAVIMENT.">#REF!</definedName>
    <definedName name="PAVIMENT_">[6]TERRAPLENAGEM!#REF!</definedName>
    <definedName name="PAVIMENTA" localSheetId="3">#REF!</definedName>
    <definedName name="PAVIMENTA" localSheetId="4">#REF!</definedName>
    <definedName name="PAVIMENTA" localSheetId="6">#REF!</definedName>
    <definedName name="PAVIMENTA">#REF!</definedName>
    <definedName name="PAVIMENTAÇÃO">#REF!</definedName>
    <definedName name="Pneus_A">#REF!</definedName>
    <definedName name="PONTEMADEIRA" localSheetId="3">#REF!</definedName>
    <definedName name="PONTEMADEIRA" localSheetId="4">#REF!</definedName>
    <definedName name="PONTEMADEIRA" localSheetId="5">#REF!</definedName>
    <definedName name="PONTEMADEIRA">#REF!</definedName>
    <definedName name="PONTESMADEIRA">#REF!</definedName>
    <definedName name="preço">#REF!</definedName>
    <definedName name="PREÇO1">#REF!</definedName>
    <definedName name="PREÇO2">#REF!</definedName>
    <definedName name="PREÇO3">#REF!</definedName>
    <definedName name="Print_Area_MI">#REF!</definedName>
    <definedName name="Q">#REF!</definedName>
    <definedName name="QUANT">#REF!</definedName>
    <definedName name="quantidade">#REF!</definedName>
    <definedName name="QUANTINV">#REF!</definedName>
    <definedName name="REV.PRIMÁRIO">#REF!</definedName>
    <definedName name="REV_PRIMÁRIO">[6]TERRAPLENAGEM!#REF!</definedName>
    <definedName name="REVESTIMPRIM" localSheetId="3">#REF!</definedName>
    <definedName name="REVESTIMPRIM" localSheetId="4">#REF!</definedName>
    <definedName name="REVESTIMPRIM" localSheetId="6">#REF!</definedName>
    <definedName name="REVESTIMPRIM">#REF!</definedName>
    <definedName name="RIOMACHADO" localSheetId="3">#REF!</definedName>
    <definedName name="RIOMACHADO" localSheetId="4">#REF!</definedName>
    <definedName name="RIOMACHADO" localSheetId="5">#REF!</definedName>
    <definedName name="RIOMACHADO">#REF!</definedName>
    <definedName name="RIOMUQUI" localSheetId="3">#REF!</definedName>
    <definedName name="RIOMUQUI" localSheetId="4">#REF!</definedName>
    <definedName name="RIOMUQUI" localSheetId="5">#REF!</definedName>
    <definedName name="RIOMUQUI">#REF!</definedName>
    <definedName name="RIONOVE" localSheetId="3">#REF!</definedName>
    <definedName name="RIONOVE" localSheetId="4">#REF!</definedName>
    <definedName name="RIONOVE" localSheetId="5">#REF!</definedName>
    <definedName name="RIONOVE">#REF!</definedName>
    <definedName name="RIORIACHUELO" localSheetId="3">#REF!</definedName>
    <definedName name="RIORIACHUELO" localSheetId="4">#REF!</definedName>
    <definedName name="RIORIACHUELO" localSheetId="5">#REF!</definedName>
    <definedName name="RIORIACHUELO">#REF!</definedName>
    <definedName name="RIOSÃOPEDRO" localSheetId="3">#REF!</definedName>
    <definedName name="RIOSÃOPEDRO" localSheetId="4">#REF!</definedName>
    <definedName name="RIOSÃOPEDRO" localSheetId="5">#REF!</definedName>
    <definedName name="RIOSÃOPEDRO">#REF!</definedName>
    <definedName name="RIOSOLEDADE" localSheetId="3">#REF!</definedName>
    <definedName name="RIOSOLEDADE" localSheetId="4">#REF!</definedName>
    <definedName name="RIOSOLEDADE" localSheetId="5">#REF!</definedName>
    <definedName name="RIOSOLEDADE">#REF!</definedName>
    <definedName name="s">[1]Consultoria!#REF!</definedName>
    <definedName name="SDFSDF">[1]Consultoria!#REF!</definedName>
    <definedName name="segmentos" localSheetId="3">#REF!</definedName>
    <definedName name="segmentos" localSheetId="4">#REF!</definedName>
    <definedName name="segmentos">#REF!</definedName>
    <definedName name="SHARED_FORMULA_0">#N/A</definedName>
    <definedName name="SHARED_FORMULA_1">#N/A</definedName>
    <definedName name="SHARED_FORMULA_2">#N/A</definedName>
    <definedName name="SINALIZAÇAO" localSheetId="3">#REF!</definedName>
    <definedName name="SINALIZAÇAO" localSheetId="4">#REF!</definedName>
    <definedName name="SINALIZAÇAO">#REF!</definedName>
    <definedName name="SS">[9]PLAN!#REF!</definedName>
    <definedName name="ssssss" localSheetId="3">#REF!</definedName>
    <definedName name="ssssss" localSheetId="4">#REF!</definedName>
    <definedName name="ssssss" localSheetId="6">#REF!</definedName>
    <definedName name="ssssss">#REF!</definedName>
    <definedName name="SUP_MAR94" localSheetId="3">#REF!</definedName>
    <definedName name="SUP_MAR94" localSheetId="4">#REF!</definedName>
    <definedName name="SUP_MAR94" localSheetId="5">#REF!</definedName>
    <definedName name="SUP_MAR94">#REF!</definedName>
    <definedName name="TABEL.OAE.COMPL.">#REF!</definedName>
    <definedName name="TABEL.PREÇOS">#REF!</definedName>
    <definedName name="TABEL_OAE_COMPL_">#REF!</definedName>
    <definedName name="TABEL_PREÇOS">[6]TERRAPLENAGEM!#REF!</definedName>
    <definedName name="TABELANOVA" localSheetId="3">#REF!</definedName>
    <definedName name="TABELANOVA" localSheetId="4">#REF!</definedName>
    <definedName name="TABELANOVA" localSheetId="5">#REF!</definedName>
    <definedName name="TABELANOVA" localSheetId="6">#REF!</definedName>
    <definedName name="TABELANOVA">#REF!</definedName>
    <definedName name="TER_MAR94" localSheetId="3">#REF!</definedName>
    <definedName name="TER_MAR94" localSheetId="4">#REF!</definedName>
    <definedName name="TER_MAR94" localSheetId="5">#REF!</definedName>
    <definedName name="TER_MAR94">#REF!</definedName>
    <definedName name="TERRAPL.">#REF!</definedName>
    <definedName name="TERRAPL_">[6]TERRAPLENAGEM!#REF!</definedName>
    <definedName name="TERRAPLEN" localSheetId="3">#REF!</definedName>
    <definedName name="TERRAPLEN" localSheetId="4">#REF!</definedName>
    <definedName name="TERRAPLEN" localSheetId="6">#REF!</definedName>
    <definedName name="TERRAPLEN">#REF!</definedName>
    <definedName name="TERRAPLENAGEM">#REF!</definedName>
    <definedName name="TESTE">#REF!</definedName>
    <definedName name="TESTE_5">#REF!</definedName>
    <definedName name="TESTE1">#REF!</definedName>
    <definedName name="TESTE2">#REF!</definedName>
    <definedName name="_xlnm.Print_Titles" localSheetId="3">BDI!$A:$O,BDI!$1:$8</definedName>
    <definedName name="_xlnm.Print_Titles" localSheetId="4">'BDI (2)'!$A:$O,'BDI (2)'!$1:$8</definedName>
    <definedName name="_xlnm.Print_Titles" localSheetId="7">Cotações!$7:$8</definedName>
    <definedName name="_xlnm.Print_Titles" localSheetId="2">CPU!$6:$6</definedName>
    <definedName name="_xlnm.Print_Titles" localSheetId="5">'Cronograma Fisico - Financeiro'!$A:$I,'Cronograma Fisico - Financeiro'!$1:$4</definedName>
    <definedName name="_xlnm.Print_Titles" localSheetId="1">MC!$6:$7</definedName>
    <definedName name="_xlnm.Print_Titles" localSheetId="0">PO!$7:$7</definedName>
    <definedName name="Títulos_impressão_IM" localSheetId="3">#REF!</definedName>
    <definedName name="Títulos_impressão_IM" localSheetId="4">#REF!</definedName>
    <definedName name="Títulos_impressão_IM" localSheetId="6">#REF!</definedName>
    <definedName name="Títulos_impressão_IM">#REF!</definedName>
    <definedName name="TOTAL">#REF!</definedName>
    <definedName name="TRANSPORTES" localSheetId="3">[6]TERRAPLENAGEM!#REF!</definedName>
    <definedName name="TRANSPORTES" localSheetId="4">[6]TERRAPLENAGEM!#REF!</definedName>
    <definedName name="TRANSPORTES" localSheetId="5">[6]TERRAPLENAGEM!#REF!</definedName>
    <definedName name="TRANSPORTES" localSheetId="6">#REF!</definedName>
    <definedName name="TRANSPORTES">#REF!</definedName>
    <definedName name="unidade" localSheetId="6">#REF!</definedName>
    <definedName name="unidade">#REF!</definedName>
    <definedName name="unitário">#REF!</definedName>
    <definedName name="URV_MAR94" localSheetId="3">#REF!</definedName>
    <definedName name="URV_MAR94" localSheetId="4">#REF!</definedName>
    <definedName name="URV_MAR94" localSheetId="5">#REF!</definedName>
    <definedName name="URV_MAR94">#REF!</definedName>
    <definedName name="VALOR.TOTAL">#REF!</definedName>
    <definedName name="VALOR_TOTAL">#REF!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90" i="4" l="1"/>
  <c r="E1084" i="4"/>
  <c r="E1088" i="4"/>
  <c r="C394" i="3" l="1"/>
  <c r="C314" i="3"/>
  <c r="F2224" i="5"/>
  <c r="B2224" i="5"/>
  <c r="F2250" i="5"/>
  <c r="F2242" i="5"/>
  <c r="F2241" i="5"/>
  <c r="F2240" i="5"/>
  <c r="F2239" i="5"/>
  <c r="F2238" i="5"/>
  <c r="F2229" i="5"/>
  <c r="F2228" i="5"/>
  <c r="C312" i="3"/>
  <c r="F2194" i="5"/>
  <c r="B2194" i="5"/>
  <c r="F2220" i="5"/>
  <c r="F2212" i="5"/>
  <c r="F2211" i="5"/>
  <c r="F2210" i="5"/>
  <c r="F2209" i="5"/>
  <c r="F2208" i="5"/>
  <c r="F2199" i="5"/>
  <c r="F2198" i="5"/>
  <c r="C311" i="3"/>
  <c r="F2179" i="5"/>
  <c r="F2180" i="5"/>
  <c r="F2181" i="5"/>
  <c r="F2164" i="5"/>
  <c r="B2164" i="5"/>
  <c r="F2190" i="5"/>
  <c r="F2182" i="5"/>
  <c r="F2178" i="5"/>
  <c r="F2169" i="5"/>
  <c r="F2168" i="5"/>
  <c r="C233" i="3"/>
  <c r="F2136" i="5"/>
  <c r="B2136" i="5"/>
  <c r="F2160" i="5"/>
  <c r="F2152" i="5"/>
  <c r="F2151" i="5"/>
  <c r="F2150" i="5"/>
  <c r="F2141" i="5"/>
  <c r="F2140" i="5"/>
  <c r="F2123" i="5"/>
  <c r="F2243" i="5" l="1"/>
  <c r="F2200" i="5"/>
  <c r="F2230" i="5"/>
  <c r="F2232" i="5" s="1"/>
  <c r="F2233" i="5" s="1"/>
  <c r="F2252" i="5" s="1"/>
  <c r="F2231" i="5"/>
  <c r="F2213" i="5"/>
  <c r="F2201" i="5"/>
  <c r="F2202" i="5"/>
  <c r="F2203" i="5" s="1"/>
  <c r="F2183" i="5"/>
  <c r="F2170" i="5"/>
  <c r="F2171" i="5" s="1"/>
  <c r="F2172" i="5"/>
  <c r="F2173" i="5" s="1"/>
  <c r="F2153" i="5"/>
  <c r="F2142" i="5"/>
  <c r="F2143" i="5"/>
  <c r="C226" i="3"/>
  <c r="F2108" i="5"/>
  <c r="B2108" i="5"/>
  <c r="F2132" i="5"/>
  <c r="F2124" i="5"/>
  <c r="F2122" i="5"/>
  <c r="F2113" i="5"/>
  <c r="F2112" i="5"/>
  <c r="F2096" i="5"/>
  <c r="C143" i="3"/>
  <c r="F2081" i="5"/>
  <c r="B2081" i="5"/>
  <c r="F2104" i="5"/>
  <c r="F2095" i="5"/>
  <c r="F2086" i="5"/>
  <c r="F2085" i="5"/>
  <c r="F2059" i="5"/>
  <c r="C118" i="3"/>
  <c r="F2054" i="5"/>
  <c r="B2054" i="5"/>
  <c r="F2077" i="5"/>
  <c r="F2068" i="5"/>
  <c r="F2070" i="5" s="1"/>
  <c r="F2058" i="5"/>
  <c r="F2060" i="5" l="1"/>
  <c r="F2222" i="5"/>
  <c r="G312" i="3" s="1"/>
  <c r="F2144" i="5"/>
  <c r="F2145" i="5" s="1"/>
  <c r="F2162" i="5" s="1"/>
  <c r="G233" i="3" s="1"/>
  <c r="F2192" i="5"/>
  <c r="F2125" i="5"/>
  <c r="F2114" i="5"/>
  <c r="F2115" i="5" s="1"/>
  <c r="F2116" i="5" s="1"/>
  <c r="F2117" i="5" s="1"/>
  <c r="F2097" i="5"/>
  <c r="F2087" i="5"/>
  <c r="F2088" i="5" s="1"/>
  <c r="F2089" i="5" s="1"/>
  <c r="F2090" i="5" s="1"/>
  <c r="F2061" i="5"/>
  <c r="F2062" i="5" s="1"/>
  <c r="F2063" i="5" s="1"/>
  <c r="F2079" i="5" s="1"/>
  <c r="G118" i="3" s="1"/>
  <c r="G311" i="3" l="1"/>
  <c r="G394" i="3"/>
  <c r="F2134" i="5"/>
  <c r="G226" i="3" s="1"/>
  <c r="F2106" i="5"/>
  <c r="G143" i="3" s="1"/>
  <c r="I53" i="3" l="1"/>
  <c r="F656" i="5"/>
  <c r="F642" i="5"/>
  <c r="B642" i="5"/>
  <c r="C53" i="3"/>
  <c r="F665" i="5"/>
  <c r="F657" i="5"/>
  <c r="F646" i="5"/>
  <c r="F645" i="5"/>
  <c r="F658" i="5" l="1"/>
  <c r="F648" i="5"/>
  <c r="F649" i="5" s="1"/>
  <c r="F650" i="5" s="1"/>
  <c r="F651" i="5" s="1"/>
  <c r="F667" i="5" l="1"/>
  <c r="G53" i="3" s="1"/>
  <c r="H53" i="3" s="1"/>
  <c r="J53" i="3" s="1"/>
  <c r="K53" i="3" s="1"/>
  <c r="H1070" i="4" l="1"/>
  <c r="H1071" i="4"/>
  <c r="H1072" i="4"/>
  <c r="H1073" i="4"/>
  <c r="H1074" i="4"/>
  <c r="H1075" i="4"/>
  <c r="H1076" i="4"/>
  <c r="H1077" i="4"/>
  <c r="H1069" i="4"/>
  <c r="H129" i="4" l="1"/>
  <c r="H224" i="4" l="1"/>
  <c r="H223" i="4"/>
  <c r="A1029" i="4"/>
  <c r="A992" i="4"/>
  <c r="I1016" i="4"/>
  <c r="I1017" i="4"/>
  <c r="I1018" i="4"/>
  <c r="I1019" i="4"/>
  <c r="I1020" i="4"/>
  <c r="I1021" i="4"/>
  <c r="I1022" i="4"/>
  <c r="I1023" i="4"/>
  <c r="I1015" i="4"/>
  <c r="K1004" i="4" l="1"/>
  <c r="F2041" i="5"/>
  <c r="F2031" i="5"/>
  <c r="F2030" i="5"/>
  <c r="F2003" i="5"/>
  <c r="H678" i="4"/>
  <c r="H677" i="4"/>
  <c r="H676" i="4"/>
  <c r="H675" i="4"/>
  <c r="J672" i="4"/>
  <c r="B672" i="4"/>
  <c r="C97" i="3"/>
  <c r="B2027" i="5"/>
  <c r="F2050" i="5"/>
  <c r="F2040" i="5"/>
  <c r="F2027" i="5"/>
  <c r="D606" i="4"/>
  <c r="H606" i="4" s="1"/>
  <c r="D605" i="4"/>
  <c r="H605" i="4" s="1"/>
  <c r="D598" i="4"/>
  <c r="H598" i="4" s="1"/>
  <c r="D591" i="4"/>
  <c r="H591" i="4" s="1"/>
  <c r="D590" i="4"/>
  <c r="H590" i="4" s="1"/>
  <c r="F2033" i="5" l="1"/>
  <c r="F2034" i="5" s="1"/>
  <c r="F2035" i="5" s="1"/>
  <c r="F2036" i="5" s="1"/>
  <c r="I1025" i="4"/>
  <c r="F2043" i="5"/>
  <c r="I672" i="4"/>
  <c r="I601" i="4"/>
  <c r="E1057" i="4"/>
  <c r="I1057" i="4" s="1"/>
  <c r="E1056" i="4"/>
  <c r="I1056" i="4" s="1"/>
  <c r="E1055" i="4"/>
  <c r="I1055" i="4" s="1"/>
  <c r="E1054" i="4"/>
  <c r="I1054" i="4" s="1"/>
  <c r="E1053" i="4"/>
  <c r="I1053" i="4" s="1"/>
  <c r="E1052" i="4"/>
  <c r="I1052" i="4" s="1"/>
  <c r="E1051" i="4"/>
  <c r="I1051" i="4" s="1"/>
  <c r="C5" i="4"/>
  <c r="B1062" i="4"/>
  <c r="A1062" i="4"/>
  <c r="A1049" i="4"/>
  <c r="F2052" i="5" l="1"/>
  <c r="G97" i="3" s="1"/>
  <c r="H97" i="3" s="1"/>
  <c r="I1058" i="4"/>
  <c r="F501" i="4"/>
  <c r="D501" i="4"/>
  <c r="H958" i="4"/>
  <c r="H957" i="4"/>
  <c r="H956" i="4"/>
  <c r="H954" i="4"/>
  <c r="E712" i="4"/>
  <c r="I496" i="4" l="1"/>
  <c r="E713" i="4"/>
  <c r="E834" i="4"/>
  <c r="E829" i="4"/>
  <c r="E552" i="4"/>
  <c r="D552" i="4"/>
  <c r="E551" i="4"/>
  <c r="D551" i="4"/>
  <c r="E550" i="4"/>
  <c r="D550" i="4"/>
  <c r="E549" i="4"/>
  <c r="D549" i="4"/>
  <c r="E548" i="4"/>
  <c r="D548" i="4"/>
  <c r="E547" i="4"/>
  <c r="F547" i="4" s="1"/>
  <c r="H547" i="4" s="1"/>
  <c r="E546" i="4"/>
  <c r="F546" i="4" s="1"/>
  <c r="H546" i="4" s="1"/>
  <c r="E545" i="4"/>
  <c r="F545" i="4" s="1"/>
  <c r="F548" i="4" l="1"/>
  <c r="H548" i="4" s="1"/>
  <c r="F551" i="4"/>
  <c r="H551" i="4" s="1"/>
  <c r="F550" i="4"/>
  <c r="H550" i="4" s="1"/>
  <c r="F552" i="4"/>
  <c r="H552" i="4" s="1"/>
  <c r="D553" i="4"/>
  <c r="F549" i="4"/>
  <c r="H549" i="4" s="1"/>
  <c r="H545" i="4"/>
  <c r="E553" i="4"/>
  <c r="H553" i="4" l="1"/>
  <c r="I539" i="4" s="1"/>
  <c r="F553" i="4"/>
  <c r="E558" i="4" s="1"/>
  <c r="E657" i="4" l="1"/>
  <c r="D618" i="4"/>
  <c r="E387" i="4" l="1"/>
  <c r="K3" i="3" l="1"/>
  <c r="D387" i="4" l="1"/>
  <c r="H387" i="4" s="1"/>
  <c r="C470" i="4"/>
  <c r="C471" i="4"/>
  <c r="C472" i="4"/>
  <c r="C473" i="4"/>
  <c r="C474" i="4"/>
  <c r="C475" i="4"/>
  <c r="C476" i="4"/>
  <c r="C477" i="4"/>
  <c r="C478" i="4"/>
  <c r="C479" i="4"/>
  <c r="C469" i="4"/>
  <c r="E469" i="4" s="1"/>
  <c r="H385" i="4"/>
  <c r="E386" i="4"/>
  <c r="E384" i="4"/>
  <c r="E383" i="4"/>
  <c r="E382" i="4"/>
  <c r="E381" i="4"/>
  <c r="E380" i="4"/>
  <c r="E379" i="4"/>
  <c r="E378" i="4"/>
  <c r="E377" i="4"/>
  <c r="E376" i="4"/>
  <c r="E375" i="4"/>
  <c r="E374" i="4"/>
  <c r="F651" i="4" l="1"/>
  <c r="H635" i="4"/>
  <c r="H634" i="4"/>
  <c r="C421" i="3" l="1"/>
  <c r="F2000" i="5"/>
  <c r="B2000" i="5"/>
  <c r="C417" i="3"/>
  <c r="C413" i="3"/>
  <c r="F1973" i="5"/>
  <c r="B1973" i="5"/>
  <c r="C412" i="3"/>
  <c r="F1960" i="5"/>
  <c r="F1950" i="5"/>
  <c r="F1951" i="5"/>
  <c r="F1967" i="5"/>
  <c r="F1945" i="5"/>
  <c r="B1945" i="5"/>
  <c r="F1969" i="5"/>
  <c r="F1949" i="5"/>
  <c r="F1948" i="5"/>
  <c r="C411" i="3"/>
  <c r="F1918" i="5"/>
  <c r="B1918" i="5"/>
  <c r="C410" i="3"/>
  <c r="F1891" i="5"/>
  <c r="B1891" i="5"/>
  <c r="C408" i="3"/>
  <c r="F1864" i="5"/>
  <c r="B1864" i="5"/>
  <c r="C407" i="3"/>
  <c r="F1837" i="5"/>
  <c r="B1837" i="5"/>
  <c r="C404" i="3"/>
  <c r="F1810" i="5"/>
  <c r="B1810" i="5"/>
  <c r="C403" i="3"/>
  <c r="F1783" i="5"/>
  <c r="B1783" i="5"/>
  <c r="C380" i="3"/>
  <c r="F1756" i="5"/>
  <c r="B1756" i="5"/>
  <c r="C379" i="3"/>
  <c r="F1729" i="5"/>
  <c r="B1729" i="5"/>
  <c r="C377" i="3"/>
  <c r="C371" i="3"/>
  <c r="F1716" i="5"/>
  <c r="F1718" i="5" s="1"/>
  <c r="F1702" i="5"/>
  <c r="B1702" i="5"/>
  <c r="F1725" i="5"/>
  <c r="F1706" i="5"/>
  <c r="C370" i="3"/>
  <c r="F1675" i="5"/>
  <c r="B1675" i="5"/>
  <c r="C367" i="3"/>
  <c r="F1648" i="5"/>
  <c r="B1648" i="5"/>
  <c r="F1671" i="5"/>
  <c r="F1661" i="5"/>
  <c r="F1664" i="5" s="1"/>
  <c r="F1652" i="5"/>
  <c r="F1651" i="5"/>
  <c r="C366" i="3"/>
  <c r="F1621" i="5"/>
  <c r="B1621" i="5"/>
  <c r="F1644" i="5"/>
  <c r="F1634" i="5"/>
  <c r="F1637" i="5" s="1"/>
  <c r="F1625" i="5"/>
  <c r="F1624" i="5"/>
  <c r="C365" i="3"/>
  <c r="F1594" i="5"/>
  <c r="B1594" i="5"/>
  <c r="F1617" i="5"/>
  <c r="F1607" i="5"/>
  <c r="F1610" i="5" s="1"/>
  <c r="F1598" i="5"/>
  <c r="F1597" i="5"/>
  <c r="C363" i="3"/>
  <c r="F1567" i="5"/>
  <c r="B1567" i="5"/>
  <c r="F1590" i="5"/>
  <c r="F1571" i="5"/>
  <c r="F1570" i="5"/>
  <c r="C360" i="3"/>
  <c r="F1539" i="5"/>
  <c r="B1539" i="5"/>
  <c r="C359" i="3"/>
  <c r="F1512" i="5"/>
  <c r="B1512" i="5"/>
  <c r="C358" i="3"/>
  <c r="F1485" i="5"/>
  <c r="B1485" i="5"/>
  <c r="C355" i="3"/>
  <c r="F1458" i="5"/>
  <c r="B1458" i="5"/>
  <c r="C354" i="3"/>
  <c r="F1431" i="5"/>
  <c r="B1431" i="5"/>
  <c r="C353" i="3"/>
  <c r="F1404" i="5"/>
  <c r="B1404" i="5"/>
  <c r="C352" i="3"/>
  <c r="F1377" i="5"/>
  <c r="B1377" i="5"/>
  <c r="C343" i="3"/>
  <c r="F1350" i="5"/>
  <c r="B1350" i="5"/>
  <c r="C303" i="3"/>
  <c r="F1323" i="5"/>
  <c r="B1323" i="5"/>
  <c r="C301" i="3"/>
  <c r="F1296" i="5"/>
  <c r="B1296" i="5"/>
  <c r="C294" i="3"/>
  <c r="C260" i="3"/>
  <c r="F1269" i="5"/>
  <c r="B1269" i="5"/>
  <c r="C259" i="3"/>
  <c r="F1242" i="5"/>
  <c r="B1242" i="5"/>
  <c r="C248" i="3"/>
  <c r="F1211" i="5"/>
  <c r="B1211" i="5"/>
  <c r="C247" i="3"/>
  <c r="F1180" i="5"/>
  <c r="B1180" i="5"/>
  <c r="C244" i="3"/>
  <c r="F1149" i="5"/>
  <c r="B1149" i="5"/>
  <c r="F1176" i="5"/>
  <c r="F1168" i="5"/>
  <c r="F1167" i="5"/>
  <c r="F1166" i="5"/>
  <c r="F1165" i="5"/>
  <c r="F1164" i="5"/>
  <c r="F1163" i="5"/>
  <c r="F1162" i="5"/>
  <c r="F1153" i="5"/>
  <c r="F1152" i="5"/>
  <c r="C242" i="3"/>
  <c r="F1122" i="5"/>
  <c r="B1122" i="5"/>
  <c r="F1145" i="5"/>
  <c r="F1135" i="5"/>
  <c r="F1138" i="5" s="1"/>
  <c r="F1126" i="5"/>
  <c r="F1125" i="5"/>
  <c r="C234" i="3"/>
  <c r="F1095" i="5"/>
  <c r="B1095" i="5"/>
  <c r="C228" i="3"/>
  <c r="F1068" i="5"/>
  <c r="B1068" i="5"/>
  <c r="C227" i="3"/>
  <c r="F1040" i="5"/>
  <c r="B1040" i="5"/>
  <c r="C213" i="3"/>
  <c r="F1013" i="5"/>
  <c r="B1013" i="5"/>
  <c r="C207" i="3"/>
  <c r="F984" i="5"/>
  <c r="B984" i="5"/>
  <c r="F1009" i="5"/>
  <c r="F1000" i="5"/>
  <c r="F999" i="5"/>
  <c r="F998" i="5"/>
  <c r="F997" i="5"/>
  <c r="F988" i="5"/>
  <c r="F987" i="5"/>
  <c r="C185" i="3"/>
  <c r="F926" i="5"/>
  <c r="B926" i="5"/>
  <c r="F951" i="5"/>
  <c r="F949" i="5"/>
  <c r="F942" i="5"/>
  <c r="F941" i="5"/>
  <c r="F940" i="5"/>
  <c r="F939" i="5"/>
  <c r="F931" i="5"/>
  <c r="F930" i="5"/>
  <c r="F929" i="5"/>
  <c r="C168" i="3"/>
  <c r="F897" i="5"/>
  <c r="B897" i="5"/>
  <c r="F922" i="5"/>
  <c r="F920" i="5"/>
  <c r="F913" i="5"/>
  <c r="F912" i="5"/>
  <c r="F911" i="5"/>
  <c r="F910" i="5"/>
  <c r="F902" i="5"/>
  <c r="F901" i="5"/>
  <c r="F900" i="5"/>
  <c r="C167" i="3"/>
  <c r="F868" i="5"/>
  <c r="B868" i="5"/>
  <c r="F893" i="5"/>
  <c r="F891" i="5"/>
  <c r="F884" i="5"/>
  <c r="F883" i="5"/>
  <c r="F882" i="5"/>
  <c r="F881" i="5"/>
  <c r="F873" i="5"/>
  <c r="F872" i="5"/>
  <c r="F871" i="5"/>
  <c r="C166" i="3"/>
  <c r="F839" i="5"/>
  <c r="B839" i="5"/>
  <c r="F864" i="5"/>
  <c r="F862" i="5"/>
  <c r="F853" i="5"/>
  <c r="F844" i="5"/>
  <c r="F843" i="5"/>
  <c r="F842" i="5"/>
  <c r="C165" i="3"/>
  <c r="F810" i="5"/>
  <c r="B810" i="5"/>
  <c r="F835" i="5"/>
  <c r="F833" i="5"/>
  <c r="F826" i="5"/>
  <c r="F825" i="5"/>
  <c r="F824" i="5"/>
  <c r="F823" i="5"/>
  <c r="F815" i="5"/>
  <c r="F814" i="5"/>
  <c r="F813" i="5"/>
  <c r="C164" i="3"/>
  <c r="F781" i="5"/>
  <c r="B781" i="5"/>
  <c r="F806" i="5"/>
  <c r="F804" i="5"/>
  <c r="F797" i="5"/>
  <c r="F796" i="5"/>
  <c r="F795" i="5"/>
  <c r="F794" i="5"/>
  <c r="F786" i="5"/>
  <c r="F785" i="5"/>
  <c r="F784" i="5"/>
  <c r="C163" i="3"/>
  <c r="F766" i="5"/>
  <c r="F752" i="5"/>
  <c r="B752" i="5"/>
  <c r="F777" i="5"/>
  <c r="F775" i="5"/>
  <c r="F768" i="5"/>
  <c r="F767" i="5"/>
  <c r="F765" i="5"/>
  <c r="F757" i="5"/>
  <c r="F756" i="5"/>
  <c r="F755" i="5"/>
  <c r="C158" i="3"/>
  <c r="F1128" i="5" l="1"/>
  <c r="F1129" i="5" s="1"/>
  <c r="F1130" i="5" s="1"/>
  <c r="F1131" i="5" s="1"/>
  <c r="F1147" i="5" s="1"/>
  <c r="G242" i="3" s="1"/>
  <c r="F1962" i="5"/>
  <c r="F1952" i="5"/>
  <c r="F1953" i="5" s="1"/>
  <c r="F758" i="5"/>
  <c r="F759" i="5" s="1"/>
  <c r="F903" i="5"/>
  <c r="F904" i="5" s="1"/>
  <c r="F886" i="5"/>
  <c r="F845" i="5"/>
  <c r="F846" i="5" s="1"/>
  <c r="F847" i="5" s="1"/>
  <c r="F848" i="5" s="1"/>
  <c r="F874" i="5"/>
  <c r="F875" i="5" s="1"/>
  <c r="F1708" i="5"/>
  <c r="F1709" i="5" s="1"/>
  <c r="F799" i="5"/>
  <c r="F828" i="5"/>
  <c r="F915" i="5"/>
  <c r="F1627" i="5"/>
  <c r="F1628" i="5" s="1"/>
  <c r="F1654" i="5"/>
  <c r="F1655" i="5" s="1"/>
  <c r="F1656" i="5" s="1"/>
  <c r="F1657" i="5" s="1"/>
  <c r="F1673" i="5" s="1"/>
  <c r="G367" i="3" s="1"/>
  <c r="F932" i="5"/>
  <c r="F933" i="5" s="1"/>
  <c r="F934" i="5" s="1"/>
  <c r="F935" i="5" s="1"/>
  <c r="F1600" i="5"/>
  <c r="F1601" i="5" s="1"/>
  <c r="F816" i="5"/>
  <c r="F857" i="5"/>
  <c r="F990" i="5"/>
  <c r="F991" i="5" s="1"/>
  <c r="F992" i="5" s="1"/>
  <c r="F993" i="5" s="1"/>
  <c r="F1573" i="5"/>
  <c r="F1574" i="5" s="1"/>
  <c r="F1169" i="5"/>
  <c r="F1155" i="5"/>
  <c r="F1156" i="5" s="1"/>
  <c r="F1157" i="5" s="1"/>
  <c r="F1158" i="5" s="1"/>
  <c r="F1002" i="5"/>
  <c r="F944" i="5"/>
  <c r="F787" i="5"/>
  <c r="F788" i="5" s="1"/>
  <c r="F789" i="5" s="1"/>
  <c r="F790" i="5" s="1"/>
  <c r="F808" i="5" s="1"/>
  <c r="G164" i="3" s="1"/>
  <c r="F770" i="5"/>
  <c r="F953" i="5" l="1"/>
  <c r="G185" i="3" s="1"/>
  <c r="F876" i="5"/>
  <c r="F877" i="5" s="1"/>
  <c r="F866" i="5"/>
  <c r="G166" i="3" s="1"/>
  <c r="F760" i="5"/>
  <c r="F761" i="5" s="1"/>
  <c r="F779" i="5" s="1"/>
  <c r="G163" i="3" s="1"/>
  <c r="F905" i="5"/>
  <c r="F906" i="5" s="1"/>
  <c r="F924" i="5" s="1"/>
  <c r="G168" i="3" s="1"/>
  <c r="F895" i="5"/>
  <c r="G167" i="3" s="1"/>
  <c r="F1954" i="5"/>
  <c r="F1955" i="5" s="1"/>
  <c r="F1971" i="5" s="1"/>
  <c r="G412" i="3" s="1"/>
  <c r="F1710" i="5"/>
  <c r="F1711" i="5" s="1"/>
  <c r="F1727" i="5" s="1"/>
  <c r="G371" i="3" s="1"/>
  <c r="F1602" i="5"/>
  <c r="F1603" i="5" s="1"/>
  <c r="F1619" i="5" s="1"/>
  <c r="G365" i="3" s="1"/>
  <c r="F817" i="5"/>
  <c r="F818" i="5" s="1"/>
  <c r="F819" i="5" s="1"/>
  <c r="F837" i="5" s="1"/>
  <c r="G165" i="3" s="1"/>
  <c r="F1575" i="5"/>
  <c r="F1576" i="5" s="1"/>
  <c r="F1629" i="5"/>
  <c r="F1630" i="5" s="1"/>
  <c r="F1646" i="5" s="1"/>
  <c r="G366" i="3" s="1"/>
  <c r="F1178" i="5"/>
  <c r="G244" i="3" s="1"/>
  <c r="F1011" i="5"/>
  <c r="G207" i="3" s="1"/>
  <c r="C205" i="3" l="1"/>
  <c r="F955" i="5"/>
  <c r="B955" i="5"/>
  <c r="C161" i="3"/>
  <c r="F746" i="5"/>
  <c r="F748" i="5" s="1"/>
  <c r="F728" i="5"/>
  <c r="F723" i="5"/>
  <c r="B723" i="5"/>
  <c r="F739" i="5"/>
  <c r="F738" i="5"/>
  <c r="F737" i="5"/>
  <c r="F727" i="5"/>
  <c r="F726" i="5"/>
  <c r="C157" i="3"/>
  <c r="F696" i="5"/>
  <c r="B696" i="5"/>
  <c r="C153" i="3"/>
  <c r="F669" i="5"/>
  <c r="B669" i="5"/>
  <c r="C140" i="3"/>
  <c r="F615" i="5"/>
  <c r="B615" i="5"/>
  <c r="C137" i="3"/>
  <c r="F564" i="5"/>
  <c r="F592" i="5"/>
  <c r="F587" i="5"/>
  <c r="B587" i="5"/>
  <c r="F609" i="5"/>
  <c r="F608" i="5"/>
  <c r="F603" i="5"/>
  <c r="F602" i="5"/>
  <c r="F601" i="5"/>
  <c r="F591" i="5"/>
  <c r="F593" i="5" s="1"/>
  <c r="C114" i="3"/>
  <c r="B559" i="5"/>
  <c r="F581" i="5"/>
  <c r="F580" i="5"/>
  <c r="F575" i="5"/>
  <c r="F574" i="5"/>
  <c r="F573" i="5"/>
  <c r="F563" i="5"/>
  <c r="C112" i="3"/>
  <c r="B531" i="5"/>
  <c r="C105" i="3"/>
  <c r="B504" i="5"/>
  <c r="C104" i="3"/>
  <c r="F472" i="5"/>
  <c r="B472" i="5"/>
  <c r="F500" i="5"/>
  <c r="F498" i="5"/>
  <c r="F491" i="5"/>
  <c r="F490" i="5"/>
  <c r="F489" i="5"/>
  <c r="F488" i="5"/>
  <c r="F478" i="5"/>
  <c r="F477" i="5"/>
  <c r="F476" i="5"/>
  <c r="C99" i="3"/>
  <c r="C96" i="3"/>
  <c r="F440" i="5"/>
  <c r="B440" i="5"/>
  <c r="F468" i="5"/>
  <c r="F466" i="5"/>
  <c r="F459" i="5"/>
  <c r="F458" i="5"/>
  <c r="F457" i="5"/>
  <c r="F456" i="5"/>
  <c r="F446" i="5"/>
  <c r="F445" i="5"/>
  <c r="F444" i="5"/>
  <c r="F448" i="5" s="1"/>
  <c r="F408" i="5"/>
  <c r="B408" i="5"/>
  <c r="F436" i="5"/>
  <c r="F434" i="5"/>
  <c r="F427" i="5"/>
  <c r="F426" i="5"/>
  <c r="F425" i="5"/>
  <c r="F424" i="5"/>
  <c r="F414" i="5"/>
  <c r="F413" i="5"/>
  <c r="F412" i="5"/>
  <c r="F416" i="5" s="1"/>
  <c r="C94" i="3"/>
  <c r="F376" i="5"/>
  <c r="B376" i="5"/>
  <c r="F402" i="5"/>
  <c r="F404" i="5" s="1"/>
  <c r="F392" i="5"/>
  <c r="F382" i="5"/>
  <c r="F381" i="5"/>
  <c r="F380" i="5"/>
  <c r="C89" i="3"/>
  <c r="F317" i="5"/>
  <c r="F344" i="5"/>
  <c r="B344" i="5"/>
  <c r="F372" i="5"/>
  <c r="F370" i="5"/>
  <c r="F363" i="5"/>
  <c r="F362" i="5"/>
  <c r="F361" i="5"/>
  <c r="F360" i="5"/>
  <c r="F359" i="5"/>
  <c r="F350" i="5"/>
  <c r="F349" i="5"/>
  <c r="F348" i="5"/>
  <c r="F347" i="5"/>
  <c r="C59" i="3"/>
  <c r="F302" i="5"/>
  <c r="F303" i="5"/>
  <c r="F304" i="5"/>
  <c r="F311" i="5"/>
  <c r="F313" i="5" s="1"/>
  <c r="F288" i="5"/>
  <c r="B317" i="5"/>
  <c r="C52" i="3"/>
  <c r="F287" i="5"/>
  <c r="B283" i="5"/>
  <c r="F301" i="5"/>
  <c r="B170" i="5"/>
  <c r="B143" i="5"/>
  <c r="B116" i="5"/>
  <c r="B89" i="5"/>
  <c r="B62" i="5"/>
  <c r="B35" i="5"/>
  <c r="B8" i="5"/>
  <c r="B256" i="5"/>
  <c r="C51" i="3"/>
  <c r="C50" i="3"/>
  <c r="F244" i="5"/>
  <c r="F242" i="5"/>
  <c r="F243" i="5"/>
  <c r="F240" i="5"/>
  <c r="F241" i="5"/>
  <c r="F229" i="5"/>
  <c r="F230" i="5"/>
  <c r="B224" i="5"/>
  <c r="F252" i="5"/>
  <c r="F228" i="5"/>
  <c r="F201" i="5"/>
  <c r="F203" i="5" s="1"/>
  <c r="F204" i="5" s="1"/>
  <c r="F205" i="5" s="1"/>
  <c r="F206" i="5" s="1"/>
  <c r="C44" i="3"/>
  <c r="B197" i="5"/>
  <c r="F220" i="5"/>
  <c r="F210" i="5"/>
  <c r="F2023" i="5"/>
  <c r="F2014" i="5"/>
  <c r="F2013" i="5"/>
  <c r="F2006" i="5"/>
  <c r="F2007" i="5" s="1"/>
  <c r="F2008" i="5" s="1"/>
  <c r="F2009" i="5" s="1"/>
  <c r="F1996" i="5"/>
  <c r="F1986" i="5"/>
  <c r="F1989" i="5" s="1"/>
  <c r="F1977" i="5"/>
  <c r="F1976" i="5"/>
  <c r="F1941" i="5"/>
  <c r="F1931" i="5"/>
  <c r="F1934" i="5" s="1"/>
  <c r="F1922" i="5"/>
  <c r="F1921" i="5"/>
  <c r="F1914" i="5"/>
  <c r="F1904" i="5"/>
  <c r="F1907" i="5" s="1"/>
  <c r="F1895" i="5"/>
  <c r="F1894" i="5"/>
  <c r="F1887" i="5"/>
  <c r="F1877" i="5"/>
  <c r="F1880" i="5" s="1"/>
  <c r="F1868" i="5"/>
  <c r="F1867" i="5"/>
  <c r="F1860" i="5"/>
  <c r="F1850" i="5"/>
  <c r="F1853" i="5" s="1"/>
  <c r="F1842" i="5"/>
  <c r="F1841" i="5"/>
  <c r="F1840" i="5"/>
  <c r="F1833" i="5"/>
  <c r="F1823" i="5"/>
  <c r="F1826" i="5" s="1"/>
  <c r="F1814" i="5"/>
  <c r="F1813" i="5"/>
  <c r="F1806" i="5"/>
  <c r="F1796" i="5"/>
  <c r="F1799" i="5" s="1"/>
  <c r="F1787" i="5"/>
  <c r="F1786" i="5"/>
  <c r="F1779" i="5"/>
  <c r="F1769" i="5"/>
  <c r="F1772" i="5" s="1"/>
  <c r="F1760" i="5"/>
  <c r="F1759" i="5"/>
  <c r="F1752" i="5"/>
  <c r="F1742" i="5"/>
  <c r="F1745" i="5" s="1"/>
  <c r="F1733" i="5"/>
  <c r="F1732" i="5"/>
  <c r="F1698" i="5"/>
  <c r="F1688" i="5"/>
  <c r="F1691" i="5" s="1"/>
  <c r="F1679" i="5"/>
  <c r="F1678" i="5"/>
  <c r="F1563" i="5"/>
  <c r="F1555" i="5"/>
  <c r="F1554" i="5"/>
  <c r="F1553" i="5"/>
  <c r="F1552" i="5"/>
  <c r="F1543" i="5"/>
  <c r="F1542" i="5"/>
  <c r="F1535" i="5"/>
  <c r="F1516" i="5"/>
  <c r="F1515" i="5"/>
  <c r="F1508" i="5"/>
  <c r="F1489" i="5"/>
  <c r="F1488" i="5"/>
  <c r="F1481" i="5"/>
  <c r="F1471" i="5"/>
  <c r="F1474" i="5" s="1"/>
  <c r="F1462" i="5"/>
  <c r="F1461" i="5"/>
  <c r="F1454" i="5"/>
  <c r="F1435" i="5"/>
  <c r="F1434" i="5"/>
  <c r="F1427" i="5"/>
  <c r="F1408" i="5"/>
  <c r="F1407" i="5"/>
  <c r="F1400" i="5"/>
  <c r="F1381" i="5"/>
  <c r="F1380" i="5"/>
  <c r="F1373" i="5"/>
  <c r="F1364" i="5"/>
  <c r="F1363" i="5"/>
  <c r="F1354" i="5"/>
  <c r="F1353" i="5"/>
  <c r="F1346" i="5"/>
  <c r="F1336" i="5"/>
  <c r="F1339" i="5" s="1"/>
  <c r="F1327" i="5"/>
  <c r="F1326" i="5"/>
  <c r="F1319" i="5"/>
  <c r="F1309" i="5"/>
  <c r="F1312" i="5" s="1"/>
  <c r="F1300" i="5"/>
  <c r="F1299" i="5"/>
  <c r="F1292" i="5"/>
  <c r="F1282" i="5"/>
  <c r="F1285" i="5" s="1"/>
  <c r="F1273" i="5"/>
  <c r="F1272" i="5"/>
  <c r="F1265" i="5"/>
  <c r="F1257" i="5"/>
  <c r="F1256" i="5"/>
  <c r="F1255" i="5"/>
  <c r="F1246" i="5"/>
  <c r="F1245" i="5"/>
  <c r="F1238" i="5"/>
  <c r="F1230" i="5"/>
  <c r="F1229" i="5"/>
  <c r="F1228" i="5"/>
  <c r="F1227" i="5"/>
  <c r="F1226" i="5"/>
  <c r="F1225" i="5"/>
  <c r="F1224" i="5"/>
  <c r="F1215" i="5"/>
  <c r="F1214" i="5"/>
  <c r="F1207" i="5"/>
  <c r="F1199" i="5"/>
  <c r="F1198" i="5"/>
  <c r="F1197" i="5"/>
  <c r="F1196" i="5"/>
  <c r="F1195" i="5"/>
  <c r="F1194" i="5"/>
  <c r="F1193" i="5"/>
  <c r="F1184" i="5"/>
  <c r="F1183" i="5"/>
  <c r="F1118" i="5"/>
  <c r="F1110" i="5"/>
  <c r="F1109" i="5"/>
  <c r="F1108" i="5"/>
  <c r="F1099" i="5"/>
  <c r="F1098" i="5"/>
  <c r="F1091" i="5"/>
  <c r="F1083" i="5"/>
  <c r="F1082" i="5"/>
  <c r="F1081" i="5"/>
  <c r="F1072" i="5"/>
  <c r="F1071" i="5"/>
  <c r="F1064" i="5"/>
  <c r="F1055" i="5"/>
  <c r="F1054" i="5"/>
  <c r="F1053" i="5"/>
  <c r="F1044" i="5"/>
  <c r="F1043" i="5"/>
  <c r="F1036" i="5"/>
  <c r="F1027" i="5"/>
  <c r="F1026" i="5"/>
  <c r="F1017" i="5"/>
  <c r="F1016" i="5"/>
  <c r="F980" i="5"/>
  <c r="F971" i="5"/>
  <c r="F970" i="5"/>
  <c r="F969" i="5"/>
  <c r="F968" i="5"/>
  <c r="F959" i="5"/>
  <c r="F958" i="5"/>
  <c r="F719" i="5"/>
  <c r="F710" i="5"/>
  <c r="F709" i="5"/>
  <c r="F700" i="5"/>
  <c r="F699" i="5"/>
  <c r="F692" i="5"/>
  <c r="F684" i="5"/>
  <c r="F683" i="5"/>
  <c r="F682" i="5"/>
  <c r="F673" i="5"/>
  <c r="F672" i="5"/>
  <c r="F638" i="5"/>
  <c r="F630" i="5"/>
  <c r="F629" i="5"/>
  <c r="D628" i="5"/>
  <c r="F628" i="5" s="1"/>
  <c r="F619" i="5"/>
  <c r="F618" i="5"/>
  <c r="F553" i="5"/>
  <c r="F552" i="5"/>
  <c r="F547" i="5"/>
  <c r="F546" i="5"/>
  <c r="F545" i="5"/>
  <c r="F544" i="5"/>
  <c r="F535" i="5"/>
  <c r="F534" i="5"/>
  <c r="F524" i="5"/>
  <c r="F527" i="5" s="1"/>
  <c r="F518" i="5"/>
  <c r="F517" i="5"/>
  <c r="F508" i="5"/>
  <c r="F507" i="5"/>
  <c r="F340" i="5"/>
  <c r="F333" i="5"/>
  <c r="F320" i="5"/>
  <c r="F323" i="5" s="1"/>
  <c r="F324" i="5" s="1"/>
  <c r="F325" i="5" s="1"/>
  <c r="F326" i="5" s="1"/>
  <c r="F279" i="5"/>
  <c r="F270" i="5"/>
  <c r="F259" i="5"/>
  <c r="F262" i="5" s="1"/>
  <c r="F263" i="5" s="1"/>
  <c r="F264" i="5" s="1"/>
  <c r="F265" i="5" s="1"/>
  <c r="F193" i="5"/>
  <c r="F184" i="5"/>
  <c r="F183" i="5"/>
  <c r="F176" i="5"/>
  <c r="F177" i="5" s="1"/>
  <c r="F178" i="5" s="1"/>
  <c r="F179" i="5" s="1"/>
  <c r="F166" i="5"/>
  <c r="F157" i="5"/>
  <c r="F156" i="5"/>
  <c r="F147" i="5"/>
  <c r="F146" i="5"/>
  <c r="F139" i="5"/>
  <c r="F130" i="5"/>
  <c r="F129" i="5"/>
  <c r="F119" i="5"/>
  <c r="F122" i="5" s="1"/>
  <c r="F123" i="5" s="1"/>
  <c r="F124" i="5" s="1"/>
  <c r="F125" i="5" s="1"/>
  <c r="F112" i="5"/>
  <c r="F103" i="5"/>
  <c r="F102" i="5"/>
  <c r="F93" i="5"/>
  <c r="F92" i="5"/>
  <c r="F85" i="5"/>
  <c r="F76" i="5"/>
  <c r="F75" i="5"/>
  <c r="F65" i="5"/>
  <c r="F68" i="5" s="1"/>
  <c r="F58" i="5"/>
  <c r="F51" i="5"/>
  <c r="F39" i="5"/>
  <c r="F38" i="5"/>
  <c r="F31" i="5"/>
  <c r="F19" i="5"/>
  <c r="F24" i="5" s="1"/>
  <c r="D12" i="5"/>
  <c r="D11" i="5"/>
  <c r="F11" i="5" s="1"/>
  <c r="F13" i="5" l="1"/>
  <c r="F12" i="5"/>
  <c r="F293" i="5"/>
  <c r="F294" i="5" s="1"/>
  <c r="F295" i="5" s="1"/>
  <c r="F296" i="5" s="1"/>
  <c r="F232" i="5"/>
  <c r="F306" i="5"/>
  <c r="F245" i="5"/>
  <c r="F384" i="5"/>
  <c r="F385" i="5" s="1"/>
  <c r="F386" i="5" s="1"/>
  <c r="F387" i="5" s="1"/>
  <c r="F611" i="5"/>
  <c r="F565" i="5"/>
  <c r="F429" i="5"/>
  <c r="F729" i="5"/>
  <c r="F730" i="5" s="1"/>
  <c r="F731" i="5" s="1"/>
  <c r="F732" i="5" s="1"/>
  <c r="F461" i="5"/>
  <c r="F480" i="5"/>
  <c r="F481" i="5" s="1"/>
  <c r="F482" i="5" s="1"/>
  <c r="F483" i="5" s="1"/>
  <c r="F397" i="5"/>
  <c r="F493" i="5"/>
  <c r="F741" i="5"/>
  <c r="F604" i="5"/>
  <c r="F594" i="5"/>
  <c r="F595" i="5" s="1"/>
  <c r="F596" i="5" s="1"/>
  <c r="F583" i="5"/>
  <c r="F576" i="5"/>
  <c r="F566" i="5"/>
  <c r="F567" i="5" s="1"/>
  <c r="F568" i="5" s="1"/>
  <c r="F449" i="5"/>
  <c r="F450" i="5" s="1"/>
  <c r="F451" i="5" s="1"/>
  <c r="F417" i="5"/>
  <c r="F418" i="5" s="1"/>
  <c r="F419" i="5" s="1"/>
  <c r="F352" i="5"/>
  <c r="F353" i="5" s="1"/>
  <c r="F354" i="5" s="1"/>
  <c r="F355" i="5" s="1"/>
  <c r="F365" i="5"/>
  <c r="F1735" i="5"/>
  <c r="F1736" i="5" s="1"/>
  <c r="F1737" i="5" s="1"/>
  <c r="F1738" i="5" s="1"/>
  <c r="F1754" i="5" s="1"/>
  <c r="F1545" i="5"/>
  <c r="F1546" i="5" s="1"/>
  <c r="F1547" i="5" s="1"/>
  <c r="F1548" i="5" s="1"/>
  <c r="F272" i="5"/>
  <c r="F281" i="5" s="1"/>
  <c r="F149" i="5"/>
  <c r="F150" i="5" s="1"/>
  <c r="F537" i="5"/>
  <c r="F538" i="5" s="1"/>
  <c r="F961" i="5"/>
  <c r="F962" i="5" s="1"/>
  <c r="F1217" i="5"/>
  <c r="F1218" i="5" s="1"/>
  <c r="F1219" i="5" s="1"/>
  <c r="F1220" i="5" s="1"/>
  <c r="F1019" i="5"/>
  <c r="F1020" i="5" s="1"/>
  <c r="F1021" i="5" s="1"/>
  <c r="F1022" i="5" s="1"/>
  <c r="F2016" i="5"/>
  <c r="F2025" i="5" s="1"/>
  <c r="F233" i="5"/>
  <c r="F234" i="5" s="1"/>
  <c r="F235" i="5" s="1"/>
  <c r="F14" i="5"/>
  <c r="F15" i="5" s="1"/>
  <c r="F33" i="5" s="1"/>
  <c r="F1302" i="5"/>
  <c r="F1303" i="5" s="1"/>
  <c r="F1556" i="5"/>
  <c r="F78" i="5"/>
  <c r="F159" i="5"/>
  <c r="F520" i="5"/>
  <c r="F555" i="5"/>
  <c r="F712" i="5"/>
  <c r="F1074" i="5"/>
  <c r="F1075" i="5" s="1"/>
  <c r="F1076" i="5" s="1"/>
  <c r="F1077" i="5" s="1"/>
  <c r="F186" i="5"/>
  <c r="F702" i="5"/>
  <c r="F703" i="5" s="1"/>
  <c r="F704" i="5" s="1"/>
  <c r="F705" i="5" s="1"/>
  <c r="F1681" i="5"/>
  <c r="F1682" i="5" s="1"/>
  <c r="F1683" i="5" s="1"/>
  <c r="F1684" i="5" s="1"/>
  <c r="F1700" i="5" s="1"/>
  <c r="F41" i="5"/>
  <c r="F42" i="5" s="1"/>
  <c r="F195" i="5"/>
  <c r="F342" i="5"/>
  <c r="F631" i="5"/>
  <c r="F1057" i="5"/>
  <c r="F1084" i="5"/>
  <c r="F105" i="5"/>
  <c r="F95" i="5"/>
  <c r="F96" i="5" s="1"/>
  <c r="F97" i="5" s="1"/>
  <c r="F98" i="5" s="1"/>
  <c r="F548" i="5"/>
  <c r="F685" i="5"/>
  <c r="F1029" i="5"/>
  <c r="F1046" i="5"/>
  <c r="F1047" i="5" s="1"/>
  <c r="F1048" i="5" s="1"/>
  <c r="F1049" i="5" s="1"/>
  <c r="F1231" i="5"/>
  <c r="F1258" i="5"/>
  <c r="F1366" i="5"/>
  <c r="F1870" i="5"/>
  <c r="F1871" i="5" s="1"/>
  <c r="F1872" i="5" s="1"/>
  <c r="F1873" i="5" s="1"/>
  <c r="F1889" i="5" s="1"/>
  <c r="F132" i="5"/>
  <c r="F141" i="5" s="1"/>
  <c r="F1186" i="5"/>
  <c r="F1187" i="5" s="1"/>
  <c r="F1188" i="5" s="1"/>
  <c r="F1189" i="5" s="1"/>
  <c r="F1200" i="5"/>
  <c r="F1356" i="5"/>
  <c r="F1357" i="5" s="1"/>
  <c r="F1358" i="5" s="1"/>
  <c r="F1359" i="5" s="1"/>
  <c r="F510" i="5"/>
  <c r="F511" i="5" s="1"/>
  <c r="F512" i="5" s="1"/>
  <c r="F513" i="5" s="1"/>
  <c r="F675" i="5"/>
  <c r="F676" i="5" s="1"/>
  <c r="F677" i="5" s="1"/>
  <c r="F678" i="5" s="1"/>
  <c r="F1101" i="5"/>
  <c r="F1102" i="5" s="1"/>
  <c r="F1103" i="5" s="1"/>
  <c r="F1104" i="5" s="1"/>
  <c r="F213" i="5"/>
  <c r="F222" i="5" s="1"/>
  <c r="G44" i="3" s="1"/>
  <c r="F1437" i="5"/>
  <c r="F1438" i="5" s="1"/>
  <c r="F1464" i="5"/>
  <c r="F1465" i="5" s="1"/>
  <c r="F1843" i="5"/>
  <c r="F1844" i="5" s="1"/>
  <c r="F1845" i="5" s="1"/>
  <c r="F1846" i="5" s="1"/>
  <c r="F1862" i="5" s="1"/>
  <c r="F1491" i="5"/>
  <c r="F1492" i="5" s="1"/>
  <c r="F1518" i="5"/>
  <c r="F1519" i="5" s="1"/>
  <c r="F1520" i="5" s="1"/>
  <c r="F1521" i="5" s="1"/>
  <c r="F1329" i="5"/>
  <c r="F1330" i="5" s="1"/>
  <c r="F1924" i="5"/>
  <c r="F1925" i="5" s="1"/>
  <c r="F1979" i="5"/>
  <c r="F1980" i="5" s="1"/>
  <c r="F1981" i="5" s="1"/>
  <c r="F1982" i="5" s="1"/>
  <c r="F1998" i="5" s="1"/>
  <c r="F69" i="5"/>
  <c r="F70" i="5" s="1"/>
  <c r="F71" i="5" s="1"/>
  <c r="F973" i="5"/>
  <c r="F1111" i="5"/>
  <c r="F1275" i="5"/>
  <c r="F1762" i="5"/>
  <c r="F1789" i="5"/>
  <c r="F1897" i="5"/>
  <c r="F621" i="5"/>
  <c r="F1248" i="5"/>
  <c r="F1410" i="5"/>
  <c r="F1816" i="5"/>
  <c r="F1383" i="5"/>
  <c r="H412" i="3"/>
  <c r="H371" i="3"/>
  <c r="H185" i="3"/>
  <c r="H391" i="3"/>
  <c r="H394" i="3"/>
  <c r="H332" i="3"/>
  <c r="H338" i="3"/>
  <c r="H311" i="3"/>
  <c r="H312" i="3"/>
  <c r="H314" i="3"/>
  <c r="H244" i="3"/>
  <c r="H233" i="3"/>
  <c r="H226" i="3"/>
  <c r="F438" i="5" l="1"/>
  <c r="G96" i="3" s="1"/>
  <c r="F87" i="5"/>
  <c r="F470" i="5"/>
  <c r="G99" i="3" s="1"/>
  <c r="H99" i="3" s="1"/>
  <c r="F750" i="5"/>
  <c r="G161" i="3" s="1"/>
  <c r="H161" i="3" s="1"/>
  <c r="F502" i="5"/>
  <c r="G104" i="3" s="1"/>
  <c r="H104" i="3" s="1"/>
  <c r="F406" i="5"/>
  <c r="G94" i="3" s="1"/>
  <c r="H94" i="3" s="1"/>
  <c r="F613" i="5"/>
  <c r="G137" i="3" s="1"/>
  <c r="H137" i="3" s="1"/>
  <c r="F721" i="5"/>
  <c r="F1565" i="5"/>
  <c r="F585" i="5"/>
  <c r="G114" i="3" s="1"/>
  <c r="H114" i="3" s="1"/>
  <c r="F315" i="5"/>
  <c r="G52" i="3" s="1"/>
  <c r="H52" i="3" s="1"/>
  <c r="F694" i="5"/>
  <c r="F539" i="5"/>
  <c r="F540" i="5" s="1"/>
  <c r="F557" i="5" s="1"/>
  <c r="F374" i="5"/>
  <c r="G89" i="3" s="1"/>
  <c r="H89" i="3" s="1"/>
  <c r="F151" i="5"/>
  <c r="F152" i="5" s="1"/>
  <c r="F168" i="5" s="1"/>
  <c r="F43" i="5"/>
  <c r="F44" i="5" s="1"/>
  <c r="F60" i="5" s="1"/>
  <c r="G28" i="3" s="1"/>
  <c r="F529" i="5"/>
  <c r="F1375" i="5"/>
  <c r="F963" i="5"/>
  <c r="F964" i="5" s="1"/>
  <c r="F982" i="5" s="1"/>
  <c r="G205" i="3" s="1"/>
  <c r="F254" i="5"/>
  <c r="G50" i="3" s="1"/>
  <c r="H50" i="3" s="1"/>
  <c r="F1304" i="5"/>
  <c r="F1305" i="5" s="1"/>
  <c r="F1321" i="5" s="1"/>
  <c r="F1066" i="5"/>
  <c r="F1493" i="5"/>
  <c r="F1494" i="5" s="1"/>
  <c r="F1209" i="5"/>
  <c r="F1093" i="5"/>
  <c r="F1466" i="5"/>
  <c r="F1467" i="5" s="1"/>
  <c r="F1483" i="5" s="1"/>
  <c r="F1331" i="5"/>
  <c r="F1332" i="5" s="1"/>
  <c r="F1348" i="5" s="1"/>
  <c r="F1120" i="5"/>
  <c r="F1038" i="5"/>
  <c r="F1240" i="5"/>
  <c r="F114" i="5"/>
  <c r="F1439" i="5"/>
  <c r="F1440" i="5" s="1"/>
  <c r="F1926" i="5"/>
  <c r="F1927" i="5" s="1"/>
  <c r="F1943" i="5" s="1"/>
  <c r="F1384" i="5"/>
  <c r="F1385" i="5" s="1"/>
  <c r="F1386" i="5" s="1"/>
  <c r="F1249" i="5"/>
  <c r="F1250" i="5" s="1"/>
  <c r="F1251" i="5" s="1"/>
  <c r="F1267" i="5" s="1"/>
  <c r="F1898" i="5"/>
  <c r="F1899" i="5" s="1"/>
  <c r="F1900" i="5" s="1"/>
  <c r="F1916" i="5" s="1"/>
  <c r="F1790" i="5"/>
  <c r="F1791" i="5" s="1"/>
  <c r="F1792" i="5" s="1"/>
  <c r="F1808" i="5" s="1"/>
  <c r="F1817" i="5"/>
  <c r="F1818" i="5" s="1"/>
  <c r="F1819" i="5" s="1"/>
  <c r="F1835" i="5" s="1"/>
  <c r="F1411" i="5"/>
  <c r="F1412" i="5" s="1"/>
  <c r="F1413" i="5" s="1"/>
  <c r="F622" i="5"/>
  <c r="F623" i="5" s="1"/>
  <c r="F624" i="5" s="1"/>
  <c r="F640" i="5" s="1"/>
  <c r="F1763" i="5"/>
  <c r="F1764" i="5" s="1"/>
  <c r="F1765" i="5" s="1"/>
  <c r="F1781" i="5" s="1"/>
  <c r="F1276" i="5"/>
  <c r="F1277" i="5" s="1"/>
  <c r="F1278" i="5" s="1"/>
  <c r="F1294" i="5" s="1"/>
  <c r="H143" i="3"/>
  <c r="H118" i="3"/>
  <c r="H96" i="3"/>
  <c r="H44" i="3"/>
  <c r="H14" i="3"/>
  <c r="H13" i="3"/>
  <c r="G416" i="3"/>
  <c r="H416" i="3" s="1"/>
  <c r="G409" i="3"/>
  <c r="H409" i="3" s="1"/>
  <c r="G401" i="3"/>
  <c r="H401" i="3" s="1"/>
  <c r="G400" i="3"/>
  <c r="H400" i="3" s="1"/>
  <c r="G396" i="3"/>
  <c r="H396" i="3" s="1"/>
  <c r="G390" i="3"/>
  <c r="H390" i="3" s="1"/>
  <c r="G392" i="3"/>
  <c r="H392" i="3" s="1"/>
  <c r="G389" i="3"/>
  <c r="H389" i="3" s="1"/>
  <c r="G384" i="3"/>
  <c r="H384" i="3" s="1"/>
  <c r="G383" i="3"/>
  <c r="H383" i="3" s="1"/>
  <c r="G378" i="3"/>
  <c r="H378" i="3" s="1"/>
  <c r="G376" i="3"/>
  <c r="H376" i="3" s="1"/>
  <c r="G373" i="3"/>
  <c r="H373" i="3" s="1"/>
  <c r="G372" i="3"/>
  <c r="H372" i="3" s="1"/>
  <c r="G364" i="3"/>
  <c r="H364" i="3" s="1"/>
  <c r="G347" i="3"/>
  <c r="H347" i="3" s="1"/>
  <c r="G348" i="3"/>
  <c r="H348" i="3" s="1"/>
  <c r="G349" i="3"/>
  <c r="H349" i="3" s="1"/>
  <c r="G350" i="3"/>
  <c r="H350" i="3" s="1"/>
  <c r="G351" i="3"/>
  <c r="H351" i="3" s="1"/>
  <c r="G346" i="3"/>
  <c r="H346" i="3" s="1"/>
  <c r="G329" i="3"/>
  <c r="H329" i="3" s="1"/>
  <c r="G330" i="3"/>
  <c r="H330" i="3" s="1"/>
  <c r="G331" i="3"/>
  <c r="H331" i="3" s="1"/>
  <c r="G333" i="3"/>
  <c r="H333" i="3" s="1"/>
  <c r="G334" i="3"/>
  <c r="H334" i="3" s="1"/>
  <c r="G335" i="3"/>
  <c r="H335" i="3" s="1"/>
  <c r="G336" i="3"/>
  <c r="H336" i="3" s="1"/>
  <c r="G337" i="3"/>
  <c r="H337" i="3" s="1"/>
  <c r="G339" i="3"/>
  <c r="H339" i="3" s="1"/>
  <c r="G340" i="3"/>
  <c r="H340" i="3" s="1"/>
  <c r="G341" i="3"/>
  <c r="H341" i="3" s="1"/>
  <c r="G342" i="3"/>
  <c r="H342" i="3" s="1"/>
  <c r="G328" i="3"/>
  <c r="H328" i="3" s="1"/>
  <c r="G318" i="3"/>
  <c r="H318" i="3" s="1"/>
  <c r="G319" i="3"/>
  <c r="H319" i="3" s="1"/>
  <c r="G320" i="3"/>
  <c r="H320" i="3" s="1"/>
  <c r="G321" i="3"/>
  <c r="H321" i="3" s="1"/>
  <c r="G322" i="3"/>
  <c r="H322" i="3" s="1"/>
  <c r="G323" i="3"/>
  <c r="H323" i="3" s="1"/>
  <c r="G324" i="3"/>
  <c r="H324" i="3" s="1"/>
  <c r="G317" i="3"/>
  <c r="H317" i="3" s="1"/>
  <c r="G306" i="3"/>
  <c r="H306" i="3" s="1"/>
  <c r="G307" i="3"/>
  <c r="H307" i="3" s="1"/>
  <c r="G308" i="3"/>
  <c r="H308" i="3" s="1"/>
  <c r="G309" i="3"/>
  <c r="H309" i="3" s="1"/>
  <c r="G305" i="3"/>
  <c r="H305" i="3" s="1"/>
  <c r="G302" i="3"/>
  <c r="H302" i="3" s="1"/>
  <c r="G300" i="3"/>
  <c r="H300" i="3" s="1"/>
  <c r="G299" i="3"/>
  <c r="H299" i="3" s="1"/>
  <c r="G293" i="3"/>
  <c r="H293" i="3" s="1"/>
  <c r="G290" i="3"/>
  <c r="H290" i="3" s="1"/>
  <c r="G289" i="3"/>
  <c r="H289" i="3" s="1"/>
  <c r="G278" i="3"/>
  <c r="H278" i="3" s="1"/>
  <c r="G279" i="3"/>
  <c r="H279" i="3" s="1"/>
  <c r="G280" i="3"/>
  <c r="H280" i="3" s="1"/>
  <c r="G282" i="3"/>
  <c r="H282" i="3" s="1"/>
  <c r="G283" i="3"/>
  <c r="H283" i="3" s="1"/>
  <c r="G284" i="3"/>
  <c r="H284" i="3" s="1"/>
  <c r="G285" i="3"/>
  <c r="H285" i="3" s="1"/>
  <c r="G286" i="3"/>
  <c r="H286" i="3" s="1"/>
  <c r="G277" i="3"/>
  <c r="H277" i="3" s="1"/>
  <c r="G273" i="3"/>
  <c r="H273" i="3" s="1"/>
  <c r="G272" i="3"/>
  <c r="H272" i="3" s="1"/>
  <c r="G270" i="3"/>
  <c r="H270" i="3" s="1"/>
  <c r="G269" i="3"/>
  <c r="H269" i="3" s="1"/>
  <c r="G264" i="3"/>
  <c r="H264" i="3" s="1"/>
  <c r="G263" i="3"/>
  <c r="H263" i="3" s="1"/>
  <c r="G258" i="3"/>
  <c r="H258" i="3" s="1"/>
  <c r="G257" i="3"/>
  <c r="H257" i="3" s="1"/>
  <c r="G254" i="3"/>
  <c r="H254" i="3" s="1"/>
  <c r="G253" i="3"/>
  <c r="H253" i="3" s="1"/>
  <c r="G250" i="3"/>
  <c r="H250" i="3" s="1"/>
  <c r="G249" i="3"/>
  <c r="H249" i="3" s="1"/>
  <c r="G243" i="3"/>
  <c r="H243" i="3" s="1"/>
  <c r="G240" i="3"/>
  <c r="H240" i="3" s="1"/>
  <c r="G241" i="3"/>
  <c r="H241" i="3" s="1"/>
  <c r="G239" i="3"/>
  <c r="H239" i="3" s="1"/>
  <c r="G236" i="3"/>
  <c r="H236" i="3" s="1"/>
  <c r="G235" i="3"/>
  <c r="H235" i="3" s="1"/>
  <c r="G229" i="3"/>
  <c r="H229" i="3" s="1"/>
  <c r="G215" i="3"/>
  <c r="H215" i="3" s="1"/>
  <c r="G216" i="3"/>
  <c r="H216" i="3" s="1"/>
  <c r="G217" i="3"/>
  <c r="H217" i="3" s="1"/>
  <c r="G218" i="3"/>
  <c r="H218" i="3" s="1"/>
  <c r="G220" i="3"/>
  <c r="H220" i="3" s="1"/>
  <c r="G221" i="3"/>
  <c r="H221" i="3" s="1"/>
  <c r="G222" i="3"/>
  <c r="H222" i="3" s="1"/>
  <c r="G223" i="3"/>
  <c r="H223" i="3" s="1"/>
  <c r="G224" i="3"/>
  <c r="H224" i="3" s="1"/>
  <c r="G225" i="3"/>
  <c r="H225" i="3" s="1"/>
  <c r="G214" i="3"/>
  <c r="H214" i="3" s="1"/>
  <c r="G209" i="3"/>
  <c r="H209" i="3" s="1"/>
  <c r="G210" i="3"/>
  <c r="H210" i="3" s="1"/>
  <c r="G211" i="3"/>
  <c r="H211" i="3" s="1"/>
  <c r="G212" i="3"/>
  <c r="H212" i="3" s="1"/>
  <c r="G208" i="3"/>
  <c r="H208" i="3" s="1"/>
  <c r="G206" i="3"/>
  <c r="H206" i="3" s="1"/>
  <c r="G195" i="3"/>
  <c r="H195" i="3" s="1"/>
  <c r="G196" i="3"/>
  <c r="H196" i="3" s="1"/>
  <c r="G197" i="3"/>
  <c r="H197" i="3" s="1"/>
  <c r="G199" i="3"/>
  <c r="H199" i="3" s="1"/>
  <c r="G200" i="3"/>
  <c r="H200" i="3" s="1"/>
  <c r="G201" i="3"/>
  <c r="H201" i="3" s="1"/>
  <c r="G194" i="3"/>
  <c r="H194" i="3" s="1"/>
  <c r="G189" i="3"/>
  <c r="H189" i="3" s="1"/>
  <c r="G188" i="3"/>
  <c r="H188" i="3" s="1"/>
  <c r="G181" i="3"/>
  <c r="H181" i="3" s="1"/>
  <c r="G182" i="3"/>
  <c r="H182" i="3" s="1"/>
  <c r="G180" i="3"/>
  <c r="H180" i="3" s="1"/>
  <c r="G176" i="3"/>
  <c r="H176" i="3" s="1"/>
  <c r="G172" i="3"/>
  <c r="H172" i="3" s="1"/>
  <c r="G173" i="3"/>
  <c r="H173" i="3" s="1"/>
  <c r="G174" i="3"/>
  <c r="H174" i="3" s="1"/>
  <c r="G175" i="3"/>
  <c r="H175" i="3" s="1"/>
  <c r="G171" i="3"/>
  <c r="H171" i="3" s="1"/>
  <c r="G162" i="3"/>
  <c r="H162" i="3" s="1"/>
  <c r="G149" i="3"/>
  <c r="H149" i="3" s="1"/>
  <c r="G150" i="3"/>
  <c r="H150" i="3" s="1"/>
  <c r="G148" i="3"/>
  <c r="H148" i="3" s="1"/>
  <c r="G144" i="3"/>
  <c r="H144" i="3" s="1"/>
  <c r="G134" i="3"/>
  <c r="H134" i="3" s="1"/>
  <c r="G131" i="3"/>
  <c r="H131" i="3" s="1"/>
  <c r="G130" i="3"/>
  <c r="H130" i="3" s="1"/>
  <c r="G126" i="3"/>
  <c r="H126" i="3" s="1"/>
  <c r="G125" i="3"/>
  <c r="H125" i="3" s="1"/>
  <c r="G122" i="3"/>
  <c r="H122" i="3" s="1"/>
  <c r="G121" i="3"/>
  <c r="H121" i="3" s="1"/>
  <c r="G117" i="3"/>
  <c r="H117" i="3" s="1"/>
  <c r="G113" i="3"/>
  <c r="H113" i="3" s="1"/>
  <c r="G108" i="3"/>
  <c r="H108" i="3" s="1"/>
  <c r="G103" i="3"/>
  <c r="H103" i="3" s="1"/>
  <c r="G84" i="3"/>
  <c r="H84" i="3" s="1"/>
  <c r="G85" i="3"/>
  <c r="H85" i="3" s="1"/>
  <c r="G87" i="3"/>
  <c r="H87" i="3" s="1"/>
  <c r="G88" i="3"/>
  <c r="H88" i="3" s="1"/>
  <c r="G83" i="3"/>
  <c r="H83" i="3" s="1"/>
  <c r="G75" i="3"/>
  <c r="H75" i="3" s="1"/>
  <c r="G76" i="3"/>
  <c r="H76" i="3" s="1"/>
  <c r="G78" i="3"/>
  <c r="H78" i="3" s="1"/>
  <c r="G79" i="3"/>
  <c r="H79" i="3" s="1"/>
  <c r="G74" i="3"/>
  <c r="H74" i="3" s="1"/>
  <c r="G70" i="3"/>
  <c r="H70" i="3" s="1"/>
  <c r="G68" i="3"/>
  <c r="H68" i="3" s="1"/>
  <c r="G63" i="3"/>
  <c r="H63" i="3" s="1"/>
  <c r="G64" i="3"/>
  <c r="H64" i="3" s="1"/>
  <c r="G62" i="3"/>
  <c r="H62" i="3" s="1"/>
  <c r="G60" i="3"/>
  <c r="H60" i="3" s="1"/>
  <c r="G58" i="3"/>
  <c r="H58" i="3" s="1"/>
  <c r="G45" i="3"/>
  <c r="H45" i="3" s="1"/>
  <c r="G46" i="3"/>
  <c r="H46" i="3" s="1"/>
  <c r="G40" i="3"/>
  <c r="H40" i="3" s="1"/>
  <c r="G39" i="3"/>
  <c r="H39" i="3" s="1"/>
  <c r="G36" i="3"/>
  <c r="H36" i="3" s="1"/>
  <c r="G34" i="3"/>
  <c r="H34" i="3" s="1"/>
  <c r="G30" i="3"/>
  <c r="H30" i="3" s="1"/>
  <c r="G31" i="3"/>
  <c r="H31" i="3" s="1"/>
  <c r="J31" i="3" s="1"/>
  <c r="G32" i="3"/>
  <c r="H32" i="3" s="1"/>
  <c r="G29" i="3"/>
  <c r="H29" i="3" s="1"/>
  <c r="G25" i="3"/>
  <c r="H25" i="3" s="1"/>
  <c r="G20" i="3"/>
  <c r="H20" i="3" s="1"/>
  <c r="G21" i="3"/>
  <c r="H21" i="3" s="1"/>
  <c r="G22" i="3"/>
  <c r="H22" i="3" s="1"/>
  <c r="G23" i="3"/>
  <c r="H23" i="3" s="1"/>
  <c r="G24" i="3"/>
  <c r="H24" i="3" s="1"/>
  <c r="G26" i="3"/>
  <c r="H26" i="3" s="1"/>
  <c r="G19" i="3"/>
  <c r="H19" i="3" s="1"/>
  <c r="G18" i="3"/>
  <c r="H18" i="3" s="1"/>
  <c r="G27" i="3"/>
  <c r="H27" i="3" s="1"/>
  <c r="G377" i="3" l="1"/>
  <c r="G417" i="3"/>
  <c r="F15" i="17"/>
  <c r="F21" i="17" s="1"/>
  <c r="N6" i="17"/>
  <c r="B6" i="17"/>
  <c r="B5" i="17"/>
  <c r="B4" i="17"/>
  <c r="B6" i="16" l="1"/>
  <c r="N6" i="16" l="1"/>
  <c r="B5" i="16"/>
  <c r="B4" i="16"/>
  <c r="F15" i="16"/>
  <c r="I409" i="3" l="1"/>
  <c r="I97" i="3"/>
  <c r="J97" i="3" s="1"/>
  <c r="I10" i="3"/>
  <c r="I31" i="3"/>
  <c r="I52" i="3"/>
  <c r="I85" i="3"/>
  <c r="I121" i="3"/>
  <c r="I157" i="3"/>
  <c r="I180" i="3"/>
  <c r="I208" i="3"/>
  <c r="I236" i="3"/>
  <c r="I260" i="3"/>
  <c r="I302" i="3"/>
  <c r="I366" i="3"/>
  <c r="I18" i="3"/>
  <c r="I34" i="3"/>
  <c r="I60" i="3"/>
  <c r="I89" i="3"/>
  <c r="I126" i="3"/>
  <c r="I162" i="3"/>
  <c r="I172" i="3"/>
  <c r="I185" i="3"/>
  <c r="I211" i="3"/>
  <c r="I220" i="3"/>
  <c r="I228" i="3"/>
  <c r="I241" i="3"/>
  <c r="I253" i="3"/>
  <c r="I269" i="3"/>
  <c r="I282" i="3"/>
  <c r="I307" i="3"/>
  <c r="I330" i="3"/>
  <c r="I350" i="3"/>
  <c r="I403" i="3"/>
  <c r="I27" i="3"/>
  <c r="I35" i="3"/>
  <c r="I45" i="3"/>
  <c r="I62" i="3"/>
  <c r="I78" i="3"/>
  <c r="I94" i="3"/>
  <c r="I113" i="3"/>
  <c r="I130" i="3"/>
  <c r="I148" i="3"/>
  <c r="I163" i="3"/>
  <c r="I173" i="3"/>
  <c r="I188" i="3"/>
  <c r="I201" i="3"/>
  <c r="I212" i="3"/>
  <c r="I221" i="3"/>
  <c r="I229" i="3"/>
  <c r="I242" i="3"/>
  <c r="I254" i="3"/>
  <c r="I270" i="3"/>
  <c r="I286" i="3"/>
  <c r="I312" i="3"/>
  <c r="I335" i="3"/>
  <c r="I354" i="3"/>
  <c r="I378" i="3"/>
  <c r="I421" i="3"/>
  <c r="I412" i="3"/>
  <c r="I408" i="3"/>
  <c r="I401" i="3"/>
  <c r="I392" i="3"/>
  <c r="I383" i="3"/>
  <c r="I377" i="3"/>
  <c r="I371" i="3"/>
  <c r="I365" i="3"/>
  <c r="I359" i="3"/>
  <c r="I353" i="3"/>
  <c r="I349" i="3"/>
  <c r="I343" i="3"/>
  <c r="I339" i="3"/>
  <c r="I334" i="3"/>
  <c r="I329" i="3"/>
  <c r="I322" i="3"/>
  <c r="I318" i="3"/>
  <c r="I311" i="3"/>
  <c r="I306" i="3"/>
  <c r="I301" i="3"/>
  <c r="I293" i="3"/>
  <c r="I285" i="3"/>
  <c r="I280" i="3"/>
  <c r="I273" i="3"/>
  <c r="I264" i="3"/>
  <c r="I258" i="3"/>
  <c r="I250" i="3"/>
  <c r="I244" i="3"/>
  <c r="I240" i="3"/>
  <c r="I234" i="3"/>
  <c r="I227" i="3"/>
  <c r="I223" i="3"/>
  <c r="I218" i="3"/>
  <c r="I214" i="3"/>
  <c r="I210" i="3"/>
  <c r="I206" i="3"/>
  <c r="I199" i="3"/>
  <c r="I194" i="3"/>
  <c r="I182" i="3"/>
  <c r="I175" i="3"/>
  <c r="I171" i="3"/>
  <c r="I165" i="3"/>
  <c r="I161" i="3"/>
  <c r="I150" i="3"/>
  <c r="J150" i="3" s="1"/>
  <c r="I134" i="3"/>
  <c r="J134" i="3" s="1"/>
  <c r="I125" i="3"/>
  <c r="I117" i="3"/>
  <c r="I108" i="3"/>
  <c r="J108" i="3" s="1"/>
  <c r="I99" i="3"/>
  <c r="I88" i="3"/>
  <c r="I83" i="3"/>
  <c r="I75" i="3"/>
  <c r="I64" i="3"/>
  <c r="I59" i="3"/>
  <c r="I50" i="3"/>
  <c r="I41" i="3"/>
  <c r="I37" i="3"/>
  <c r="I33" i="3"/>
  <c r="I29" i="3"/>
  <c r="I25" i="3"/>
  <c r="I21" i="3"/>
  <c r="I14" i="3"/>
  <c r="I416" i="3"/>
  <c r="I308" i="3"/>
  <c r="I417" i="3"/>
  <c r="I411" i="3"/>
  <c r="I407" i="3"/>
  <c r="I400" i="3"/>
  <c r="I390" i="3"/>
  <c r="I380" i="3"/>
  <c r="I376" i="3"/>
  <c r="I370" i="3"/>
  <c r="I364" i="3"/>
  <c r="I358" i="3"/>
  <c r="I352" i="3"/>
  <c r="I348" i="3"/>
  <c r="I342" i="3"/>
  <c r="I337" i="3"/>
  <c r="I333" i="3"/>
  <c r="I328" i="3"/>
  <c r="I321" i="3"/>
  <c r="I317" i="3"/>
  <c r="I309" i="3"/>
  <c r="I305" i="3"/>
  <c r="I300" i="3"/>
  <c r="I290" i="3"/>
  <c r="I284" i="3"/>
  <c r="I279" i="3"/>
  <c r="I272" i="3"/>
  <c r="I263" i="3"/>
  <c r="I257" i="3"/>
  <c r="I249" i="3"/>
  <c r="I243" i="3"/>
  <c r="I239" i="3"/>
  <c r="I233" i="3"/>
  <c r="I226" i="3"/>
  <c r="I222" i="3"/>
  <c r="I217" i="3"/>
  <c r="I213" i="3"/>
  <c r="I209" i="3"/>
  <c r="I205" i="3"/>
  <c r="I197" i="3"/>
  <c r="I189" i="3"/>
  <c r="I181" i="3"/>
  <c r="I174" i="3"/>
  <c r="I168" i="3"/>
  <c r="I164" i="3"/>
  <c r="I158" i="3"/>
  <c r="I149" i="3"/>
  <c r="J149" i="3" s="1"/>
  <c r="I143" i="3"/>
  <c r="I131" i="3"/>
  <c r="I122" i="3"/>
  <c r="I114" i="3"/>
  <c r="I105" i="3"/>
  <c r="I96" i="3"/>
  <c r="I87" i="3"/>
  <c r="I79" i="3"/>
  <c r="I74" i="3"/>
  <c r="I63" i="3"/>
  <c r="I58" i="3"/>
  <c r="I46" i="3"/>
  <c r="I40" i="3"/>
  <c r="I36" i="3"/>
  <c r="I32" i="3"/>
  <c r="J32" i="3" s="1"/>
  <c r="I28" i="3"/>
  <c r="I24" i="3"/>
  <c r="I20" i="3"/>
  <c r="I13" i="3"/>
  <c r="I410" i="3"/>
  <c r="I404" i="3"/>
  <c r="I396" i="3"/>
  <c r="I389" i="3"/>
  <c r="I379" i="3"/>
  <c r="I373" i="3"/>
  <c r="I367" i="3"/>
  <c r="I363" i="3"/>
  <c r="I355" i="3"/>
  <c r="I351" i="3"/>
  <c r="I347" i="3"/>
  <c r="I341" i="3"/>
  <c r="I336" i="3"/>
  <c r="I331" i="3"/>
  <c r="I324" i="3"/>
  <c r="I320" i="3"/>
  <c r="I314" i="3"/>
  <c r="I303" i="3"/>
  <c r="I299" i="3"/>
  <c r="I289" i="3"/>
  <c r="I283" i="3"/>
  <c r="I23" i="3"/>
  <c r="I39" i="3"/>
  <c r="I70" i="3"/>
  <c r="I104" i="3"/>
  <c r="I140" i="3"/>
  <c r="I167" i="3"/>
  <c r="I196" i="3"/>
  <c r="I216" i="3"/>
  <c r="I225" i="3"/>
  <c r="I248" i="3"/>
  <c r="I278" i="3"/>
  <c r="I323" i="3"/>
  <c r="I346" i="3"/>
  <c r="I394" i="3"/>
  <c r="I26" i="3"/>
  <c r="J26" i="3" s="1"/>
  <c r="I44" i="3"/>
  <c r="I76" i="3"/>
  <c r="I112" i="3"/>
  <c r="I144" i="3"/>
  <c r="I200" i="3"/>
  <c r="I372" i="3"/>
  <c r="I19" i="3"/>
  <c r="I22" i="3"/>
  <c r="I30" i="3"/>
  <c r="J30" i="3" s="1"/>
  <c r="I38" i="3"/>
  <c r="I51" i="3"/>
  <c r="I68" i="3"/>
  <c r="I84" i="3"/>
  <c r="I103" i="3"/>
  <c r="I118" i="3"/>
  <c r="I137" i="3"/>
  <c r="J137" i="3" s="1"/>
  <c r="I153" i="3"/>
  <c r="I166" i="3"/>
  <c r="I176" i="3"/>
  <c r="I195" i="3"/>
  <c r="I207" i="3"/>
  <c r="I215" i="3"/>
  <c r="I224" i="3"/>
  <c r="I235" i="3"/>
  <c r="I247" i="3"/>
  <c r="I259" i="3"/>
  <c r="I277" i="3"/>
  <c r="I294" i="3"/>
  <c r="I319" i="3"/>
  <c r="I340" i="3"/>
  <c r="I360" i="3"/>
  <c r="I384" i="3"/>
  <c r="I413" i="3"/>
  <c r="J43" i="2" l="1"/>
  <c r="I43" i="2"/>
  <c r="H43" i="2"/>
  <c r="K39" i="2"/>
  <c r="H38" i="2"/>
  <c r="K38" i="2" s="1"/>
  <c r="K37" i="2"/>
  <c r="G33" i="2"/>
  <c r="F33" i="2"/>
  <c r="E33" i="2"/>
  <c r="J22" i="2"/>
  <c r="I22" i="2"/>
  <c r="K22" i="2" s="1"/>
  <c r="E1580" i="5" s="1"/>
  <c r="F1580" i="5" s="1"/>
  <c r="F1583" i="5" s="1"/>
  <c r="F1592" i="5" s="1"/>
  <c r="G363" i="3" s="1"/>
  <c r="G18" i="2"/>
  <c r="G17" i="2"/>
  <c r="I18" i="2"/>
  <c r="H17" i="2"/>
  <c r="K33" i="2" l="1"/>
  <c r="K18" i="2"/>
  <c r="E1525" i="5" s="1"/>
  <c r="F1525" i="5" s="1"/>
  <c r="F1528" i="5" s="1"/>
  <c r="F1537" i="5" s="1"/>
  <c r="K43" i="2"/>
  <c r="K17" i="2"/>
  <c r="E1498" i="5" s="1"/>
  <c r="F1498" i="5" s="1"/>
  <c r="F1501" i="5" s="1"/>
  <c r="F1510" i="5" s="1"/>
  <c r="B4" i="9"/>
  <c r="F4" i="15" l="1"/>
  <c r="F2" i="15"/>
  <c r="G1" i="15"/>
  <c r="E3" i="15"/>
  <c r="D4" i="15"/>
  <c r="E2" i="15"/>
  <c r="C2" i="15"/>
  <c r="C3" i="15"/>
  <c r="C4" i="15"/>
  <c r="C1" i="15"/>
  <c r="B2" i="15"/>
  <c r="B3" i="15"/>
  <c r="B4" i="15"/>
  <c r="B1" i="15"/>
  <c r="A49" i="15"/>
  <c r="C49" i="15" s="1"/>
  <c r="A182" i="15"/>
  <c r="C182" i="15" s="1"/>
  <c r="A179" i="15"/>
  <c r="B179" i="15" s="1"/>
  <c r="A68" i="15"/>
  <c r="C68" i="15" s="1"/>
  <c r="A91" i="15"/>
  <c r="B91" i="15" s="1"/>
  <c r="A178" i="15"/>
  <c r="C178" i="15" s="1"/>
  <c r="A188" i="15"/>
  <c r="B188" i="15" s="1"/>
  <c r="A170" i="15"/>
  <c r="B170" i="15" s="1"/>
  <c r="A166" i="15"/>
  <c r="B166" i="15" s="1"/>
  <c r="A112" i="15"/>
  <c r="B112" i="15" s="1"/>
  <c r="A106" i="15"/>
  <c r="B106" i="15" s="1"/>
  <c r="A117" i="15"/>
  <c r="B117" i="15" s="1"/>
  <c r="A210" i="15"/>
  <c r="C210" i="15" s="1"/>
  <c r="A118" i="15"/>
  <c r="B118" i="15" s="1"/>
  <c r="A58" i="15"/>
  <c r="B58" i="15" s="1"/>
  <c r="A48" i="15"/>
  <c r="B48" i="15" s="1"/>
  <c r="A89" i="15"/>
  <c r="C89" i="15" s="1"/>
  <c r="A152" i="15"/>
  <c r="B152" i="15" s="1"/>
  <c r="A115" i="15"/>
  <c r="C115" i="15" s="1"/>
  <c r="A228" i="15"/>
  <c r="B228" i="15" s="1"/>
  <c r="A193" i="15"/>
  <c r="C193" i="15" s="1"/>
  <c r="A114" i="15"/>
  <c r="C114" i="15" s="1"/>
  <c r="A212" i="15"/>
  <c r="B212" i="15" s="1"/>
  <c r="A224" i="15"/>
  <c r="C224" i="15" s="1"/>
  <c r="A213" i="15"/>
  <c r="C213" i="15" s="1"/>
  <c r="A113" i="15"/>
  <c r="C113" i="15" s="1"/>
  <c r="A197" i="15"/>
  <c r="C197" i="15" s="1"/>
  <c r="A134" i="15"/>
  <c r="B134" i="15" s="1"/>
  <c r="A202" i="15"/>
  <c r="C202" i="15" s="1"/>
  <c r="A92" i="15"/>
  <c r="B92" i="15" s="1"/>
  <c r="A133" i="15"/>
  <c r="C133" i="15" s="1"/>
  <c r="A185" i="15"/>
  <c r="B185" i="15" s="1"/>
  <c r="A108" i="15"/>
  <c r="B108" i="15" s="1"/>
  <c r="A85" i="15"/>
  <c r="B85" i="15" s="1"/>
  <c r="A18" i="15"/>
  <c r="C18" i="15" s="1"/>
  <c r="A101" i="15"/>
  <c r="B101" i="15" s="1"/>
  <c r="A100" i="15"/>
  <c r="B100" i="15" s="1"/>
  <c r="A107" i="15"/>
  <c r="B107" i="15" s="1"/>
  <c r="A222" i="15"/>
  <c r="B222" i="15" s="1"/>
  <c r="A205" i="15"/>
  <c r="B205" i="15" s="1"/>
  <c r="A226" i="15"/>
  <c r="C226" i="15" s="1"/>
  <c r="A227" i="15"/>
  <c r="B227" i="15" s="1"/>
  <c r="A173" i="15"/>
  <c r="C173" i="15" s="1"/>
  <c r="A198" i="15"/>
  <c r="C198" i="15" s="1"/>
  <c r="A137" i="15"/>
  <c r="C137" i="15" s="1"/>
  <c r="A138" i="15"/>
  <c r="B138" i="15" s="1"/>
  <c r="A105" i="15"/>
  <c r="B105" i="15" s="1"/>
  <c r="A200" i="15"/>
  <c r="B200" i="15" s="1"/>
  <c r="A220" i="15"/>
  <c r="B220" i="15" s="1"/>
  <c r="A120" i="15"/>
  <c r="B120" i="15" s="1"/>
  <c r="A158" i="15"/>
  <c r="B158" i="15" s="1"/>
  <c r="A187" i="15"/>
  <c r="B187" i="15" s="1"/>
  <c r="A135" i="15"/>
  <c r="C135" i="15" s="1"/>
  <c r="A214" i="15"/>
  <c r="C214" i="15" s="1"/>
  <c r="A229" i="15"/>
  <c r="B229" i="15" s="1"/>
  <c r="A165" i="15"/>
  <c r="B165" i="15" s="1"/>
  <c r="A196" i="15"/>
  <c r="B196" i="15" s="1"/>
  <c r="A169" i="15"/>
  <c r="C169" i="15" s="1"/>
  <c r="A147" i="15"/>
  <c r="C147" i="15" s="1"/>
  <c r="A167" i="15"/>
  <c r="B167" i="15" s="1"/>
  <c r="A176" i="15"/>
  <c r="C176" i="15" s="1"/>
  <c r="A199" i="15"/>
  <c r="B199" i="15" s="1"/>
  <c r="A30" i="15"/>
  <c r="C30" i="15" s="1"/>
  <c r="A80" i="15"/>
  <c r="B80" i="15" s="1"/>
  <c r="A215" i="15"/>
  <c r="C215" i="15" s="1"/>
  <c r="A119" i="15"/>
  <c r="C119" i="15" s="1"/>
  <c r="A66" i="15"/>
  <c r="C66" i="15" s="1"/>
  <c r="A110" i="15"/>
  <c r="B110" i="15" s="1"/>
  <c r="A90" i="15"/>
  <c r="B90" i="15" s="1"/>
  <c r="A33" i="15"/>
  <c r="B33" i="15" s="1"/>
  <c r="A61" i="15"/>
  <c r="B61" i="15" s="1"/>
  <c r="A126" i="15"/>
  <c r="B126" i="15" s="1"/>
  <c r="A50" i="15"/>
  <c r="B50" i="15" s="1"/>
  <c r="A129" i="15"/>
  <c r="C129" i="15" s="1"/>
  <c r="A160" i="15"/>
  <c r="C160" i="15" s="1"/>
  <c r="A191" i="15"/>
  <c r="C191" i="15" s="1"/>
  <c r="A225" i="15"/>
  <c r="B225" i="15" s="1"/>
  <c r="A64" i="15"/>
  <c r="B64" i="15" s="1"/>
  <c r="A192" i="15"/>
  <c r="C192" i="15" s="1"/>
  <c r="A190" i="15"/>
  <c r="B190" i="15" s="1"/>
  <c r="A211" i="15"/>
  <c r="B211" i="15" s="1"/>
  <c r="A159" i="15"/>
  <c r="B159" i="15" s="1"/>
  <c r="A55" i="15"/>
  <c r="B55" i="15" s="1"/>
  <c r="A189" i="15"/>
  <c r="B189" i="15" s="1"/>
  <c r="A150" i="15"/>
  <c r="B150" i="15" s="1"/>
  <c r="A128" i="15"/>
  <c r="B128" i="15" s="1"/>
  <c r="A57" i="15"/>
  <c r="B57" i="15" s="1"/>
  <c r="A244" i="15"/>
  <c r="B244" i="15" s="1"/>
  <c r="A208" i="15"/>
  <c r="B208" i="15" s="1"/>
  <c r="A256" i="15"/>
  <c r="C256" i="15" s="1"/>
  <c r="A249" i="15"/>
  <c r="C249" i="15" s="1"/>
  <c r="A259" i="15"/>
  <c r="B259" i="15" s="1"/>
  <c r="A216" i="15"/>
  <c r="B216" i="15" s="1"/>
  <c r="A237" i="15"/>
  <c r="B237" i="15" s="1"/>
  <c r="A162" i="15"/>
  <c r="C162" i="15" s="1"/>
  <c r="A218" i="15"/>
  <c r="B218" i="15" s="1"/>
  <c r="A121" i="15"/>
  <c r="C121" i="15" s="1"/>
  <c r="A201" i="15"/>
  <c r="C201" i="15" s="1"/>
  <c r="A63" i="15"/>
  <c r="C63" i="15" s="1"/>
  <c r="A184" i="15"/>
  <c r="B184" i="15" s="1"/>
  <c r="A175" i="15"/>
  <c r="B175" i="15" s="1"/>
  <c r="A130" i="15"/>
  <c r="B130" i="15" s="1"/>
  <c r="A181" i="15"/>
  <c r="B181" i="15" s="1"/>
  <c r="A155" i="15"/>
  <c r="B155" i="15" s="1"/>
  <c r="A124" i="15"/>
  <c r="B124" i="15" s="1"/>
  <c r="A98" i="15"/>
  <c r="C98" i="15" s="1"/>
  <c r="A250" i="15"/>
  <c r="C250" i="15" s="1"/>
  <c r="A122" i="15"/>
  <c r="B122" i="15" s="1"/>
  <c r="A234" i="15"/>
  <c r="B234" i="15" s="1"/>
  <c r="A245" i="15"/>
  <c r="B245" i="15" s="1"/>
  <c r="A45" i="15"/>
  <c r="B45" i="15" s="1"/>
  <c r="A157" i="15"/>
  <c r="B157" i="15" s="1"/>
  <c r="A235" i="15"/>
  <c r="C235" i="15" s="1"/>
  <c r="A123" i="15"/>
  <c r="B123" i="15" s="1"/>
  <c r="A131" i="15"/>
  <c r="C131" i="15" s="1"/>
  <c r="A223" i="15"/>
  <c r="C223" i="15" s="1"/>
  <c r="A146" i="15"/>
  <c r="B146" i="15" s="1"/>
  <c r="A71" i="15"/>
  <c r="B71" i="15" s="1"/>
  <c r="A140" i="15"/>
  <c r="B140" i="15" s="1"/>
  <c r="A242" i="15"/>
  <c r="B242" i="15" s="1"/>
  <c r="A230" i="15"/>
  <c r="B230" i="15" s="1"/>
  <c r="A109" i="15"/>
  <c r="C109" i="15" s="1"/>
  <c r="A206" i="15"/>
  <c r="C206" i="15" s="1"/>
  <c r="A253" i="15"/>
  <c r="B253" i="15" s="1"/>
  <c r="A219" i="15"/>
  <c r="C219" i="15" s="1"/>
  <c r="A262" i="15"/>
  <c r="C262" i="15" s="1"/>
  <c r="A254" i="15"/>
  <c r="C254" i="15" s="1"/>
  <c r="A231" i="15"/>
  <c r="C231" i="15" s="1"/>
  <c r="A232" i="15"/>
  <c r="B232" i="15" s="1"/>
  <c r="A236" i="15"/>
  <c r="B236" i="15" s="1"/>
  <c r="A207" i="15"/>
  <c r="C207" i="15" s="1"/>
  <c r="A240" i="15"/>
  <c r="B240" i="15" s="1"/>
  <c r="A233" i="15"/>
  <c r="B233" i="15" s="1"/>
  <c r="A251" i="15"/>
  <c r="B251" i="15" s="1"/>
  <c r="A246" i="15"/>
  <c r="B246" i="15" s="1"/>
  <c r="A204" i="15"/>
  <c r="B204" i="15" s="1"/>
  <c r="A261" i="15"/>
  <c r="C261" i="15" s="1"/>
  <c r="A252" i="15"/>
  <c r="B252" i="15" s="1"/>
  <c r="A186" i="15"/>
  <c r="B186" i="15" s="1"/>
  <c r="A209" i="15"/>
  <c r="B209" i="15" s="1"/>
  <c r="A260" i="15"/>
  <c r="B260" i="15" s="1"/>
  <c r="A257" i="15"/>
  <c r="B257" i="15" s="1"/>
  <c r="A183" i="15"/>
  <c r="C183" i="15" s="1"/>
  <c r="A248" i="15"/>
  <c r="C248" i="15" s="1"/>
  <c r="A217" i="15"/>
  <c r="C217" i="15" s="1"/>
  <c r="A255" i="15"/>
  <c r="B255" i="15" s="1"/>
  <c r="A125" i="15"/>
  <c r="B125" i="15" s="1"/>
  <c r="A44" i="15"/>
  <c r="C44" i="15" s="1"/>
  <c r="A161" i="15"/>
  <c r="B161" i="15" s="1"/>
  <c r="A97" i="15"/>
  <c r="B97" i="15" s="1"/>
  <c r="A258" i="15"/>
  <c r="B258" i="15" s="1"/>
  <c r="A247" i="15"/>
  <c r="C247" i="15" s="1"/>
  <c r="A139" i="15"/>
  <c r="C139" i="15" s="1"/>
  <c r="A36" i="15"/>
  <c r="B36" i="15" s="1"/>
  <c r="A29" i="15"/>
  <c r="C29" i="15" s="1"/>
  <c r="A104" i="15"/>
  <c r="B104" i="15" s="1"/>
  <c r="A17" i="15"/>
  <c r="B17" i="15" s="1"/>
  <c r="A23" i="15"/>
  <c r="B23" i="15" s="1"/>
  <c r="A76" i="15"/>
  <c r="B76" i="15" s="1"/>
  <c r="A151" i="15"/>
  <c r="B151" i="15" s="1"/>
  <c r="A195" i="15"/>
  <c r="C195" i="15" s="1"/>
  <c r="A156" i="15"/>
  <c r="B156" i="15" s="1"/>
  <c r="A142" i="15"/>
  <c r="C142" i="15" s="1"/>
  <c r="A136" i="15"/>
  <c r="B136" i="15" s="1"/>
  <c r="A194" i="15"/>
  <c r="B194" i="15" s="1"/>
  <c r="A31" i="15"/>
  <c r="B31" i="15" s="1"/>
  <c r="A84" i="15"/>
  <c r="B84" i="15" s="1"/>
  <c r="A46" i="15"/>
  <c r="B46" i="15" s="1"/>
  <c r="A77" i="15"/>
  <c r="B77" i="15" s="1"/>
  <c r="A83" i="15"/>
  <c r="B83" i="15" s="1"/>
  <c r="A99" i="15"/>
  <c r="C99" i="15" s="1"/>
  <c r="A20" i="15"/>
  <c r="B20" i="15" s="1"/>
  <c r="A24" i="15"/>
  <c r="B24" i="15" s="1"/>
  <c r="A41" i="15"/>
  <c r="B41" i="15" s="1"/>
  <c r="A60" i="15"/>
  <c r="B60" i="15" s="1"/>
  <c r="A22" i="15"/>
  <c r="B22" i="15" s="1"/>
  <c r="A54" i="15"/>
  <c r="C54" i="15" s="1"/>
  <c r="A13" i="15"/>
  <c r="B13" i="15" s="1"/>
  <c r="A51" i="15"/>
  <c r="C51" i="15" s="1"/>
  <c r="A163" i="15"/>
  <c r="B163" i="15" s="1"/>
  <c r="A74" i="15"/>
  <c r="B74" i="15" s="1"/>
  <c r="A39" i="15"/>
  <c r="B39" i="15" s="1"/>
  <c r="A141" i="15"/>
  <c r="B141" i="15" s="1"/>
  <c r="A9" i="15"/>
  <c r="B9" i="15" s="1"/>
  <c r="A25" i="15"/>
  <c r="C25" i="15" s="1"/>
  <c r="A21" i="15"/>
  <c r="B21" i="15" s="1"/>
  <c r="A26" i="15"/>
  <c r="C26" i="15" s="1"/>
  <c r="A32" i="15"/>
  <c r="B32" i="15" s="1"/>
  <c r="A16" i="15"/>
  <c r="B16" i="15" s="1"/>
  <c r="A73" i="15"/>
  <c r="B73" i="15" s="1"/>
  <c r="A35" i="15"/>
  <c r="B35" i="15" s="1"/>
  <c r="A102" i="15"/>
  <c r="B102" i="15" s="1"/>
  <c r="A8" i="15"/>
  <c r="B8" i="15" s="1"/>
  <c r="A19" i="15"/>
  <c r="B19" i="15" s="1"/>
  <c r="A27" i="15"/>
  <c r="B27" i="15" s="1"/>
  <c r="A12" i="15"/>
  <c r="B12" i="15" s="1"/>
  <c r="A62" i="15"/>
  <c r="B62" i="15" s="1"/>
  <c r="C14" i="15"/>
  <c r="B14" i="15"/>
  <c r="A221" i="15"/>
  <c r="B221" i="15" s="1"/>
  <c r="A127" i="15"/>
  <c r="B127" i="15" s="1"/>
  <c r="A11" i="15"/>
  <c r="B11" i="15" s="1"/>
  <c r="A47" i="15"/>
  <c r="B47" i="15" s="1"/>
  <c r="A10" i="15"/>
  <c r="B10" i="15" s="1"/>
  <c r="A15" i="15"/>
  <c r="B15" i="15" s="1"/>
  <c r="A72" i="15"/>
  <c r="B72" i="15" s="1"/>
  <c r="A180" i="15"/>
  <c r="B180" i="15" s="1"/>
  <c r="A38" i="15"/>
  <c r="B38" i="15" s="1"/>
  <c r="A153" i="15"/>
  <c r="B153" i="15" s="1"/>
  <c r="A111" i="15"/>
  <c r="B111" i="15" s="1"/>
  <c r="A82" i="15"/>
  <c r="B82" i="15" s="1"/>
  <c r="A69" i="15"/>
  <c r="B69" i="15" s="1"/>
  <c r="A96" i="15"/>
  <c r="B96" i="15" s="1"/>
  <c r="A103" i="15"/>
  <c r="B103" i="15" s="1"/>
  <c r="A79" i="15"/>
  <c r="B79" i="15" s="1"/>
  <c r="A172" i="15"/>
  <c r="B172" i="15" s="1"/>
  <c r="A42" i="15"/>
  <c r="B42" i="15" s="1"/>
  <c r="A56" i="15"/>
  <c r="B56" i="15" s="1"/>
  <c r="A93" i="15"/>
  <c r="B93" i="15" s="1"/>
  <c r="A164" i="15"/>
  <c r="B164" i="15" s="1"/>
  <c r="A59" i="15"/>
  <c r="B59" i="15" s="1"/>
  <c r="A143" i="15"/>
  <c r="B143" i="15" s="1"/>
  <c r="A116" i="15"/>
  <c r="B116" i="15" s="1"/>
  <c r="A87" i="15"/>
  <c r="B87" i="15" s="1"/>
  <c r="A53" i="15"/>
  <c r="B53" i="15" s="1"/>
  <c r="A78" i="15"/>
  <c r="B78" i="15" s="1"/>
  <c r="A28" i="15"/>
  <c r="B28" i="15" s="1"/>
  <c r="A40" i="15"/>
  <c r="C40" i="15" s="1"/>
  <c r="A86" i="15"/>
  <c r="B86" i="15" s="1"/>
  <c r="A174" i="15"/>
  <c r="C174" i="15" s="1"/>
  <c r="A34" i="15"/>
  <c r="C34" i="15" s="1"/>
  <c r="A203" i="15"/>
  <c r="B203" i="15" s="1"/>
  <c r="A243" i="15"/>
  <c r="C243" i="15" s="1"/>
  <c r="A171" i="15"/>
  <c r="B171" i="15" s="1"/>
  <c r="A149" i="15"/>
  <c r="B149" i="15" s="1"/>
  <c r="A70" i="15"/>
  <c r="B70" i="15" s="1"/>
  <c r="A67" i="15"/>
  <c r="C67" i="15" s="1"/>
  <c r="A177" i="15"/>
  <c r="C177" i="15" s="1"/>
  <c r="A132" i="15"/>
  <c r="C132" i="15" s="1"/>
  <c r="A75" i="15"/>
  <c r="B75" i="15" s="1"/>
  <c r="A52" i="15"/>
  <c r="B52" i="15" s="1"/>
  <c r="A239" i="15"/>
  <c r="C239" i="15" s="1"/>
  <c r="A154" i="15"/>
  <c r="C154" i="15" s="1"/>
  <c r="A37" i="15"/>
  <c r="C37" i="15" s="1"/>
  <c r="A148" i="15"/>
  <c r="C148" i="15" s="1"/>
  <c r="A43" i="15"/>
  <c r="C43" i="15" s="1"/>
  <c r="A145" i="15"/>
  <c r="C145" i="15" s="1"/>
  <c r="A241" i="15"/>
  <c r="B241" i="15" s="1"/>
  <c r="A238" i="15"/>
  <c r="B238" i="15" s="1"/>
  <c r="A144" i="15"/>
  <c r="C144" i="15" s="1"/>
  <c r="A65" i="15"/>
  <c r="C65" i="15" s="1"/>
  <c r="A95" i="15"/>
  <c r="B95" i="15" s="1"/>
  <c r="A168" i="15"/>
  <c r="C168" i="15" s="1"/>
  <c r="A94" i="15"/>
  <c r="C94" i="15" s="1"/>
  <c r="A81" i="15"/>
  <c r="C81" i="15" s="1"/>
  <c r="A88" i="15"/>
  <c r="B88" i="15" s="1"/>
  <c r="B182" i="15" l="1"/>
  <c r="B115" i="15"/>
  <c r="B197" i="15"/>
  <c r="C112" i="15"/>
  <c r="B54" i="15"/>
  <c r="B193" i="15"/>
  <c r="C179" i="15"/>
  <c r="B198" i="15"/>
  <c r="C106" i="15"/>
  <c r="B147" i="15"/>
  <c r="C227" i="15"/>
  <c r="B162" i="15"/>
  <c r="C55" i="15"/>
  <c r="B235" i="15"/>
  <c r="B183" i="15"/>
  <c r="B68" i="15"/>
  <c r="B213" i="15"/>
  <c r="B173" i="15"/>
  <c r="B66" i="15"/>
  <c r="B121" i="15"/>
  <c r="B109" i="15"/>
  <c r="B261" i="15"/>
  <c r="B51" i="15"/>
  <c r="C152" i="15"/>
  <c r="C187" i="15"/>
  <c r="C189" i="15"/>
  <c r="B114" i="15"/>
  <c r="B226" i="15"/>
  <c r="B30" i="15"/>
  <c r="B201" i="15"/>
  <c r="B206" i="15"/>
  <c r="B247" i="15"/>
  <c r="B25" i="15"/>
  <c r="C158" i="15"/>
  <c r="C57" i="15"/>
  <c r="B113" i="15"/>
  <c r="B160" i="15"/>
  <c r="B63" i="15"/>
  <c r="B207" i="15"/>
  <c r="B139" i="15"/>
  <c r="B26" i="15"/>
  <c r="C167" i="15"/>
  <c r="C259" i="15"/>
  <c r="B210" i="15"/>
  <c r="B202" i="15"/>
  <c r="B191" i="15"/>
  <c r="B98" i="15"/>
  <c r="B231" i="15"/>
  <c r="B29" i="15"/>
  <c r="C61" i="15"/>
  <c r="C184" i="15"/>
  <c r="B89" i="15"/>
  <c r="B135" i="15"/>
  <c r="B192" i="15"/>
  <c r="B250" i="15"/>
  <c r="B254" i="15"/>
  <c r="B142" i="15"/>
  <c r="C122" i="15"/>
  <c r="B49" i="15"/>
  <c r="B18" i="15"/>
  <c r="B214" i="15"/>
  <c r="B223" i="15"/>
  <c r="B217" i="15"/>
  <c r="B195" i="15"/>
  <c r="C166" i="15"/>
  <c r="C85" i="15"/>
  <c r="C225" i="15"/>
  <c r="C125" i="15"/>
  <c r="B137" i="15"/>
  <c r="B176" i="15"/>
  <c r="B249" i="15"/>
  <c r="B131" i="15"/>
  <c r="B248" i="15"/>
  <c r="B99" i="15"/>
  <c r="C100" i="15"/>
  <c r="C151" i="15"/>
  <c r="B219" i="15"/>
  <c r="B262" i="15"/>
  <c r="C80" i="15"/>
  <c r="C123" i="15"/>
  <c r="C253" i="15"/>
  <c r="C240" i="15"/>
  <c r="C257" i="15"/>
  <c r="C104" i="15"/>
  <c r="C83" i="15"/>
  <c r="C74" i="15"/>
  <c r="C32" i="15"/>
  <c r="C12" i="15"/>
  <c r="C180" i="15"/>
  <c r="C79" i="15"/>
  <c r="C116" i="15"/>
  <c r="B169" i="15"/>
  <c r="B44" i="15"/>
  <c r="C117" i="15"/>
  <c r="C228" i="15"/>
  <c r="C134" i="15"/>
  <c r="C120" i="15"/>
  <c r="C170" i="15"/>
  <c r="C101" i="15"/>
  <c r="C150" i="15"/>
  <c r="C175" i="15"/>
  <c r="C45" i="15"/>
  <c r="C251" i="15"/>
  <c r="C260" i="15"/>
  <c r="C161" i="15"/>
  <c r="C23" i="15"/>
  <c r="C194" i="15"/>
  <c r="C24" i="15"/>
  <c r="C163" i="15"/>
  <c r="C16" i="15"/>
  <c r="C62" i="15"/>
  <c r="C72" i="15"/>
  <c r="C103" i="15"/>
  <c r="C143" i="15"/>
  <c r="C188" i="15"/>
  <c r="C118" i="15"/>
  <c r="C92" i="15"/>
  <c r="C107" i="15"/>
  <c r="C205" i="15"/>
  <c r="C196" i="15"/>
  <c r="C199" i="15"/>
  <c r="C33" i="15"/>
  <c r="C64" i="15"/>
  <c r="C128" i="15"/>
  <c r="C237" i="15"/>
  <c r="C130" i="15"/>
  <c r="C245" i="15"/>
  <c r="C71" i="15"/>
  <c r="C233" i="15"/>
  <c r="C209" i="15"/>
  <c r="C17" i="15"/>
  <c r="C77" i="15"/>
  <c r="C41" i="15"/>
  <c r="C39" i="15"/>
  <c r="C73" i="15"/>
  <c r="C127" i="15"/>
  <c r="C38" i="15"/>
  <c r="C172" i="15"/>
  <c r="C87" i="15"/>
  <c r="B133" i="15"/>
  <c r="B119" i="15"/>
  <c r="B215" i="15"/>
  <c r="B256" i="15"/>
  <c r="C105" i="15"/>
  <c r="C222" i="15"/>
  <c r="C165" i="15"/>
  <c r="C90" i="15"/>
  <c r="C159" i="15"/>
  <c r="C216" i="15"/>
  <c r="C124" i="15"/>
  <c r="C234" i="15"/>
  <c r="C230" i="15"/>
  <c r="C236" i="15"/>
  <c r="C204" i="15"/>
  <c r="C186" i="15"/>
  <c r="C258" i="15"/>
  <c r="C76" i="15"/>
  <c r="C46" i="15"/>
  <c r="C60" i="15"/>
  <c r="C141" i="15"/>
  <c r="C35" i="15"/>
  <c r="C221" i="15"/>
  <c r="C111" i="15"/>
  <c r="C42" i="15"/>
  <c r="C78" i="15"/>
  <c r="B129" i="15"/>
  <c r="C58" i="15"/>
  <c r="B178" i="15"/>
  <c r="B224" i="15"/>
  <c r="C91" i="15"/>
  <c r="C48" i="15"/>
  <c r="C212" i="15"/>
  <c r="C108" i="15"/>
  <c r="C138" i="15"/>
  <c r="C200" i="15"/>
  <c r="C229" i="15"/>
  <c r="C110" i="15"/>
  <c r="C126" i="15"/>
  <c r="C211" i="15"/>
  <c r="C244" i="15"/>
  <c r="C218" i="15"/>
  <c r="C155" i="15"/>
  <c r="C157" i="15"/>
  <c r="C242" i="15"/>
  <c r="C232" i="15"/>
  <c r="C246" i="15"/>
  <c r="C252" i="15"/>
  <c r="C97" i="15"/>
  <c r="C136" i="15"/>
  <c r="C84" i="15"/>
  <c r="C22" i="15"/>
  <c r="C9" i="15"/>
  <c r="C102" i="15"/>
  <c r="C11" i="15"/>
  <c r="C153" i="15"/>
  <c r="C56" i="15"/>
  <c r="C53" i="15"/>
  <c r="C185" i="15"/>
  <c r="C220" i="15"/>
  <c r="C50" i="15"/>
  <c r="C190" i="15"/>
  <c r="C208" i="15"/>
  <c r="C181" i="15"/>
  <c r="C146" i="15"/>
  <c r="C140" i="15"/>
  <c r="C31" i="15"/>
  <c r="C13" i="15"/>
  <c r="C8" i="15"/>
  <c r="C47" i="15"/>
  <c r="C82" i="15"/>
  <c r="C164" i="15"/>
  <c r="C28" i="15"/>
  <c r="C255" i="15"/>
  <c r="C36" i="15"/>
  <c r="C156" i="15"/>
  <c r="C20" i="15"/>
  <c r="C21" i="15"/>
  <c r="C27" i="15"/>
  <c r="C10" i="15"/>
  <c r="C69" i="15"/>
  <c r="C93" i="15"/>
  <c r="C86" i="15"/>
  <c r="C19" i="15"/>
  <c r="C15" i="15"/>
  <c r="C96" i="15"/>
  <c r="C59" i="15"/>
  <c r="B174" i="15"/>
  <c r="C171" i="15"/>
  <c r="C88" i="15"/>
  <c r="C70" i="15"/>
  <c r="C95" i="15"/>
  <c r="C203" i="15"/>
  <c r="C52" i="15"/>
  <c r="B132" i="15"/>
  <c r="B37" i="15"/>
  <c r="B144" i="15"/>
  <c r="C241" i="15"/>
  <c r="B81" i="15"/>
  <c r="B243" i="15"/>
  <c r="B177" i="15"/>
  <c r="B168" i="15"/>
  <c r="C149" i="15"/>
  <c r="C75" i="15"/>
  <c r="C238" i="15"/>
  <c r="B40" i="15"/>
  <c r="B34" i="15"/>
  <c r="B148" i="15"/>
  <c r="B65" i="15"/>
  <c r="B43" i="15"/>
  <c r="B94" i="15"/>
  <c r="B154" i="15"/>
  <c r="B67" i="15"/>
  <c r="B239" i="15"/>
  <c r="B145" i="15"/>
  <c r="G421" i="3" l="1"/>
  <c r="H421" i="3" s="1"/>
  <c r="H4" i="9" l="1"/>
  <c r="H2" i="9"/>
  <c r="B3" i="9"/>
  <c r="B2" i="9"/>
  <c r="B39" i="9" l="1"/>
  <c r="B37" i="9"/>
  <c r="B35" i="9"/>
  <c r="B33" i="9"/>
  <c r="B31" i="9"/>
  <c r="B29" i="9"/>
  <c r="B27" i="9"/>
  <c r="B25" i="9"/>
  <c r="B23" i="9"/>
  <c r="B21" i="9"/>
  <c r="B19" i="9"/>
  <c r="B17" i="9"/>
  <c r="B15" i="9"/>
  <c r="B13" i="9"/>
  <c r="B9" i="9"/>
  <c r="B11" i="9"/>
  <c r="H2461" i="4"/>
  <c r="I2458" i="4" s="1"/>
  <c r="J2458" i="4"/>
  <c r="I2461" i="4" s="1"/>
  <c r="B2458" i="4"/>
  <c r="B2456" i="4"/>
  <c r="B2454" i="4"/>
  <c r="H2432" i="4"/>
  <c r="I2429" i="4" s="1"/>
  <c r="J2429" i="4"/>
  <c r="I2432" i="4" s="1"/>
  <c r="B2429" i="4"/>
  <c r="H2425" i="4"/>
  <c r="I2422" i="4" s="1"/>
  <c r="J2422" i="4"/>
  <c r="I2425" i="4" s="1"/>
  <c r="B2422" i="4"/>
  <c r="H2418" i="4"/>
  <c r="I2415" i="4" s="1"/>
  <c r="J2415" i="4"/>
  <c r="I2418" i="4" s="1"/>
  <c r="B2415" i="4"/>
  <c r="H2411" i="4"/>
  <c r="I2408" i="4" s="1"/>
  <c r="J2408" i="4"/>
  <c r="I2411" i="4" s="1"/>
  <c r="B2408" i="4"/>
  <c r="H2404" i="4"/>
  <c r="I2401" i="4" s="1"/>
  <c r="J2401" i="4"/>
  <c r="I2404" i="4" s="1"/>
  <c r="B2401" i="4"/>
  <c r="H2397" i="4"/>
  <c r="I2394" i="4" s="1"/>
  <c r="J2394" i="4"/>
  <c r="I2397" i="4" s="1"/>
  <c r="B2394" i="4"/>
  <c r="H2390" i="4"/>
  <c r="I2387" i="4" s="1"/>
  <c r="J2387" i="4"/>
  <c r="I2390" i="4" s="1"/>
  <c r="B2387" i="4"/>
  <c r="B2385" i="4"/>
  <c r="H2213" i="4"/>
  <c r="I2210" i="4" s="1"/>
  <c r="J2210" i="4"/>
  <c r="I2213" i="4" s="1"/>
  <c r="B2210" i="4"/>
  <c r="H2206" i="4"/>
  <c r="I2203" i="4" s="1"/>
  <c r="J2203" i="4"/>
  <c r="I2206" i="4" s="1"/>
  <c r="B2203" i="4"/>
  <c r="H2199" i="4"/>
  <c r="I2196" i="4" s="1"/>
  <c r="J2196" i="4"/>
  <c r="I2199" i="4" s="1"/>
  <c r="B2196" i="4"/>
  <c r="H2192" i="4"/>
  <c r="I2189" i="4" s="1"/>
  <c r="J2189" i="4"/>
  <c r="I2192" i="4" s="1"/>
  <c r="B2189" i="4"/>
  <c r="H2185" i="4"/>
  <c r="I2182" i="4" s="1"/>
  <c r="J2182" i="4"/>
  <c r="I2185" i="4" s="1"/>
  <c r="B2182" i="4"/>
  <c r="B2180" i="4"/>
  <c r="H1576" i="4"/>
  <c r="I1573" i="4" s="1"/>
  <c r="J1573" i="4"/>
  <c r="I1576" i="4" s="1"/>
  <c r="B1573" i="4"/>
  <c r="H1569" i="4"/>
  <c r="I1566" i="4" s="1"/>
  <c r="J1566" i="4"/>
  <c r="I1569" i="4" s="1"/>
  <c r="B1566" i="4"/>
  <c r="H1562" i="4"/>
  <c r="I1559" i="4" s="1"/>
  <c r="J1559" i="4"/>
  <c r="I1562" i="4" s="1"/>
  <c r="B1559" i="4"/>
  <c r="H1555" i="4"/>
  <c r="I1552" i="4" s="1"/>
  <c r="J1552" i="4"/>
  <c r="I1555" i="4" s="1"/>
  <c r="B1552" i="4"/>
  <c r="H1548" i="4"/>
  <c r="I1545" i="4" s="1"/>
  <c r="J1545" i="4"/>
  <c r="I1548" i="4" s="1"/>
  <c r="B1545" i="4"/>
  <c r="H1541" i="4"/>
  <c r="I1538" i="4" s="1"/>
  <c r="J1538" i="4"/>
  <c r="I1541" i="4" s="1"/>
  <c r="B1538" i="4"/>
  <c r="B1536" i="4"/>
  <c r="E1214" i="4"/>
  <c r="E1194" i="4"/>
  <c r="K49" i="2"/>
  <c r="K50" i="2"/>
  <c r="K51" i="2"/>
  <c r="K52" i="2"/>
  <c r="K48" i="2"/>
  <c r="K23" i="2"/>
  <c r="K24" i="2"/>
  <c r="G410" i="3" l="1"/>
  <c r="H410" i="3" s="1"/>
  <c r="G408" i="3"/>
  <c r="H408" i="3" s="1"/>
  <c r="G413" i="3"/>
  <c r="H413" i="3" s="1"/>
  <c r="G411" i="3"/>
  <c r="H411" i="3" s="1"/>
  <c r="H365" i="3" l="1"/>
  <c r="G407" i="3"/>
  <c r="H407" i="3" s="1"/>
  <c r="H367" i="3"/>
  <c r="H363" i="3"/>
  <c r="H366" i="3" l="1"/>
  <c r="G29" i="2" l="1"/>
  <c r="F29" i="2"/>
  <c r="G28" i="2"/>
  <c r="F28" i="2"/>
  <c r="H2450" i="4"/>
  <c r="H2449" i="4"/>
  <c r="J2446" i="4"/>
  <c r="I2449" i="4" s="1"/>
  <c r="I2450" i="4" s="1"/>
  <c r="B2446" i="4"/>
  <c r="H2442" i="4"/>
  <c r="H2441" i="4"/>
  <c r="J2438" i="4"/>
  <c r="I2441" i="4" s="1"/>
  <c r="I2442" i="4" s="1"/>
  <c r="B2438" i="4"/>
  <c r="B2436" i="4"/>
  <c r="H2381" i="4"/>
  <c r="I2378" i="4" s="1"/>
  <c r="J2378" i="4"/>
  <c r="I2381" i="4" s="1"/>
  <c r="B2378" i="4"/>
  <c r="H2374" i="4"/>
  <c r="I2371" i="4" s="1"/>
  <c r="J2371" i="4"/>
  <c r="I2374" i="4" s="1"/>
  <c r="B2371" i="4"/>
  <c r="H2367" i="4"/>
  <c r="I2364" i="4" s="1"/>
  <c r="J2364" i="4"/>
  <c r="I2367" i="4" s="1"/>
  <c r="B2364" i="4"/>
  <c r="H2360" i="4"/>
  <c r="I2357" i="4" s="1"/>
  <c r="J2357" i="4"/>
  <c r="I2360" i="4" s="1"/>
  <c r="B2357" i="4"/>
  <c r="B2355" i="4"/>
  <c r="H2351" i="4"/>
  <c r="I2348" i="4" s="1"/>
  <c r="J2348" i="4"/>
  <c r="I2351" i="4" s="1"/>
  <c r="B2348" i="4"/>
  <c r="H2344" i="4"/>
  <c r="I2341" i="4" s="1"/>
  <c r="J2341" i="4"/>
  <c r="I2344" i="4" s="1"/>
  <c r="B2341" i="4"/>
  <c r="H2337" i="4"/>
  <c r="I2334" i="4" s="1"/>
  <c r="J2334" i="4"/>
  <c r="I2337" i="4" s="1"/>
  <c r="B2334" i="4"/>
  <c r="H2330" i="4"/>
  <c r="I2327" i="4" s="1"/>
  <c r="J2327" i="4"/>
  <c r="I2330" i="4" s="1"/>
  <c r="B2327" i="4"/>
  <c r="H2323" i="4"/>
  <c r="I2320" i="4" s="1"/>
  <c r="J2320" i="4"/>
  <c r="I2323" i="4" s="1"/>
  <c r="B2320" i="4"/>
  <c r="B2318" i="4"/>
  <c r="B2316" i="4"/>
  <c r="H1904" i="4"/>
  <c r="I1901" i="4" s="1"/>
  <c r="J1901" i="4"/>
  <c r="I1904" i="4" s="1"/>
  <c r="B1901" i="4"/>
  <c r="J2304" i="4"/>
  <c r="I2307" i="4" s="1"/>
  <c r="I2308" i="4" s="1"/>
  <c r="B2304" i="4"/>
  <c r="F2300" i="4"/>
  <c r="F2299" i="4"/>
  <c r="E2300" i="4"/>
  <c r="E2299" i="4"/>
  <c r="B2294" i="4"/>
  <c r="E2290" i="4"/>
  <c r="H2290" i="4" s="1"/>
  <c r="E2289" i="4"/>
  <c r="H2289" i="4" s="1"/>
  <c r="E2288" i="4"/>
  <c r="H2288" i="4" s="1"/>
  <c r="J2285" i="4"/>
  <c r="I2288" i="4" s="1"/>
  <c r="I2289" i="4" s="1"/>
  <c r="I2290" i="4" s="1"/>
  <c r="B2285" i="4"/>
  <c r="J2296" i="4"/>
  <c r="I2299" i="4" s="1"/>
  <c r="I2300" i="4" s="1"/>
  <c r="B2296" i="4"/>
  <c r="H2281" i="4"/>
  <c r="H2280" i="4"/>
  <c r="H2279" i="4"/>
  <c r="J2276" i="4"/>
  <c r="I2279" i="4" s="1"/>
  <c r="I2280" i="4" s="1"/>
  <c r="I2281" i="4" s="1"/>
  <c r="B2276" i="4"/>
  <c r="H2272" i="4"/>
  <c r="H2271" i="4"/>
  <c r="H2270" i="4"/>
  <c r="J2267" i="4"/>
  <c r="I2270" i="4" s="1"/>
  <c r="I2271" i="4" s="1"/>
  <c r="I2272" i="4" s="1"/>
  <c r="B2267" i="4"/>
  <c r="H2262" i="4"/>
  <c r="H2263" i="4"/>
  <c r="H2261" i="4"/>
  <c r="J2258" i="4"/>
  <c r="I2261" i="4" s="1"/>
  <c r="I2262" i="4" s="1"/>
  <c r="I2263" i="4" s="1"/>
  <c r="B2258" i="4"/>
  <c r="J2249" i="4"/>
  <c r="I2252" i="4" s="1"/>
  <c r="I2253" i="4" s="1"/>
  <c r="I2254" i="4" s="1"/>
  <c r="B2249" i="4"/>
  <c r="B2247" i="4"/>
  <c r="H2243" i="4"/>
  <c r="I2240" i="4" s="1"/>
  <c r="J2240" i="4"/>
  <c r="I2243" i="4" s="1"/>
  <c r="B2240" i="4"/>
  <c r="H2236" i="4"/>
  <c r="I2233" i="4" s="1"/>
  <c r="J2233" i="4"/>
  <c r="I2236" i="4" s="1"/>
  <c r="B2233" i="4"/>
  <c r="H2229" i="4"/>
  <c r="I2226" i="4" s="1"/>
  <c r="J2226" i="4"/>
  <c r="I2229" i="4" s="1"/>
  <c r="B2226" i="4"/>
  <c r="H2222" i="4"/>
  <c r="I2219" i="4" s="1"/>
  <c r="D2300" i="4" s="1"/>
  <c r="J2219" i="4"/>
  <c r="I2222" i="4" s="1"/>
  <c r="B2219" i="4"/>
  <c r="B2217" i="4"/>
  <c r="H2176" i="4"/>
  <c r="I2173" i="4" s="1"/>
  <c r="J2173" i="4"/>
  <c r="I2176" i="4" s="1"/>
  <c r="B2173" i="4"/>
  <c r="H2169" i="4"/>
  <c r="I2166" i="4" s="1"/>
  <c r="J2166" i="4"/>
  <c r="I2169" i="4" s="1"/>
  <c r="B2166" i="4"/>
  <c r="H2162" i="4"/>
  <c r="I2159" i="4" s="1"/>
  <c r="J2159" i="4"/>
  <c r="I2162" i="4" s="1"/>
  <c r="B2159" i="4"/>
  <c r="B2157" i="4"/>
  <c r="H2153" i="4"/>
  <c r="I2150" i="4" s="1"/>
  <c r="J2150" i="4"/>
  <c r="I2153" i="4" s="1"/>
  <c r="B2150" i="4"/>
  <c r="H2146" i="4"/>
  <c r="I2143" i="4" s="1"/>
  <c r="J2143" i="4"/>
  <c r="I2146" i="4" s="1"/>
  <c r="B2143" i="4"/>
  <c r="H2139" i="4"/>
  <c r="I2136" i="4" s="1"/>
  <c r="J2136" i="4"/>
  <c r="I2139" i="4" s="1"/>
  <c r="B2136" i="4"/>
  <c r="H2132" i="4"/>
  <c r="I2129" i="4" s="1"/>
  <c r="J2129" i="4"/>
  <c r="I2132" i="4" s="1"/>
  <c r="B2129" i="4"/>
  <c r="H2125" i="4"/>
  <c r="I2122" i="4" s="1"/>
  <c r="J2122" i="4"/>
  <c r="I2125" i="4" s="1"/>
  <c r="B2122" i="4"/>
  <c r="H2118" i="4"/>
  <c r="I2115" i="4" s="1"/>
  <c r="J2115" i="4"/>
  <c r="I2118" i="4" s="1"/>
  <c r="B2115" i="4"/>
  <c r="H2111" i="4"/>
  <c r="I2108" i="4" s="1"/>
  <c r="J2108" i="4"/>
  <c r="I2111" i="4" s="1"/>
  <c r="B2108" i="4"/>
  <c r="H2104" i="4"/>
  <c r="I2101" i="4" s="1"/>
  <c r="J2101" i="4"/>
  <c r="I2104" i="4" s="1"/>
  <c r="B2101" i="4"/>
  <c r="H2097" i="4"/>
  <c r="I2094" i="4" s="1"/>
  <c r="J2094" i="4"/>
  <c r="I2097" i="4" s="1"/>
  <c r="B2094" i="4"/>
  <c r="H2090" i="4"/>
  <c r="I2087" i="4" s="1"/>
  <c r="J2087" i="4"/>
  <c r="I2090" i="4" s="1"/>
  <c r="B2087" i="4"/>
  <c r="B2085" i="4"/>
  <c r="K12" i="2"/>
  <c r="E1417" i="5" s="1"/>
  <c r="F1417" i="5" s="1"/>
  <c r="F1420" i="5" s="1"/>
  <c r="F1429" i="5" s="1"/>
  <c r="K13" i="2"/>
  <c r="E1444" i="5" s="1"/>
  <c r="F1444" i="5" s="1"/>
  <c r="F1447" i="5" s="1"/>
  <c r="F1456" i="5" s="1"/>
  <c r="K11" i="2"/>
  <c r="E1390" i="5" s="1"/>
  <c r="F1390" i="5" s="1"/>
  <c r="F1393" i="5" s="1"/>
  <c r="F1402" i="5" s="1"/>
  <c r="H2081" i="4"/>
  <c r="I2078" i="4" s="1"/>
  <c r="J2078" i="4"/>
  <c r="I2081" i="4" s="1"/>
  <c r="B2078" i="4"/>
  <c r="J2071" i="4"/>
  <c r="I2074" i="4" s="1"/>
  <c r="B2071" i="4"/>
  <c r="D2067" i="4"/>
  <c r="H2067" i="4" s="1"/>
  <c r="I2064" i="4" s="1"/>
  <c r="J2064" i="4"/>
  <c r="I2067" i="4" s="1"/>
  <c r="B2064" i="4"/>
  <c r="H2060" i="4"/>
  <c r="I2057" i="4" s="1"/>
  <c r="J2057" i="4"/>
  <c r="I2060" i="4" s="1"/>
  <c r="B2057" i="4"/>
  <c r="H2053" i="4"/>
  <c r="I2050" i="4" s="1"/>
  <c r="J2050" i="4"/>
  <c r="I2053" i="4" s="1"/>
  <c r="B2050" i="4"/>
  <c r="H2046" i="4"/>
  <c r="I2043" i="4" s="1"/>
  <c r="J2043" i="4"/>
  <c r="I2046" i="4" s="1"/>
  <c r="B2043" i="4"/>
  <c r="H2039" i="4"/>
  <c r="I2036" i="4" s="1"/>
  <c r="J2036" i="4"/>
  <c r="I2039" i="4" s="1"/>
  <c r="B2036" i="4"/>
  <c r="H2032" i="4"/>
  <c r="I2029" i="4" s="1"/>
  <c r="J2029" i="4"/>
  <c r="I2032" i="4" s="1"/>
  <c r="B2029" i="4"/>
  <c r="H2025" i="4"/>
  <c r="I2022" i="4" s="1"/>
  <c r="J2022" i="4"/>
  <c r="I2025" i="4" s="1"/>
  <c r="B2022" i="4"/>
  <c r="D2018" i="4"/>
  <c r="H2018" i="4" s="1"/>
  <c r="I2015" i="4" s="1"/>
  <c r="J2015" i="4"/>
  <c r="I2018" i="4" s="1"/>
  <c r="B2015" i="4"/>
  <c r="H2011" i="4"/>
  <c r="J2008" i="4"/>
  <c r="I2011" i="4" s="1"/>
  <c r="B2008" i="4"/>
  <c r="D2004" i="4"/>
  <c r="H2004" i="4" s="1"/>
  <c r="H1971" i="4"/>
  <c r="I1968" i="4" s="1"/>
  <c r="D2074" i="4" s="1"/>
  <c r="H2074" i="4" s="1"/>
  <c r="I2071" i="4" s="1"/>
  <c r="D2254" i="4" s="1"/>
  <c r="H2254" i="4" s="1"/>
  <c r="J1968" i="4"/>
  <c r="I1971" i="4" s="1"/>
  <c r="B1968" i="4"/>
  <c r="H1995" i="4"/>
  <c r="H1994" i="4"/>
  <c r="H1993" i="4"/>
  <c r="H1992" i="4"/>
  <c r="H1991" i="4"/>
  <c r="H1990" i="4"/>
  <c r="H1989" i="4"/>
  <c r="H1988" i="4"/>
  <c r="H1987" i="4"/>
  <c r="H1986" i="4"/>
  <c r="H1985" i="4"/>
  <c r="H1984" i="4"/>
  <c r="H1983" i="4"/>
  <c r="H1982" i="4"/>
  <c r="H1981" i="4"/>
  <c r="H1980" i="4"/>
  <c r="H1979" i="4"/>
  <c r="H1978" i="4"/>
  <c r="J1975" i="4"/>
  <c r="I1978" i="4" s="1"/>
  <c r="I1979" i="4" s="1"/>
  <c r="I1980" i="4" s="1"/>
  <c r="I1981" i="4" s="1"/>
  <c r="I1982" i="4" s="1"/>
  <c r="I1983" i="4" s="1"/>
  <c r="I1984" i="4" s="1"/>
  <c r="I1985" i="4" s="1"/>
  <c r="I1986" i="4" s="1"/>
  <c r="I1987" i="4" s="1"/>
  <c r="I1988" i="4" s="1"/>
  <c r="I1989" i="4" s="1"/>
  <c r="I1990" i="4" s="1"/>
  <c r="I1991" i="4" s="1"/>
  <c r="I1992" i="4" s="1"/>
  <c r="I1993" i="4" s="1"/>
  <c r="I1994" i="4" s="1"/>
  <c r="I1995" i="4" s="1"/>
  <c r="B1975" i="4"/>
  <c r="H2003" i="4"/>
  <c r="J2000" i="4"/>
  <c r="I2003" i="4" s="1"/>
  <c r="I2004" i="4" s="1"/>
  <c r="B2000" i="4"/>
  <c r="B1966" i="4"/>
  <c r="Q2478" i="4"/>
  <c r="I2446" i="4" l="1"/>
  <c r="H2300" i="4"/>
  <c r="K29" i="2"/>
  <c r="D2308" i="4"/>
  <c r="E2308" i="4" s="1"/>
  <c r="H2308" i="4" s="1"/>
  <c r="I2276" i="4"/>
  <c r="I2285" i="4"/>
  <c r="I2438" i="4"/>
  <c r="K28" i="2"/>
  <c r="I2312" i="4"/>
  <c r="I2310" i="4"/>
  <c r="E2310" i="4"/>
  <c r="D2253" i="4"/>
  <c r="H2253" i="4" s="1"/>
  <c r="D2252" i="4"/>
  <c r="H2252" i="4" s="1"/>
  <c r="I2267" i="4"/>
  <c r="I2258" i="4"/>
  <c r="G353" i="3"/>
  <c r="H353" i="3" s="1"/>
  <c r="I2000" i="4"/>
  <c r="I2008" i="4"/>
  <c r="I1975" i="4"/>
  <c r="I2249" i="4" l="1"/>
  <c r="G404" i="3"/>
  <c r="H404" i="3" s="1"/>
  <c r="G370" i="3"/>
  <c r="H370" i="3" s="1"/>
  <c r="G359" i="3"/>
  <c r="H359" i="3" s="1"/>
  <c r="G358" i="3"/>
  <c r="H358" i="3" s="1"/>
  <c r="G355" i="3"/>
  <c r="H355" i="3" s="1"/>
  <c r="G354" i="3"/>
  <c r="H354" i="3" s="1"/>
  <c r="G352" i="3"/>
  <c r="H352" i="3" s="1"/>
  <c r="G403" i="3" l="1"/>
  <c r="H403" i="3" s="1"/>
  <c r="G360" i="3"/>
  <c r="H360" i="3" s="1"/>
  <c r="G343" i="3"/>
  <c r="H343" i="3" s="1"/>
  <c r="H1962" i="4" l="1"/>
  <c r="I1959" i="4" s="1"/>
  <c r="J1959" i="4"/>
  <c r="I1962" i="4" s="1"/>
  <c r="B1959" i="4"/>
  <c r="H1955" i="4"/>
  <c r="I1952" i="4" s="1"/>
  <c r="J1952" i="4"/>
  <c r="I1955" i="4" s="1"/>
  <c r="B1952" i="4"/>
  <c r="H1948" i="4"/>
  <c r="I1945" i="4" s="1"/>
  <c r="J1945" i="4"/>
  <c r="I1948" i="4" s="1"/>
  <c r="B1945" i="4"/>
  <c r="H1941" i="4"/>
  <c r="I1938" i="4" s="1"/>
  <c r="J1938" i="4"/>
  <c r="I1941" i="4" s="1"/>
  <c r="B1938" i="4"/>
  <c r="H1934" i="4"/>
  <c r="I1931" i="4" s="1"/>
  <c r="J1931" i="4"/>
  <c r="I1934" i="4" s="1"/>
  <c r="B1931" i="4"/>
  <c r="H1927" i="4"/>
  <c r="I1924" i="4" s="1"/>
  <c r="J1924" i="4"/>
  <c r="I1927" i="4" s="1"/>
  <c r="B1924" i="4"/>
  <c r="H1920" i="4"/>
  <c r="I1917" i="4" s="1"/>
  <c r="J1917" i="4"/>
  <c r="I1920" i="4" s="1"/>
  <c r="B1917" i="4"/>
  <c r="H1913" i="4"/>
  <c r="I1910" i="4" s="1"/>
  <c r="J1910" i="4"/>
  <c r="I1913" i="4" s="1"/>
  <c r="B1910" i="4"/>
  <c r="B1908" i="4"/>
  <c r="H1897" i="4"/>
  <c r="I1894" i="4" s="1"/>
  <c r="J1894" i="4"/>
  <c r="I1897" i="4" s="1"/>
  <c r="B1894" i="4"/>
  <c r="H1890" i="4"/>
  <c r="I1887" i="4" s="1"/>
  <c r="J1887" i="4"/>
  <c r="I1890" i="4" s="1"/>
  <c r="B1887" i="4"/>
  <c r="H1883" i="4"/>
  <c r="I1880" i="4" s="1"/>
  <c r="D2299" i="4" s="1"/>
  <c r="J1880" i="4"/>
  <c r="I1883" i="4" s="1"/>
  <c r="B1880" i="4"/>
  <c r="H1876" i="4"/>
  <c r="I1873" i="4" s="1"/>
  <c r="J1873" i="4"/>
  <c r="I1876" i="4" s="1"/>
  <c r="B1873" i="4"/>
  <c r="H1869" i="4"/>
  <c r="I1866" i="4" s="1"/>
  <c r="J1866" i="4"/>
  <c r="I1869" i="4" s="1"/>
  <c r="B1866" i="4"/>
  <c r="H1862" i="4"/>
  <c r="I1859" i="4" s="1"/>
  <c r="J1859" i="4"/>
  <c r="I1862" i="4" s="1"/>
  <c r="B1859" i="4"/>
  <c r="H1855" i="4"/>
  <c r="I1852" i="4" s="1"/>
  <c r="J1852" i="4"/>
  <c r="I1855" i="4" s="1"/>
  <c r="B1852" i="4"/>
  <c r="H1848" i="4"/>
  <c r="I1845" i="4" s="1"/>
  <c r="J1845" i="4"/>
  <c r="I1848" i="4" s="1"/>
  <c r="B1845" i="4"/>
  <c r="H1841" i="4"/>
  <c r="I1838" i="4" s="1"/>
  <c r="J1838" i="4"/>
  <c r="I1841" i="4" s="1"/>
  <c r="B1838" i="4"/>
  <c r="H1834" i="4"/>
  <c r="I1831" i="4" s="1"/>
  <c r="J1831" i="4"/>
  <c r="I1834" i="4" s="1"/>
  <c r="B1831" i="4"/>
  <c r="H1827" i="4"/>
  <c r="I1824" i="4" s="1"/>
  <c r="J1824" i="4"/>
  <c r="I1827" i="4" s="1"/>
  <c r="B1824" i="4"/>
  <c r="H1820" i="4"/>
  <c r="I1817" i="4" s="1"/>
  <c r="J1817" i="4"/>
  <c r="I1820" i="4" s="1"/>
  <c r="B1817" i="4"/>
  <c r="B1815" i="4"/>
  <c r="B1813" i="4"/>
  <c r="H2299" i="4" l="1"/>
  <c r="I2296" i="4" s="1"/>
  <c r="D2307" i="4"/>
  <c r="E2307" i="4" s="1"/>
  <c r="H2307" i="4" s="1"/>
  <c r="H2310" i="4" l="1"/>
  <c r="H2312" i="4" s="1"/>
  <c r="I2304" i="4" s="1"/>
  <c r="G303" i="3"/>
  <c r="H303" i="3" s="1"/>
  <c r="G301" i="3" l="1"/>
  <c r="H301" i="3" s="1"/>
  <c r="H953" i="4" l="1"/>
  <c r="J409" i="3" l="1"/>
  <c r="J412" i="3"/>
  <c r="J410" i="3"/>
  <c r="J411" i="3"/>
  <c r="J407" i="3"/>
  <c r="J367" i="3"/>
  <c r="J244" i="3"/>
  <c r="J366" i="3"/>
  <c r="J240" i="3"/>
  <c r="J365" i="3"/>
  <c r="J363" i="3"/>
  <c r="J243" i="3"/>
  <c r="J241" i="3"/>
  <c r="J364" i="3"/>
  <c r="J239" i="3"/>
  <c r="J413" i="3"/>
  <c r="J408" i="3"/>
  <c r="J401" i="3"/>
  <c r="J373" i="3"/>
  <c r="J396" i="3"/>
  <c r="J389" i="3"/>
  <c r="J383" i="3"/>
  <c r="J370" i="3"/>
  <c r="J354" i="3"/>
  <c r="J349" i="3"/>
  <c r="J342" i="3"/>
  <c r="J333" i="3"/>
  <c r="J341" i="3"/>
  <c r="J330" i="3"/>
  <c r="J394" i="3"/>
  <c r="J360" i="3"/>
  <c r="J355" i="3"/>
  <c r="J346" i="3"/>
  <c r="J400" i="3"/>
  <c r="J372" i="3"/>
  <c r="J359" i="3"/>
  <c r="J351" i="3"/>
  <c r="J335" i="3"/>
  <c r="J348" i="3"/>
  <c r="J358" i="3"/>
  <c r="J416" i="3"/>
  <c r="J390" i="3"/>
  <c r="J343" i="3"/>
  <c r="J337" i="3"/>
  <c r="J339" i="3"/>
  <c r="J328" i="3"/>
  <c r="J404" i="3"/>
  <c r="J392" i="3"/>
  <c r="J384" i="3"/>
  <c r="J371" i="3"/>
  <c r="J350" i="3"/>
  <c r="J334" i="3"/>
  <c r="J336" i="3"/>
  <c r="J331" i="3"/>
  <c r="J403" i="3"/>
  <c r="J314" i="3"/>
  <c r="J352" i="3"/>
  <c r="J347" i="3"/>
  <c r="J340" i="3"/>
  <c r="J329" i="3"/>
  <c r="J353" i="3"/>
  <c r="J320" i="3"/>
  <c r="J317" i="3"/>
  <c r="J322" i="3"/>
  <c r="J312" i="3"/>
  <c r="J307" i="3"/>
  <c r="J302" i="3"/>
  <c r="J311" i="3"/>
  <c r="J303" i="3"/>
  <c r="J301" i="3"/>
  <c r="J319" i="3"/>
  <c r="J324" i="3"/>
  <c r="J309" i="3"/>
  <c r="J300" i="3"/>
  <c r="J308" i="3"/>
  <c r="J299" i="3"/>
  <c r="J305" i="3"/>
  <c r="J321" i="3"/>
  <c r="J306" i="3"/>
  <c r="J318" i="3"/>
  <c r="J323" i="3"/>
  <c r="J378" i="3"/>
  <c r="J376" i="3"/>
  <c r="D1809" i="4" l="1"/>
  <c r="H1809" i="4" s="1"/>
  <c r="D1801" i="4"/>
  <c r="H1801" i="4" s="1"/>
  <c r="J1805" i="4"/>
  <c r="I1808" i="4" s="1"/>
  <c r="I1809" i="4" s="1"/>
  <c r="B1805" i="4"/>
  <c r="J1797" i="4"/>
  <c r="I1800" i="4" s="1"/>
  <c r="I1801" i="4" s="1"/>
  <c r="B1797" i="4"/>
  <c r="B1795" i="4"/>
  <c r="H1791" i="4"/>
  <c r="I1788" i="4" s="1"/>
  <c r="J1788" i="4"/>
  <c r="I1791" i="4" s="1"/>
  <c r="B1788" i="4"/>
  <c r="H1784" i="4"/>
  <c r="I1781" i="4" s="1"/>
  <c r="J1781" i="4"/>
  <c r="I1784" i="4" s="1"/>
  <c r="B1781" i="4"/>
  <c r="B1779" i="4"/>
  <c r="H1775" i="4"/>
  <c r="I1772" i="4" s="1"/>
  <c r="J1772" i="4"/>
  <c r="I1775" i="4" s="1"/>
  <c r="B1772" i="4"/>
  <c r="H1768" i="4"/>
  <c r="I1765" i="4" s="1"/>
  <c r="J1765" i="4"/>
  <c r="I1768" i="4" s="1"/>
  <c r="B1765" i="4"/>
  <c r="H1761" i="4"/>
  <c r="I1758" i="4" s="1"/>
  <c r="J1758" i="4"/>
  <c r="I1761" i="4" s="1"/>
  <c r="B1758" i="4"/>
  <c r="H1754" i="4"/>
  <c r="I1751" i="4" s="1"/>
  <c r="J1751" i="4"/>
  <c r="I1754" i="4" s="1"/>
  <c r="B1751" i="4"/>
  <c r="H1747" i="4"/>
  <c r="I1744" i="4" s="1"/>
  <c r="J1744" i="4"/>
  <c r="I1747" i="4" s="1"/>
  <c r="B1744" i="4"/>
  <c r="H1740" i="4"/>
  <c r="I1737" i="4" s="1"/>
  <c r="J1737" i="4"/>
  <c r="I1740" i="4" s="1"/>
  <c r="B1737" i="4"/>
  <c r="H1733" i="4"/>
  <c r="I1730" i="4" s="1"/>
  <c r="J1730" i="4"/>
  <c r="I1733" i="4" s="1"/>
  <c r="B1730" i="4"/>
  <c r="H1726" i="4"/>
  <c r="I1723" i="4" s="1"/>
  <c r="J1723" i="4"/>
  <c r="I1726" i="4" s="1"/>
  <c r="B1723" i="4"/>
  <c r="H1719" i="4"/>
  <c r="I1716" i="4" s="1"/>
  <c r="J1716" i="4"/>
  <c r="I1719" i="4" s="1"/>
  <c r="B1716" i="4"/>
  <c r="B1714" i="4"/>
  <c r="H1710" i="4"/>
  <c r="I1707" i="4" s="1"/>
  <c r="J1707" i="4"/>
  <c r="B1707" i="4"/>
  <c r="H1703" i="4"/>
  <c r="I1700" i="4" s="1"/>
  <c r="J1700" i="4"/>
  <c r="B1700" i="4"/>
  <c r="H1696" i="4"/>
  <c r="I1693" i="4" s="1"/>
  <c r="J1693" i="4"/>
  <c r="B1693" i="4"/>
  <c r="H1689" i="4"/>
  <c r="I1686" i="4" s="1"/>
  <c r="J1686" i="4"/>
  <c r="B1686" i="4"/>
  <c r="B1684" i="4"/>
  <c r="B1682" i="4"/>
  <c r="H1606" i="4"/>
  <c r="I1603" i="4" s="1"/>
  <c r="J1603" i="4"/>
  <c r="I1606" i="4" s="1"/>
  <c r="B1603" i="4"/>
  <c r="E1680" i="4"/>
  <c r="E1678" i="4"/>
  <c r="E1679" i="4"/>
  <c r="J1670" i="4"/>
  <c r="I1673" i="4" s="1"/>
  <c r="B1670" i="4"/>
  <c r="E1665" i="4"/>
  <c r="E1666" i="4"/>
  <c r="E1664" i="4"/>
  <c r="D1640" i="4"/>
  <c r="H1640" i="4" s="1"/>
  <c r="D1632" i="4"/>
  <c r="J1661" i="4"/>
  <c r="I1664" i="4" s="1"/>
  <c r="I1665" i="4" s="1"/>
  <c r="I1666" i="4" s="1"/>
  <c r="B1661" i="4"/>
  <c r="B1659" i="4"/>
  <c r="J1651" i="4"/>
  <c r="I1654" i="4" s="1"/>
  <c r="I1655" i="4" s="1"/>
  <c r="B1651" i="4"/>
  <c r="J1644" i="4"/>
  <c r="I1647" i="4" s="1"/>
  <c r="B1644" i="4"/>
  <c r="J1636" i="4"/>
  <c r="I1639" i="4" s="1"/>
  <c r="I1640" i="4" s="1"/>
  <c r="B1636" i="4"/>
  <c r="J1628" i="4"/>
  <c r="I1631" i="4" s="1"/>
  <c r="I1632" i="4" s="1"/>
  <c r="B1628" i="4"/>
  <c r="B1626" i="4"/>
  <c r="H1622" i="4"/>
  <c r="I1619" i="4" s="1"/>
  <c r="J1619" i="4"/>
  <c r="I1622" i="4" s="1"/>
  <c r="B1619" i="4"/>
  <c r="H1615" i="4"/>
  <c r="I1612" i="4" s="1"/>
  <c r="J1612" i="4"/>
  <c r="I1615" i="4" s="1"/>
  <c r="B1612" i="4"/>
  <c r="B1610" i="4"/>
  <c r="H1599" i="4"/>
  <c r="I1596" i="4" s="1"/>
  <c r="J1596" i="4"/>
  <c r="I1599" i="4" s="1"/>
  <c r="B1596" i="4"/>
  <c r="H1592" i="4"/>
  <c r="I1589" i="4" s="1"/>
  <c r="J1589" i="4"/>
  <c r="I1592" i="4" s="1"/>
  <c r="B1589" i="4"/>
  <c r="H1585" i="4"/>
  <c r="I1582" i="4" s="1"/>
  <c r="J1582" i="4"/>
  <c r="I1585" i="4" s="1"/>
  <c r="B1582" i="4"/>
  <c r="B1580" i="4"/>
  <c r="H1502" i="4"/>
  <c r="I1499" i="4" s="1"/>
  <c r="J1499" i="4"/>
  <c r="I1502" i="4" s="1"/>
  <c r="B1499" i="4"/>
  <c r="H1495" i="4"/>
  <c r="I1492" i="4" s="1"/>
  <c r="J1492" i="4"/>
  <c r="I1495" i="4" s="1"/>
  <c r="B1492" i="4"/>
  <c r="H1488" i="4"/>
  <c r="I1485" i="4" s="1"/>
  <c r="J1485" i="4"/>
  <c r="I1488" i="4" s="1"/>
  <c r="B1485" i="4"/>
  <c r="H1481" i="4"/>
  <c r="I1478" i="4" s="1"/>
  <c r="J1478" i="4"/>
  <c r="I1481" i="4" s="1"/>
  <c r="B1478" i="4"/>
  <c r="H1474" i="4"/>
  <c r="I1471" i="4" s="1"/>
  <c r="J1471" i="4"/>
  <c r="I1474" i="4" s="1"/>
  <c r="B1471" i="4"/>
  <c r="H1467" i="4"/>
  <c r="I1464" i="4" s="1"/>
  <c r="J1464" i="4"/>
  <c r="I1467" i="4" s="1"/>
  <c r="B1464" i="4"/>
  <c r="H1460" i="4"/>
  <c r="I1457" i="4" s="1"/>
  <c r="J1457" i="4"/>
  <c r="I1460" i="4" s="1"/>
  <c r="B1457" i="4"/>
  <c r="H1453" i="4"/>
  <c r="I1450" i="4" s="1"/>
  <c r="J1450" i="4"/>
  <c r="I1453" i="4" s="1"/>
  <c r="B1450" i="4"/>
  <c r="H1446" i="4"/>
  <c r="I1443" i="4" s="1"/>
  <c r="J1443" i="4"/>
  <c r="I1446" i="4" s="1"/>
  <c r="B1443" i="4"/>
  <c r="H1439" i="4"/>
  <c r="I1436" i="4" s="1"/>
  <c r="J1436" i="4"/>
  <c r="I1439" i="4" s="1"/>
  <c r="B1436" i="4"/>
  <c r="H1332" i="4"/>
  <c r="I1329" i="4" s="1"/>
  <c r="D1666" i="4" s="1"/>
  <c r="J1329" i="4"/>
  <c r="B1329" i="4"/>
  <c r="H1325" i="4"/>
  <c r="I1322" i="4" s="1"/>
  <c r="D1665" i="4" s="1"/>
  <c r="J1322" i="4"/>
  <c r="B1322" i="4"/>
  <c r="H1318" i="4"/>
  <c r="I1315" i="4" s="1"/>
  <c r="J1315" i="4"/>
  <c r="B1315" i="4"/>
  <c r="H1532" i="4"/>
  <c r="I1529" i="4" s="1"/>
  <c r="J1529" i="4"/>
  <c r="I1532" i="4" s="1"/>
  <c r="B1529" i="4"/>
  <c r="H1525" i="4"/>
  <c r="I1522" i="4" s="1"/>
  <c r="J1522" i="4"/>
  <c r="I1525" i="4" s="1"/>
  <c r="B1522" i="4"/>
  <c r="H1518" i="4"/>
  <c r="I1515" i="4" s="1"/>
  <c r="J1515" i="4"/>
  <c r="I1518" i="4" s="1"/>
  <c r="B1515" i="4"/>
  <c r="H1511" i="4"/>
  <c r="I1508" i="4" s="1"/>
  <c r="J1508" i="4"/>
  <c r="I1511" i="4" s="1"/>
  <c r="B1508" i="4"/>
  <c r="B1506" i="4"/>
  <c r="H1432" i="4"/>
  <c r="I1429" i="4" s="1"/>
  <c r="J1429" i="4"/>
  <c r="I1432" i="4" s="1"/>
  <c r="B1429" i="4"/>
  <c r="H1425" i="4"/>
  <c r="I1422" i="4" s="1"/>
  <c r="J1422" i="4"/>
  <c r="I1425" i="4" s="1"/>
  <c r="B1422" i="4"/>
  <c r="H1418" i="4"/>
  <c r="I1415" i="4" s="1"/>
  <c r="J1415" i="4"/>
  <c r="I1418" i="4" s="1"/>
  <c r="B1415" i="4"/>
  <c r="H1411" i="4"/>
  <c r="I1408" i="4" s="1"/>
  <c r="J1408" i="4"/>
  <c r="I1411" i="4" s="1"/>
  <c r="B1408" i="4"/>
  <c r="H1404" i="4"/>
  <c r="I1401" i="4" s="1"/>
  <c r="J1401" i="4"/>
  <c r="I1404" i="4" s="1"/>
  <c r="B1401" i="4"/>
  <c r="H1397" i="4"/>
  <c r="I1394" i="4" s="1"/>
  <c r="J1394" i="4"/>
  <c r="I1397" i="4" s="1"/>
  <c r="B1394" i="4"/>
  <c r="H1390" i="4"/>
  <c r="I1387" i="4" s="1"/>
  <c r="J1387" i="4"/>
  <c r="I1390" i="4" s="1"/>
  <c r="B1387" i="4"/>
  <c r="H1383" i="4"/>
  <c r="I1380" i="4" s="1"/>
  <c r="J1380" i="4"/>
  <c r="I1383" i="4" s="1"/>
  <c r="B1380" i="4"/>
  <c r="H1376" i="4"/>
  <c r="I1373" i="4" s="1"/>
  <c r="J1373" i="4"/>
  <c r="I1376" i="4" s="1"/>
  <c r="B1373" i="4"/>
  <c r="H1369" i="4"/>
  <c r="I1366" i="4" s="1"/>
  <c r="J1366" i="4"/>
  <c r="I1369" i="4" s="1"/>
  <c r="B1366" i="4"/>
  <c r="B1359" i="4"/>
  <c r="J1359" i="4"/>
  <c r="I1362" i="4" s="1"/>
  <c r="H1362" i="4"/>
  <c r="I1359" i="4" s="1"/>
  <c r="H1355" i="4"/>
  <c r="I1352" i="4" s="1"/>
  <c r="J1352" i="4"/>
  <c r="I1355" i="4" s="1"/>
  <c r="B1352" i="4"/>
  <c r="H1348" i="4"/>
  <c r="I1345" i="4" s="1"/>
  <c r="J1345" i="4"/>
  <c r="I1348" i="4" s="1"/>
  <c r="B1345" i="4"/>
  <c r="H1341" i="4"/>
  <c r="I1338" i="4" s="1"/>
  <c r="J1338" i="4"/>
  <c r="I1341" i="4" s="1"/>
  <c r="B1338" i="4"/>
  <c r="B1336" i="4"/>
  <c r="H1311" i="4"/>
  <c r="H1310" i="4"/>
  <c r="J1307" i="4"/>
  <c r="B1307" i="4"/>
  <c r="H1303" i="4"/>
  <c r="I1300" i="4" s="1"/>
  <c r="J1300" i="4"/>
  <c r="B1300" i="4"/>
  <c r="H1296" i="4"/>
  <c r="I1293" i="4" s="1"/>
  <c r="J1293" i="4"/>
  <c r="B1293" i="4"/>
  <c r="H1289" i="4"/>
  <c r="I1286" i="4" s="1"/>
  <c r="J1286" i="4"/>
  <c r="B1286" i="4"/>
  <c r="B1284" i="4"/>
  <c r="B1282" i="4"/>
  <c r="D1664" i="4" l="1"/>
  <c r="D1678" i="4" s="1"/>
  <c r="H1678" i="4" s="1"/>
  <c r="D1655" i="4"/>
  <c r="H1655" i="4" s="1"/>
  <c r="D1631" i="4"/>
  <c r="H1631" i="4" s="1"/>
  <c r="I1289" i="4"/>
  <c r="D1808" i="4"/>
  <c r="H1808" i="4" s="1"/>
  <c r="I1805" i="4" s="1"/>
  <c r="D1680" i="4"/>
  <c r="H1680" i="4" s="1"/>
  <c r="H1666" i="4"/>
  <c r="D1679" i="4"/>
  <c r="H1679" i="4" s="1"/>
  <c r="H1665" i="4"/>
  <c r="H1632" i="4"/>
  <c r="D1647" i="4"/>
  <c r="H1647" i="4" s="1"/>
  <c r="I1644" i="4" s="1"/>
  <c r="D1800" i="4"/>
  <c r="H1800" i="4" s="1"/>
  <c r="I1797" i="4" s="1"/>
  <c r="I1710" i="4"/>
  <c r="I1703" i="4"/>
  <c r="I1696" i="4"/>
  <c r="I1689" i="4"/>
  <c r="I1678" i="4"/>
  <c r="I1679" i="4" s="1"/>
  <c r="I1680" i="4" s="1"/>
  <c r="I1332" i="4"/>
  <c r="I1325" i="4"/>
  <c r="I1318" i="4"/>
  <c r="I1307" i="4"/>
  <c r="D1639" i="4" s="1"/>
  <c r="H1639" i="4" s="1"/>
  <c r="I1636" i="4" s="1"/>
  <c r="I1311" i="4"/>
  <c r="I1310" i="4"/>
  <c r="I1303" i="4"/>
  <c r="I1296" i="4"/>
  <c r="H1664" i="4" l="1"/>
  <c r="I1661" i="4" s="1"/>
  <c r="F1673" i="4" s="1"/>
  <c r="H1673" i="4" s="1"/>
  <c r="I1670" i="4" s="1"/>
  <c r="I1628" i="4"/>
  <c r="D1654" i="4"/>
  <c r="H1654" i="4" s="1"/>
  <c r="I1651" i="4" s="1"/>
  <c r="G227" i="3"/>
  <c r="H227" i="3" s="1"/>
  <c r="H205" i="3" l="1"/>
  <c r="G247" i="3"/>
  <c r="H247" i="3" s="1"/>
  <c r="G234" i="3"/>
  <c r="H234" i="3" s="1"/>
  <c r="H207" i="3"/>
  <c r="G248" i="3"/>
  <c r="H248" i="3" s="1"/>
  <c r="H834" i="4" l="1"/>
  <c r="I831" i="4" s="1"/>
  <c r="H829" i="4"/>
  <c r="I826" i="4" s="1"/>
  <c r="J831" i="4"/>
  <c r="I834" i="4" s="1"/>
  <c r="B831" i="4"/>
  <c r="F805" i="4"/>
  <c r="H805" i="4" s="1"/>
  <c r="F790" i="4"/>
  <c r="H790" i="4" s="1"/>
  <c r="I787" i="4" s="1"/>
  <c r="H692" i="4"/>
  <c r="H693" i="4"/>
  <c r="H694" i="4"/>
  <c r="H695" i="4"/>
  <c r="H696" i="4"/>
  <c r="H691" i="4"/>
  <c r="H685" i="4"/>
  <c r="H684" i="4"/>
  <c r="H668" i="4"/>
  <c r="H667" i="4"/>
  <c r="J688" i="4"/>
  <c r="I691" i="4" s="1"/>
  <c r="B688" i="4"/>
  <c r="J681" i="4"/>
  <c r="B681" i="4"/>
  <c r="J664" i="4"/>
  <c r="B664" i="4"/>
  <c r="B662" i="4"/>
  <c r="B660" i="4"/>
  <c r="I677" i="4" l="1"/>
  <c r="I676" i="4"/>
  <c r="I675" i="4"/>
  <c r="I678" i="4"/>
  <c r="I688" i="4"/>
  <c r="I681" i="4"/>
  <c r="I695" i="4"/>
  <c r="I693" i="4"/>
  <c r="I694" i="4"/>
  <c r="I696" i="4"/>
  <c r="I692" i="4"/>
  <c r="I685" i="4"/>
  <c r="I684" i="4"/>
  <c r="I664" i="4"/>
  <c r="G51" i="3" l="1"/>
  <c r="H51" i="3" s="1"/>
  <c r="G112" i="3" l="1"/>
  <c r="H112" i="3" s="1"/>
  <c r="F657" i="4" l="1"/>
  <c r="H657" i="4" s="1"/>
  <c r="H651" i="4"/>
  <c r="I648" i="4" s="1"/>
  <c r="H645" i="4"/>
  <c r="I642" i="4" s="1"/>
  <c r="F565" i="4" s="1"/>
  <c r="H565" i="4" s="1"/>
  <c r="J654" i="4"/>
  <c r="I657" i="4" s="1"/>
  <c r="B654" i="4"/>
  <c r="J648" i="4"/>
  <c r="B648" i="4"/>
  <c r="J642" i="4"/>
  <c r="B642" i="4"/>
  <c r="H628" i="4"/>
  <c r="H627" i="4"/>
  <c r="H618" i="4"/>
  <c r="H612" i="4"/>
  <c r="I609" i="4" s="1"/>
  <c r="J601" i="4"/>
  <c r="I606" i="4" s="1"/>
  <c r="B601" i="4"/>
  <c r="B818" i="4"/>
  <c r="H821" i="4"/>
  <c r="I818" i="4" s="1"/>
  <c r="I821" i="4"/>
  <c r="F799" i="4"/>
  <c r="H799" i="4" s="1"/>
  <c r="F798" i="4"/>
  <c r="H798" i="4" s="1"/>
  <c r="F797" i="4"/>
  <c r="H797" i="4" s="1"/>
  <c r="F814" i="4"/>
  <c r="H814" i="4" s="1"/>
  <c r="F816" i="4"/>
  <c r="H816" i="4" s="1"/>
  <c r="F815" i="4"/>
  <c r="H815" i="4" s="1"/>
  <c r="I802" i="4"/>
  <c r="I594" i="4" l="1"/>
  <c r="G41" i="3"/>
  <c r="H41" i="3" s="1"/>
  <c r="I623" i="4"/>
  <c r="F534" i="4" s="1"/>
  <c r="H534" i="4" s="1"/>
  <c r="I654" i="4"/>
  <c r="I586" i="4"/>
  <c r="I794" i="4"/>
  <c r="I811" i="4"/>
  <c r="F581" i="4" l="1"/>
  <c r="H581" i="4" s="1"/>
  <c r="I578" i="4" s="1"/>
  <c r="F575" i="4"/>
  <c r="F574" i="4"/>
  <c r="H558" i="4" l="1"/>
  <c r="H527" i="4" l="1"/>
  <c r="H526" i="4"/>
  <c r="H521" i="4" l="1"/>
  <c r="H520" i="4"/>
  <c r="J637" i="4" l="1"/>
  <c r="I640" i="4" s="1"/>
  <c r="B637" i="4"/>
  <c r="J631" i="4"/>
  <c r="B631" i="4"/>
  <c r="J623" i="4"/>
  <c r="I627" i="4" s="1"/>
  <c r="I628" i="4" s="1"/>
  <c r="D640" i="4"/>
  <c r="H640" i="4" s="1"/>
  <c r="B623" i="4"/>
  <c r="B621" i="4"/>
  <c r="J615" i="4"/>
  <c r="I618" i="4" s="1"/>
  <c r="I615" i="4"/>
  <c r="B615" i="4"/>
  <c r="J609" i="4"/>
  <c r="I612" i="4" s="1"/>
  <c r="B609" i="4"/>
  <c r="J594" i="4"/>
  <c r="B594" i="4"/>
  <c r="J586" i="4"/>
  <c r="I591" i="4" s="1"/>
  <c r="B586" i="4"/>
  <c r="B584" i="4"/>
  <c r="J578" i="4"/>
  <c r="I581" i="4" s="1"/>
  <c r="B578" i="4"/>
  <c r="H575" i="4"/>
  <c r="H574" i="4"/>
  <c r="J560" i="4"/>
  <c r="I563" i="4" s="1"/>
  <c r="B560" i="4"/>
  <c r="J555" i="4"/>
  <c r="I558" i="4" s="1"/>
  <c r="B555" i="4"/>
  <c r="F563" i="4"/>
  <c r="H563" i="4" s="1"/>
  <c r="J539" i="4"/>
  <c r="I651" i="4" s="1"/>
  <c r="B539" i="4"/>
  <c r="J529" i="4"/>
  <c r="B529" i="4"/>
  <c r="J523" i="4"/>
  <c r="B523" i="4"/>
  <c r="H567" i="4" l="1"/>
  <c r="I560" i="4" s="1"/>
  <c r="I645" i="4"/>
  <c r="I571" i="4"/>
  <c r="I631" i="4"/>
  <c r="I523" i="4"/>
  <c r="I555" i="4"/>
  <c r="I567" i="4"/>
  <c r="I565" i="4"/>
  <c r="I517" i="4"/>
  <c r="F532" i="4" s="1"/>
  <c r="H532" i="4" s="1"/>
  <c r="G59" i="3" l="1"/>
  <c r="H59" i="3" s="1"/>
  <c r="I637" i="4"/>
  <c r="F535" i="4"/>
  <c r="H535" i="4" s="1"/>
  <c r="H537" i="4" s="1"/>
  <c r="I529" i="4" s="1"/>
  <c r="C3" i="4"/>
  <c r="C2" i="4"/>
  <c r="J290" i="3" l="1"/>
  <c r="J279" i="3"/>
  <c r="J263" i="3"/>
  <c r="J249" i="3"/>
  <c r="J220" i="3"/>
  <c r="J211" i="3"/>
  <c r="J200" i="3"/>
  <c r="J185" i="3"/>
  <c r="J172" i="3"/>
  <c r="J162" i="3"/>
  <c r="J144" i="3"/>
  <c r="J130" i="3"/>
  <c r="J113" i="3"/>
  <c r="J94" i="3"/>
  <c r="J78" i="3"/>
  <c r="J62" i="3"/>
  <c r="J45" i="3"/>
  <c r="J27" i="3"/>
  <c r="J19" i="3"/>
  <c r="J257" i="3"/>
  <c r="J223" i="3"/>
  <c r="J22" i="3"/>
  <c r="J289" i="3"/>
  <c r="J278" i="3"/>
  <c r="J248" i="3"/>
  <c r="J227" i="3"/>
  <c r="J218" i="3"/>
  <c r="J210" i="3"/>
  <c r="J199" i="3"/>
  <c r="J182" i="3"/>
  <c r="J171" i="3"/>
  <c r="J161" i="3"/>
  <c r="J126" i="3"/>
  <c r="J112" i="3"/>
  <c r="J89" i="3"/>
  <c r="J76" i="3"/>
  <c r="J60" i="3"/>
  <c r="J44" i="3"/>
  <c r="J18" i="3"/>
  <c r="J215" i="3"/>
  <c r="J234" i="3"/>
  <c r="J286" i="3"/>
  <c r="J277" i="3"/>
  <c r="J247" i="3"/>
  <c r="J226" i="3"/>
  <c r="J217" i="3"/>
  <c r="J209" i="3"/>
  <c r="J197" i="3"/>
  <c r="J181" i="3"/>
  <c r="J143" i="3"/>
  <c r="J125" i="3"/>
  <c r="J88" i="3"/>
  <c r="J75" i="3"/>
  <c r="J41" i="3"/>
  <c r="J25" i="3"/>
  <c r="J14" i="3"/>
  <c r="J284" i="3"/>
  <c r="J195" i="3"/>
  <c r="J85" i="3"/>
  <c r="J175" i="3"/>
  <c r="J103" i="3"/>
  <c r="J285" i="3"/>
  <c r="J273" i="3"/>
  <c r="J258" i="3"/>
  <c r="J236" i="3"/>
  <c r="J225" i="3"/>
  <c r="J216" i="3"/>
  <c r="J208" i="3"/>
  <c r="J196" i="3"/>
  <c r="J180" i="3"/>
  <c r="J122" i="3"/>
  <c r="J87" i="3"/>
  <c r="J74" i="3"/>
  <c r="J58" i="3"/>
  <c r="J40" i="3"/>
  <c r="J24" i="3"/>
  <c r="J13" i="3"/>
  <c r="J272" i="3"/>
  <c r="J207" i="3"/>
  <c r="J70" i="3"/>
  <c r="J23" i="3"/>
  <c r="J283" i="3"/>
  <c r="J214" i="3"/>
  <c r="J84" i="3"/>
  <c r="J282" i="3"/>
  <c r="J269" i="3"/>
  <c r="J253" i="3"/>
  <c r="J233" i="3"/>
  <c r="J222" i="3"/>
  <c r="J205" i="3"/>
  <c r="J189" i="3"/>
  <c r="J174" i="3"/>
  <c r="J117" i="3"/>
  <c r="J99" i="3"/>
  <c r="J83" i="3"/>
  <c r="J64" i="3"/>
  <c r="J50" i="3"/>
  <c r="J29" i="3"/>
  <c r="J21" i="3"/>
  <c r="J224" i="3"/>
  <c r="J121" i="3"/>
  <c r="J52" i="3"/>
  <c r="J254" i="3"/>
  <c r="J206" i="3"/>
  <c r="J118" i="3"/>
  <c r="J51" i="3"/>
  <c r="J293" i="3"/>
  <c r="J280" i="3"/>
  <c r="J264" i="3"/>
  <c r="J250" i="3"/>
  <c r="J229" i="3"/>
  <c r="J221" i="3"/>
  <c r="J212" i="3"/>
  <c r="J201" i="3"/>
  <c r="J188" i="3"/>
  <c r="J173" i="3"/>
  <c r="J148" i="3"/>
  <c r="J131" i="3"/>
  <c r="J114" i="3"/>
  <c r="J96" i="3"/>
  <c r="J79" i="3"/>
  <c r="J63" i="3"/>
  <c r="J46" i="3"/>
  <c r="J20" i="3"/>
  <c r="J235" i="3"/>
  <c r="J176" i="3"/>
  <c r="J104" i="3"/>
  <c r="J39" i="3"/>
  <c r="J270" i="3"/>
  <c r="J194" i="3"/>
  <c r="J68" i="3"/>
  <c r="J59" i="3"/>
  <c r="H242" i="3" l="1"/>
  <c r="J242" i="3" s="1"/>
  <c r="G380" i="3"/>
  <c r="H380" i="3" s="1"/>
  <c r="J380" i="3" s="1"/>
  <c r="G379" i="3"/>
  <c r="H379" i="3" s="1"/>
  <c r="J379" i="3" s="1"/>
  <c r="G260" i="3"/>
  <c r="H260" i="3" s="1"/>
  <c r="J260" i="3" s="1"/>
  <c r="H417" i="3" l="1"/>
  <c r="J417" i="3" s="1"/>
  <c r="H377" i="3"/>
  <c r="J377" i="3" s="1"/>
  <c r="J421" i="3"/>
  <c r="G294" i="3"/>
  <c r="H294" i="3" s="1"/>
  <c r="J294" i="3" s="1"/>
  <c r="G228" i="3"/>
  <c r="H228" i="3" s="1"/>
  <c r="J228" i="3" s="1"/>
  <c r="G259" i="3"/>
  <c r="H259" i="3" s="1"/>
  <c r="J259" i="3" s="1"/>
  <c r="G213" i="3"/>
  <c r="H213" i="3" s="1"/>
  <c r="J213" i="3" s="1"/>
  <c r="F490" i="4"/>
  <c r="H490" i="4" s="1"/>
  <c r="H469" i="4"/>
  <c r="E470" i="4"/>
  <c r="E471" i="4"/>
  <c r="E472" i="4"/>
  <c r="E473" i="4"/>
  <c r="E474" i="4"/>
  <c r="E475" i="4"/>
  <c r="E476" i="4"/>
  <c r="E477" i="4"/>
  <c r="E478" i="4"/>
  <c r="E479" i="4"/>
  <c r="E719" i="4"/>
  <c r="I719" i="4" s="1"/>
  <c r="I718" i="4"/>
  <c r="I707" i="4"/>
  <c r="H470" i="4" l="1"/>
  <c r="H473" i="4"/>
  <c r="H472" i="4"/>
  <c r="H471" i="4"/>
  <c r="H474" i="4" l="1"/>
  <c r="H475" i="4"/>
  <c r="H476" i="4"/>
  <c r="H28" i="3" l="1"/>
  <c r="J28" i="3" s="1"/>
  <c r="H477" i="4"/>
  <c r="F506" i="4"/>
  <c r="H56" i="4"/>
  <c r="E1201" i="4"/>
  <c r="H478" i="4" l="1"/>
  <c r="H50" i="4"/>
  <c r="H479" i="4" l="1"/>
  <c r="D773" i="4"/>
  <c r="H773" i="4" s="1"/>
  <c r="I1148" i="4"/>
  <c r="I1145" i="4" s="1"/>
  <c r="I1154" i="4"/>
  <c r="I1153" i="4"/>
  <c r="J1277" i="4"/>
  <c r="B1277" i="4"/>
  <c r="J1272" i="4"/>
  <c r="B1272" i="4"/>
  <c r="B1270" i="4"/>
  <c r="G876" i="4"/>
  <c r="I875" i="4"/>
  <c r="F874" i="4"/>
  <c r="E874" i="4"/>
  <c r="F873" i="4"/>
  <c r="E873" i="4"/>
  <c r="F872" i="4"/>
  <c r="E872" i="4"/>
  <c r="F871" i="4"/>
  <c r="E871" i="4"/>
  <c r="F870" i="4"/>
  <c r="E870" i="4"/>
  <c r="F869" i="4"/>
  <c r="E869" i="4"/>
  <c r="F868" i="4"/>
  <c r="E868" i="4"/>
  <c r="F867" i="4"/>
  <c r="E867" i="4"/>
  <c r="F866" i="4"/>
  <c r="E866" i="4"/>
  <c r="F865" i="4"/>
  <c r="E865" i="4"/>
  <c r="F864" i="4"/>
  <c r="E864" i="4"/>
  <c r="F863" i="4"/>
  <c r="E863" i="4"/>
  <c r="I862" i="4"/>
  <c r="F861" i="4"/>
  <c r="E861" i="4"/>
  <c r="J858" i="4"/>
  <c r="B858" i="4"/>
  <c r="G855" i="4"/>
  <c r="I855" i="4" s="1"/>
  <c r="F855" i="4"/>
  <c r="E855" i="4"/>
  <c r="F854" i="4"/>
  <c r="E854" i="4"/>
  <c r="F853" i="4"/>
  <c r="E853" i="4"/>
  <c r="F852" i="4"/>
  <c r="E852" i="4"/>
  <c r="F851" i="4"/>
  <c r="E851" i="4"/>
  <c r="F850" i="4"/>
  <c r="E850" i="4"/>
  <c r="F849" i="4"/>
  <c r="E849" i="4"/>
  <c r="F848" i="4"/>
  <c r="E848" i="4"/>
  <c r="F847" i="4"/>
  <c r="E847" i="4"/>
  <c r="F846" i="4"/>
  <c r="E846" i="4"/>
  <c r="F845" i="4"/>
  <c r="E845" i="4"/>
  <c r="F844" i="4"/>
  <c r="E844" i="4"/>
  <c r="F843" i="4"/>
  <c r="E843" i="4"/>
  <c r="G842" i="4"/>
  <c r="I842" i="4" s="1"/>
  <c r="F841" i="4"/>
  <c r="E841" i="4"/>
  <c r="F979" i="4"/>
  <c r="E979" i="4"/>
  <c r="F978" i="4"/>
  <c r="E978" i="4"/>
  <c r="F977" i="4"/>
  <c r="E977" i="4"/>
  <c r="F976" i="4"/>
  <c r="E976" i="4"/>
  <c r="F975" i="4"/>
  <c r="E975" i="4"/>
  <c r="F974" i="4"/>
  <c r="E974" i="4"/>
  <c r="F973" i="4"/>
  <c r="E973" i="4"/>
  <c r="F972" i="4"/>
  <c r="E972" i="4"/>
  <c r="F971" i="4"/>
  <c r="E971" i="4"/>
  <c r="F970" i="4"/>
  <c r="E970" i="4"/>
  <c r="F969" i="4"/>
  <c r="E969" i="4"/>
  <c r="F968" i="4"/>
  <c r="E968" i="4"/>
  <c r="F966" i="4"/>
  <c r="E966" i="4"/>
  <c r="G980" i="4"/>
  <c r="G967" i="4"/>
  <c r="G856" i="4"/>
  <c r="I856" i="4" s="1"/>
  <c r="I876" i="4" l="1"/>
  <c r="I466" i="4"/>
  <c r="G844" i="4"/>
  <c r="I844" i="4" s="1"/>
  <c r="G854" i="4"/>
  <c r="I854" i="4" s="1"/>
  <c r="G861" i="4"/>
  <c r="G849" i="4"/>
  <c r="I849" i="4" s="1"/>
  <c r="G867" i="4"/>
  <c r="G863" i="4"/>
  <c r="G846" i="4"/>
  <c r="I846" i="4" s="1"/>
  <c r="G848" i="4"/>
  <c r="I848" i="4" s="1"/>
  <c r="G850" i="4"/>
  <c r="I850" i="4" s="1"/>
  <c r="G852" i="4"/>
  <c r="I852" i="4" s="1"/>
  <c r="G866" i="4"/>
  <c r="G870" i="4"/>
  <c r="G872" i="4"/>
  <c r="G874" i="4"/>
  <c r="G843" i="4"/>
  <c r="I843" i="4" s="1"/>
  <c r="G851" i="4"/>
  <c r="I851" i="4" s="1"/>
  <c r="G865" i="4"/>
  <c r="G869" i="4"/>
  <c r="G873" i="4"/>
  <c r="G871" i="4"/>
  <c r="G853" i="4"/>
  <c r="I853" i="4" s="1"/>
  <c r="G841" i="4"/>
  <c r="I841" i="4" s="1"/>
  <c r="G845" i="4"/>
  <c r="I845" i="4" s="1"/>
  <c r="G847" i="4"/>
  <c r="I847" i="4" s="1"/>
  <c r="G868" i="4"/>
  <c r="G864" i="4"/>
  <c r="J838" i="4"/>
  <c r="B838" i="4"/>
  <c r="B836" i="4"/>
  <c r="J826" i="4"/>
  <c r="I829" i="4" s="1"/>
  <c r="B826" i="4"/>
  <c r="B824" i="4"/>
  <c r="J811" i="4"/>
  <c r="B811" i="4"/>
  <c r="B809" i="4"/>
  <c r="J787" i="4"/>
  <c r="B787" i="4"/>
  <c r="B785" i="4"/>
  <c r="B783" i="4"/>
  <c r="I770" i="4"/>
  <c r="G749" i="4"/>
  <c r="I749" i="4" s="1"/>
  <c r="F485" i="4"/>
  <c r="H487" i="4"/>
  <c r="H488" i="4"/>
  <c r="H489" i="4"/>
  <c r="I861" i="4" l="1"/>
  <c r="I867" i="4"/>
  <c r="I874" i="4"/>
  <c r="I866" i="4"/>
  <c r="I870" i="4"/>
  <c r="I863" i="4"/>
  <c r="I868" i="4"/>
  <c r="I869" i="4"/>
  <c r="I872" i="4"/>
  <c r="I864" i="4"/>
  <c r="I865" i="4"/>
  <c r="I873" i="4"/>
  <c r="I871" i="4"/>
  <c r="I838" i="4"/>
  <c r="J876" i="4"/>
  <c r="J874" i="4"/>
  <c r="J870" i="4"/>
  <c r="J866" i="4"/>
  <c r="J862" i="4"/>
  <c r="J873" i="4"/>
  <c r="J869" i="4"/>
  <c r="J865" i="4"/>
  <c r="J875" i="4"/>
  <c r="J871" i="4"/>
  <c r="J867" i="4"/>
  <c r="J863" i="4"/>
  <c r="J861" i="4"/>
  <c r="J872" i="4"/>
  <c r="J868" i="4"/>
  <c r="J864" i="4"/>
  <c r="J841" i="4"/>
  <c r="J847" i="4"/>
  <c r="J842" i="4"/>
  <c r="J844" i="4"/>
  <c r="J846" i="4"/>
  <c r="J848" i="4"/>
  <c r="J850" i="4"/>
  <c r="J852" i="4"/>
  <c r="J854" i="4"/>
  <c r="J856" i="4"/>
  <c r="J843" i="4"/>
  <c r="J849" i="4"/>
  <c r="J853" i="4"/>
  <c r="J845" i="4"/>
  <c r="J851" i="4"/>
  <c r="J855" i="4"/>
  <c r="F486" i="4"/>
  <c r="H486" i="4" s="1"/>
  <c r="H485" i="4"/>
  <c r="F1280" i="4" l="1"/>
  <c r="F1275" i="4"/>
  <c r="I482" i="4"/>
  <c r="I858" i="4"/>
  <c r="C442" i="4"/>
  <c r="C441" i="4"/>
  <c r="J452" i="4" l="1"/>
  <c r="I455" i="4" s="1"/>
  <c r="B452" i="4"/>
  <c r="H417" i="4"/>
  <c r="I414" i="4" s="1"/>
  <c r="J414" i="4"/>
  <c r="I417" i="4" s="1"/>
  <c r="B414" i="4"/>
  <c r="F365" i="4" l="1"/>
  <c r="H365" i="4" s="1"/>
  <c r="F364" i="4"/>
  <c r="H364" i="4" s="1"/>
  <c r="F363" i="4"/>
  <c r="H363" i="4" s="1"/>
  <c r="H362" i="4"/>
  <c r="H361" i="4"/>
  <c r="H360" i="4"/>
  <c r="H359" i="4"/>
  <c r="H358" i="4"/>
  <c r="H357" i="4"/>
  <c r="A354" i="4"/>
  <c r="E350" i="4"/>
  <c r="H350" i="4" s="1"/>
  <c r="E349" i="4"/>
  <c r="H349" i="4" s="1"/>
  <c r="F348" i="4"/>
  <c r="E348" i="4"/>
  <c r="E347" i="4"/>
  <c r="H347" i="4" s="1"/>
  <c r="H346" i="4"/>
  <c r="H345" i="4"/>
  <c r="H344" i="4"/>
  <c r="H201" i="4"/>
  <c r="H191" i="4"/>
  <c r="H192" i="4"/>
  <c r="H193" i="4"/>
  <c r="H194" i="4"/>
  <c r="H195" i="4"/>
  <c r="H196" i="4"/>
  <c r="H197" i="4"/>
  <c r="H198" i="4"/>
  <c r="H199" i="4"/>
  <c r="H200" i="4"/>
  <c r="H190" i="4"/>
  <c r="H212" i="4"/>
  <c r="H211" i="4"/>
  <c r="H210" i="4"/>
  <c r="H209" i="4"/>
  <c r="H208" i="4"/>
  <c r="F181" i="4"/>
  <c r="H181" i="4" s="1"/>
  <c r="F180" i="4"/>
  <c r="H180" i="4" s="1"/>
  <c r="F179" i="4"/>
  <c r="H179" i="4" s="1"/>
  <c r="H178" i="4"/>
  <c r="H173" i="4"/>
  <c r="H174" i="4"/>
  <c r="H175" i="4"/>
  <c r="H176" i="4"/>
  <c r="H177" i="4"/>
  <c r="H147" i="4"/>
  <c r="A170" i="4"/>
  <c r="H152" i="4"/>
  <c r="H149" i="4"/>
  <c r="H150" i="4"/>
  <c r="H151" i="4"/>
  <c r="H367" i="4" l="1"/>
  <c r="H348" i="4"/>
  <c r="H352" i="4" s="1"/>
  <c r="H183" i="4"/>
  <c r="E294" i="4"/>
  <c r="E295" i="4"/>
  <c r="E296" i="4"/>
  <c r="E293" i="4"/>
  <c r="E292" i="4"/>
  <c r="E291" i="4"/>
  <c r="E283" i="4"/>
  <c r="E284" i="4"/>
  <c r="E285" i="4"/>
  <c r="E286" i="4"/>
  <c r="E287" i="4"/>
  <c r="E288" i="4"/>
  <c r="E289" i="4"/>
  <c r="E290" i="4"/>
  <c r="E282" i="4"/>
  <c r="F980" i="4"/>
  <c r="E980" i="4"/>
  <c r="I942" i="4"/>
  <c r="I941" i="4"/>
  <c r="I940" i="4"/>
  <c r="I939" i="4"/>
  <c r="I938" i="4"/>
  <c r="I937" i="4"/>
  <c r="I936" i="4"/>
  <c r="G933" i="4"/>
  <c r="I933" i="4" s="1"/>
  <c r="G932" i="4"/>
  <c r="I932" i="4" s="1"/>
  <c r="G931" i="4"/>
  <c r="I931" i="4" s="1"/>
  <c r="I930" i="4"/>
  <c r="G929" i="4"/>
  <c r="I929" i="4" s="1"/>
  <c r="G928" i="4"/>
  <c r="I928" i="4" s="1"/>
  <c r="G927" i="4"/>
  <c r="I927" i="4" s="1"/>
  <c r="G926" i="4"/>
  <c r="I926" i="4" s="1"/>
  <c r="G925" i="4"/>
  <c r="I925" i="4" s="1"/>
  <c r="G924" i="4"/>
  <c r="I924" i="4" s="1"/>
  <c r="G923" i="4"/>
  <c r="I923" i="4" s="1"/>
  <c r="G922" i="4"/>
  <c r="I922" i="4" s="1"/>
  <c r="G921" i="4"/>
  <c r="I921" i="4" s="1"/>
  <c r="G920" i="4"/>
  <c r="I920" i="4" s="1"/>
  <c r="G919" i="4"/>
  <c r="I919" i="4" s="1"/>
  <c r="G918" i="4"/>
  <c r="I918" i="4" s="1"/>
  <c r="I917" i="4"/>
  <c r="I910" i="4"/>
  <c r="H369" i="4" l="1"/>
  <c r="I341" i="4" s="1"/>
  <c r="E434" i="4" s="1"/>
  <c r="F434" i="4" s="1"/>
  <c r="H434" i="4" s="1"/>
  <c r="J571" i="4"/>
  <c r="B571" i="4"/>
  <c r="B569" i="4"/>
  <c r="J517" i="4"/>
  <c r="B517" i="4"/>
  <c r="B515" i="4"/>
  <c r="B513" i="4"/>
  <c r="I667" i="4" l="1"/>
  <c r="I668" i="4"/>
  <c r="I574" i="4"/>
  <c r="I575" i="4"/>
  <c r="I532" i="4"/>
  <c r="I527" i="4"/>
  <c r="I526" i="4"/>
  <c r="I520" i="4"/>
  <c r="I521" i="4"/>
  <c r="G886" i="4"/>
  <c r="G995" i="4"/>
  <c r="I995" i="4" s="1"/>
  <c r="G966" i="4"/>
  <c r="I966" i="4" s="1"/>
  <c r="J1256" i="4"/>
  <c r="B1256" i="4"/>
  <c r="J1251" i="4"/>
  <c r="B1251" i="4"/>
  <c r="J1112" i="4"/>
  <c r="I1115" i="4" s="1"/>
  <c r="B1112" i="4"/>
  <c r="B1110" i="4"/>
  <c r="J1104" i="4"/>
  <c r="I1107" i="4" s="1"/>
  <c r="B1104" i="4"/>
  <c r="H1084" i="4"/>
  <c r="H1085" i="4"/>
  <c r="H1086" i="4"/>
  <c r="H1087" i="4"/>
  <c r="H1088" i="4"/>
  <c r="H1089" i="4"/>
  <c r="H1090" i="4"/>
  <c r="H1091" i="4"/>
  <c r="H1092" i="4"/>
  <c r="H1093" i="4"/>
  <c r="H1094" i="4"/>
  <c r="H1095" i="4"/>
  <c r="H1096" i="4"/>
  <c r="H1097" i="4"/>
  <c r="H1098" i="4"/>
  <c r="H1083" i="4"/>
  <c r="J1066" i="4"/>
  <c r="I1069" i="4" s="1"/>
  <c r="B1066" i="4"/>
  <c r="E781" i="4"/>
  <c r="H781" i="4" s="1"/>
  <c r="E780" i="4"/>
  <c r="H780" i="4" s="1"/>
  <c r="J777" i="4"/>
  <c r="B777" i="4"/>
  <c r="B775" i="4"/>
  <c r="J770" i="4"/>
  <c r="I773" i="4" s="1"/>
  <c r="B770" i="4"/>
  <c r="H767" i="4"/>
  <c r="H768" i="4"/>
  <c r="E766" i="4"/>
  <c r="H766" i="4" s="1"/>
  <c r="H757" i="4"/>
  <c r="H758" i="4"/>
  <c r="H759" i="4"/>
  <c r="H760" i="4"/>
  <c r="H761" i="4"/>
  <c r="H762" i="4"/>
  <c r="H763" i="4"/>
  <c r="H764" i="4"/>
  <c r="H765" i="4"/>
  <c r="H756" i="4"/>
  <c r="J753" i="4"/>
  <c r="I756" i="4" s="1"/>
  <c r="B753" i="4"/>
  <c r="I1259" i="4" l="1"/>
  <c r="I805" i="4"/>
  <c r="I798" i="4"/>
  <c r="I797" i="4"/>
  <c r="I799" i="4"/>
  <c r="I816" i="4"/>
  <c r="I1254" i="4"/>
  <c r="I815" i="4"/>
  <c r="I814" i="4"/>
  <c r="I780" i="4"/>
  <c r="I790" i="4"/>
  <c r="H1100" i="4"/>
  <c r="I1108" i="4"/>
  <c r="I1085" i="4"/>
  <c r="I1093" i="4"/>
  <c r="I1094" i="4"/>
  <c r="I1087" i="4"/>
  <c r="I1089" i="4"/>
  <c r="I1097" i="4"/>
  <c r="I1091" i="4"/>
  <c r="I1098" i="4"/>
  <c r="I1096" i="4"/>
  <c r="I1095" i="4"/>
  <c r="I1092" i="4"/>
  <c r="I1090" i="4"/>
  <c r="I1088" i="4"/>
  <c r="I1086" i="4"/>
  <c r="I1084" i="4"/>
  <c r="I1083" i="4"/>
  <c r="H1079" i="4"/>
  <c r="I1079" i="4"/>
  <c r="I1077" i="4"/>
  <c r="I1073" i="4"/>
  <c r="I1076" i="4"/>
  <c r="I1072" i="4"/>
  <c r="I1075" i="4"/>
  <c r="I1071" i="4"/>
  <c r="I1074" i="4"/>
  <c r="I1070" i="4"/>
  <c r="I777" i="4"/>
  <c r="I753" i="4"/>
  <c r="I781" i="4"/>
  <c r="I767" i="4"/>
  <c r="I763" i="4"/>
  <c r="I759" i="4"/>
  <c r="I764" i="4"/>
  <c r="I766" i="4"/>
  <c r="I762" i="4"/>
  <c r="I758" i="4"/>
  <c r="I768" i="4"/>
  <c r="I760" i="4"/>
  <c r="I765" i="4"/>
  <c r="I761" i="4"/>
  <c r="I757" i="4"/>
  <c r="J1046" i="4"/>
  <c r="J1058" i="4" s="1"/>
  <c r="B1046" i="4"/>
  <c r="B1044" i="4"/>
  <c r="B1042" i="4"/>
  <c r="I732" i="4"/>
  <c r="I733" i="4"/>
  <c r="I734" i="4"/>
  <c r="I735" i="4"/>
  <c r="I736" i="4"/>
  <c r="I737" i="4"/>
  <c r="I738" i="4"/>
  <c r="I739" i="4"/>
  <c r="I740" i="4"/>
  <c r="I741" i="4"/>
  <c r="I742" i="4"/>
  <c r="I743" i="4"/>
  <c r="I731" i="4"/>
  <c r="I708" i="4"/>
  <c r="I709" i="4"/>
  <c r="I711" i="4"/>
  <c r="I715" i="4"/>
  <c r="I717" i="4"/>
  <c r="E725" i="4"/>
  <c r="I725" i="4" s="1"/>
  <c r="E724" i="4"/>
  <c r="I724" i="4" s="1"/>
  <c r="E723" i="4"/>
  <c r="I723" i="4" s="1"/>
  <c r="E722" i="4"/>
  <c r="I722" i="4" s="1"/>
  <c r="E721" i="4"/>
  <c r="I721" i="4" s="1"/>
  <c r="F720" i="4"/>
  <c r="I720" i="4" s="1"/>
  <c r="E716" i="4"/>
  <c r="I716" i="4" s="1"/>
  <c r="I714" i="4"/>
  <c r="I713" i="4"/>
  <c r="I712" i="4"/>
  <c r="E710" i="4"/>
  <c r="I710" i="4" s="1"/>
  <c r="J704" i="4"/>
  <c r="J749" i="4" s="1"/>
  <c r="B704" i="4"/>
  <c r="B1049" i="4" s="1"/>
  <c r="B702" i="4"/>
  <c r="B700" i="4"/>
  <c r="H511" i="4"/>
  <c r="I508" i="4" s="1"/>
  <c r="F1239" i="4"/>
  <c r="I1239" i="4" s="1"/>
  <c r="F1240" i="4"/>
  <c r="I1240" i="4" s="1"/>
  <c r="F1238" i="4"/>
  <c r="I1238" i="4" s="1"/>
  <c r="J1235" i="4"/>
  <c r="J1238" i="4" s="1"/>
  <c r="B1235" i="4"/>
  <c r="F1221" i="4"/>
  <c r="I1221" i="4" s="1"/>
  <c r="F1222" i="4"/>
  <c r="I1222" i="4" s="1"/>
  <c r="F1223" i="4"/>
  <c r="I1223" i="4" s="1"/>
  <c r="F1224" i="4"/>
  <c r="I1224" i="4" s="1"/>
  <c r="F1225" i="4"/>
  <c r="I1225" i="4" s="1"/>
  <c r="F1226" i="4"/>
  <c r="I1226" i="4" s="1"/>
  <c r="F1227" i="4"/>
  <c r="I1227" i="4" s="1"/>
  <c r="F1228" i="4"/>
  <c r="I1228" i="4" s="1"/>
  <c r="F1229" i="4"/>
  <c r="I1229" i="4" s="1"/>
  <c r="F1230" i="4"/>
  <c r="I1230" i="4" s="1"/>
  <c r="F1231" i="4"/>
  <c r="I1231" i="4" s="1"/>
  <c r="F1232" i="4"/>
  <c r="I1232" i="4" s="1"/>
  <c r="F1233" i="4"/>
  <c r="I1233" i="4" s="1"/>
  <c r="F1220" i="4"/>
  <c r="I1220" i="4" s="1"/>
  <c r="E1215" i="4"/>
  <c r="H1215" i="4" s="1"/>
  <c r="H1214" i="4"/>
  <c r="J1211" i="4"/>
  <c r="I1214" i="4" s="1"/>
  <c r="B1211" i="4"/>
  <c r="E1202" i="4"/>
  <c r="H1202" i="4" s="1"/>
  <c r="H1201" i="4"/>
  <c r="J1198" i="4"/>
  <c r="I1201" i="4" s="1"/>
  <c r="B1198" i="4"/>
  <c r="E1209" i="4"/>
  <c r="H1209" i="4" s="1"/>
  <c r="E1208" i="4"/>
  <c r="H1208" i="4" s="1"/>
  <c r="E1207" i="4"/>
  <c r="H1207" i="4" s="1"/>
  <c r="E1196" i="4"/>
  <c r="H1196" i="4" s="1"/>
  <c r="E1195" i="4"/>
  <c r="H1195" i="4" s="1"/>
  <c r="H1194" i="4"/>
  <c r="J1051" i="4" l="1"/>
  <c r="J1054" i="4"/>
  <c r="J1055" i="4"/>
  <c r="J1056" i="4"/>
  <c r="J1057" i="4"/>
  <c r="J1052" i="4"/>
  <c r="J1053" i="4"/>
  <c r="J1049" i="4"/>
  <c r="J1062" i="4"/>
  <c r="I727" i="4"/>
  <c r="E1049" i="4" s="1"/>
  <c r="I745" i="4"/>
  <c r="E1062" i="4" s="1"/>
  <c r="I1062" i="4" s="1"/>
  <c r="H1102" i="4"/>
  <c r="I1102" i="4"/>
  <c r="I1100" i="4"/>
  <c r="J1064" i="4"/>
  <c r="J707" i="4"/>
  <c r="J751" i="4"/>
  <c r="J745" i="4"/>
  <c r="J743" i="4"/>
  <c r="J741" i="4"/>
  <c r="J739" i="4"/>
  <c r="J737" i="4"/>
  <c r="J735" i="4"/>
  <c r="J733" i="4"/>
  <c r="J742" i="4"/>
  <c r="J740" i="4"/>
  <c r="J738" i="4"/>
  <c r="J736" i="4"/>
  <c r="J734" i="4"/>
  <c r="J732" i="4"/>
  <c r="J731" i="4"/>
  <c r="J727" i="4"/>
  <c r="J725" i="4"/>
  <c r="J723" i="4"/>
  <c r="J721" i="4"/>
  <c r="J719" i="4"/>
  <c r="J717" i="4"/>
  <c r="J715" i="4"/>
  <c r="J713" i="4"/>
  <c r="J711" i="4"/>
  <c r="J709" i="4"/>
  <c r="J724" i="4"/>
  <c r="J722" i="4"/>
  <c r="J720" i="4"/>
  <c r="J718" i="4"/>
  <c r="J716" i="4"/>
  <c r="J714" i="4"/>
  <c r="J712" i="4"/>
  <c r="J710" i="4"/>
  <c r="J708" i="4"/>
  <c r="I1198" i="4"/>
  <c r="I1211" i="4"/>
  <c r="I1235" i="4"/>
  <c r="I1204" i="4"/>
  <c r="I1191" i="4"/>
  <c r="I1217" i="4"/>
  <c r="J1240" i="4"/>
  <c r="J1239" i="4"/>
  <c r="I1202" i="4"/>
  <c r="I1215" i="4"/>
  <c r="J1217" i="4"/>
  <c r="B1217" i="4"/>
  <c r="J1204" i="4"/>
  <c r="I1207" i="4" s="1"/>
  <c r="B1204" i="4"/>
  <c r="J1191" i="4"/>
  <c r="I1194" i="4" s="1"/>
  <c r="B1191" i="4"/>
  <c r="B1189" i="4"/>
  <c r="I1187" i="4"/>
  <c r="I1184" i="4" s="1"/>
  <c r="J1184" i="4"/>
  <c r="B1184" i="4"/>
  <c r="I1181" i="4"/>
  <c r="I1182" i="4"/>
  <c r="I1180" i="4"/>
  <c r="J1177" i="4"/>
  <c r="B1177" i="4"/>
  <c r="I1175" i="4"/>
  <c r="I1172" i="4" s="1"/>
  <c r="J1172" i="4"/>
  <c r="B1172" i="4"/>
  <c r="I1170" i="4"/>
  <c r="I1169" i="4"/>
  <c r="I1168" i="4"/>
  <c r="J1165" i="4"/>
  <c r="B1165" i="4"/>
  <c r="I1160" i="4"/>
  <c r="I1161" i="4"/>
  <c r="I1162" i="4"/>
  <c r="I1163" i="4"/>
  <c r="I1159" i="4"/>
  <c r="J1156" i="4"/>
  <c r="B1156" i="4"/>
  <c r="G105" i="3" l="1"/>
  <c r="H105" i="3" s="1"/>
  <c r="J105" i="3" s="1"/>
  <c r="G153" i="3"/>
  <c r="H153" i="3" s="1"/>
  <c r="J153" i="3" s="1"/>
  <c r="G140" i="3"/>
  <c r="H140" i="3" s="1"/>
  <c r="J140" i="3" s="1"/>
  <c r="I751" i="4"/>
  <c r="I704" i="4" s="1"/>
  <c r="I1049" i="4" s="1"/>
  <c r="I1064" i="4" s="1"/>
  <c r="I1046" i="4" s="1"/>
  <c r="F1107" i="4" s="1"/>
  <c r="I1066" i="4"/>
  <c r="I1177" i="4"/>
  <c r="J1220" i="4"/>
  <c r="J1221" i="4"/>
  <c r="J1225" i="4"/>
  <c r="J1229" i="4"/>
  <c r="J1233" i="4"/>
  <c r="J1222" i="4"/>
  <c r="J1226" i="4"/>
  <c r="J1230" i="4"/>
  <c r="J1228" i="4"/>
  <c r="J1232" i="4"/>
  <c r="J1223" i="4"/>
  <c r="J1227" i="4"/>
  <c r="J1231" i="4"/>
  <c r="J1224" i="4"/>
  <c r="J1187" i="4"/>
  <c r="J1180" i="4"/>
  <c r="J1175" i="4"/>
  <c r="J1168" i="4"/>
  <c r="J1159" i="4"/>
  <c r="I1209" i="4"/>
  <c r="I1208" i="4"/>
  <c r="I1196" i="4"/>
  <c r="I1195" i="4"/>
  <c r="I1156" i="4"/>
  <c r="I1165" i="4"/>
  <c r="J1182" i="4"/>
  <c r="J1181" i="4"/>
  <c r="J1170" i="4"/>
  <c r="J1169" i="4"/>
  <c r="J1161" i="4"/>
  <c r="J1163" i="4"/>
  <c r="J1162" i="4"/>
  <c r="J1160" i="4"/>
  <c r="J1150" i="4"/>
  <c r="B1150" i="4"/>
  <c r="J1145" i="4"/>
  <c r="B1145" i="4"/>
  <c r="B1261" i="4"/>
  <c r="J1246" i="4"/>
  <c r="B1246" i="4"/>
  <c r="B1242" i="4"/>
  <c r="I1268" i="4"/>
  <c r="I1267" i="4"/>
  <c r="I1266" i="4"/>
  <c r="J1263" i="4"/>
  <c r="B1263" i="4"/>
  <c r="B1244" i="4"/>
  <c r="I1142" i="4"/>
  <c r="I1143" i="4"/>
  <c r="I1141" i="4"/>
  <c r="J1138" i="4"/>
  <c r="B1138" i="4"/>
  <c r="B1136" i="4"/>
  <c r="H1134" i="4"/>
  <c r="H1133" i="4"/>
  <c r="H1125" i="4"/>
  <c r="H1126" i="4"/>
  <c r="H1127" i="4"/>
  <c r="H1128" i="4"/>
  <c r="H1124" i="4"/>
  <c r="J1130" i="4"/>
  <c r="B1130" i="4"/>
  <c r="J1121" i="4"/>
  <c r="B1121" i="4"/>
  <c r="B1119" i="4"/>
  <c r="B1117" i="4"/>
  <c r="I1275" i="4" l="1"/>
  <c r="I1280" i="4"/>
  <c r="I1138" i="4"/>
  <c r="I1263" i="4"/>
  <c r="J1266" i="4"/>
  <c r="H1107" i="4"/>
  <c r="F1115" i="4"/>
  <c r="H1115" i="4" s="1"/>
  <c r="I1112" i="4" s="1"/>
  <c r="F1108" i="4"/>
  <c r="H1108" i="4" s="1"/>
  <c r="I1249" i="4"/>
  <c r="J1141" i="4"/>
  <c r="J1148" i="4"/>
  <c r="I1134" i="4"/>
  <c r="I1150" i="4"/>
  <c r="I1124" i="4"/>
  <c r="I1130" i="4"/>
  <c r="I1121" i="4"/>
  <c r="J1153" i="4"/>
  <c r="J1154" i="4"/>
  <c r="J1268" i="4"/>
  <c r="J1267" i="4"/>
  <c r="J1143" i="4"/>
  <c r="J1142" i="4"/>
  <c r="I1133" i="4"/>
  <c r="I1126" i="4"/>
  <c r="I1128" i="4"/>
  <c r="I1127" i="4"/>
  <c r="I1125" i="4"/>
  <c r="I1104" i="4" l="1"/>
  <c r="F1259" i="4" s="1"/>
  <c r="H1259" i="4" s="1"/>
  <c r="I1256" i="4" s="1"/>
  <c r="H166" i="3"/>
  <c r="J166" i="3" s="1"/>
  <c r="H164" i="3"/>
  <c r="J164" i="3" s="1"/>
  <c r="H168" i="3"/>
  <c r="J168" i="3" s="1"/>
  <c r="H167" i="3"/>
  <c r="J167" i="3" s="1"/>
  <c r="H165" i="3"/>
  <c r="J165" i="3" s="1"/>
  <c r="H163" i="3" l="1"/>
  <c r="J163" i="3" s="1"/>
  <c r="H1275" i="4"/>
  <c r="I1272" i="4" s="1"/>
  <c r="H1280" i="4"/>
  <c r="I1277" i="4" s="1"/>
  <c r="F1254" i="4"/>
  <c r="H1254" i="4" s="1"/>
  <c r="I1251" i="4" s="1"/>
  <c r="F1249" i="4"/>
  <c r="H1249" i="4" s="1"/>
  <c r="I1246" i="4" s="1"/>
  <c r="G158" i="3"/>
  <c r="H158" i="3" s="1"/>
  <c r="J158" i="3" s="1"/>
  <c r="G157" i="3"/>
  <c r="H157" i="3" s="1"/>
  <c r="J157" i="3" s="1"/>
  <c r="H1040" i="4" l="1"/>
  <c r="H1033" i="4"/>
  <c r="H1034" i="4"/>
  <c r="H1035" i="4"/>
  <c r="H1036" i="4"/>
  <c r="H1037" i="4"/>
  <c r="H1038" i="4"/>
  <c r="H1039" i="4"/>
  <c r="H1032" i="4"/>
  <c r="J1029" i="4"/>
  <c r="I1032" i="4" s="1"/>
  <c r="B1029" i="4"/>
  <c r="I1008" i="4"/>
  <c r="G997" i="4"/>
  <c r="I997" i="4" s="1"/>
  <c r="G998" i="4"/>
  <c r="I998" i="4" s="1"/>
  <c r="G999" i="4"/>
  <c r="I999" i="4" s="1"/>
  <c r="G1000" i="4"/>
  <c r="I1000" i="4" s="1"/>
  <c r="G1001" i="4"/>
  <c r="I1001" i="4" s="1"/>
  <c r="K1001" i="4" s="1"/>
  <c r="G1002" i="4"/>
  <c r="I1002" i="4" s="1"/>
  <c r="G1003" i="4"/>
  <c r="I1003" i="4" s="1"/>
  <c r="G1004" i="4"/>
  <c r="I1004" i="4" s="1"/>
  <c r="G1005" i="4"/>
  <c r="I1005" i="4" s="1"/>
  <c r="G1006" i="4"/>
  <c r="I1006" i="4" s="1"/>
  <c r="G1007" i="4"/>
  <c r="I1007" i="4" s="1"/>
  <c r="I996" i="4"/>
  <c r="J992" i="4"/>
  <c r="J1025" i="4" s="1"/>
  <c r="B992" i="4"/>
  <c r="B990" i="4"/>
  <c r="F988" i="4"/>
  <c r="H988" i="4" s="1"/>
  <c r="I985" i="4" s="1"/>
  <c r="J985" i="4"/>
  <c r="I988" i="4" s="1"/>
  <c r="B985" i="4"/>
  <c r="B983" i="4"/>
  <c r="I980" i="4"/>
  <c r="G979" i="4"/>
  <c r="I979" i="4" s="1"/>
  <c r="G978" i="4"/>
  <c r="I978" i="4" s="1"/>
  <c r="G977" i="4"/>
  <c r="I977" i="4" s="1"/>
  <c r="G976" i="4"/>
  <c r="I976" i="4" s="1"/>
  <c r="G975" i="4"/>
  <c r="I975" i="4" s="1"/>
  <c r="G974" i="4"/>
  <c r="I974" i="4" s="1"/>
  <c r="G973" i="4"/>
  <c r="I973" i="4" s="1"/>
  <c r="G972" i="4"/>
  <c r="I972" i="4" s="1"/>
  <c r="G971" i="4"/>
  <c r="I971" i="4" s="1"/>
  <c r="G970" i="4"/>
  <c r="I970" i="4" s="1"/>
  <c r="G969" i="4"/>
  <c r="I969" i="4" s="1"/>
  <c r="G968" i="4"/>
  <c r="I968" i="4" s="1"/>
  <c r="I967" i="4"/>
  <c r="J963" i="4"/>
  <c r="B963" i="4"/>
  <c r="B961" i="4"/>
  <c r="I909" i="4"/>
  <c r="I908" i="4"/>
  <c r="I905" i="4"/>
  <c r="I906" i="4"/>
  <c r="I907" i="4"/>
  <c r="I904" i="4"/>
  <c r="I886" i="4"/>
  <c r="I898" i="4"/>
  <c r="I885" i="4"/>
  <c r="G889" i="4"/>
  <c r="I889" i="4" s="1"/>
  <c r="G890" i="4"/>
  <c r="I890" i="4" s="1"/>
  <c r="G891" i="4"/>
  <c r="I891" i="4" s="1"/>
  <c r="G892" i="4"/>
  <c r="I892" i="4" s="1"/>
  <c r="G893" i="4"/>
  <c r="I893" i="4" s="1"/>
  <c r="G894" i="4"/>
  <c r="I894" i="4" s="1"/>
  <c r="G895" i="4"/>
  <c r="I895" i="4" s="1"/>
  <c r="G896" i="4"/>
  <c r="I896" i="4" s="1"/>
  <c r="G897" i="4"/>
  <c r="I897" i="4" s="1"/>
  <c r="G888" i="4"/>
  <c r="I888" i="4" s="1"/>
  <c r="G887" i="4"/>
  <c r="I887" i="4" s="1"/>
  <c r="I1010" i="4" l="1"/>
  <c r="I1027" i="4" s="1"/>
  <c r="I992" i="4" s="1"/>
  <c r="J995" i="4"/>
  <c r="J1010" i="4"/>
  <c r="J967" i="4"/>
  <c r="J966" i="4"/>
  <c r="I963" i="4"/>
  <c r="I1029" i="4"/>
  <c r="I1040" i="4"/>
  <c r="I1036" i="4"/>
  <c r="I1039" i="4"/>
  <c r="I1035" i="4"/>
  <c r="I1038" i="4"/>
  <c r="I1034" i="4"/>
  <c r="I1037" i="4"/>
  <c r="I1033" i="4"/>
  <c r="J1003" i="4"/>
  <c r="J1002" i="4"/>
  <c r="J1007" i="4"/>
  <c r="J999" i="4"/>
  <c r="J1006" i="4"/>
  <c r="J998" i="4"/>
  <c r="J1005" i="4"/>
  <c r="J1001" i="4"/>
  <c r="J997" i="4"/>
  <c r="J1008" i="4"/>
  <c r="J1004" i="4"/>
  <c r="J1000" i="4"/>
  <c r="J996" i="4"/>
  <c r="J975" i="4"/>
  <c r="J978" i="4"/>
  <c r="J974" i="4"/>
  <c r="J970" i="4"/>
  <c r="J971" i="4"/>
  <c r="J977" i="4"/>
  <c r="J973" i="4"/>
  <c r="J969" i="4"/>
  <c r="J979" i="4"/>
  <c r="J980" i="4"/>
  <c r="J976" i="4"/>
  <c r="J972" i="4"/>
  <c r="J968" i="4"/>
  <c r="I944" i="4"/>
  <c r="I914" i="4" s="1"/>
  <c r="R511" i="4"/>
  <c r="T511" i="4" s="1"/>
  <c r="R510" i="4"/>
  <c r="T510" i="4" s="1"/>
  <c r="R509" i="4"/>
  <c r="T509" i="4" s="1"/>
  <c r="R508" i="4"/>
  <c r="T508" i="4" s="1"/>
  <c r="R507" i="4"/>
  <c r="T507" i="4" s="1"/>
  <c r="R506" i="4"/>
  <c r="T506" i="4" s="1"/>
  <c r="R505" i="4"/>
  <c r="T505" i="4" s="1"/>
  <c r="R504" i="4"/>
  <c r="T504" i="4" s="1"/>
  <c r="R503" i="4"/>
  <c r="T503" i="4" s="1"/>
  <c r="R502" i="4"/>
  <c r="T502" i="4" s="1"/>
  <c r="R498" i="4"/>
  <c r="T498" i="4" s="1"/>
  <c r="R497" i="4"/>
  <c r="T497" i="4" s="1"/>
  <c r="T496" i="4"/>
  <c r="H951" i="4"/>
  <c r="G901" i="4"/>
  <c r="G900" i="4"/>
  <c r="G899" i="4"/>
  <c r="J914" i="4"/>
  <c r="B914" i="4"/>
  <c r="H959" i="4"/>
  <c r="H955" i="4"/>
  <c r="B494" i="4"/>
  <c r="B492" i="4"/>
  <c r="B878" i="4"/>
  <c r="B880" i="4"/>
  <c r="B946" i="4"/>
  <c r="H952" i="4"/>
  <c r="J948" i="4"/>
  <c r="I958" i="4" s="1"/>
  <c r="B948" i="4"/>
  <c r="J882" i="4"/>
  <c r="B882" i="4"/>
  <c r="J508" i="4"/>
  <c r="B508" i="4"/>
  <c r="H506" i="4"/>
  <c r="I503" i="4" s="1"/>
  <c r="J503" i="4"/>
  <c r="I506" i="4" s="1"/>
  <c r="B503" i="4"/>
  <c r="I948" i="4" l="1"/>
  <c r="I956" i="4"/>
  <c r="I957" i="4"/>
  <c r="I953" i="4"/>
  <c r="I954" i="4"/>
  <c r="J910" i="4"/>
  <c r="J942" i="4"/>
  <c r="J940" i="4"/>
  <c r="J938" i="4"/>
  <c r="J936" i="4"/>
  <c r="J931" i="4"/>
  <c r="J928" i="4"/>
  <c r="J924" i="4"/>
  <c r="J920" i="4"/>
  <c r="J939" i="4"/>
  <c r="J933" i="4"/>
  <c r="J926" i="4"/>
  <c r="J922" i="4"/>
  <c r="J932" i="4"/>
  <c r="J929" i="4"/>
  <c r="J925" i="4"/>
  <c r="J921" i="4"/>
  <c r="J917" i="4"/>
  <c r="J941" i="4"/>
  <c r="J937" i="4"/>
  <c r="J918" i="4"/>
  <c r="J930" i="4"/>
  <c r="J927" i="4"/>
  <c r="J923" i="4"/>
  <c r="J919" i="4"/>
  <c r="I511" i="4"/>
  <c r="J912" i="4"/>
  <c r="J944" i="4"/>
  <c r="I901" i="4"/>
  <c r="I899" i="4"/>
  <c r="I900" i="4"/>
  <c r="J908" i="4"/>
  <c r="J909" i="4"/>
  <c r="J899" i="4"/>
  <c r="J901" i="4"/>
  <c r="J900" i="4"/>
  <c r="J907" i="4"/>
  <c r="J906" i="4"/>
  <c r="J904" i="4"/>
  <c r="J905" i="4"/>
  <c r="J885" i="4"/>
  <c r="J886" i="4"/>
  <c r="J888" i="4"/>
  <c r="J890" i="4"/>
  <c r="J892" i="4"/>
  <c r="J894" i="4"/>
  <c r="J896" i="4"/>
  <c r="J889" i="4"/>
  <c r="J891" i="4"/>
  <c r="J893" i="4"/>
  <c r="J895" i="4"/>
  <c r="J898" i="4"/>
  <c r="J887" i="4"/>
  <c r="J897" i="4"/>
  <c r="U507" i="4"/>
  <c r="U497" i="4"/>
  <c r="U502" i="4"/>
  <c r="U509" i="4"/>
  <c r="U496" i="4"/>
  <c r="U503" i="4"/>
  <c r="U506" i="4"/>
  <c r="U508" i="4"/>
  <c r="U504" i="4"/>
  <c r="U511" i="4"/>
  <c r="U498" i="4"/>
  <c r="U505" i="4"/>
  <c r="U510" i="4"/>
  <c r="I951" i="4"/>
  <c r="I959" i="4"/>
  <c r="I955" i="4"/>
  <c r="I952" i="4"/>
  <c r="I912" i="4" l="1"/>
  <c r="I882" i="4" s="1"/>
  <c r="J496" i="4"/>
  <c r="B496" i="4"/>
  <c r="J482" i="4"/>
  <c r="I490" i="4" s="1"/>
  <c r="B482" i="4"/>
  <c r="I489" i="4" l="1"/>
  <c r="I486" i="4"/>
  <c r="I488" i="4"/>
  <c r="I487" i="4"/>
  <c r="I485" i="4"/>
  <c r="J466" i="4" l="1"/>
  <c r="B466" i="4"/>
  <c r="F464" i="4"/>
  <c r="H464" i="4" s="1"/>
  <c r="H463" i="4"/>
  <c r="H462" i="4"/>
  <c r="J459" i="4"/>
  <c r="I462" i="4" s="1"/>
  <c r="B459" i="4"/>
  <c r="J419" i="4"/>
  <c r="B419" i="4"/>
  <c r="H411" i="4"/>
  <c r="H410" i="4"/>
  <c r="H409" i="4"/>
  <c r="J406" i="4"/>
  <c r="I411" i="4" s="1"/>
  <c r="I412" i="4" s="1"/>
  <c r="B406" i="4"/>
  <c r="I469" i="4" l="1"/>
  <c r="I474" i="4"/>
  <c r="I476" i="4"/>
  <c r="I478" i="4"/>
  <c r="I470" i="4"/>
  <c r="I472" i="4"/>
  <c r="I471" i="4"/>
  <c r="I473" i="4"/>
  <c r="I475" i="4"/>
  <c r="I477" i="4"/>
  <c r="I479" i="4"/>
  <c r="I406" i="4"/>
  <c r="I424" i="4"/>
  <c r="I428" i="4"/>
  <c r="I432" i="4"/>
  <c r="I422" i="4"/>
  <c r="I423" i="4"/>
  <c r="I425" i="4"/>
  <c r="I429" i="4"/>
  <c r="I433" i="4"/>
  <c r="I426" i="4"/>
  <c r="I430" i="4"/>
  <c r="I434" i="4"/>
  <c r="I427" i="4"/>
  <c r="I431" i="4"/>
  <c r="I435" i="4"/>
  <c r="I459" i="4"/>
  <c r="I464" i="4"/>
  <c r="I463" i="4"/>
  <c r="I410" i="4"/>
  <c r="I409" i="4"/>
  <c r="H404" i="4"/>
  <c r="H403" i="4"/>
  <c r="H402" i="4"/>
  <c r="J399" i="4"/>
  <c r="B399" i="4"/>
  <c r="H393" i="4"/>
  <c r="H394" i="4"/>
  <c r="H395" i="4"/>
  <c r="H396" i="4"/>
  <c r="H397" i="4"/>
  <c r="H392" i="4"/>
  <c r="J389" i="4"/>
  <c r="I396" i="4" s="1"/>
  <c r="B389" i="4"/>
  <c r="H386" i="4"/>
  <c r="C295" i="4"/>
  <c r="J371" i="4"/>
  <c r="I387" i="4" s="1"/>
  <c r="B371" i="4"/>
  <c r="I386" i="4" l="1"/>
  <c r="I385" i="4"/>
  <c r="I399" i="4"/>
  <c r="H376" i="4"/>
  <c r="H380" i="4"/>
  <c r="H384" i="4"/>
  <c r="I389" i="4"/>
  <c r="H375" i="4"/>
  <c r="H377" i="4"/>
  <c r="H379" i="4"/>
  <c r="H381" i="4"/>
  <c r="H383" i="4"/>
  <c r="I403" i="4"/>
  <c r="I404" i="4"/>
  <c r="H374" i="4"/>
  <c r="H378" i="4"/>
  <c r="H382" i="4"/>
  <c r="I402" i="4"/>
  <c r="I395" i="4"/>
  <c r="I392" i="4"/>
  <c r="I394" i="4"/>
  <c r="I397" i="4"/>
  <c r="I393" i="4"/>
  <c r="I384" i="4"/>
  <c r="I380" i="4"/>
  <c r="I376" i="4"/>
  <c r="I383" i="4"/>
  <c r="I379" i="4"/>
  <c r="I375" i="4"/>
  <c r="I382" i="4"/>
  <c r="I378" i="4"/>
  <c r="I374" i="4"/>
  <c r="I381" i="4"/>
  <c r="I377" i="4"/>
  <c r="H292" i="4"/>
  <c r="C291" i="4"/>
  <c r="H291" i="4" s="1"/>
  <c r="C290" i="4"/>
  <c r="C294" i="4"/>
  <c r="C289" i="4"/>
  <c r="C286" i="4"/>
  <c r="C293" i="4"/>
  <c r="H311" i="4"/>
  <c r="C288" i="4"/>
  <c r="C287" i="4"/>
  <c r="C304" i="4"/>
  <c r="I371" i="4" l="1"/>
  <c r="E435" i="4" s="1"/>
  <c r="F435" i="4" s="1"/>
  <c r="H435" i="4" s="1"/>
  <c r="G38" i="3"/>
  <c r="H38" i="3" s="1"/>
  <c r="J38" i="3" s="1"/>
  <c r="H337" i="4"/>
  <c r="H338" i="4"/>
  <c r="H339" i="4"/>
  <c r="H336" i="4"/>
  <c r="G37" i="3" l="1"/>
  <c r="H37" i="3" s="1"/>
  <c r="J37" i="3" s="1"/>
  <c r="G35" i="3"/>
  <c r="H35" i="3" s="1"/>
  <c r="J35" i="3" s="1"/>
  <c r="J36" i="3"/>
  <c r="I333" i="4"/>
  <c r="E433" i="4" s="1"/>
  <c r="F433" i="4" s="1"/>
  <c r="H433" i="4" s="1"/>
  <c r="F329" i="4"/>
  <c r="H329" i="4" s="1"/>
  <c r="H328" i="4"/>
  <c r="F327" i="4"/>
  <c r="H327" i="4" s="1"/>
  <c r="F325" i="4"/>
  <c r="H305" i="4"/>
  <c r="H306" i="4"/>
  <c r="H307" i="4"/>
  <c r="H308" i="4"/>
  <c r="H309" i="4"/>
  <c r="H310" i="4"/>
  <c r="H312" i="4"/>
  <c r="H313" i="4"/>
  <c r="H314" i="4"/>
  <c r="H315" i="4"/>
  <c r="H303" i="4"/>
  <c r="H282" i="4"/>
  <c r="H283" i="4"/>
  <c r="H285" i="4"/>
  <c r="H287" i="4"/>
  <c r="H296" i="4"/>
  <c r="H290" i="4"/>
  <c r="H286" i="4"/>
  <c r="H304" i="4"/>
  <c r="H295" i="4"/>
  <c r="H294" i="4"/>
  <c r="H293" i="4"/>
  <c r="J34" i="3" l="1"/>
  <c r="H317" i="4"/>
  <c r="H289" i="4"/>
  <c r="H288" i="4"/>
  <c r="D284" i="4"/>
  <c r="H284" i="4" s="1"/>
  <c r="H236" i="4"/>
  <c r="A216" i="4"/>
  <c r="H159" i="4"/>
  <c r="H160" i="4"/>
  <c r="H161" i="4"/>
  <c r="H162" i="4"/>
  <c r="H163" i="4"/>
  <c r="H164" i="4"/>
  <c r="H165" i="4"/>
  <c r="H166" i="4"/>
  <c r="H257" i="4"/>
  <c r="B187" i="4"/>
  <c r="F421" i="3" l="1"/>
  <c r="K421" i="3" s="1"/>
  <c r="D49" i="15" s="1"/>
  <c r="F97" i="3"/>
  <c r="K97" i="3" s="1"/>
  <c r="F410" i="3"/>
  <c r="K410" i="3" s="1"/>
  <c r="D178" i="15" s="1"/>
  <c r="F412" i="3"/>
  <c r="K412" i="3" s="1"/>
  <c r="D170" i="15" s="1"/>
  <c r="F244" i="3"/>
  <c r="K244" i="3" s="1"/>
  <c r="D146" i="15" s="1"/>
  <c r="F411" i="3"/>
  <c r="K411" i="3" s="1"/>
  <c r="D188" i="15" s="1"/>
  <c r="F409" i="3"/>
  <c r="K409" i="3" s="1"/>
  <c r="D91" i="15" s="1"/>
  <c r="F243" i="3"/>
  <c r="K243" i="3" s="1"/>
  <c r="D223" i="15" s="1"/>
  <c r="F408" i="3"/>
  <c r="K408" i="3" s="1"/>
  <c r="D68" i="15" s="1"/>
  <c r="F242" i="3"/>
  <c r="K242" i="3" s="1"/>
  <c r="D131" i="15" s="1"/>
  <c r="F407" i="3"/>
  <c r="K407" i="3" s="1"/>
  <c r="D112" i="15" s="1"/>
  <c r="F240" i="3"/>
  <c r="K240" i="3" s="1"/>
  <c r="D235" i="15" s="1"/>
  <c r="F413" i="3"/>
  <c r="K413" i="3" s="1"/>
  <c r="D166" i="15" s="1"/>
  <c r="F241" i="3"/>
  <c r="K241" i="3" s="1"/>
  <c r="D123" i="15" s="1"/>
  <c r="F363" i="3"/>
  <c r="K363" i="3" s="1"/>
  <c r="D18" i="15" s="1"/>
  <c r="F404" i="3"/>
  <c r="K404" i="3" s="1"/>
  <c r="D106" i="15" s="1"/>
  <c r="F396" i="3"/>
  <c r="K396" i="3" s="1"/>
  <c r="D58" i="15" s="1"/>
  <c r="F364" i="3"/>
  <c r="K364" i="3" s="1"/>
  <c r="D133" i="15" s="1"/>
  <c r="F400" i="3"/>
  <c r="K400" i="3" s="1"/>
  <c r="D118" i="15" s="1"/>
  <c r="F389" i="3"/>
  <c r="K389" i="3" s="1"/>
  <c r="F365" i="3"/>
  <c r="K365" i="3" s="1"/>
  <c r="D185" i="15" s="1"/>
  <c r="F384" i="3"/>
  <c r="K384" i="3" s="1"/>
  <c r="D228" i="15" s="1"/>
  <c r="F383" i="3"/>
  <c r="K383" i="3" s="1"/>
  <c r="D193" i="15" s="1"/>
  <c r="F366" i="3"/>
  <c r="K366" i="3" s="1"/>
  <c r="D108" i="15" s="1"/>
  <c r="F417" i="3"/>
  <c r="K417" i="3" s="1"/>
  <c r="D182" i="15" s="1"/>
  <c r="F367" i="3"/>
  <c r="K367" i="3" s="1"/>
  <c r="D85" i="15" s="1"/>
  <c r="F401" i="3"/>
  <c r="K401" i="3" s="1"/>
  <c r="D210" i="15" s="1"/>
  <c r="F394" i="3"/>
  <c r="K394" i="3" s="1"/>
  <c r="D48" i="15" s="1"/>
  <c r="F314" i="3"/>
  <c r="K314" i="3" s="1"/>
  <c r="D61" i="15" s="1"/>
  <c r="F403" i="3"/>
  <c r="K403" i="3" s="1"/>
  <c r="D117" i="15" s="1"/>
  <c r="F392" i="3"/>
  <c r="K392" i="3" s="1"/>
  <c r="D89" i="15" s="1"/>
  <c r="F416" i="3"/>
  <c r="K416" i="3" s="1"/>
  <c r="D179" i="15" s="1"/>
  <c r="F390" i="3"/>
  <c r="K390" i="3" s="1"/>
  <c r="D152" i="15" s="1"/>
  <c r="F379" i="3"/>
  <c r="K379" i="3" s="1"/>
  <c r="D224" i="15" s="1"/>
  <c r="F354" i="3"/>
  <c r="K354" i="3" s="1"/>
  <c r="D138" i="15" s="1"/>
  <c r="F360" i="3"/>
  <c r="K360" i="3" s="1"/>
  <c r="D100" i="15" s="1"/>
  <c r="F355" i="3"/>
  <c r="K355" i="3" s="1"/>
  <c r="D105" i="15" s="1"/>
  <c r="F359" i="3"/>
  <c r="K359" i="3" s="1"/>
  <c r="D101" i="15" s="1"/>
  <c r="F370" i="3"/>
  <c r="K370" i="3" s="1"/>
  <c r="D92" i="15" s="1"/>
  <c r="F346" i="3"/>
  <c r="K346" i="3" s="1"/>
  <c r="D200" i="15" s="1"/>
  <c r="F350" i="3"/>
  <c r="K350" i="3" s="1"/>
  <c r="D227" i="15" s="1"/>
  <c r="F348" i="3"/>
  <c r="K348" i="3" s="1"/>
  <c r="D205" i="15" s="1"/>
  <c r="F351" i="3"/>
  <c r="K351" i="3" s="1"/>
  <c r="D173" i="15" s="1"/>
  <c r="F377" i="3"/>
  <c r="K377" i="3" s="1"/>
  <c r="D114" i="15" s="1"/>
  <c r="F372" i="3"/>
  <c r="K372" i="3" s="1"/>
  <c r="D134" i="15" s="1"/>
  <c r="F376" i="3"/>
  <c r="K376" i="3" s="1"/>
  <c r="D113" i="15" s="1"/>
  <c r="F378" i="3"/>
  <c r="K378" i="3" s="1"/>
  <c r="D212" i="15" s="1"/>
  <c r="F371" i="3"/>
  <c r="K371" i="3" s="1"/>
  <c r="D197" i="15" s="1"/>
  <c r="F373" i="3"/>
  <c r="K373" i="3" s="1"/>
  <c r="D202" i="15" s="1"/>
  <c r="F380" i="3"/>
  <c r="K380" i="3" s="1"/>
  <c r="D213" i="15" s="1"/>
  <c r="F352" i="3"/>
  <c r="K352" i="3" s="1"/>
  <c r="D198" i="15" s="1"/>
  <c r="F353" i="3"/>
  <c r="K353" i="3" s="1"/>
  <c r="D137" i="15" s="1"/>
  <c r="F349" i="3"/>
  <c r="K349" i="3" s="1"/>
  <c r="D226" i="15" s="1"/>
  <c r="F358" i="3"/>
  <c r="K358" i="3" s="1"/>
  <c r="D107" i="15" s="1"/>
  <c r="F347" i="3"/>
  <c r="K347" i="3" s="1"/>
  <c r="D222" i="15" s="1"/>
  <c r="F331" i="3"/>
  <c r="K331" i="3" s="1"/>
  <c r="D176" i="15" s="1"/>
  <c r="F343" i="3"/>
  <c r="K343" i="3" s="1"/>
  <c r="D220" i="15" s="1"/>
  <c r="F328" i="3"/>
  <c r="K328" i="3" s="1"/>
  <c r="D199" i="15" s="1"/>
  <c r="F340" i="3"/>
  <c r="K340" i="3" s="1"/>
  <c r="D120" i="15" s="1"/>
  <c r="F336" i="3"/>
  <c r="K336" i="3" s="1"/>
  <c r="D165" i="15" s="1"/>
  <c r="F329" i="3"/>
  <c r="K329" i="3" s="1"/>
  <c r="D147" i="15" s="1"/>
  <c r="F334" i="3"/>
  <c r="K334" i="3" s="1"/>
  <c r="D214" i="15" s="1"/>
  <c r="F335" i="3"/>
  <c r="K335" i="3" s="1"/>
  <c r="D229" i="15" s="1"/>
  <c r="F337" i="3"/>
  <c r="K337" i="3" s="1"/>
  <c r="D196" i="15" s="1"/>
  <c r="F333" i="3"/>
  <c r="K333" i="3" s="1"/>
  <c r="D169" i="15" s="1"/>
  <c r="F330" i="3"/>
  <c r="K330" i="3" s="1"/>
  <c r="D167" i="15" s="1"/>
  <c r="F342" i="3"/>
  <c r="K342" i="3" s="1"/>
  <c r="D187" i="15" s="1"/>
  <c r="F341" i="3"/>
  <c r="K341" i="3" s="1"/>
  <c r="D158" i="15" s="1"/>
  <c r="F339" i="3"/>
  <c r="K339" i="3" s="1"/>
  <c r="D135" i="15" s="1"/>
  <c r="F323" i="3"/>
  <c r="K323" i="3" s="1"/>
  <c r="D110" i="15" s="1"/>
  <c r="F299" i="3"/>
  <c r="K299" i="3" s="1"/>
  <c r="F320" i="3"/>
  <c r="K320" i="3" s="1"/>
  <c r="D215" i="15" s="1"/>
  <c r="F308" i="3"/>
  <c r="K308" i="3" s="1"/>
  <c r="D160" i="15" s="1"/>
  <c r="F324" i="3"/>
  <c r="K324" i="3" s="1"/>
  <c r="D90" i="15" s="1"/>
  <c r="F312" i="3"/>
  <c r="K312" i="3" s="1"/>
  <c r="D126" i="15" s="1"/>
  <c r="F306" i="3"/>
  <c r="K306" i="3" s="1"/>
  <c r="D191" i="15" s="1"/>
  <c r="F317" i="3"/>
  <c r="K317" i="3" s="1"/>
  <c r="D33" i="15" s="1"/>
  <c r="F311" i="3"/>
  <c r="K311" i="3" s="1"/>
  <c r="D50" i="15" s="1"/>
  <c r="F303" i="3"/>
  <c r="K303" i="3" s="1"/>
  <c r="D159" i="15" s="1"/>
  <c r="F307" i="3"/>
  <c r="K307" i="3" s="1"/>
  <c r="D225" i="15" s="1"/>
  <c r="F318" i="3"/>
  <c r="K318" i="3" s="1"/>
  <c r="D30" i="15" s="1"/>
  <c r="F321" i="3"/>
  <c r="K321" i="3" s="1"/>
  <c r="D119" i="15" s="1"/>
  <c r="F300" i="3"/>
  <c r="K300" i="3" s="1"/>
  <c r="D192" i="15" s="1"/>
  <c r="F305" i="3"/>
  <c r="K305" i="3" s="1"/>
  <c r="D64" i="15" s="1"/>
  <c r="F301" i="3"/>
  <c r="K301" i="3" s="1"/>
  <c r="D190" i="15" s="1"/>
  <c r="F322" i="3"/>
  <c r="K322" i="3" s="1"/>
  <c r="D66" i="15" s="1"/>
  <c r="F319" i="3"/>
  <c r="K319" i="3" s="1"/>
  <c r="D80" i="15" s="1"/>
  <c r="F309" i="3"/>
  <c r="K309" i="3" s="1"/>
  <c r="D129" i="15" s="1"/>
  <c r="F302" i="3"/>
  <c r="K302" i="3" s="1"/>
  <c r="D211" i="15" s="1"/>
  <c r="F250" i="3"/>
  <c r="K250" i="3" s="1"/>
  <c r="D45" i="15" s="1"/>
  <c r="F248" i="3"/>
  <c r="K248" i="3" s="1"/>
  <c r="D234" i="15" s="1"/>
  <c r="F249" i="3"/>
  <c r="K249" i="3" s="1"/>
  <c r="D245" i="15" s="1"/>
  <c r="F227" i="3"/>
  <c r="K227" i="3" s="1"/>
  <c r="D206" i="15" s="1"/>
  <c r="G33" i="3"/>
  <c r="H33" i="3" s="1"/>
  <c r="J33" i="3" s="1"/>
  <c r="F76" i="3"/>
  <c r="K76" i="3" s="1"/>
  <c r="D79" i="15" s="1"/>
  <c r="F254" i="3"/>
  <c r="K254" i="3" s="1"/>
  <c r="D250" i="15" s="1"/>
  <c r="F62" i="3"/>
  <c r="F63" i="3"/>
  <c r="K63" i="3" s="1"/>
  <c r="D93" i="15" s="1"/>
  <c r="F220" i="3"/>
  <c r="K220" i="3" s="1"/>
  <c r="D240" i="15" s="1"/>
  <c r="F199" i="3"/>
  <c r="K199" i="3" s="1"/>
  <c r="D161" i="15" s="1"/>
  <c r="F286" i="3"/>
  <c r="K286" i="3" s="1"/>
  <c r="D244" i="15" s="1"/>
  <c r="F206" i="3"/>
  <c r="K206" i="3" s="1"/>
  <c r="D261" i="15" s="1"/>
  <c r="F289" i="3"/>
  <c r="K289" i="3" s="1"/>
  <c r="F263" i="3"/>
  <c r="K263" i="3" s="1"/>
  <c r="D130" i="15" s="1"/>
  <c r="F217" i="3"/>
  <c r="K217" i="3" s="1"/>
  <c r="D233" i="15" s="1"/>
  <c r="F278" i="3"/>
  <c r="K278" i="3" s="1"/>
  <c r="D216" i="15" s="1"/>
  <c r="F200" i="3"/>
  <c r="K200" i="3" s="1"/>
  <c r="D125" i="15" s="1"/>
  <c r="F294" i="3"/>
  <c r="K294" i="3" s="1"/>
  <c r="D189" i="15" s="1"/>
  <c r="F234" i="3"/>
  <c r="K234" i="3" s="1"/>
  <c r="D140" i="15" s="1"/>
  <c r="F68" i="3"/>
  <c r="K68" i="3" s="1"/>
  <c r="D56" i="15" s="1"/>
  <c r="F228" i="3"/>
  <c r="K228" i="3" s="1"/>
  <c r="D253" i="15" s="1"/>
  <c r="F229" i="3"/>
  <c r="K229" i="3" s="1"/>
  <c r="D219" i="15" s="1"/>
  <c r="F64" i="3"/>
  <c r="K64" i="3" s="1"/>
  <c r="D164" i="15" s="1"/>
  <c r="F58" i="3"/>
  <c r="K58" i="3" s="1"/>
  <c r="F235" i="3"/>
  <c r="K235" i="3" s="1"/>
  <c r="D242" i="15" s="1"/>
  <c r="F70" i="3"/>
  <c r="K70" i="3" s="1"/>
  <c r="D42" i="15" s="1"/>
  <c r="F222" i="3"/>
  <c r="K222" i="3" s="1"/>
  <c r="D254" i="15" s="1"/>
  <c r="F213" i="3"/>
  <c r="K213" i="3" s="1"/>
  <c r="D248" i="15" s="1"/>
  <c r="F280" i="3"/>
  <c r="K280" i="3" s="1"/>
  <c r="D162" i="15" s="1"/>
  <c r="F210" i="3"/>
  <c r="K210" i="3" s="1"/>
  <c r="D260" i="15" s="1"/>
  <c r="F282" i="3"/>
  <c r="K282" i="3" s="1"/>
  <c r="D259" i="15" s="1"/>
  <c r="F253" i="3"/>
  <c r="K253" i="3" s="1"/>
  <c r="D122" i="15" s="1"/>
  <c r="F212" i="3"/>
  <c r="K212" i="3" s="1"/>
  <c r="D183" i="15" s="1"/>
  <c r="F283" i="3"/>
  <c r="K283" i="3" s="1"/>
  <c r="D256" i="15" s="1"/>
  <c r="F218" i="3"/>
  <c r="K218" i="3" s="1"/>
  <c r="D251" i="15" s="1"/>
  <c r="F272" i="3"/>
  <c r="K272" i="3" s="1"/>
  <c r="D201" i="15" s="1"/>
  <c r="F264" i="3"/>
  <c r="K264" i="3" s="1"/>
  <c r="D175" i="15" s="1"/>
  <c r="F221" i="3"/>
  <c r="K221" i="3" s="1"/>
  <c r="D262" i="15" s="1"/>
  <c r="F214" i="3"/>
  <c r="K214" i="3" s="1"/>
  <c r="D217" i="15" s="1"/>
  <c r="F260" i="3"/>
  <c r="K260" i="3" s="1"/>
  <c r="D124" i="15" s="1"/>
  <c r="F216" i="3"/>
  <c r="K216" i="3" s="1"/>
  <c r="D204" i="15" s="1"/>
  <c r="F277" i="3"/>
  <c r="K277" i="3" s="1"/>
  <c r="F59" i="3"/>
  <c r="K59" i="3" s="1"/>
  <c r="D143" i="15" s="1"/>
  <c r="F233" i="3"/>
  <c r="K233" i="3" s="1"/>
  <c r="F74" i="3"/>
  <c r="K74" i="3" s="1"/>
  <c r="F224" i="3"/>
  <c r="K224" i="3" s="1"/>
  <c r="D232" i="15" s="1"/>
  <c r="F194" i="3"/>
  <c r="K194" i="3" s="1"/>
  <c r="D139" i="15" s="1"/>
  <c r="F273" i="3"/>
  <c r="K273" i="3" s="1"/>
  <c r="D121" i="15" s="1"/>
  <c r="F197" i="3"/>
  <c r="K197" i="3" s="1"/>
  <c r="D247" i="15" s="1"/>
  <c r="F236" i="3"/>
  <c r="K236" i="3" s="1"/>
  <c r="D230" i="15" s="1"/>
  <c r="F201" i="3"/>
  <c r="K201" i="3" s="1"/>
  <c r="D44" i="15" s="1"/>
  <c r="F208" i="3"/>
  <c r="K208" i="3" s="1"/>
  <c r="D186" i="15" s="1"/>
  <c r="F285" i="3"/>
  <c r="K285" i="3" s="1"/>
  <c r="D208" i="15" s="1"/>
  <c r="F209" i="3"/>
  <c r="K209" i="3" s="1"/>
  <c r="D209" i="15" s="1"/>
  <c r="F259" i="3"/>
  <c r="K259" i="3" s="1"/>
  <c r="D155" i="15" s="1"/>
  <c r="F223" i="3"/>
  <c r="K223" i="3" s="1"/>
  <c r="D231" i="15" s="1"/>
  <c r="F205" i="3"/>
  <c r="K205" i="3" s="1"/>
  <c r="D255" i="15" s="1"/>
  <c r="F257" i="3"/>
  <c r="K257" i="3" s="1"/>
  <c r="D98" i="15" s="1"/>
  <c r="F207" i="3"/>
  <c r="K207" i="3" s="1"/>
  <c r="D252" i="15" s="1"/>
  <c r="F269" i="3"/>
  <c r="K269" i="3" s="1"/>
  <c r="D184" i="15" s="1"/>
  <c r="F60" i="3"/>
  <c r="K60" i="3" s="1"/>
  <c r="D116" i="15" s="1"/>
  <c r="F258" i="3"/>
  <c r="K258" i="3" s="1"/>
  <c r="D181" i="15" s="1"/>
  <c r="F226" i="3"/>
  <c r="K226" i="3" s="1"/>
  <c r="D207" i="15" s="1"/>
  <c r="F284" i="3"/>
  <c r="K284" i="3" s="1"/>
  <c r="D249" i="15" s="1"/>
  <c r="F270" i="3"/>
  <c r="K270" i="3" s="1"/>
  <c r="D63" i="15" s="1"/>
  <c r="F293" i="3"/>
  <c r="F215" i="3"/>
  <c r="K215" i="3" s="1"/>
  <c r="D246" i="15" s="1"/>
  <c r="F196" i="3"/>
  <c r="K196" i="3" s="1"/>
  <c r="D258" i="15" s="1"/>
  <c r="F279" i="3"/>
  <c r="K279" i="3" s="1"/>
  <c r="D237" i="15" s="1"/>
  <c r="F195" i="3"/>
  <c r="K195" i="3" s="1"/>
  <c r="D97" i="15" s="1"/>
  <c r="F239" i="3"/>
  <c r="K239" i="3" s="1"/>
  <c r="F225" i="3"/>
  <c r="K225" i="3" s="1"/>
  <c r="D236" i="15" s="1"/>
  <c r="F290" i="3"/>
  <c r="K290" i="3" s="1"/>
  <c r="D128" i="15" s="1"/>
  <c r="F247" i="3"/>
  <c r="F211" i="3"/>
  <c r="K211" i="3" s="1"/>
  <c r="D257" i="15" s="1"/>
  <c r="H168" i="4"/>
  <c r="H298" i="4"/>
  <c r="H319" i="4" s="1"/>
  <c r="I279" i="4" s="1"/>
  <c r="F431" i="4" s="1"/>
  <c r="H431" i="4" s="1"/>
  <c r="H214" i="4"/>
  <c r="K62" i="3" l="1"/>
  <c r="D59" i="15" s="1"/>
  <c r="D115" i="15"/>
  <c r="K387" i="3"/>
  <c r="D55" i="15"/>
  <c r="K297" i="3"/>
  <c r="D57" i="15"/>
  <c r="K288" i="3"/>
  <c r="D218" i="15"/>
  <c r="K275" i="3"/>
  <c r="D71" i="15"/>
  <c r="K238" i="3"/>
  <c r="D109" i="15"/>
  <c r="K231" i="3"/>
  <c r="D172" i="15"/>
  <c r="D87" i="15"/>
  <c r="K406" i="3"/>
  <c r="K382" i="3"/>
  <c r="K398" i="3"/>
  <c r="K345" i="3"/>
  <c r="K369" i="3"/>
  <c r="K375" i="3"/>
  <c r="K326" i="3"/>
  <c r="K415" i="3"/>
  <c r="K293" i="3"/>
  <c r="K247" i="3"/>
  <c r="K267" i="3"/>
  <c r="K262" i="3"/>
  <c r="K256" i="3"/>
  <c r="K203" i="3"/>
  <c r="K192" i="3"/>
  <c r="H203" i="4"/>
  <c r="H216" i="4" s="1"/>
  <c r="H324" i="4"/>
  <c r="H325" i="4"/>
  <c r="F326" i="4"/>
  <c r="H326" i="4" s="1"/>
  <c r="K56" i="3" l="1"/>
  <c r="K246" i="3"/>
  <c r="D157" i="15"/>
  <c r="K292" i="3"/>
  <c r="D150" i="15"/>
  <c r="K386" i="3"/>
  <c r="H37" i="9" s="1"/>
  <c r="H331" i="4"/>
  <c r="I321" i="4" s="1"/>
  <c r="E432" i="4" s="1"/>
  <c r="F432" i="4" s="1"/>
  <c r="H432" i="4" s="1"/>
  <c r="I187" i="4"/>
  <c r="E427" i="4" s="1"/>
  <c r="F427" i="4" s="1"/>
  <c r="H427" i="4" s="1"/>
  <c r="H275" i="4"/>
  <c r="H274" i="4"/>
  <c r="H273" i="4"/>
  <c r="H272" i="4"/>
  <c r="H271" i="4"/>
  <c r="H270" i="4"/>
  <c r="H269" i="4"/>
  <c r="H268" i="4"/>
  <c r="H267" i="4"/>
  <c r="H266" i="4"/>
  <c r="H265" i="4"/>
  <c r="H264" i="4"/>
  <c r="H256" i="4"/>
  <c r="H244" i="4"/>
  <c r="H245" i="4"/>
  <c r="H246" i="4"/>
  <c r="H247" i="4"/>
  <c r="H248" i="4"/>
  <c r="H249" i="4"/>
  <c r="H250" i="4"/>
  <c r="H251" i="4"/>
  <c r="H252" i="4"/>
  <c r="H253" i="4"/>
  <c r="H254" i="4"/>
  <c r="H255" i="4"/>
  <c r="H243" i="4"/>
  <c r="H235" i="4"/>
  <c r="H234" i="4"/>
  <c r="H233" i="4"/>
  <c r="H232" i="4"/>
  <c r="H231" i="4"/>
  <c r="H230" i="4"/>
  <c r="H229" i="4"/>
  <c r="H228" i="4"/>
  <c r="H227" i="4"/>
  <c r="H226" i="4"/>
  <c r="H225" i="4"/>
  <c r="H222" i="4"/>
  <c r="H221" i="4"/>
  <c r="H140" i="4"/>
  <c r="H105" i="4"/>
  <c r="E122" i="4" s="1"/>
  <c r="H122" i="4" s="1"/>
  <c r="H88" i="4"/>
  <c r="H67" i="4"/>
  <c r="H148" i="4"/>
  <c r="H154" i="4" s="1"/>
  <c r="H139" i="4"/>
  <c r="H138" i="4"/>
  <c r="H137" i="4"/>
  <c r="H136" i="4"/>
  <c r="H135" i="4"/>
  <c r="H134" i="4"/>
  <c r="H133" i="4"/>
  <c r="H132" i="4"/>
  <c r="H131" i="4"/>
  <c r="H130" i="4"/>
  <c r="H94" i="4"/>
  <c r="E111" i="4" s="1"/>
  <c r="H111" i="4" s="1"/>
  <c r="H95" i="4"/>
  <c r="E112" i="4" s="1"/>
  <c r="H112" i="4" s="1"/>
  <c r="H96" i="4"/>
  <c r="E113" i="4" s="1"/>
  <c r="H113" i="4" s="1"/>
  <c r="H97" i="4"/>
  <c r="E114" i="4" s="1"/>
  <c r="H114" i="4" s="1"/>
  <c r="H98" i="4"/>
  <c r="E115" i="4" s="1"/>
  <c r="H115" i="4" s="1"/>
  <c r="H99" i="4"/>
  <c r="E116" i="4" s="1"/>
  <c r="H116" i="4" s="1"/>
  <c r="H100" i="4"/>
  <c r="E117" i="4" s="1"/>
  <c r="H117" i="4" s="1"/>
  <c r="H102" i="4"/>
  <c r="E119" i="4" s="1"/>
  <c r="H119" i="4" s="1"/>
  <c r="H103" i="4"/>
  <c r="E120" i="4" s="1"/>
  <c r="H120" i="4" s="1"/>
  <c r="H104" i="4"/>
  <c r="E121" i="4" s="1"/>
  <c r="H121" i="4" s="1"/>
  <c r="H93" i="4"/>
  <c r="E110" i="4" s="1"/>
  <c r="H110" i="4" s="1"/>
  <c r="E101" i="4"/>
  <c r="H101" i="4" s="1"/>
  <c r="E118" i="4" s="1"/>
  <c r="H118" i="4" s="1"/>
  <c r="H77" i="4"/>
  <c r="H78" i="4"/>
  <c r="H79" i="4"/>
  <c r="H80" i="4"/>
  <c r="H81" i="4"/>
  <c r="H82" i="4"/>
  <c r="H83" i="4"/>
  <c r="H84" i="4"/>
  <c r="H85" i="4"/>
  <c r="H86" i="4"/>
  <c r="H87" i="4"/>
  <c r="H57" i="4"/>
  <c r="H58" i="4"/>
  <c r="H59" i="4"/>
  <c r="H60" i="4"/>
  <c r="H61" i="4"/>
  <c r="H62" i="4"/>
  <c r="H63" i="4"/>
  <c r="H64" i="4"/>
  <c r="H65" i="4"/>
  <c r="H66" i="4"/>
  <c r="H51" i="4"/>
  <c r="K266" i="3" l="1"/>
  <c r="H33" i="9" s="1"/>
  <c r="F34" i="9" s="1"/>
  <c r="D38" i="9"/>
  <c r="G38" i="9"/>
  <c r="E38" i="9"/>
  <c r="F38" i="9"/>
  <c r="H142" i="4"/>
  <c r="I53" i="4"/>
  <c r="F72" i="4" s="1"/>
  <c r="H72" i="4" s="1"/>
  <c r="I69" i="4" s="1"/>
  <c r="E425" i="4" s="1"/>
  <c r="F425" i="4" s="1"/>
  <c r="H425" i="4" s="1"/>
  <c r="I107" i="4"/>
  <c r="H259" i="4"/>
  <c r="I240" i="4" s="1"/>
  <c r="E429" i="4" s="1"/>
  <c r="F429" i="4" s="1"/>
  <c r="H429" i="4" s="1"/>
  <c r="H277" i="4"/>
  <c r="I261" i="4" s="1"/>
  <c r="E430" i="4" s="1"/>
  <c r="F430" i="4" s="1"/>
  <c r="H430" i="4" s="1"/>
  <c r="H238" i="4"/>
  <c r="I218" i="4" s="1"/>
  <c r="E428" i="4" s="1"/>
  <c r="F428" i="4" s="1"/>
  <c r="H428" i="4" s="1"/>
  <c r="I90" i="4"/>
  <c r="I74" i="4"/>
  <c r="I47" i="4"/>
  <c r="H45" i="4"/>
  <c r="H44" i="4"/>
  <c r="H43" i="4"/>
  <c r="H42" i="4"/>
  <c r="H37" i="4"/>
  <c r="H36" i="4"/>
  <c r="H35" i="4"/>
  <c r="H34" i="4"/>
  <c r="H185" i="4" l="1"/>
  <c r="I124" i="4" s="1"/>
  <c r="E426" i="4" s="1"/>
  <c r="F426" i="4" s="1"/>
  <c r="H426" i="4" s="1"/>
  <c r="G34" i="9"/>
  <c r="E424" i="4"/>
  <c r="F424" i="4" s="1"/>
  <c r="H424" i="4" s="1"/>
  <c r="I31" i="4"/>
  <c r="E422" i="4" s="1"/>
  <c r="F422" i="4" s="1"/>
  <c r="H422" i="4" s="1"/>
  <c r="I39" i="4"/>
  <c r="E423" i="4" s="1"/>
  <c r="F423" i="4" s="1"/>
  <c r="H423" i="4" s="1"/>
  <c r="J24" i="4"/>
  <c r="I27" i="4" s="1"/>
  <c r="I24" i="4"/>
  <c r="B24" i="4"/>
  <c r="J19" i="4"/>
  <c r="I22" i="4" s="1"/>
  <c r="I19" i="4"/>
  <c r="B19" i="4"/>
  <c r="I419" i="4" l="1"/>
  <c r="F455" i="4" l="1"/>
  <c r="H455" i="4" s="1"/>
  <c r="I452" i="4" s="1"/>
  <c r="B2" i="2" l="1"/>
  <c r="J341" i="4" l="1"/>
  <c r="B341" i="4"/>
  <c r="B333" i="4"/>
  <c r="J333" i="4"/>
  <c r="J321" i="4"/>
  <c r="I344" i="4" s="1"/>
  <c r="I345" i="4" s="1"/>
  <c r="I346" i="4" s="1"/>
  <c r="I347" i="4" s="1"/>
  <c r="I348" i="4" s="1"/>
  <c r="I349" i="4" s="1"/>
  <c r="I350" i="4" s="1"/>
  <c r="B321" i="4"/>
  <c r="B279" i="4"/>
  <c r="J261" i="4"/>
  <c r="J279" i="4"/>
  <c r="B261" i="4"/>
  <c r="J240" i="4"/>
  <c r="B240" i="4"/>
  <c r="J218" i="4"/>
  <c r="B218" i="4"/>
  <c r="J187" i="4"/>
  <c r="J124" i="4"/>
  <c r="B124" i="4"/>
  <c r="B107" i="4"/>
  <c r="J107" i="4"/>
  <c r="J90" i="4"/>
  <c r="I93" i="4" s="1"/>
  <c r="B90" i="4"/>
  <c r="B74" i="4"/>
  <c r="J74" i="4"/>
  <c r="I77" i="4" s="1"/>
  <c r="J69" i="4"/>
  <c r="I72" i="4" s="1"/>
  <c r="B69" i="4"/>
  <c r="J53" i="4"/>
  <c r="B53" i="4"/>
  <c r="J47" i="4"/>
  <c r="I50" i="4" s="1"/>
  <c r="B47" i="4"/>
  <c r="J39" i="4"/>
  <c r="B39" i="4"/>
  <c r="J31" i="4"/>
  <c r="B31" i="4"/>
  <c r="J12" i="4"/>
  <c r="I15" i="4" s="1"/>
  <c r="B12" i="4"/>
  <c r="I12" i="4"/>
  <c r="F10" i="3" s="1"/>
  <c r="F188" i="3" l="1"/>
  <c r="F189" i="3"/>
  <c r="I352" i="4"/>
  <c r="I367" i="4"/>
  <c r="I364" i="4"/>
  <c r="I362" i="4"/>
  <c r="I360" i="4"/>
  <c r="I358" i="4"/>
  <c r="I365" i="4"/>
  <c r="I363" i="4"/>
  <c r="I361" i="4"/>
  <c r="I359" i="4"/>
  <c r="I357" i="4"/>
  <c r="I216" i="4"/>
  <c r="I191" i="4"/>
  <c r="I193" i="4"/>
  <c r="I195" i="4"/>
  <c r="I197" i="4"/>
  <c r="I199" i="4"/>
  <c r="I201" i="4"/>
  <c r="I192" i="4"/>
  <c r="I194" i="4"/>
  <c r="I196" i="4"/>
  <c r="I198" i="4"/>
  <c r="I200" i="4"/>
  <c r="I190" i="4"/>
  <c r="I212" i="4"/>
  <c r="I210" i="4"/>
  <c r="I208" i="4"/>
  <c r="I211" i="4"/>
  <c r="I209" i="4"/>
  <c r="I179" i="4"/>
  <c r="I181" i="4"/>
  <c r="I180" i="4"/>
  <c r="I154" i="4"/>
  <c r="I173" i="4"/>
  <c r="I175" i="4"/>
  <c r="I177" i="4"/>
  <c r="I178" i="4"/>
  <c r="I174" i="4"/>
  <c r="I176" i="4"/>
  <c r="I129" i="4"/>
  <c r="F125" i="3"/>
  <c r="F121" i="3"/>
  <c r="K121" i="3" s="1"/>
  <c r="D35" i="15" s="1"/>
  <c r="F117" i="3"/>
  <c r="K117" i="3" s="1"/>
  <c r="D8" i="15" s="1"/>
  <c r="F113" i="3"/>
  <c r="K113" i="3" s="1"/>
  <c r="D19" i="15" s="1"/>
  <c r="F87" i="3"/>
  <c r="K87" i="3" s="1"/>
  <c r="D38" i="15" s="1"/>
  <c r="F84" i="3"/>
  <c r="K84" i="3" s="1"/>
  <c r="D153" i="15" s="1"/>
  <c r="F126" i="3"/>
  <c r="K126" i="3" s="1"/>
  <c r="D32" i="15" s="1"/>
  <c r="F118" i="3"/>
  <c r="K118" i="3" s="1"/>
  <c r="D102" i="15" s="1"/>
  <c r="F112" i="3"/>
  <c r="K112" i="3" s="1"/>
  <c r="D12" i="15" s="1"/>
  <c r="F83" i="3"/>
  <c r="K83" i="3" s="1"/>
  <c r="D82" i="15" s="1"/>
  <c r="F89" i="3"/>
  <c r="K89" i="3" s="1"/>
  <c r="D180" i="15" s="1"/>
  <c r="F122" i="3"/>
  <c r="K122" i="3" s="1"/>
  <c r="D73" i="15" s="1"/>
  <c r="F114" i="3"/>
  <c r="K114" i="3" s="1"/>
  <c r="D27" i="15" s="1"/>
  <c r="F85" i="3"/>
  <c r="K85" i="3" s="1"/>
  <c r="D111" i="15" s="1"/>
  <c r="F88" i="3"/>
  <c r="K88" i="3" s="1"/>
  <c r="D72" i="15" s="1"/>
  <c r="F78" i="3"/>
  <c r="K78" i="3" s="1"/>
  <c r="D96" i="15" s="1"/>
  <c r="F79" i="3"/>
  <c r="K79" i="3" s="1"/>
  <c r="D69" i="15" s="1"/>
  <c r="F75" i="3"/>
  <c r="K75" i="3" s="1"/>
  <c r="F94" i="3"/>
  <c r="K94" i="3" s="1"/>
  <c r="D15" i="15" s="1"/>
  <c r="F96" i="3"/>
  <c r="K96" i="3" s="1"/>
  <c r="D10" i="15" s="1"/>
  <c r="F99" i="3"/>
  <c r="K99" i="3" s="1"/>
  <c r="D47" i="15" s="1"/>
  <c r="F153" i="3"/>
  <c r="K153" i="3" s="1"/>
  <c r="F182" i="3"/>
  <c r="F181" i="3"/>
  <c r="F104" i="3"/>
  <c r="K104" i="3" s="1"/>
  <c r="D221" i="15" s="1"/>
  <c r="F149" i="3"/>
  <c r="K149" i="3" s="1"/>
  <c r="F148" i="3"/>
  <c r="F150" i="3"/>
  <c r="K150" i="3" s="1"/>
  <c r="F108" i="3"/>
  <c r="K108" i="3" s="1"/>
  <c r="F105" i="3"/>
  <c r="K105" i="3" s="1"/>
  <c r="D127" i="15" s="1"/>
  <c r="F103" i="3"/>
  <c r="F176" i="3"/>
  <c r="K176" i="3" s="1"/>
  <c r="D136" i="15" s="1"/>
  <c r="F52" i="3"/>
  <c r="K52" i="3" s="1"/>
  <c r="D78" i="15" s="1"/>
  <c r="F172" i="3"/>
  <c r="K172" i="3" s="1"/>
  <c r="D151" i="15" s="1"/>
  <c r="F174" i="3"/>
  <c r="K174" i="3" s="1"/>
  <c r="D156" i="15" s="1"/>
  <c r="F173" i="3"/>
  <c r="K173" i="3" s="1"/>
  <c r="D195" i="15" s="1"/>
  <c r="F175" i="3"/>
  <c r="K175" i="3" s="1"/>
  <c r="D142" i="15" s="1"/>
  <c r="F171" i="3"/>
  <c r="K171" i="3" s="1"/>
  <c r="D194" i="15" s="1"/>
  <c r="F167" i="3"/>
  <c r="K167" i="3" s="1"/>
  <c r="D46" i="15" s="1"/>
  <c r="F168" i="3"/>
  <c r="K168" i="3" s="1"/>
  <c r="D77" i="15" s="1"/>
  <c r="F166" i="3"/>
  <c r="K166" i="3" s="1"/>
  <c r="D84" i="15" s="1"/>
  <c r="F165" i="3"/>
  <c r="K165" i="3" s="1"/>
  <c r="D31" i="15" s="1"/>
  <c r="F164" i="3"/>
  <c r="K164" i="3" s="1"/>
  <c r="D20" i="15" s="1"/>
  <c r="F163" i="3"/>
  <c r="K163" i="3" s="1"/>
  <c r="D99" i="15" s="1"/>
  <c r="F162" i="3"/>
  <c r="K162" i="3" s="1"/>
  <c r="D83" i="15" s="1"/>
  <c r="F161" i="3"/>
  <c r="K161" i="3" s="1"/>
  <c r="F185" i="3"/>
  <c r="F180" i="3"/>
  <c r="F157" i="3"/>
  <c r="F158" i="3"/>
  <c r="K158" i="3" s="1"/>
  <c r="D41" i="15" s="1"/>
  <c r="D163" i="15"/>
  <c r="F140" i="3"/>
  <c r="F137" i="3"/>
  <c r="K137" i="3" s="1"/>
  <c r="F143" i="3"/>
  <c r="K143" i="3" s="1"/>
  <c r="D39" i="15" s="1"/>
  <c r="F144" i="3"/>
  <c r="K144" i="3" s="1"/>
  <c r="D74" i="15" s="1"/>
  <c r="F134" i="3"/>
  <c r="K134" i="3" s="1"/>
  <c r="F131" i="3"/>
  <c r="F130" i="3"/>
  <c r="F37" i="3"/>
  <c r="K37" i="3" s="1"/>
  <c r="D243" i="15" s="1"/>
  <c r="F39" i="3"/>
  <c r="K39" i="3" s="1"/>
  <c r="D149" i="15" s="1"/>
  <c r="F45" i="3"/>
  <c r="K45" i="3" s="1"/>
  <c r="D40" i="15" s="1"/>
  <c r="F38" i="3"/>
  <c r="K38" i="3" s="1"/>
  <c r="D171" i="15" s="1"/>
  <c r="F36" i="3"/>
  <c r="K36" i="3" s="1"/>
  <c r="D203" i="15" s="1"/>
  <c r="F35" i="3"/>
  <c r="F14" i="3"/>
  <c r="K14" i="3" s="1"/>
  <c r="D81" i="15" s="1"/>
  <c r="I369" i="4"/>
  <c r="I336" i="4"/>
  <c r="I337" i="4"/>
  <c r="I339" i="4"/>
  <c r="I338" i="4"/>
  <c r="I327" i="4"/>
  <c r="I329" i="4"/>
  <c r="I319" i="4"/>
  <c r="I298" i="4"/>
  <c r="I317" i="4"/>
  <c r="I282" i="4"/>
  <c r="I304" i="4"/>
  <c r="I306" i="4"/>
  <c r="I308" i="4"/>
  <c r="I310" i="4"/>
  <c r="I312" i="4"/>
  <c r="I313" i="4"/>
  <c r="I315" i="4"/>
  <c r="I303" i="4"/>
  <c r="I288" i="4"/>
  <c r="I283" i="4"/>
  <c r="I285" i="4"/>
  <c r="I287" i="4"/>
  <c r="I289" i="4"/>
  <c r="I292" i="4"/>
  <c r="I294" i="4"/>
  <c r="I296" i="4"/>
  <c r="I286" i="4"/>
  <c r="I290" i="4"/>
  <c r="I293" i="4"/>
  <c r="I305" i="4"/>
  <c r="I307" i="4"/>
  <c r="I309" i="4"/>
  <c r="I314" i="4"/>
  <c r="I284" i="4"/>
  <c r="I295" i="4"/>
  <c r="I168" i="4"/>
  <c r="I183" i="4"/>
  <c r="I185" i="4"/>
  <c r="I162" i="4"/>
  <c r="I164" i="4"/>
  <c r="I166" i="4"/>
  <c r="I161" i="4"/>
  <c r="I159" i="4"/>
  <c r="I163" i="4"/>
  <c r="I165" i="4"/>
  <c r="I160" i="4"/>
  <c r="I265" i="4"/>
  <c r="I269" i="4"/>
  <c r="I273" i="4"/>
  <c r="I272" i="4"/>
  <c r="I266" i="4"/>
  <c r="I270" i="4"/>
  <c r="I274" i="4"/>
  <c r="I267" i="4"/>
  <c r="I271" i="4"/>
  <c r="I275" i="4"/>
  <c r="I277" i="4" s="1"/>
  <c r="I268" i="4"/>
  <c r="I264" i="4"/>
  <c r="I133" i="4"/>
  <c r="I137" i="4"/>
  <c r="I130" i="4"/>
  <c r="I134" i="4"/>
  <c r="I138" i="4"/>
  <c r="I131" i="4"/>
  <c r="I135" i="4"/>
  <c r="I139" i="4"/>
  <c r="I132" i="4"/>
  <c r="I136" i="4"/>
  <c r="I140" i="4"/>
  <c r="I57" i="4"/>
  <c r="I61" i="4"/>
  <c r="I65" i="4"/>
  <c r="I58" i="4"/>
  <c r="I62" i="4"/>
  <c r="I66" i="4"/>
  <c r="I59" i="4"/>
  <c r="I63" i="4"/>
  <c r="I67" i="4"/>
  <c r="I60" i="4"/>
  <c r="I64" i="4"/>
  <c r="I56" i="4"/>
  <c r="I214" i="4"/>
  <c r="I203" i="4"/>
  <c r="I243" i="4"/>
  <c r="I244" i="4" s="1"/>
  <c r="I245" i="4" s="1"/>
  <c r="I246" i="4" s="1"/>
  <c r="I247" i="4" s="1"/>
  <c r="I248" i="4" s="1"/>
  <c r="I249" i="4" s="1"/>
  <c r="I250" i="4" s="1"/>
  <c r="I251" i="4" s="1"/>
  <c r="I252" i="4" s="1"/>
  <c r="I253" i="4" s="1"/>
  <c r="I254" i="4" s="1"/>
  <c r="I255" i="4" s="1"/>
  <c r="I256" i="4" s="1"/>
  <c r="I259" i="4" s="1"/>
  <c r="I221" i="4"/>
  <c r="I222" i="4" s="1"/>
  <c r="I225" i="4" s="1"/>
  <c r="I226" i="4" s="1"/>
  <c r="I227" i="4" s="1"/>
  <c r="I228" i="4" s="1"/>
  <c r="I229" i="4" s="1"/>
  <c r="I230" i="4" s="1"/>
  <c r="I231" i="4" s="1"/>
  <c r="I232" i="4" s="1"/>
  <c r="I233" i="4" s="1"/>
  <c r="I238" i="4" s="1"/>
  <c r="I78" i="4"/>
  <c r="I79" i="4" s="1"/>
  <c r="I80" i="4" s="1"/>
  <c r="I81" i="4" s="1"/>
  <c r="I82" i="4" s="1"/>
  <c r="I83" i="4" s="1"/>
  <c r="I84" i="4" s="1"/>
  <c r="I85" i="4" s="1"/>
  <c r="I86" i="4" s="1"/>
  <c r="I87" i="4" s="1"/>
  <c r="I88" i="4" s="1"/>
  <c r="I110" i="4"/>
  <c r="I111" i="4" s="1"/>
  <c r="I112" i="4" s="1"/>
  <c r="I113" i="4" s="1"/>
  <c r="I114" i="4" s="1"/>
  <c r="I115" i="4" s="1"/>
  <c r="I116" i="4" s="1"/>
  <c r="I117" i="4" s="1"/>
  <c r="I118" i="4" s="1"/>
  <c r="I119" i="4" s="1"/>
  <c r="I120" i="4" s="1"/>
  <c r="I121" i="4" s="1"/>
  <c r="I122" i="4" s="1"/>
  <c r="I94" i="4"/>
  <c r="I95" i="4" s="1"/>
  <c r="I96" i="4" s="1"/>
  <c r="I97" i="4" s="1"/>
  <c r="I98" i="4" s="1"/>
  <c r="I99" i="4" s="1"/>
  <c r="I100" i="4" s="1"/>
  <c r="I101" i="4" s="1"/>
  <c r="I102" i="4" s="1"/>
  <c r="I103" i="4" s="1"/>
  <c r="I104" i="4" s="1"/>
  <c r="I105" i="4" s="1"/>
  <c r="I51" i="4"/>
  <c r="I34" i="4"/>
  <c r="I35" i="4" s="1"/>
  <c r="I36" i="4" s="1"/>
  <c r="I37" i="4" s="1"/>
  <c r="I42" i="4"/>
  <c r="I43" i="4" s="1"/>
  <c r="I44" i="4" s="1"/>
  <c r="I45" i="4" s="1"/>
  <c r="F33" i="3"/>
  <c r="K33" i="3" s="1"/>
  <c r="D239" i="15" s="1"/>
  <c r="I324" i="4"/>
  <c r="I326" i="4"/>
  <c r="I328" i="4"/>
  <c r="I331" i="4" s="1"/>
  <c r="I325" i="4"/>
  <c r="D29" i="15" l="1"/>
  <c r="K188" i="3"/>
  <c r="K189" i="3"/>
  <c r="D36" i="15" s="1"/>
  <c r="K182" i="3"/>
  <c r="D23" i="15" s="1"/>
  <c r="K181" i="3"/>
  <c r="D17" i="15" s="1"/>
  <c r="K180" i="3"/>
  <c r="D76" i="15" s="1"/>
  <c r="K157" i="3"/>
  <c r="D60" i="15" s="1"/>
  <c r="D13" i="15"/>
  <c r="D54" i="15"/>
  <c r="K148" i="3"/>
  <c r="D51" i="15" s="1"/>
  <c r="D25" i="15"/>
  <c r="K130" i="3"/>
  <c r="D26" i="15" s="1"/>
  <c r="K131" i="3"/>
  <c r="D21" i="15" s="1"/>
  <c r="K125" i="3"/>
  <c r="K124" i="3" s="1"/>
  <c r="K103" i="3"/>
  <c r="D11" i="15" s="1"/>
  <c r="K35" i="3"/>
  <c r="D34" i="15" s="1"/>
  <c r="D24" i="15"/>
  <c r="K160" i="3"/>
  <c r="D103" i="15"/>
  <c r="K72" i="3"/>
  <c r="K185" i="3"/>
  <c r="K140" i="3"/>
  <c r="K111" i="3"/>
  <c r="K92" i="3"/>
  <c r="K81" i="3"/>
  <c r="K142" i="3"/>
  <c r="K170" i="3"/>
  <c r="K133" i="3"/>
  <c r="K120" i="3"/>
  <c r="K116" i="3"/>
  <c r="I257" i="4"/>
  <c r="I234" i="4"/>
  <c r="I235" i="4" s="1"/>
  <c r="I236" i="4" s="1"/>
  <c r="I142" i="4"/>
  <c r="F34" i="3"/>
  <c r="K34" i="3" s="1"/>
  <c r="D154" i="15" s="1"/>
  <c r="K187" i="3" l="1"/>
  <c r="K179" i="3"/>
  <c r="K156" i="3"/>
  <c r="K155" i="3" s="1"/>
  <c r="H27" i="9" s="1"/>
  <c r="K147" i="3"/>
  <c r="K102" i="3"/>
  <c r="D16" i="15"/>
  <c r="K129" i="3"/>
  <c r="K110" i="3"/>
  <c r="H21" i="9" s="1"/>
  <c r="K91" i="3"/>
  <c r="H17" i="9" s="1"/>
  <c r="C18" i="9" s="1"/>
  <c r="K107" i="3"/>
  <c r="D62" i="15"/>
  <c r="K136" i="3"/>
  <c r="D9" i="15"/>
  <c r="K139" i="3"/>
  <c r="D141" i="15"/>
  <c r="K152" i="3"/>
  <c r="D22" i="15"/>
  <c r="K184" i="3"/>
  <c r="D104" i="15"/>
  <c r="K420" i="3"/>
  <c r="K419" i="3" s="1"/>
  <c r="H39" i="9" s="1"/>
  <c r="G40" i="9" s="1"/>
  <c r="K362" i="3"/>
  <c r="K357" i="3"/>
  <c r="K316" i="3"/>
  <c r="K252" i="3"/>
  <c r="K191" i="3" s="1"/>
  <c r="K296" i="3" l="1"/>
  <c r="H35" i="9" s="1"/>
  <c r="K178" i="3"/>
  <c r="H29" i="9" s="1"/>
  <c r="G30" i="9" s="1"/>
  <c r="K128" i="3"/>
  <c r="H23" i="9" s="1"/>
  <c r="F24" i="9" s="1"/>
  <c r="K146" i="3"/>
  <c r="H25" i="9" s="1"/>
  <c r="G26" i="9" s="1"/>
  <c r="K101" i="3"/>
  <c r="H19" i="9" s="1"/>
  <c r="E20" i="9" s="1"/>
  <c r="E18" i="9"/>
  <c r="D18" i="9"/>
  <c r="F22" i="9"/>
  <c r="E22" i="9"/>
  <c r="G28" i="9"/>
  <c r="D28" i="9"/>
  <c r="E28" i="9"/>
  <c r="F28" i="9"/>
  <c r="H31" i="9"/>
  <c r="F51" i="3"/>
  <c r="K51" i="3" s="1"/>
  <c r="D53" i="15" s="1"/>
  <c r="F50" i="3"/>
  <c r="K50" i="3" s="1"/>
  <c r="F40" i="3"/>
  <c r="F28" i="3"/>
  <c r="K28" i="3" s="1"/>
  <c r="F29" i="3"/>
  <c r="K29" i="3" s="1"/>
  <c r="D177" i="15" s="1"/>
  <c r="F30" i="3"/>
  <c r="K30" i="3" s="1"/>
  <c r="D132" i="15" s="1"/>
  <c r="F31" i="3"/>
  <c r="K31" i="3" s="1"/>
  <c r="F41" i="3"/>
  <c r="K41" i="3" s="1"/>
  <c r="F32" i="3"/>
  <c r="K32" i="3" s="1"/>
  <c r="F23" i="3"/>
  <c r="K23" i="3" s="1"/>
  <c r="D238" i="15" s="1"/>
  <c r="F24" i="3"/>
  <c r="K24" i="3" s="1"/>
  <c r="D241" i="15" s="1"/>
  <c r="F25" i="3"/>
  <c r="K25" i="3" s="1"/>
  <c r="D145" i="15" s="1"/>
  <c r="F26" i="3"/>
  <c r="K26" i="3" s="1"/>
  <c r="D67" i="15" l="1"/>
  <c r="K40" i="3"/>
  <c r="D70" i="15" s="1"/>
  <c r="D52" i="15"/>
  <c r="D75" i="15"/>
  <c r="D37" i="15"/>
  <c r="D43" i="15"/>
  <c r="D28" i="15"/>
  <c r="K49" i="3"/>
  <c r="F30" i="9"/>
  <c r="F26" i="9"/>
  <c r="F20" i="9"/>
  <c r="D24" i="9"/>
  <c r="G24" i="9"/>
  <c r="E24" i="9"/>
  <c r="D36" i="9"/>
  <c r="E36" i="9"/>
  <c r="F36" i="9"/>
  <c r="G36" i="9"/>
  <c r="G32" i="9"/>
  <c r="E32" i="9"/>
  <c r="D32" i="9"/>
  <c r="F32" i="9"/>
  <c r="F19" i="3"/>
  <c r="K19" i="3" s="1"/>
  <c r="D65" i="15" s="1"/>
  <c r="K66" i="3" l="1"/>
  <c r="K55" i="3" s="1"/>
  <c r="H15" i="9" l="1"/>
  <c r="D16" i="9" s="1"/>
  <c r="K48" i="3"/>
  <c r="C16" i="9" l="1"/>
  <c r="H13" i="9"/>
  <c r="C14" i="9" s="1"/>
  <c r="H10" i="3" l="1"/>
  <c r="J10" i="3" s="1"/>
  <c r="K10" i="3" s="1"/>
  <c r="B5" i="2" l="1"/>
  <c r="B3" i="2"/>
  <c r="K9" i="3" l="1"/>
  <c r="D14" i="15"/>
  <c r="F44" i="3"/>
  <c r="K44" i="3" s="1"/>
  <c r="D174" i="15" s="1"/>
  <c r="F13" i="3"/>
  <c r="K13" i="3" s="1"/>
  <c r="D88" i="15" s="1"/>
  <c r="F46" i="3"/>
  <c r="F22" i="3"/>
  <c r="K22" i="3" s="1"/>
  <c r="D144" i="15" s="1"/>
  <c r="F27" i="3"/>
  <c r="K27" i="3" s="1"/>
  <c r="D148" i="15" s="1"/>
  <c r="F20" i="3"/>
  <c r="K20" i="3" s="1"/>
  <c r="D95" i="15" s="1"/>
  <c r="F21" i="3"/>
  <c r="K21" i="3" s="1"/>
  <c r="D168" i="15" s="1"/>
  <c r="F18" i="3"/>
  <c r="K18" i="3" s="1"/>
  <c r="D94" i="15" s="1"/>
  <c r="K46" i="3" l="1"/>
  <c r="D86" i="15" s="1"/>
  <c r="D263" i="15" s="1"/>
  <c r="E14" i="15" s="1"/>
  <c r="K17" i="3"/>
  <c r="K12" i="3"/>
  <c r="K8" i="3" s="1"/>
  <c r="K43" i="3" l="1"/>
  <c r="H9" i="9"/>
  <c r="E49" i="15"/>
  <c r="E217" i="15"/>
  <c r="E167" i="15"/>
  <c r="E262" i="15"/>
  <c r="E169" i="15"/>
  <c r="E247" i="15"/>
  <c r="E186" i="15"/>
  <c r="E225" i="15"/>
  <c r="E106" i="15"/>
  <c r="E257" i="15"/>
  <c r="E261" i="15"/>
  <c r="E89" i="15"/>
  <c r="E244" i="15"/>
  <c r="E117" i="15"/>
  <c r="E235" i="15"/>
  <c r="E189" i="15"/>
  <c r="E134" i="15"/>
  <c r="E125" i="15"/>
  <c r="E114" i="15"/>
  <c r="E122" i="15"/>
  <c r="E187" i="15"/>
  <c r="E199" i="15"/>
  <c r="E172" i="15"/>
  <c r="E193" i="15"/>
  <c r="E128" i="15"/>
  <c r="E240" i="15"/>
  <c r="E100" i="15"/>
  <c r="E164" i="15"/>
  <c r="E209" i="15"/>
  <c r="E236" i="15"/>
  <c r="E18" i="15"/>
  <c r="E63" i="15"/>
  <c r="E245" i="15"/>
  <c r="E198" i="15"/>
  <c r="E85" i="15"/>
  <c r="E181" i="15"/>
  <c r="E251" i="15"/>
  <c r="E135" i="15"/>
  <c r="E234" i="15"/>
  <c r="E232" i="15"/>
  <c r="E233" i="15"/>
  <c r="E205" i="15"/>
  <c r="E130" i="15"/>
  <c r="E227" i="15"/>
  <c r="E237" i="15"/>
  <c r="E162" i="15"/>
  <c r="E176" i="15"/>
  <c r="E204" i="15"/>
  <c r="E44" i="15"/>
  <c r="E55" i="15"/>
  <c r="E91" i="15"/>
  <c r="E110" i="15"/>
  <c r="E188" i="15"/>
  <c r="E255" i="15"/>
  <c r="E190" i="15"/>
  <c r="E185" i="15"/>
  <c r="E64" i="15"/>
  <c r="E115" i="15"/>
  <c r="E216" i="15"/>
  <c r="E173" i="15"/>
  <c r="E59" i="15"/>
  <c r="E224" i="15"/>
  <c r="E250" i="15"/>
  <c r="E152" i="15"/>
  <c r="E116" i="15"/>
  <c r="E253" i="15"/>
  <c r="E197" i="15"/>
  <c r="E155" i="15"/>
  <c r="E109" i="15"/>
  <c r="E229" i="15"/>
  <c r="E143" i="15"/>
  <c r="E214" i="15"/>
  <c r="E231" i="15"/>
  <c r="E230" i="15"/>
  <c r="E33" i="15"/>
  <c r="E166" i="15"/>
  <c r="E191" i="15"/>
  <c r="E170" i="15"/>
  <c r="E93" i="15"/>
  <c r="E138" i="15"/>
  <c r="E211" i="15"/>
  <c r="E57" i="15"/>
  <c r="E201" i="15"/>
  <c r="E107" i="15"/>
  <c r="E146" i="15"/>
  <c r="E249" i="15"/>
  <c r="E218" i="15"/>
  <c r="E119" i="15"/>
  <c r="E133" i="15"/>
  <c r="E30" i="15"/>
  <c r="E58" i="15"/>
  <c r="E258" i="15"/>
  <c r="E79" i="15"/>
  <c r="E179" i="15"/>
  <c r="E139" i="15"/>
  <c r="E248" i="15"/>
  <c r="E212" i="15"/>
  <c r="E254" i="15"/>
  <c r="E113" i="15"/>
  <c r="E97" i="15"/>
  <c r="E256" i="15"/>
  <c r="E147" i="15"/>
  <c r="E183" i="15"/>
  <c r="E165" i="15"/>
  <c r="E71" i="15"/>
  <c r="E192" i="15"/>
  <c r="E118" i="15"/>
  <c r="E260" i="15"/>
  <c r="E215" i="15"/>
  <c r="E246" i="15"/>
  <c r="E228" i="15"/>
  <c r="E161" i="15"/>
  <c r="E213" i="15"/>
  <c r="E202" i="15"/>
  <c r="E196" i="15"/>
  <c r="E159" i="15"/>
  <c r="E123" i="15"/>
  <c r="E61" i="15"/>
  <c r="E90" i="15"/>
  <c r="E131" i="15"/>
  <c r="E160" i="15"/>
  <c r="E68" i="15"/>
  <c r="E184" i="15"/>
  <c r="E129" i="15"/>
  <c r="E108" i="15"/>
  <c r="E208" i="15"/>
  <c r="E56" i="15"/>
  <c r="E92" i="15"/>
  <c r="E140" i="15"/>
  <c r="E101" i="15"/>
  <c r="E98" i="15"/>
  <c r="E42" i="15"/>
  <c r="E226" i="15"/>
  <c r="E242" i="15"/>
  <c r="E137" i="15"/>
  <c r="E124" i="15"/>
  <c r="E126" i="15"/>
  <c r="E112" i="15"/>
  <c r="E178" i="15"/>
  <c r="E259" i="15"/>
  <c r="E220" i="15"/>
  <c r="E121" i="15"/>
  <c r="E223" i="15"/>
  <c r="E80" i="15"/>
  <c r="E66" i="15"/>
  <c r="E105" i="15"/>
  <c r="E120" i="15"/>
  <c r="E219" i="15"/>
  <c r="E175" i="15"/>
  <c r="E252" i="15"/>
  <c r="E50" i="15"/>
  <c r="E206" i="15"/>
  <c r="E48" i="15"/>
  <c r="E45" i="15"/>
  <c r="E182" i="15"/>
  <c r="E200" i="15"/>
  <c r="E222" i="15"/>
  <c r="E207" i="15"/>
  <c r="E158" i="15"/>
  <c r="E210" i="15"/>
  <c r="E87" i="15"/>
  <c r="E157" i="15"/>
  <c r="E150" i="15"/>
  <c r="E203" i="15"/>
  <c r="E239" i="15"/>
  <c r="E99" i="15"/>
  <c r="E20" i="15"/>
  <c r="E31" i="15"/>
  <c r="E60" i="15"/>
  <c r="E76" i="15"/>
  <c r="E74" i="15"/>
  <c r="E171" i="15"/>
  <c r="E40" i="15"/>
  <c r="E195" i="15"/>
  <c r="E156" i="15"/>
  <c r="E151" i="15"/>
  <c r="E84" i="15"/>
  <c r="E77" i="15"/>
  <c r="E46" i="15"/>
  <c r="E39" i="15"/>
  <c r="E83" i="15"/>
  <c r="E13" i="15"/>
  <c r="E51" i="15"/>
  <c r="E54" i="15"/>
  <c r="E78" i="15"/>
  <c r="E136" i="15"/>
  <c r="E11" i="15"/>
  <c r="E81" i="15"/>
  <c r="E24" i="15"/>
  <c r="E142" i="15"/>
  <c r="E10" i="15"/>
  <c r="E15" i="15"/>
  <c r="E103" i="15"/>
  <c r="E221" i="15"/>
  <c r="E17" i="15"/>
  <c r="E23" i="15"/>
  <c r="E194" i="15"/>
  <c r="E47" i="15"/>
  <c r="E73" i="15"/>
  <c r="E180" i="15"/>
  <c r="E82" i="15"/>
  <c r="E69" i="15"/>
  <c r="E96" i="15"/>
  <c r="E72" i="15"/>
  <c r="E16" i="15"/>
  <c r="E127" i="15"/>
  <c r="E27" i="15"/>
  <c r="E19" i="15"/>
  <c r="E8" i="15"/>
  <c r="F8" i="15" s="1"/>
  <c r="E35" i="15"/>
  <c r="E12" i="15"/>
  <c r="E102" i="15"/>
  <c r="E32" i="15"/>
  <c r="E29" i="15"/>
  <c r="E111" i="15"/>
  <c r="E38" i="15"/>
  <c r="E243" i="15"/>
  <c r="E26" i="15"/>
  <c r="E36" i="15"/>
  <c r="E153" i="15"/>
  <c r="E149" i="15"/>
  <c r="E163" i="15"/>
  <c r="E41" i="15"/>
  <c r="E21" i="15"/>
  <c r="E25" i="15"/>
  <c r="E34" i="15"/>
  <c r="E154" i="15"/>
  <c r="E22" i="15"/>
  <c r="E141" i="15"/>
  <c r="E9" i="15"/>
  <c r="E104" i="15"/>
  <c r="E62" i="15"/>
  <c r="E52" i="15"/>
  <c r="E37" i="15"/>
  <c r="E238" i="15"/>
  <c r="E53" i="15"/>
  <c r="E241" i="15"/>
  <c r="E43" i="15"/>
  <c r="E67" i="15"/>
  <c r="E70" i="15"/>
  <c r="E28" i="15"/>
  <c r="E177" i="15"/>
  <c r="E145" i="15"/>
  <c r="E75" i="15"/>
  <c r="E132" i="15"/>
  <c r="E65" i="15"/>
  <c r="E94" i="15"/>
  <c r="E174" i="15"/>
  <c r="E88" i="15"/>
  <c r="E144" i="15"/>
  <c r="E86" i="15"/>
  <c r="E148" i="15"/>
  <c r="E168" i="15"/>
  <c r="E95" i="15"/>
  <c r="K16" i="3"/>
  <c r="H11" i="9" s="1"/>
  <c r="C12" i="9" s="1"/>
  <c r="C10" i="9" l="1"/>
  <c r="C41" i="9" s="1"/>
  <c r="C42" i="9" s="1"/>
  <c r="H41" i="9"/>
  <c r="F10" i="9"/>
  <c r="F41" i="9" s="1"/>
  <c r="G10" i="9"/>
  <c r="G41" i="9" s="1"/>
  <c r="E10" i="9"/>
  <c r="E41" i="9" s="1"/>
  <c r="D10" i="9"/>
  <c r="D41" i="9" s="1"/>
  <c r="G423" i="3"/>
  <c r="G424" i="3" l="1"/>
  <c r="K437" i="3"/>
  <c r="D42" i="9"/>
  <c r="E42" i="9" s="1"/>
  <c r="F42" i="9" s="1"/>
  <c r="G42" i="9" s="1"/>
  <c r="F43" i="9"/>
  <c r="G43" i="9"/>
  <c r="C43" i="9"/>
  <c r="C44" i="9" s="1"/>
  <c r="D43" i="9"/>
  <c r="E43" i="9"/>
  <c r="I23" i="9"/>
  <c r="I33" i="9"/>
  <c r="I35" i="9"/>
  <c r="I13" i="9"/>
  <c r="I29" i="9"/>
  <c r="I19" i="9"/>
  <c r="I39" i="9"/>
  <c r="I37" i="9"/>
  <c r="I17" i="9"/>
  <c r="I31" i="9"/>
  <c r="I27" i="9"/>
  <c r="I25" i="9"/>
  <c r="I21" i="9"/>
  <c r="I15" i="9"/>
  <c r="I9" i="9"/>
  <c r="I11" i="9"/>
  <c r="I41" i="9" l="1"/>
  <c r="D44" i="9"/>
  <c r="E44" i="9" s="1"/>
  <c r="F44" i="9" s="1"/>
  <c r="G44" i="9" s="1"/>
  <c r="G8" i="15" l="1"/>
  <c r="F9" i="15" l="1"/>
  <c r="F10" i="15" s="1"/>
  <c r="G10" i="15" l="1"/>
  <c r="G9" i="15"/>
  <c r="F11" i="15" l="1"/>
  <c r="F12" i="15" s="1"/>
  <c r="G12" i="15" s="1"/>
  <c r="G11" i="15" l="1"/>
  <c r="F13" i="15"/>
  <c r="G13" i="15" l="1"/>
  <c r="F14" i="15" l="1"/>
  <c r="F15" i="15" s="1"/>
  <c r="G15" i="15" s="1"/>
  <c r="F16" i="15" l="1"/>
  <c r="G14" i="15"/>
  <c r="G16" i="15" l="1"/>
  <c r="F17" i="15" l="1"/>
  <c r="F18" i="15" s="1"/>
  <c r="F19" i="15" s="1"/>
  <c r="G19" i="15" s="1"/>
  <c r="G18" i="15" l="1"/>
  <c r="F20" i="15"/>
  <c r="G17" i="15"/>
  <c r="F21" i="15" l="1"/>
  <c r="G20" i="15"/>
  <c r="F22" i="15" l="1"/>
  <c r="G21" i="15"/>
  <c r="F23" i="15" l="1"/>
  <c r="G22" i="15"/>
  <c r="G23" i="15" l="1"/>
  <c r="F24" i="15" l="1"/>
  <c r="F25" i="15" s="1"/>
  <c r="G25" i="15" s="1"/>
  <c r="F26" i="15" l="1"/>
  <c r="G24" i="15"/>
  <c r="F27" i="15" l="1"/>
  <c r="G26" i="15"/>
  <c r="F28" i="15" l="1"/>
  <c r="G27" i="15"/>
  <c r="G28" i="15" l="1"/>
  <c r="F29" i="15" l="1"/>
  <c r="F30" i="15" s="1"/>
  <c r="G30" i="15" s="1"/>
  <c r="F31" i="15" l="1"/>
  <c r="G29" i="15"/>
  <c r="F32" i="15" l="1"/>
  <c r="G31" i="15"/>
  <c r="F33" i="15" l="1"/>
  <c r="G32" i="15"/>
  <c r="G33" i="15" l="1"/>
  <c r="F34" i="15" l="1"/>
  <c r="F35" i="15" s="1"/>
  <c r="G35" i="15" l="1"/>
  <c r="F36" i="15"/>
  <c r="G36" i="15" s="1"/>
  <c r="G34" i="15"/>
  <c r="F37" i="15" l="1"/>
  <c r="F38" i="15" s="1"/>
  <c r="F39" i="15" s="1"/>
  <c r="G39" i="15" s="1"/>
  <c r="G37" i="15" l="1"/>
  <c r="G38" i="15"/>
  <c r="F40" i="15"/>
  <c r="F41" i="15" s="1"/>
  <c r="G41" i="15" s="1"/>
  <c r="F42" i="15" l="1"/>
  <c r="G40" i="15"/>
  <c r="G42" i="15" l="1"/>
  <c r="F43" i="15" l="1"/>
  <c r="F44" i="15" s="1"/>
  <c r="F45" i="15" l="1"/>
  <c r="G44" i="15"/>
  <c r="G43" i="15"/>
  <c r="F46" i="15" l="1"/>
  <c r="G46" i="15" s="1"/>
  <c r="G45" i="15"/>
  <c r="F47" i="15" l="1"/>
  <c r="F48" i="15" s="1"/>
  <c r="G48" i="15" s="1"/>
  <c r="G47" i="15" l="1"/>
  <c r="F49" i="15" l="1"/>
  <c r="F50" i="15" s="1"/>
  <c r="G50" i="15" s="1"/>
  <c r="F51" i="15" l="1"/>
  <c r="G49" i="15"/>
  <c r="F52" i="15" l="1"/>
  <c r="F53" i="15" s="1"/>
  <c r="G53" i="15" s="1"/>
  <c r="G51" i="15"/>
  <c r="F54" i="15" l="1"/>
  <c r="G52" i="15"/>
  <c r="G54" i="15" l="1"/>
  <c r="F55" i="15" l="1"/>
  <c r="F56" i="15" l="1"/>
  <c r="G55" i="15"/>
  <c r="G56" i="15" l="1"/>
  <c r="F57" i="15" l="1"/>
  <c r="F58" i="15" s="1"/>
  <c r="G58" i="15" s="1"/>
  <c r="F59" i="15" l="1"/>
  <c r="F60" i="15" s="1"/>
  <c r="G57" i="15"/>
  <c r="G60" i="15" l="1"/>
  <c r="F61" i="15"/>
  <c r="G61" i="15" s="1"/>
  <c r="G59" i="15"/>
  <c r="F62" i="15" l="1"/>
  <c r="F63" i="15" s="1"/>
  <c r="G62" i="15" l="1"/>
  <c r="F64" i="15"/>
  <c r="G63" i="15"/>
  <c r="G64" i="15" l="1"/>
  <c r="F65" i="15" l="1"/>
  <c r="F66" i="15" s="1"/>
  <c r="G66" i="15" s="1"/>
  <c r="F67" i="15" l="1"/>
  <c r="F68" i="15" s="1"/>
  <c r="G65" i="15"/>
  <c r="F69" i="15" l="1"/>
  <c r="G69" i="15" s="1"/>
  <c r="G68" i="15"/>
  <c r="G67" i="15"/>
  <c r="F70" i="15" l="1"/>
  <c r="F71" i="15" s="1"/>
  <c r="G71" i="15" s="1"/>
  <c r="G70" i="15" l="1"/>
  <c r="F72" i="15" l="1"/>
  <c r="F73" i="15" s="1"/>
  <c r="F74" i="15" l="1"/>
  <c r="G74" i="15" s="1"/>
  <c r="G73" i="15"/>
  <c r="G72" i="15"/>
  <c r="F75" i="15" l="1"/>
  <c r="F76" i="15" s="1"/>
  <c r="F77" i="15" s="1"/>
  <c r="G75" i="15" l="1"/>
  <c r="G76" i="15"/>
  <c r="G77" i="15"/>
  <c r="F78" i="15"/>
  <c r="F79" i="15" s="1"/>
  <c r="G78" i="15" l="1"/>
  <c r="F80" i="15"/>
  <c r="G79" i="15"/>
  <c r="F81" i="15" l="1"/>
  <c r="G80" i="15"/>
  <c r="G81" i="15" l="1"/>
  <c r="F82" i="15" l="1"/>
  <c r="F83" i="15" s="1"/>
  <c r="G83" i="15" s="1"/>
  <c r="F84" i="15" l="1"/>
  <c r="G82" i="15"/>
  <c r="F85" i="15" l="1"/>
  <c r="G84" i="15"/>
  <c r="G85" i="15" l="1"/>
  <c r="F86" i="15" l="1"/>
  <c r="G86" i="15" l="1"/>
  <c r="F87" i="15" l="1"/>
  <c r="F88" i="15" s="1"/>
  <c r="G88" i="15" s="1"/>
  <c r="G87" i="15" l="1"/>
  <c r="F89" i="15" l="1"/>
  <c r="F90" i="15" s="1"/>
  <c r="G90" i="15" l="1"/>
  <c r="F91" i="15"/>
  <c r="G89" i="15"/>
  <c r="F92" i="15" l="1"/>
  <c r="G91" i="15"/>
  <c r="G92" i="15" l="1"/>
  <c r="F93" i="15"/>
  <c r="F94" i="15" l="1"/>
  <c r="G94" i="15" s="1"/>
  <c r="G93" i="15"/>
  <c r="F95" i="15" l="1"/>
  <c r="F96" i="15" s="1"/>
  <c r="G96" i="15" s="1"/>
  <c r="F97" i="15" l="1"/>
  <c r="F98" i="15" s="1"/>
  <c r="F99" i="15" s="1"/>
  <c r="G95" i="15"/>
  <c r="G97" i="15" l="1"/>
  <c r="G98" i="15"/>
  <c r="F100" i="15"/>
  <c r="G99" i="15"/>
  <c r="G100" i="15" l="1"/>
  <c r="F101" i="15"/>
  <c r="G101" i="15" l="1"/>
  <c r="F102" i="15"/>
  <c r="G102" i="15" l="1"/>
  <c r="F103" i="15"/>
  <c r="F104" i="15" l="1"/>
  <c r="G103" i="15"/>
  <c r="F105" i="15" l="1"/>
  <c r="G104" i="15"/>
  <c r="F106" i="15" l="1"/>
  <c r="G105" i="15"/>
  <c r="F107" i="15" l="1"/>
  <c r="G106" i="15"/>
  <c r="G107" i="15" l="1"/>
  <c r="F108" i="15"/>
  <c r="G108" i="15" l="1"/>
  <c r="F109" i="15"/>
  <c r="G109" i="15" l="1"/>
  <c r="F110" i="15"/>
  <c r="F111" i="15" l="1"/>
  <c r="G110" i="15"/>
  <c r="F112" i="15" l="1"/>
  <c r="G111" i="15"/>
  <c r="F113" i="15" l="1"/>
  <c r="G112" i="15"/>
  <c r="F114" i="15" l="1"/>
  <c r="G113" i="15"/>
  <c r="G114" i="15" l="1"/>
  <c r="F115" i="15"/>
  <c r="G115" i="15" l="1"/>
  <c r="F116" i="15"/>
  <c r="G116" i="15" l="1"/>
  <c r="F117" i="15"/>
  <c r="G117" i="15" l="1"/>
  <c r="F118" i="15"/>
  <c r="G118" i="15" l="1"/>
  <c r="F119" i="15"/>
  <c r="F120" i="15" l="1"/>
  <c r="G119" i="15"/>
  <c r="F121" i="15" l="1"/>
  <c r="G120" i="15"/>
  <c r="F122" i="15" l="1"/>
  <c r="G121" i="15"/>
  <c r="F123" i="15" l="1"/>
  <c r="G122" i="15"/>
  <c r="G123" i="15" l="1"/>
  <c r="F124" i="15"/>
  <c r="G124" i="15" l="1"/>
  <c r="F125" i="15"/>
  <c r="F126" i="15" l="1"/>
  <c r="G125" i="15"/>
  <c r="G126" i="15" l="1"/>
  <c r="F127" i="15"/>
  <c r="F128" i="15" l="1"/>
  <c r="G127" i="15"/>
  <c r="F129" i="15" l="1"/>
  <c r="G128" i="15"/>
  <c r="G129" i="15" l="1"/>
  <c r="F130" i="15"/>
  <c r="F131" i="15" l="1"/>
  <c r="G130" i="15"/>
  <c r="G131" i="15" l="1"/>
  <c r="F132" i="15"/>
  <c r="G132" i="15" l="1"/>
  <c r="F133" i="15"/>
  <c r="G133" i="15" l="1"/>
  <c r="F134" i="15"/>
  <c r="G134" i="15" l="1"/>
  <c r="F135" i="15"/>
  <c r="F136" i="15" l="1"/>
  <c r="G135" i="15"/>
  <c r="F137" i="15" l="1"/>
  <c r="G136" i="15"/>
  <c r="F138" i="15" l="1"/>
  <c r="G137" i="15"/>
  <c r="G138" i="15" l="1"/>
  <c r="F139" i="15"/>
  <c r="G139" i="15" l="1"/>
  <c r="F140" i="15"/>
  <c r="G140" i="15" l="1"/>
  <c r="F141" i="15"/>
  <c r="G141" i="15" l="1"/>
  <c r="F142" i="15"/>
  <c r="G142" i="15" l="1"/>
  <c r="F143" i="15"/>
  <c r="F144" i="15" l="1"/>
  <c r="G143" i="15"/>
  <c r="F145" i="15" l="1"/>
  <c r="G144" i="15"/>
  <c r="F146" i="15" l="1"/>
  <c r="G145" i="15"/>
  <c r="G146" i="15" l="1"/>
  <c r="F147" i="15"/>
  <c r="G147" i="15" l="1"/>
  <c r="F148" i="15"/>
  <c r="G148" i="15" l="1"/>
  <c r="F149" i="15"/>
  <c r="F150" i="15" l="1"/>
  <c r="G149" i="15"/>
  <c r="G150" i="15" l="1"/>
  <c r="F151" i="15"/>
  <c r="F152" i="15" l="1"/>
  <c r="G151" i="15"/>
  <c r="F153" i="15" l="1"/>
  <c r="G152" i="15"/>
  <c r="F154" i="15" l="1"/>
  <c r="G153" i="15"/>
  <c r="G154" i="15" l="1"/>
  <c r="F155" i="15"/>
  <c r="G155" i="15" l="1"/>
  <c r="F156" i="15"/>
  <c r="G156" i="15" l="1"/>
  <c r="F157" i="15"/>
  <c r="G157" i="15" l="1"/>
  <c r="F158" i="15"/>
  <c r="F159" i="15" l="1"/>
  <c r="G158" i="15"/>
  <c r="F160" i="15" l="1"/>
  <c r="G159" i="15"/>
  <c r="F161" i="15" l="1"/>
  <c r="G160" i="15"/>
  <c r="F162" i="15" l="1"/>
  <c r="G161" i="15"/>
  <c r="F163" i="15" l="1"/>
  <c r="G162" i="15"/>
  <c r="G163" i="15" l="1"/>
  <c r="F164" i="15"/>
  <c r="G164" i="15" l="1"/>
  <c r="F165" i="15"/>
  <c r="G165" i="15" l="1"/>
  <c r="F166" i="15"/>
  <c r="F167" i="15" l="1"/>
  <c r="G166" i="15"/>
  <c r="F168" i="15" l="1"/>
  <c r="G167" i="15"/>
  <c r="F169" i="15" l="1"/>
  <c r="G168" i="15"/>
  <c r="F170" i="15" l="1"/>
  <c r="G169" i="15"/>
  <c r="F171" i="15" l="1"/>
  <c r="G170" i="15"/>
  <c r="G171" i="15" l="1"/>
  <c r="F172" i="15"/>
  <c r="G172" i="15" l="1"/>
  <c r="F173" i="15"/>
  <c r="F174" i="15" l="1"/>
  <c r="G173" i="15"/>
  <c r="G174" i="15" l="1"/>
  <c r="F175" i="15"/>
  <c r="F176" i="15" l="1"/>
  <c r="G175" i="15"/>
  <c r="F177" i="15" l="1"/>
  <c r="G176" i="15"/>
  <c r="F178" i="15" l="1"/>
  <c r="G177" i="15"/>
  <c r="F179" i="15" l="1"/>
  <c r="G178" i="15"/>
  <c r="G179" i="15" l="1"/>
  <c r="F180" i="15"/>
  <c r="G180" i="15" l="1"/>
  <c r="F181" i="15"/>
  <c r="F182" i="15" l="1"/>
  <c r="G181" i="15"/>
  <c r="F183" i="15" l="1"/>
  <c r="G182" i="15"/>
  <c r="F184" i="15" l="1"/>
  <c r="G183" i="15"/>
  <c r="F185" i="15" l="1"/>
  <c r="G184" i="15"/>
  <c r="F186" i="15" l="1"/>
  <c r="G185" i="15"/>
  <c r="G186" i="15" l="1"/>
  <c r="F187" i="15"/>
  <c r="G187" i="15" l="1"/>
  <c r="F188" i="15"/>
  <c r="G188" i="15" l="1"/>
  <c r="F189" i="15"/>
  <c r="G189" i="15" l="1"/>
  <c r="F190" i="15"/>
  <c r="F191" i="15" l="1"/>
  <c r="G190" i="15"/>
  <c r="F192" i="15" l="1"/>
  <c r="G191" i="15"/>
  <c r="F193" i="15" l="1"/>
  <c r="G192" i="15"/>
  <c r="F194" i="15" l="1"/>
  <c r="G193" i="15"/>
  <c r="F195" i="15" l="1"/>
  <c r="G194" i="15"/>
  <c r="G195" i="15" l="1"/>
  <c r="F196" i="15"/>
  <c r="G196" i="15" l="1"/>
  <c r="F197" i="15"/>
  <c r="G197" i="15" l="1"/>
  <c r="F198" i="15"/>
  <c r="F199" i="15" l="1"/>
  <c r="G198" i="15"/>
  <c r="F200" i="15" l="1"/>
  <c r="G199" i="15"/>
  <c r="F201" i="15" l="1"/>
  <c r="G200" i="15"/>
  <c r="F202" i="15" l="1"/>
  <c r="G201" i="15"/>
  <c r="F203" i="15" l="1"/>
  <c r="G202" i="15"/>
  <c r="G203" i="15" l="1"/>
  <c r="F204" i="15"/>
  <c r="G204" i="15" l="1"/>
  <c r="F205" i="15"/>
  <c r="G205" i="15" l="1"/>
  <c r="F206" i="15"/>
  <c r="G206" i="15" l="1"/>
  <c r="F207" i="15"/>
  <c r="F208" i="15" l="1"/>
  <c r="G207" i="15"/>
  <c r="F209" i="15" l="1"/>
  <c r="G208" i="15"/>
  <c r="F210" i="15" l="1"/>
  <c r="G209" i="15"/>
  <c r="F211" i="15" l="1"/>
  <c r="G210" i="15"/>
  <c r="G211" i="15" l="1"/>
  <c r="F212" i="15"/>
  <c r="G212" i="15" l="1"/>
  <c r="F213" i="15"/>
  <c r="G213" i="15" l="1"/>
  <c r="F214" i="15"/>
  <c r="G214" i="15" l="1"/>
  <c r="F215" i="15"/>
  <c r="F216" i="15" l="1"/>
  <c r="G215" i="15"/>
  <c r="F217" i="15" l="1"/>
  <c r="G216" i="15"/>
  <c r="F218" i="15" l="1"/>
  <c r="G217" i="15"/>
  <c r="F219" i="15" l="1"/>
  <c r="G218" i="15"/>
  <c r="G219" i="15" l="1"/>
  <c r="F220" i="15"/>
  <c r="G220" i="15" l="1"/>
  <c r="F221" i="15"/>
  <c r="G221" i="15" l="1"/>
  <c r="F222" i="15"/>
  <c r="G222" i="15" l="1"/>
  <c r="F223" i="15"/>
  <c r="F224" i="15" l="1"/>
  <c r="G223" i="15"/>
  <c r="F225" i="15" l="1"/>
  <c r="G224" i="15"/>
  <c r="G225" i="15" l="1"/>
  <c r="F226" i="15"/>
  <c r="F227" i="15" l="1"/>
  <c r="G226" i="15"/>
  <c r="F228" i="15" l="1"/>
  <c r="G227" i="15"/>
  <c r="G228" i="15" l="1"/>
  <c r="F229" i="15"/>
  <c r="G229" i="15" l="1"/>
  <c r="F230" i="15"/>
  <c r="G230" i="15" l="1"/>
  <c r="F231" i="15"/>
  <c r="F232" i="15" l="1"/>
  <c r="G231" i="15"/>
  <c r="F233" i="15" l="1"/>
  <c r="G232" i="15"/>
  <c r="F234" i="15" l="1"/>
  <c r="G233" i="15"/>
  <c r="F235" i="15" l="1"/>
  <c r="G234" i="15"/>
  <c r="G235" i="15" l="1"/>
  <c r="F236" i="15"/>
  <c r="G236" i="15" l="1"/>
  <c r="F237" i="15"/>
  <c r="F238" i="15" l="1"/>
  <c r="G237" i="15"/>
  <c r="F239" i="15" l="1"/>
  <c r="G238" i="15"/>
  <c r="F240" i="15" l="1"/>
  <c r="G239" i="15"/>
  <c r="F241" i="15" l="1"/>
  <c r="G240" i="15"/>
  <c r="G241" i="15" l="1"/>
  <c r="F242" i="15"/>
  <c r="F243" i="15" l="1"/>
  <c r="G242" i="15"/>
  <c r="G243" i="15" l="1"/>
  <c r="F244" i="15"/>
  <c r="G244" i="15" l="1"/>
  <c r="F245" i="15"/>
  <c r="G245" i="15" l="1"/>
  <c r="F246" i="15"/>
  <c r="G246" i="15" l="1"/>
  <c r="F247" i="15"/>
  <c r="F248" i="15" l="1"/>
  <c r="G247" i="15"/>
  <c r="F249" i="15" l="1"/>
  <c r="G248" i="15"/>
  <c r="F250" i="15" l="1"/>
  <c r="G249" i="15"/>
  <c r="F251" i="15" l="1"/>
  <c r="G250" i="15"/>
  <c r="G251" i="15" l="1"/>
  <c r="F252" i="15"/>
  <c r="G252" i="15" l="1"/>
  <c r="F253" i="15"/>
  <c r="G253" i="15" l="1"/>
  <c r="F254" i="15"/>
  <c r="G254" i="15" l="1"/>
  <c r="F255" i="15"/>
  <c r="F256" i="15" l="1"/>
  <c r="G255" i="15"/>
  <c r="F257" i="15" l="1"/>
  <c r="G256" i="15"/>
  <c r="F258" i="15" l="1"/>
  <c r="G257" i="15"/>
  <c r="F259" i="15" l="1"/>
  <c r="G258" i="15"/>
  <c r="G259" i="15" l="1"/>
  <c r="F260" i="15"/>
  <c r="G260" i="15" l="1"/>
  <c r="F261" i="15"/>
  <c r="G261" i="15" l="1"/>
  <c r="F262" i="15"/>
  <c r="G26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Engenharia01</author>
  </authors>
  <commentList>
    <comment ref="E713" authorId="0" shapeId="0" xr:uid="{00000000-0006-0000-0100-000001000000}">
      <text>
        <r>
          <rPr>
            <b/>
            <sz val="9"/>
            <color indexed="81"/>
            <rFont val="Segoe UI"/>
            <family val="2"/>
          </rPr>
          <t>Engenharia01 
descontar uma porta e uma janela</t>
        </r>
      </text>
    </comment>
  </commentList>
</comments>
</file>

<file path=xl/sharedStrings.xml><?xml version="1.0" encoding="utf-8"?>
<sst xmlns="http://schemas.openxmlformats.org/spreadsheetml/2006/main" count="43316" uniqueCount="13915">
  <si>
    <t>Objeto:</t>
  </si>
  <si>
    <t>Endereço:</t>
  </si>
  <si>
    <t>Cidade:</t>
  </si>
  <si>
    <t>Porto Velho/RO</t>
  </si>
  <si>
    <t>Data:</t>
  </si>
  <si>
    <t>PLANILHA ORÇAMENTÁRIA</t>
  </si>
  <si>
    <t>ITEM</t>
  </si>
  <si>
    <t>FONTE</t>
  </si>
  <si>
    <t>CÓDIGO</t>
  </si>
  <si>
    <t>DISCRIMINAÇÃO DOS SERVIÇOS</t>
  </si>
  <si>
    <t>UNID</t>
  </si>
  <si>
    <t>P. TOTAL (R$)</t>
  </si>
  <si>
    <t>1.1</t>
  </si>
  <si>
    <t>1.1.1</t>
  </si>
  <si>
    <t>Total</t>
  </si>
  <si>
    <t>Unid</t>
  </si>
  <si>
    <t>=</t>
  </si>
  <si>
    <t>COTAÇÃO DE PREÇOS</t>
  </si>
  <si>
    <t>unid</t>
  </si>
  <si>
    <t>DESCRIÇÃO</t>
  </si>
  <si>
    <t>QTD</t>
  </si>
  <si>
    <t>Local</t>
  </si>
  <si>
    <t>COMPOSIÇÃO</t>
  </si>
  <si>
    <t>DESCRIÇÃO SERVIÇO</t>
  </si>
  <si>
    <t>Unidade</t>
  </si>
  <si>
    <t>MÃO DE OBRA</t>
  </si>
  <si>
    <t>DESCRIÇÃO INSUMO</t>
  </si>
  <si>
    <t>UNIDADE</t>
  </si>
  <si>
    <t>COEFICIENTE</t>
  </si>
  <si>
    <t>UNITÁRIO (R$)</t>
  </si>
  <si>
    <t>SUB TOTAL (R$)</t>
  </si>
  <si>
    <t>Parcial Mão-de-Obra S/L. Social</t>
  </si>
  <si>
    <t>Leis Sociais</t>
  </si>
  <si>
    <t>Total Mão-de-Obra + L. Social</t>
  </si>
  <si>
    <t>Total de Mão de Obra (01)</t>
  </si>
  <si>
    <t>MATERIAIS</t>
  </si>
  <si>
    <t>Total Materiais (02)</t>
  </si>
  <si>
    <t>EQUIPAMENTOS / FERRAMENTAS / OUTROS</t>
  </si>
  <si>
    <t>Total Equipamentos (03)</t>
  </si>
  <si>
    <t>CUSTO UNITÁRIO DO SERVIÇO = (01)+(02)+(03)</t>
  </si>
  <si>
    <t>BDI</t>
  </si>
  <si>
    <t>m³</t>
  </si>
  <si>
    <t>MEMORIAL DE CÁLCULO</t>
  </si>
  <si>
    <t>H</t>
  </si>
  <si>
    <t>Altura</t>
  </si>
  <si>
    <t>1.2</t>
  </si>
  <si>
    <t>1.2.1</t>
  </si>
  <si>
    <t>m</t>
  </si>
  <si>
    <t>1.2.2</t>
  </si>
  <si>
    <t>Carga manual de entulho.</t>
  </si>
  <si>
    <t>COMPOSIÇÃO DETALHADA DO BDI (BÔNUS DE DESPESAS INDIRETAS)</t>
  </si>
  <si>
    <t>Referência Utilizada:</t>
  </si>
  <si>
    <t>Mês de Referência:</t>
  </si>
  <si>
    <t>DATA:</t>
  </si>
  <si>
    <t>AC - Administração Central</t>
  </si>
  <si>
    <t>S - Seguro e G - Garantia (*)</t>
  </si>
  <si>
    <t>R - Risco</t>
  </si>
  <si>
    <t>DF - Despesas Financeiras</t>
  </si>
  <si>
    <t>L - Lucro</t>
  </si>
  <si>
    <t>I - Imposto Sobre o Faturamento</t>
  </si>
  <si>
    <t>6.1</t>
  </si>
  <si>
    <t>COFINS</t>
  </si>
  <si>
    <t>6.2</t>
  </si>
  <si>
    <t>PIS</t>
  </si>
  <si>
    <t>6.3</t>
  </si>
  <si>
    <t>ISS*</t>
  </si>
  <si>
    <t>*TOTAL DO BDI (%)</t>
  </si>
  <si>
    <t>Onde:</t>
  </si>
  <si>
    <t>AC: Taxa de Rateio de Administração Central</t>
  </si>
  <si>
    <t>DF: Taxa das Despesas Financeiras</t>
  </si>
  <si>
    <t>S: Taxa de Seguro e G: Garantia do Empreendimento</t>
  </si>
  <si>
    <t>R: Taxa de Risco</t>
  </si>
  <si>
    <t>I: Taxa de Incidência de Imposto (PIS, COFINS e ISS)</t>
  </si>
  <si>
    <t>L: Taxa de Lucro</t>
  </si>
  <si>
    <t>CRONOGRAMA FÍSICO-FINANCEIRO</t>
  </si>
  <si>
    <t>ITENS</t>
  </si>
  <si>
    <t>DISCRIMINAÇÃO</t>
  </si>
  <si>
    <t>DIAS</t>
  </si>
  <si>
    <t>VALOR</t>
  </si>
  <si>
    <t>R$</t>
  </si>
  <si>
    <t>%</t>
  </si>
  <si>
    <t>1.0</t>
  </si>
  <si>
    <t>3.0</t>
  </si>
  <si>
    <t>4.0</t>
  </si>
  <si>
    <t>5.0</t>
  </si>
  <si>
    <t>6.0</t>
  </si>
  <si>
    <t>7.0</t>
  </si>
  <si>
    <t>8.0</t>
  </si>
  <si>
    <t>9.0</t>
  </si>
  <si>
    <t>10.0</t>
  </si>
  <si>
    <t>11.0</t>
  </si>
  <si>
    <t>12.0</t>
  </si>
  <si>
    <t>13.0</t>
  </si>
  <si>
    <t>14.0</t>
  </si>
  <si>
    <t>15.0</t>
  </si>
  <si>
    <t>16.0</t>
  </si>
  <si>
    <t>ADMINISTRAÇÃO E CONTROLE</t>
  </si>
  <si>
    <t>ADMINISTRAÇÃO E TAXAS</t>
  </si>
  <si>
    <t>TOTAL COM BDI:</t>
  </si>
  <si>
    <t>TOTAL POR M²</t>
  </si>
  <si>
    <t>2.0</t>
  </si>
  <si>
    <t>SERVIÇOS PRELIMINARES</t>
  </si>
  <si>
    <t>DEMOLIÇÕES E RETIRADAS</t>
  </si>
  <si>
    <t>2.1</t>
  </si>
  <si>
    <t>2.1.1</t>
  </si>
  <si>
    <t>2.1.2</t>
  </si>
  <si>
    <t>2.1.3</t>
  </si>
  <si>
    <t>2.1.4</t>
  </si>
  <si>
    <t>2.1.5</t>
  </si>
  <si>
    <t>2.1.6</t>
  </si>
  <si>
    <t>2.1.7</t>
  </si>
  <si>
    <t>2.1.8</t>
  </si>
  <si>
    <t>2.1.9</t>
  </si>
  <si>
    <t>3.1</t>
  </si>
  <si>
    <t>3.1.1</t>
  </si>
  <si>
    <t>3.1.2</t>
  </si>
  <si>
    <t>3.1.3</t>
  </si>
  <si>
    <t>4.1</t>
  </si>
  <si>
    <t>4.1.1</t>
  </si>
  <si>
    <t>CANTEIRO DE OBRAS</t>
  </si>
  <si>
    <t>CONSTRUÇÃO DE CANTEIRO E PLACA DE OBRA</t>
  </si>
  <si>
    <t>4.1.2</t>
  </si>
  <si>
    <t>4.1.3</t>
  </si>
  <si>
    <t>4.1.4</t>
  </si>
  <si>
    <t>4.1.5</t>
  </si>
  <si>
    <t>4.1.6</t>
  </si>
  <si>
    <t>INFRAESTRUTURA</t>
  </si>
  <si>
    <t>6.1.1</t>
  </si>
  <si>
    <t>6.1.2</t>
  </si>
  <si>
    <t>6.1.3</t>
  </si>
  <si>
    <t>SUPERESTRUTURA</t>
  </si>
  <si>
    <t>7.1</t>
  </si>
  <si>
    <t>7.1.1</t>
  </si>
  <si>
    <t>PAREDES</t>
  </si>
  <si>
    <t>COBERTURA</t>
  </si>
  <si>
    <t>8.1</t>
  </si>
  <si>
    <t>8.1.1</t>
  </si>
  <si>
    <t>8.1.2</t>
  </si>
  <si>
    <t>8.2</t>
  </si>
  <si>
    <t>8.3</t>
  </si>
  <si>
    <t>8.2.1</t>
  </si>
  <si>
    <t>8.3.1</t>
  </si>
  <si>
    <t>PISO</t>
  </si>
  <si>
    <t>9.1</t>
  </si>
  <si>
    <t>9.1.1</t>
  </si>
  <si>
    <t>9.1.2</t>
  </si>
  <si>
    <t>9.2</t>
  </si>
  <si>
    <t>9.2.1</t>
  </si>
  <si>
    <t>ESQUADRIAS E PORTAS</t>
  </si>
  <si>
    <t>11.1</t>
  </si>
  <si>
    <t>11.1.1</t>
  </si>
  <si>
    <t>11.1.2</t>
  </si>
  <si>
    <t>11.2</t>
  </si>
  <si>
    <t>11.2.1</t>
  </si>
  <si>
    <t>11.3</t>
  </si>
  <si>
    <t>11.3.1</t>
  </si>
  <si>
    <t>11.3.2</t>
  </si>
  <si>
    <t>12.1</t>
  </si>
  <si>
    <t>12.1.1</t>
  </si>
  <si>
    <t>12.1.2</t>
  </si>
  <si>
    <t>PINTURA</t>
  </si>
  <si>
    <t>12.2</t>
  </si>
  <si>
    <t>12.2.1</t>
  </si>
  <si>
    <t>TCPO</t>
  </si>
  <si>
    <t>m²</t>
  </si>
  <si>
    <t>Área</t>
  </si>
  <si>
    <t>SINAPI</t>
  </si>
  <si>
    <t>Data Orç:</t>
  </si>
  <si>
    <t>SERVIÇOS DIVERSOS</t>
  </si>
  <si>
    <t>2.2</t>
  </si>
  <si>
    <t>2.2.1</t>
  </si>
  <si>
    <t>2.2.2</t>
  </si>
  <si>
    <t>2.2.3</t>
  </si>
  <si>
    <t>FORMAS E CIMBRAMENTO</t>
  </si>
  <si>
    <t>ARMADURAS</t>
  </si>
  <si>
    <t>CONCRETO</t>
  </si>
  <si>
    <t xml:space="preserve">PAREDES E DIVISÓRIAS </t>
  </si>
  <si>
    <t>ALVENARIA DE TIJOLOS CERÂMICOS</t>
  </si>
  <si>
    <t>DIVISÓRIAS DE GRANITO</t>
  </si>
  <si>
    <t>ESTRUTURA METÁLICA</t>
  </si>
  <si>
    <t>TELHAMENTO</t>
  </si>
  <si>
    <t>CALHA E RUFO METÁLICO</t>
  </si>
  <si>
    <t>8.4</t>
  </si>
  <si>
    <t>8.4.1</t>
  </si>
  <si>
    <t>REGULARIZAÇÃO</t>
  </si>
  <si>
    <t>REVESTIMENTO E TRATAMENTO PAREDES</t>
  </si>
  <si>
    <t>CHAPISCO, EMBOÇO E REBOCO</t>
  </si>
  <si>
    <t>REVESTIMENTO CERÂMICO</t>
  </si>
  <si>
    <t>PORTAS</t>
  </si>
  <si>
    <t>SOLEIRAS</t>
  </si>
  <si>
    <t>VERGAS E CONTRAVERGAS</t>
  </si>
  <si>
    <t>12.1.3</t>
  </si>
  <si>
    <t>13.1</t>
  </si>
  <si>
    <t>13.1.1</t>
  </si>
  <si>
    <t>13.1.2</t>
  </si>
  <si>
    <t>13.1.3</t>
  </si>
  <si>
    <t>13.1.4</t>
  </si>
  <si>
    <t>INSTALAÇÕES HIDROSSANITÁRIAS</t>
  </si>
  <si>
    <t xml:space="preserve">TUBOS </t>
  </si>
  <si>
    <t>CONEXÕES</t>
  </si>
  <si>
    <t>13.2</t>
  </si>
  <si>
    <t>13.2.1</t>
  </si>
  <si>
    <t>13.2.2</t>
  </si>
  <si>
    <t>13.2.3</t>
  </si>
  <si>
    <t>13.2.4</t>
  </si>
  <si>
    <t>13.2.5</t>
  </si>
  <si>
    <t>13.2.6</t>
  </si>
  <si>
    <t>13.2.7</t>
  </si>
  <si>
    <t>13.2.8</t>
  </si>
  <si>
    <t>APARELHOS SANITÁRIOS, LOUÇAS E METAIS</t>
  </si>
  <si>
    <t>13.4</t>
  </si>
  <si>
    <t>13.4.1</t>
  </si>
  <si>
    <t>13.3.1</t>
  </si>
  <si>
    <t>13.3</t>
  </si>
  <si>
    <t>13.3.2</t>
  </si>
  <si>
    <t>13.4.2</t>
  </si>
  <si>
    <t>RALOS E CAIXAS</t>
  </si>
  <si>
    <t>CAIXA D'ÁGUA</t>
  </si>
  <si>
    <t>INSTALAÇÕES ELÉTRICAS</t>
  </si>
  <si>
    <t>14.1</t>
  </si>
  <si>
    <t>14.1.1</t>
  </si>
  <si>
    <t>14.2</t>
  </si>
  <si>
    <t>14.2.1</t>
  </si>
  <si>
    <t>14.2.2</t>
  </si>
  <si>
    <t>14.2.3</t>
  </si>
  <si>
    <t>14.2.4</t>
  </si>
  <si>
    <t>14.2.5</t>
  </si>
  <si>
    <t>14.2.6</t>
  </si>
  <si>
    <t>14.2.7</t>
  </si>
  <si>
    <t>14.2.8</t>
  </si>
  <si>
    <t>FIOS E CABOS</t>
  </si>
  <si>
    <t>14.3</t>
  </si>
  <si>
    <t>14.3.1</t>
  </si>
  <si>
    <t>14.3.2</t>
  </si>
  <si>
    <t>14.4</t>
  </si>
  <si>
    <t>14.4.1</t>
  </si>
  <si>
    <t>14.4.2</t>
  </si>
  <si>
    <t>TOMADAS, INTERRUPTORES E OUTROS</t>
  </si>
  <si>
    <t>DISPOSITIVOS DE PROTEÇÃO</t>
  </si>
  <si>
    <t>QUADROS</t>
  </si>
  <si>
    <t>LUMINÁRIAS E ACESSÓRIOS</t>
  </si>
  <si>
    <t>15.1.1</t>
  </si>
  <si>
    <t xml:space="preserve">LIMPEZA E ARREMATES FINAIS </t>
  </si>
  <si>
    <t>15.1</t>
  </si>
  <si>
    <t>Administração e controle - Responsável Técnico (Engenheiro).</t>
  </si>
  <si>
    <t>PROGRAMAS DE IMPLANTAÇÃO DE SEGURANÇA DO TRABALHO - NR 18</t>
  </si>
  <si>
    <t>PCMSO - (Programa de Controle Médico e Saúde Ocupacional)</t>
  </si>
  <si>
    <t>PPRA - (Programa de Prevenção de Riscos Ambientais)</t>
  </si>
  <si>
    <t>Remoção de telhas, de fibrocimento, metálica, de forma manual, sem reaproveitamento. </t>
  </si>
  <si>
    <t>mês</t>
  </si>
  <si>
    <t>Remoção de trama de madeira para cobertura, de forma manual, sem reaproveitamento.</t>
  </si>
  <si>
    <t xml:space="preserve">Remoção de tesouras de madeira, com vão maior ou igual a 8m, de forma manual, sem reaproveitamento. </t>
  </si>
  <si>
    <t xml:space="preserve">Remoção de forros de PVC, de forma manual, sem reaproveitamento. </t>
  </si>
  <si>
    <t xml:space="preserve">Remoção de trama metálica ou de madeira para forro, de forma manual, sem reaproveitamento. </t>
  </si>
  <si>
    <t>2.1.10</t>
  </si>
  <si>
    <t>2.1.11</t>
  </si>
  <si>
    <t>2.1.12</t>
  </si>
  <si>
    <t>2.1.13</t>
  </si>
  <si>
    <t>Remoção de luminárias, de forma manual, sem reaproveitamento.</t>
  </si>
  <si>
    <t xml:space="preserve">Remoção de interruptores/tomadas elétricas, de forma manual, sem reaproveitamento. </t>
  </si>
  <si>
    <t>Remoção de cabos elétricos, de forma manual, sem reaproveitamento.</t>
  </si>
  <si>
    <t>Demolição de revestimento cerâmico, de forma manual, sem reaproveitamento.</t>
  </si>
  <si>
    <t>Demolição de rodapé cerâmico, de forma manual, sem reaproveitamento.</t>
  </si>
  <si>
    <t>2.1.14</t>
  </si>
  <si>
    <t>2.1.15</t>
  </si>
  <si>
    <t>2.1.16</t>
  </si>
  <si>
    <t>2.1.17</t>
  </si>
  <si>
    <t>Demolição de contrapiso até 3 cm, de forma manual, sem reaproveitamento.</t>
  </si>
  <si>
    <t>Remoção de portas, de forma manual, sem reaproveitamento.</t>
  </si>
  <si>
    <t>Remoção de janelas, de forma manual, sem reaproveitamento.</t>
  </si>
  <si>
    <t xml:space="preserve">Demolição de alvenaria de bloco furado, de forma manual, sem reaproveitamento. </t>
  </si>
  <si>
    <t>Demolição de piso de concreto/ calçada.</t>
  </si>
  <si>
    <t>Destinação e transporte de resíduos em caminhão basculante.</t>
  </si>
  <si>
    <t>Capina e limpeza manual de terreno</t>
  </si>
  <si>
    <t>CPU-01</t>
  </si>
  <si>
    <t>Aterro manual de valas com solo argilo-arenoso e compactação mecanizada.</t>
  </si>
  <si>
    <t>Fechamento de construção temporária em chapa de madeira compensada e=1,0mm, com reaproveitamento de 2x.</t>
  </si>
  <si>
    <t>Aluguel de dois containers em chapa de aço para escritório e depósito (L=2,20, C=6,20m, H=2,50m).</t>
  </si>
  <si>
    <t>CODIGO  DA COMPOSICAO</t>
  </si>
  <si>
    <t>DESCRICAO DA COMPOSICAO</t>
  </si>
  <si>
    <t>CUSTO TOTAL</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</si>
  <si>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</si>
  <si>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</si>
  <si>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</si>
  <si>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</si>
  <si>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</si>
  <si>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</si>
  <si>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</si>
  <si>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</si>
  <si>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</si>
  <si>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</si>
  <si>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</si>
  <si>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</si>
  <si>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</si>
  <si>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</si>
  <si>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</si>
  <si>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</si>
  <si>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</si>
  <si>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</si>
  <si>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</si>
  <si>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</si>
  <si>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</si>
  <si>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</si>
  <si>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</si>
  <si>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</si>
  <si>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</si>
  <si>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</si>
  <si>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</si>
  <si>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</si>
  <si>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</si>
  <si>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</si>
  <si>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</si>
  <si>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</si>
  <si>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</si>
  <si>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</si>
  <si>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</si>
  <si>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</si>
  <si>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</si>
  <si>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</si>
  <si>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</si>
  <si>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</si>
  <si>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</si>
  <si>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</si>
  <si>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</si>
  <si>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</si>
  <si>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</si>
  <si>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</si>
  <si>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</si>
  <si>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</si>
  <si>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</si>
  <si>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</si>
  <si>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</si>
  <si>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</si>
  <si>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</si>
  <si>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</si>
  <si>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</si>
  <si>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</si>
  <si>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</si>
  <si>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</si>
  <si>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</si>
  <si>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</si>
  <si>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</si>
  <si>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</si>
  <si>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</si>
  <si>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</si>
  <si>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</si>
  <si>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</si>
  <si>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</si>
  <si>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</si>
  <si>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</si>
  <si>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</si>
  <si>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</si>
  <si>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</si>
  <si>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</si>
  <si>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</si>
  <si>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</si>
  <si>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</si>
  <si>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</si>
  <si>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</si>
  <si>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</si>
  <si>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</si>
  <si>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</si>
  <si>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</si>
  <si>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</si>
  <si>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</si>
  <si>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</si>
  <si>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</si>
  <si>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</si>
  <si>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</si>
  <si>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</si>
  <si>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</si>
  <si>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</si>
  <si>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</si>
  <si>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</si>
  <si>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</si>
  <si>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</si>
  <si>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</si>
  <si>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</si>
  <si>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</si>
  <si>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</si>
  <si>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</si>
  <si>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</si>
  <si>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</si>
  <si>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</si>
  <si>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</si>
  <si>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</si>
  <si>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</si>
  <si>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</si>
  <si>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</si>
  <si>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</si>
  <si>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</si>
  <si>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</si>
  <si>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</si>
  <si>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</si>
  <si>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</si>
  <si>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</si>
  <si>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</si>
  <si>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</si>
  <si>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</si>
  <si>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</si>
  <si>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</si>
  <si>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</si>
  <si>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</si>
  <si>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</si>
  <si>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</si>
  <si>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</si>
  <si>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</si>
  <si>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</si>
  <si>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</si>
  <si>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</si>
  <si>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</si>
  <si>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</si>
  <si>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</si>
  <si>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</si>
  <si>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</si>
  <si>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</si>
  <si>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</si>
  <si>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</si>
  <si>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</si>
  <si>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</si>
  <si>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</si>
  <si>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</si>
  <si>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</si>
  <si>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</si>
  <si>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</si>
  <si>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</si>
  <si>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</si>
  <si>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</si>
  <si>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</si>
  <si>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</si>
  <si>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</si>
  <si>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</si>
  <si>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</si>
  <si>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</si>
  <si>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</si>
  <si>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</si>
  <si>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</si>
  <si>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</si>
  <si>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</si>
  <si>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</si>
  <si>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</si>
  <si>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</si>
  <si>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</si>
  <si>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</si>
  <si>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</si>
  <si>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</si>
  <si>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</si>
  <si>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</si>
  <si>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</si>
  <si>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</si>
  <si>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</si>
  <si>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</si>
  <si>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</si>
  <si>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</si>
  <si>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</si>
  <si>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</si>
  <si>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</si>
  <si>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</si>
  <si>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</si>
  <si>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</si>
  <si>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</si>
  <si>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</si>
  <si>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</si>
  <si>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</si>
  <si>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</si>
  <si>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</si>
  <si>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</si>
  <si>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</si>
  <si>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</si>
  <si>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</si>
  <si>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</si>
  <si>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</si>
  <si>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</si>
  <si>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</si>
  <si>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</si>
  <si>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</si>
  <si>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</si>
  <si>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</si>
  <si>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</si>
  <si>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</si>
  <si>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</si>
  <si>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</si>
  <si>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</si>
  <si>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</si>
  <si>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</si>
  <si>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</si>
  <si>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</si>
  <si>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</si>
  <si>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</si>
  <si>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</si>
  <si>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</si>
  <si>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</si>
  <si>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</si>
  <si>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</si>
  <si>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</si>
  <si>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</si>
  <si>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</si>
  <si>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</si>
  <si>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</si>
  <si>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</si>
  <si>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</si>
  <si>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</si>
  <si>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</si>
  <si>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</si>
  <si>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</si>
  <si>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</si>
  <si>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</si>
  <si>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</si>
  <si>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</si>
  <si>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</si>
  <si>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</si>
  <si>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</si>
  <si>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</si>
  <si>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</si>
  <si>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</si>
  <si>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</si>
  <si>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</si>
  <si>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</si>
  <si>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</si>
  <si>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</si>
  <si>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</si>
  <si>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</si>
  <si>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</si>
  <si>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</si>
  <si>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</si>
  <si>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</si>
  <si>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</si>
  <si>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</si>
  <si>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</si>
  <si>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</si>
  <si>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</si>
  <si>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</si>
  <si>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</si>
  <si>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</si>
  <si>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</si>
  <si>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</si>
  <si>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</si>
  <si>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</si>
  <si>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</si>
  <si>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</si>
  <si>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</si>
  <si>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</si>
  <si>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</si>
  <si>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</si>
  <si>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</si>
  <si>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</si>
  <si>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</si>
  <si>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</si>
  <si>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</si>
  <si>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</si>
  <si>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</si>
  <si>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</si>
  <si>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</si>
  <si>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</si>
  <si>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</si>
  <si>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</si>
  <si>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</si>
  <si>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</si>
  <si>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</si>
  <si>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</si>
  <si>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</si>
  <si>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</si>
  <si>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</si>
  <si>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</si>
  <si>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</si>
  <si>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</si>
  <si>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</si>
  <si>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</si>
  <si>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</si>
  <si>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</si>
  <si>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</si>
  <si>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</si>
  <si>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</si>
  <si>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</si>
  <si>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</si>
  <si>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</si>
  <si>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</si>
  <si>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</si>
  <si>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</si>
  <si>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</si>
  <si>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</si>
  <si>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</si>
  <si>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</si>
  <si>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</si>
  <si>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</si>
  <si>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</si>
  <si>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</si>
  <si>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</si>
  <si>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</si>
  <si>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</si>
  <si>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</si>
  <si>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</si>
  <si>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</si>
  <si>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</si>
  <si>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</si>
  <si>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</si>
  <si>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</si>
  <si>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</si>
  <si>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</si>
  <si>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</si>
  <si>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</si>
  <si>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</si>
  <si>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</si>
  <si>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</si>
  <si>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</si>
  <si>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</si>
  <si>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</si>
  <si>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</si>
  <si>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</si>
  <si>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</si>
  <si>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</si>
  <si>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</si>
  <si>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</si>
  <si>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</si>
  <si>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</si>
  <si>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</si>
  <si>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</si>
  <si>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</si>
  <si>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</si>
  <si>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</si>
  <si>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</si>
  <si>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</si>
  <si>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</si>
  <si>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</si>
  <si>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</si>
  <si>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</si>
  <si>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</si>
  <si>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</si>
  <si>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</si>
  <si>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</si>
  <si>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</si>
  <si>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</si>
  <si>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</si>
  <si>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</si>
  <si>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</si>
  <si>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</si>
  <si>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</si>
  <si>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</si>
  <si>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</si>
  <si>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</si>
  <si>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</si>
  <si>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</si>
  <si>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</si>
  <si>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</si>
  <si>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</si>
  <si>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</si>
  <si>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</si>
  <si>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</si>
  <si>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</si>
  <si>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</si>
  <si>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</si>
  <si>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</si>
  <si>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</si>
  <si>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</si>
  <si>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</si>
  <si>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</si>
  <si>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</si>
  <si>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</si>
  <si>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</si>
  <si>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</si>
  <si>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</si>
  <si>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</si>
  <si>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</si>
  <si>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</si>
  <si>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</si>
  <si>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</si>
  <si>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</si>
  <si>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</si>
  <si>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</si>
  <si>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</si>
  <si>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</si>
  <si>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</si>
  <si>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</si>
  <si>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</si>
  <si>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</si>
  <si>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</si>
  <si>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</si>
  <si>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</si>
  <si>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</si>
  <si>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</si>
  <si>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</si>
  <si>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</si>
  <si>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</si>
  <si>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</si>
  <si>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</si>
  <si>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</si>
  <si>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</si>
  <si>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</si>
  <si>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</si>
  <si>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</si>
  <si>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</si>
  <si>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</si>
  <si>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</si>
  <si>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</si>
  <si>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</si>
  <si>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</si>
  <si>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</si>
  <si>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</si>
  <si>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</si>
  <si>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</si>
  <si>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</si>
  <si>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</si>
  <si>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</si>
  <si>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</si>
  <si>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</si>
  <si>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</si>
  <si>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</si>
  <si>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</si>
  <si>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</si>
  <si>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</si>
  <si>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</si>
  <si>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</si>
  <si>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</si>
  <si>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</si>
  <si>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</si>
  <si>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</si>
  <si>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</si>
  <si>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</si>
  <si>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</si>
  <si>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</si>
  <si>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</si>
  <si>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</si>
  <si>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</si>
  <si>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</si>
  <si>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</si>
  <si>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</si>
  <si>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</si>
  <si>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</si>
  <si>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</si>
  <si>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</si>
  <si>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</si>
  <si>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</si>
  <si>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</si>
  <si>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</si>
  <si>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</si>
  <si>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</si>
  <si>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</si>
  <si>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</si>
  <si>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</si>
  <si>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</si>
  <si>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</si>
  <si>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</si>
  <si>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</si>
  <si>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</si>
  <si>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</si>
  <si>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</si>
  <si>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</si>
  <si>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</si>
  <si>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</si>
  <si>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</si>
  <si>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</si>
  <si>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</si>
  <si>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</si>
  <si>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</si>
  <si>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</si>
  <si>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</si>
  <si>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</si>
  <si>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</si>
  <si>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</si>
  <si>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</si>
  <si>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</si>
  <si>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</si>
  <si>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</si>
  <si>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</si>
  <si>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</si>
  <si>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</si>
  <si>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</si>
  <si>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</si>
  <si>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</si>
  <si>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</si>
  <si>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</si>
  <si>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</si>
  <si>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</si>
  <si>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</si>
  <si>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</si>
  <si>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</si>
  <si>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</si>
  <si>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</si>
  <si>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</si>
  <si>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</si>
  <si>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</si>
  <si>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</si>
  <si>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</si>
  <si>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</si>
  <si>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</si>
  <si>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</si>
  <si>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</si>
  <si>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</si>
  <si>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</si>
  <si>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</si>
  <si>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</si>
  <si>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</si>
  <si>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</si>
  <si>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</si>
  <si>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</si>
  <si>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</si>
  <si>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</si>
  <si>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</si>
  <si>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</si>
  <si>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</si>
  <si>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</si>
  <si>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</si>
  <si>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</si>
  <si>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</si>
  <si>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</si>
  <si>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</si>
  <si>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</si>
  <si>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</si>
  <si>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</si>
  <si>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</si>
  <si>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</si>
  <si>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</si>
  <si>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</si>
  <si>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</si>
  <si>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</si>
  <si>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</si>
  <si>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</si>
  <si>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</si>
  <si>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</si>
  <si>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</si>
  <si>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</si>
  <si>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</si>
  <si>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</si>
  <si>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</si>
  <si>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</si>
  <si>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</si>
  <si>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</si>
  <si>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</si>
  <si>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</si>
  <si>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</si>
  <si>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</si>
  <si>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</si>
  <si>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</si>
  <si>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</si>
  <si>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</si>
  <si>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</si>
  <si>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</si>
  <si>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</si>
  <si>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</si>
  <si>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</si>
  <si>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</si>
  <si>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</si>
  <si>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</si>
  <si>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</si>
  <si>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</si>
  <si>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</si>
  <si>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</si>
  <si>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</si>
  <si>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</si>
  <si>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</si>
  <si>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</si>
  <si>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</si>
  <si>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</si>
  <si>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</si>
  <si>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</si>
  <si>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</si>
  <si>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</si>
  <si>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</si>
  <si>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</si>
  <si>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</si>
  <si>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</si>
  <si>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</si>
  <si>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</si>
  <si>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</si>
  <si>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</si>
  <si>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</si>
  <si>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</si>
  <si>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</si>
  <si>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</si>
  <si>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</si>
  <si>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</si>
  <si>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</si>
  <si>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</si>
  <si>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</si>
  <si>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</si>
  <si>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</si>
  <si>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</si>
  <si>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</si>
  <si>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</si>
  <si>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</si>
  <si>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</si>
  <si>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</si>
  <si>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</si>
  <si>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</si>
  <si>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</si>
  <si>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</si>
  <si>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</si>
  <si>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</si>
  <si>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</si>
  <si>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</si>
  <si>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</si>
  <si>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</si>
  <si>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</si>
  <si>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</si>
  <si>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</si>
  <si>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</si>
  <si>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</si>
  <si>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</si>
  <si>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</si>
  <si>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</si>
  <si>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</si>
  <si>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</si>
  <si>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</si>
  <si>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</si>
  <si>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</si>
  <si>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</si>
  <si>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</si>
  <si>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</si>
  <si>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</si>
  <si>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</si>
  <si>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</si>
  <si>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</si>
  <si>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</si>
  <si>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</si>
  <si>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</si>
  <si>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</si>
  <si>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</si>
  <si>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</si>
  <si>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</si>
  <si>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</si>
  <si>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</si>
  <si>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</si>
  <si>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</si>
  <si>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</si>
  <si>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</si>
  <si>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</si>
  <si>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</si>
  <si>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</si>
  <si>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</si>
  <si>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</si>
  <si>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</si>
  <si>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</si>
  <si>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</si>
  <si>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</si>
  <si>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</si>
  <si>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</si>
  <si>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</si>
  <si>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</si>
  <si>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</si>
  <si>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</si>
  <si>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</si>
  <si>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</si>
  <si>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</si>
  <si>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</si>
  <si>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</si>
  <si>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</si>
  <si>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</si>
  <si>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</si>
  <si>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</si>
  <si>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</si>
  <si>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</si>
  <si>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</si>
  <si>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</si>
  <si>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</si>
  <si>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</si>
  <si>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</si>
  <si>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</si>
  <si>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</si>
  <si>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</si>
  <si>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</si>
  <si>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</si>
  <si>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</si>
  <si>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</si>
  <si>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</si>
  <si>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</si>
  <si>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</si>
  <si>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</si>
  <si>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</si>
  <si>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</si>
  <si>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</si>
  <si>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</si>
  <si>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</si>
  <si>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</si>
  <si>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</si>
  <si>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</si>
  <si>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</si>
  <si>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</si>
  <si>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</si>
  <si>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</si>
  <si>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</si>
  <si>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</si>
  <si>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</si>
  <si>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</si>
  <si>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</si>
  <si>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</si>
  <si>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</si>
  <si>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</si>
  <si>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</si>
  <si>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</si>
  <si>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</si>
  <si>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</si>
  <si>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</si>
  <si>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</si>
  <si>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</si>
  <si>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</si>
  <si>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</si>
  <si>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</si>
  <si>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</si>
  <si>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</si>
  <si>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</si>
  <si>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</si>
  <si>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</si>
  <si>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</si>
  <si>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</si>
  <si>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</si>
  <si>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</si>
  <si>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</si>
  <si>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</si>
  <si>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</si>
  <si>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</si>
  <si>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</si>
  <si>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</si>
  <si>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</si>
  <si>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</si>
  <si>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</si>
  <si>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</si>
  <si>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</si>
  <si>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</si>
  <si>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</si>
  <si>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</si>
  <si>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</si>
  <si>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</si>
  <si>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</si>
  <si>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</si>
  <si>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</si>
  <si>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</si>
  <si>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</si>
  <si>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</si>
  <si>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</si>
  <si>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</si>
  <si>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</si>
  <si>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</si>
  <si>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</si>
  <si>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</si>
  <si>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</si>
  <si>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</si>
  <si>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</si>
  <si>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</si>
  <si>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</si>
  <si>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</si>
  <si>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</si>
  <si>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</si>
  <si>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</si>
  <si>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</si>
  <si>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</si>
  <si>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</si>
  <si>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</si>
  <si>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</si>
  <si>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</si>
  <si>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</si>
  <si>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</si>
  <si>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</si>
  <si>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</si>
  <si>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</si>
  <si>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</si>
  <si>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</si>
  <si>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</si>
  <si>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</si>
  <si>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</si>
  <si>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</si>
  <si>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</si>
  <si>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</si>
  <si>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</si>
  <si>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</si>
  <si>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</si>
  <si>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</si>
  <si>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</si>
  <si>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</si>
  <si>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</si>
  <si>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</si>
  <si>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</si>
  <si>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</si>
  <si>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</si>
  <si>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</si>
  <si>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</si>
  <si>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</si>
  <si>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</si>
  <si>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</si>
  <si>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</si>
  <si>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</si>
  <si>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</si>
  <si>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</si>
  <si>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</si>
  <si>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</si>
  <si>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</si>
  <si>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</si>
  <si>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</si>
  <si>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</si>
  <si>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</si>
  <si>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</si>
  <si>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</si>
  <si>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</si>
  <si>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</si>
  <si>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</si>
  <si>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</si>
  <si>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</si>
  <si>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</si>
  <si>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</si>
  <si>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</si>
  <si>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</si>
  <si>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</si>
  <si>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</si>
  <si>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</si>
  <si>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</si>
  <si>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</si>
  <si>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</si>
  <si>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</si>
  <si>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</si>
  <si>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</si>
  <si>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</si>
  <si>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</si>
  <si>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</si>
  <si>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</si>
  <si>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</si>
  <si>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</si>
  <si>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</si>
  <si>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</si>
  <si>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</si>
  <si>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</si>
  <si>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</si>
  <si>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</si>
  <si>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</si>
  <si>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</si>
  <si>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</si>
  <si>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</si>
  <si>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</si>
  <si>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</si>
  <si>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</si>
  <si>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</si>
  <si>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</si>
  <si>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</si>
  <si>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</si>
  <si>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</si>
  <si>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</si>
  <si>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</si>
  <si>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</si>
  <si>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</si>
  <si>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</si>
  <si>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</si>
  <si>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</si>
  <si>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</si>
  <si>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</si>
  <si>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</si>
  <si>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</si>
  <si>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</si>
  <si>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</si>
  <si>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</si>
  <si>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</si>
  <si>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</si>
  <si>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</si>
  <si>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</si>
  <si>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</si>
  <si>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</si>
  <si>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</si>
  <si>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</si>
  <si>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</si>
  <si>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</si>
  <si>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</si>
  <si>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</si>
  <si>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</si>
  <si>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</si>
  <si>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</si>
  <si>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</si>
  <si>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</si>
  <si>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</si>
  <si>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</si>
  <si>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</si>
  <si>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</si>
  <si>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</si>
  <si>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</si>
  <si>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</si>
  <si>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</si>
  <si>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</si>
  <si>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</si>
  <si>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</si>
  <si>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</si>
  <si>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</si>
  <si>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</si>
  <si>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</si>
  <si>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</si>
  <si>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</si>
  <si>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</si>
  <si>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</si>
  <si>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</si>
  <si>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</si>
  <si>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</si>
  <si>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</si>
  <si>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</si>
  <si>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</si>
  <si>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</si>
  <si>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</si>
  <si>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</si>
  <si>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</si>
  <si>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</si>
  <si>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</si>
  <si>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</si>
  <si>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</si>
  <si>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</si>
  <si>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</si>
  <si>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</si>
  <si>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</si>
  <si>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</si>
  <si>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</si>
  <si>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</si>
  <si>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</si>
  <si>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</si>
  <si>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</si>
  <si>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</si>
  <si>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</si>
  <si>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</si>
  <si>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</si>
  <si>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</si>
  <si>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</si>
  <si>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</si>
  <si>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</si>
  <si>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</si>
  <si>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</si>
  <si>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</si>
  <si>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</si>
  <si>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</si>
  <si>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</si>
  <si>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</si>
  <si>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</si>
  <si>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</si>
  <si>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</si>
  <si>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</si>
  <si>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</si>
  <si>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</si>
  <si>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</si>
  <si>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</si>
  <si>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</si>
  <si>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</si>
  <si>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</si>
  <si>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</si>
  <si>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</si>
  <si>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</si>
  <si>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</si>
  <si>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</si>
  <si>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</si>
  <si>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</si>
  <si>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</si>
  <si>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</si>
  <si>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</si>
  <si>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</si>
  <si>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</si>
  <si>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</si>
  <si>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</si>
  <si>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</si>
  <si>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</si>
  <si>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</si>
  <si>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</si>
  <si>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</si>
  <si>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</si>
  <si>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</si>
  <si>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</si>
  <si>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</si>
  <si>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</si>
  <si>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</si>
  <si>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</si>
  <si>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</si>
  <si>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</si>
  <si>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</si>
  <si>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</si>
  <si>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</si>
  <si>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</si>
  <si>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</si>
  <si>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</si>
  <si>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</si>
  <si>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</si>
  <si>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</si>
  <si>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</si>
  <si>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</si>
  <si>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</si>
  <si>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</si>
  <si>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</si>
  <si>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</si>
  <si>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</si>
  <si>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</si>
  <si>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</si>
  <si>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</si>
  <si>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</si>
  <si>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</si>
  <si>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</si>
  <si>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</si>
  <si>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</si>
  <si>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</si>
  <si>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</si>
  <si>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</si>
  <si>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</si>
  <si>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</si>
  <si>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</si>
  <si>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</si>
  <si>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</si>
  <si>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</si>
  <si>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</si>
  <si>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</si>
  <si>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</si>
  <si>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</si>
  <si>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</si>
  <si>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</si>
  <si>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</si>
  <si>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</si>
  <si>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</si>
  <si>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</si>
  <si>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</si>
  <si>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</si>
  <si>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</si>
  <si>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</si>
  <si>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</si>
  <si>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</si>
  <si>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</si>
  <si>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</si>
  <si>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</si>
  <si>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</si>
  <si>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</si>
  <si>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</si>
  <si>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</si>
  <si>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</si>
  <si>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</si>
  <si>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</si>
  <si>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</si>
  <si>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</si>
  <si>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</si>
  <si>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</si>
  <si>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</si>
  <si>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</si>
  <si>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</si>
  <si>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</si>
  <si>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</si>
  <si>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</si>
  <si>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</si>
  <si>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</si>
  <si>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</si>
  <si>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</si>
  <si>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</si>
  <si>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</si>
  <si>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</si>
  <si>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</si>
  <si>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</si>
  <si>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</si>
  <si>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</si>
  <si>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</si>
  <si>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</si>
  <si>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</si>
  <si>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</si>
  <si>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</si>
  <si>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</si>
  <si>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</si>
  <si>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</si>
  <si>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</si>
  <si>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</si>
  <si>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</si>
  <si>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</si>
  <si>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</si>
  <si>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</si>
  <si>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</si>
  <si>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</si>
  <si>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</si>
  <si>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</si>
  <si>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</si>
  <si>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</si>
  <si>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</si>
  <si>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</si>
  <si>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</si>
  <si>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</si>
  <si>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</si>
  <si>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</si>
  <si>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</si>
  <si>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</si>
  <si>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</si>
  <si>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</si>
  <si>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</si>
  <si>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</si>
  <si>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</si>
  <si>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</si>
  <si>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</si>
  <si>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</si>
  <si>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</si>
  <si>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</si>
  <si>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</si>
  <si>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</si>
  <si>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</si>
  <si>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</si>
  <si>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</si>
  <si>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</si>
  <si>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</si>
  <si>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</si>
  <si>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</si>
  <si>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</si>
  <si>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</si>
  <si>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</si>
  <si>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</si>
  <si>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</si>
  <si>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</si>
  <si>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</si>
  <si>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</si>
  <si>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</si>
  <si>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</si>
  <si>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</si>
  <si>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</si>
  <si>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</si>
  <si>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</si>
  <si>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</si>
  <si>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</si>
  <si>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</si>
  <si>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</si>
  <si>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</si>
  <si>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</si>
  <si>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</si>
  <si>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</si>
  <si>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</si>
  <si>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</si>
  <si>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</si>
  <si>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</si>
  <si>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</si>
  <si>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</si>
  <si>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</si>
  <si>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</si>
  <si>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</si>
  <si>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</si>
  <si>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</si>
  <si>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</si>
  <si>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</si>
  <si>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</si>
  <si>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</si>
  <si>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</si>
  <si>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</si>
  <si>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</si>
  <si>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</si>
  <si>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</si>
  <si>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</si>
  <si>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</si>
  <si>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</si>
  <si>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</si>
  <si>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</si>
  <si>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</si>
  <si>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</si>
  <si>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</si>
  <si>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</si>
  <si>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</si>
  <si>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</si>
  <si>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</si>
  <si>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</si>
  <si>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</si>
  <si>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</si>
  <si>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</si>
  <si>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</si>
  <si>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</si>
  <si>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</si>
  <si>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</si>
  <si>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</si>
  <si>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</si>
  <si>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</si>
  <si>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</si>
  <si>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</si>
  <si>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</si>
  <si>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</si>
  <si>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</si>
  <si>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</si>
  <si>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</si>
  <si>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</si>
  <si>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</si>
  <si>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</si>
  <si>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</si>
  <si>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</si>
  <si>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</si>
  <si>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</si>
  <si>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</si>
  <si>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</si>
  <si>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</si>
  <si>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</si>
  <si>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</si>
  <si>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</si>
  <si>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</si>
  <si>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</si>
  <si>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</si>
  <si>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</si>
  <si>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</si>
  <si>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</si>
  <si>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</si>
  <si>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</si>
  <si>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</si>
  <si>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</si>
  <si>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</si>
  <si>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</si>
  <si>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</si>
  <si>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</si>
  <si>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</si>
  <si>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</si>
  <si>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</si>
  <si>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</si>
  <si>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</si>
  <si>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</si>
  <si>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</si>
  <si>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</si>
  <si>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</si>
  <si>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</si>
  <si>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</si>
  <si>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</si>
  <si>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</si>
  <si>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</si>
  <si>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</si>
  <si>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</si>
  <si>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</si>
  <si>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</si>
  <si>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</si>
  <si>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</si>
  <si>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</si>
  <si>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</si>
  <si>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</si>
  <si>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</si>
  <si>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</si>
  <si>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</si>
  <si>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</si>
  <si>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</si>
  <si>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</si>
  <si>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</si>
  <si>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</si>
  <si>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</si>
  <si>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</si>
  <si>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</si>
  <si>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</si>
  <si>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</si>
  <si>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</si>
  <si>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</si>
  <si>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</si>
  <si>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</si>
  <si>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</si>
  <si>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</si>
  <si>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</si>
  <si>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</si>
  <si>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</si>
  <si>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</si>
  <si>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</si>
  <si>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</si>
  <si>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</si>
  <si>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</si>
  <si>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</si>
  <si>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</si>
  <si>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</si>
  <si>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</si>
  <si>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</si>
  <si>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</si>
  <si>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</si>
  <si>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</si>
  <si>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</si>
  <si>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</si>
  <si>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</si>
  <si>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</si>
  <si>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</si>
  <si>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</si>
  <si>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</si>
  <si>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</si>
  <si>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</si>
  <si>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</si>
  <si>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</si>
  <si>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</si>
  <si>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</si>
  <si>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</si>
  <si>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</si>
  <si>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</si>
  <si>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</si>
  <si>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</si>
  <si>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</si>
  <si>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</si>
  <si>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</si>
  <si>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</si>
  <si>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</si>
  <si>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</si>
  <si>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</si>
  <si>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</si>
  <si>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</si>
  <si>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</si>
  <si>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</si>
  <si>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</si>
  <si>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</si>
  <si>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</si>
  <si>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</si>
  <si>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</si>
  <si>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</si>
  <si>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</si>
  <si>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</si>
  <si>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</si>
  <si>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</si>
  <si>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</si>
  <si>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</si>
  <si>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</si>
  <si>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</si>
  <si>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</si>
  <si>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</si>
  <si>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</si>
  <si>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</si>
  <si>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</si>
  <si>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</si>
  <si>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</si>
  <si>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</si>
  <si>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</si>
  <si>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</si>
  <si>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</si>
  <si>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</si>
  <si>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</si>
  <si>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</si>
  <si>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</si>
  <si>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</si>
  <si>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</si>
  <si>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</si>
  <si>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</si>
  <si>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</si>
  <si>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</si>
  <si>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</si>
  <si>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</si>
  <si>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</si>
  <si>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</si>
  <si>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</si>
  <si>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</si>
  <si>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</si>
  <si>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</si>
  <si>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</si>
  <si>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</si>
  <si>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</si>
  <si>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</si>
  <si>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</si>
  <si>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</si>
  <si>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</si>
  <si>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</si>
  <si>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</si>
  <si>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</si>
  <si>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</si>
  <si>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</si>
  <si>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</si>
  <si>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</si>
  <si>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</si>
  <si>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</si>
  <si>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</si>
  <si>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</si>
  <si>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</si>
  <si>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</si>
  <si>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</si>
  <si>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</si>
  <si>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</si>
  <si>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</si>
  <si>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</si>
  <si>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</si>
  <si>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</si>
  <si>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</si>
  <si>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</si>
  <si>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</si>
  <si>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</si>
  <si>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</si>
  <si>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</si>
  <si>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</si>
  <si>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</si>
  <si>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</si>
  <si>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</si>
  <si>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</si>
  <si>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</si>
  <si>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</si>
  <si>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</si>
  <si>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</si>
  <si>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</si>
  <si>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</si>
  <si>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</si>
  <si>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</si>
  <si>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</si>
  <si>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</si>
  <si>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</si>
  <si>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</si>
  <si>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</si>
  <si>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</si>
  <si>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</si>
  <si>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</si>
  <si>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</si>
  <si>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</si>
  <si>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</si>
  <si>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</si>
  <si>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</si>
  <si>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</si>
  <si>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</si>
  <si>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</si>
  <si>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</si>
  <si>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</si>
  <si>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</si>
  <si>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</si>
  <si>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</si>
  <si>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</si>
  <si>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</si>
  <si>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</si>
  <si>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</si>
  <si>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</si>
  <si>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</si>
  <si>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</si>
  <si>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</si>
  <si>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</si>
  <si>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</si>
  <si>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</si>
  <si>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</si>
  <si>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</si>
  <si>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</si>
  <si>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</si>
  <si>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</si>
  <si>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</si>
  <si>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</si>
  <si>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</si>
  <si>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</si>
  <si>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</si>
  <si>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</si>
  <si>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</si>
  <si>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</si>
  <si>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</si>
  <si>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</si>
  <si>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</si>
  <si>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</si>
  <si>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</si>
  <si>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</si>
  <si>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</si>
  <si>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</si>
  <si>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</si>
  <si>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</si>
  <si>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</si>
  <si>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</si>
  <si>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</si>
  <si>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</si>
  <si>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</si>
  <si>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</si>
  <si>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</si>
  <si>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</si>
  <si>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</si>
  <si>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</si>
  <si>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</si>
  <si>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</si>
  <si>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</si>
  <si>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</si>
  <si>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</si>
  <si>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</si>
  <si>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</si>
  <si>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</si>
  <si>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</si>
  <si>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</si>
  <si>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</si>
  <si>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</si>
  <si>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</si>
  <si>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</si>
  <si>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</si>
  <si>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</si>
  <si>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</si>
  <si>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</si>
  <si>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</si>
  <si>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</si>
  <si>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</si>
  <si>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</si>
  <si>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</si>
  <si>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</si>
  <si>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</si>
  <si>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</si>
  <si>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</si>
  <si>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</si>
  <si>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</si>
  <si>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</si>
  <si>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</si>
  <si>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</si>
  <si>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</si>
  <si>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</si>
  <si>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</si>
  <si>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</si>
  <si>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</si>
  <si>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</si>
  <si>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</si>
  <si>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</si>
  <si>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</si>
  <si>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</si>
  <si>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</si>
  <si>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</si>
  <si>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</si>
  <si>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</si>
  <si>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</si>
  <si>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</si>
  <si>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</si>
  <si>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</si>
  <si>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</si>
  <si>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</si>
  <si>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</si>
  <si>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</si>
  <si>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</si>
  <si>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</si>
  <si>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</si>
  <si>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</si>
  <si>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</si>
  <si>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</si>
  <si>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</si>
  <si>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</si>
  <si>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</si>
  <si>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</si>
  <si>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</si>
  <si>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</si>
  <si>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</si>
  <si>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</si>
  <si>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</si>
  <si>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</si>
  <si>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</si>
  <si>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</si>
  <si>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</si>
  <si>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</si>
  <si>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</si>
  <si>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</si>
  <si>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</si>
  <si>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</si>
  <si>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</si>
  <si>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</si>
  <si>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</si>
  <si>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</si>
  <si>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</si>
  <si>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</si>
  <si>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</si>
  <si>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</si>
  <si>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</si>
  <si>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</si>
  <si>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</si>
  <si>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</si>
  <si>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</si>
  <si>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</si>
  <si>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</si>
  <si>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</si>
  <si>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</si>
  <si>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</si>
  <si>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</si>
  <si>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</si>
  <si>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</si>
  <si>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</si>
  <si>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</si>
  <si>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</si>
  <si>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</si>
  <si>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</si>
  <si>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</si>
  <si>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</si>
  <si>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</si>
  <si>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</si>
  <si>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</si>
  <si>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</si>
  <si>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</si>
  <si>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</si>
  <si>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</si>
  <si>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</si>
  <si>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</si>
  <si>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</si>
  <si>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</si>
  <si>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</si>
  <si>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</si>
  <si>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</si>
  <si>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</si>
  <si>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</si>
  <si>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</si>
  <si>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</si>
  <si>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</si>
  <si>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</si>
  <si>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</si>
  <si>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</si>
  <si>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</si>
  <si>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</si>
  <si>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</si>
  <si>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</si>
  <si>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</si>
  <si>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</si>
  <si>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</si>
  <si>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</si>
  <si>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</si>
  <si>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</si>
  <si>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</si>
  <si>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</si>
  <si>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</si>
  <si>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</si>
  <si>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</si>
  <si>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</si>
  <si>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</si>
  <si>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</si>
  <si>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</si>
  <si>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</si>
  <si>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</si>
  <si>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</si>
  <si>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</si>
  <si>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</si>
  <si>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</si>
  <si>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</si>
  <si>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</si>
  <si>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</si>
  <si>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</si>
  <si>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</si>
  <si>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</si>
  <si>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</si>
  <si>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</si>
  <si>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</si>
  <si>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</si>
  <si>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</si>
  <si>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</si>
  <si>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</si>
  <si>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</si>
  <si>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</si>
  <si>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</si>
  <si>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</si>
  <si>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</si>
  <si>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</si>
  <si>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</si>
  <si>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</si>
  <si>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</si>
  <si>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</si>
  <si>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</si>
  <si>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</si>
  <si>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</si>
  <si>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</si>
  <si>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</si>
  <si>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</si>
  <si>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</si>
  <si>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</si>
  <si>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</si>
  <si>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</si>
  <si>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</si>
  <si>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</si>
  <si>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</si>
  <si>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</si>
  <si>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</si>
  <si>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</si>
  <si>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</si>
  <si>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</si>
  <si>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</si>
  <si>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</si>
  <si>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</si>
  <si>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</si>
  <si>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</si>
  <si>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</si>
  <si>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</si>
  <si>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</si>
  <si>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</si>
  <si>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</si>
  <si>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</si>
  <si>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</si>
  <si>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</si>
  <si>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</si>
  <si>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</si>
  <si>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</si>
  <si>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</si>
  <si>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</si>
  <si>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</si>
  <si>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</si>
  <si>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</si>
  <si>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</si>
  <si>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</si>
  <si>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</si>
  <si>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</si>
  <si>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</si>
  <si>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</si>
  <si>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</si>
  <si>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</si>
  <si>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</si>
  <si>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</si>
  <si>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</si>
  <si>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</si>
  <si>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</si>
  <si>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</si>
  <si>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</si>
  <si>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</si>
  <si>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</si>
  <si>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</si>
  <si>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</si>
  <si>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</si>
  <si>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</si>
  <si>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</si>
  <si>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</si>
  <si>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</si>
  <si>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</si>
  <si>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</si>
  <si>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</si>
  <si>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</si>
  <si>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</si>
  <si>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</si>
  <si>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</si>
  <si>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</si>
  <si>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</si>
  <si>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</si>
  <si>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</si>
  <si>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</si>
  <si>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</si>
  <si>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</si>
  <si>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</si>
  <si>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</si>
  <si>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</si>
  <si>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</si>
  <si>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</si>
  <si>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</si>
  <si>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</si>
  <si>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</si>
  <si>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</si>
  <si>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</si>
  <si>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</si>
  <si>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</si>
  <si>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</si>
  <si>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</si>
  <si>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</si>
  <si>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</si>
  <si>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</si>
  <si>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</si>
  <si>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</si>
  <si>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</si>
  <si>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</si>
  <si>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</si>
  <si>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</si>
  <si>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</si>
  <si>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</si>
  <si>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</si>
  <si>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</si>
  <si>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</si>
  <si>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</si>
  <si>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</si>
  <si>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</si>
  <si>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</si>
  <si>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</si>
  <si>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</si>
  <si>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</si>
  <si>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</si>
  <si>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</si>
  <si>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</si>
  <si>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</si>
  <si>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</si>
  <si>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</si>
  <si>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</si>
  <si>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</si>
  <si>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</si>
  <si>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</si>
  <si>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</si>
  <si>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</si>
  <si>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</si>
  <si>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</si>
  <si>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</si>
  <si>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</si>
  <si>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</si>
  <si>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</si>
  <si>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</si>
  <si>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</si>
  <si>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</si>
  <si>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</si>
  <si>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</si>
  <si>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</si>
  <si>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</si>
  <si>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</si>
  <si>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</si>
  <si>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</si>
  <si>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</si>
  <si>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</si>
  <si>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</si>
  <si>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</si>
  <si>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</si>
  <si>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</si>
  <si>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</si>
  <si>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</si>
  <si>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</si>
  <si>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</si>
  <si>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</si>
  <si>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</si>
  <si>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</si>
  <si>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</si>
  <si>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</si>
  <si>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</si>
  <si>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</si>
  <si>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</si>
  <si>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</si>
  <si>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</si>
  <si>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</si>
  <si>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</si>
  <si>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</si>
  <si>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</si>
  <si>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</si>
  <si>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</si>
  <si>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</si>
  <si>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</si>
  <si>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</si>
  <si>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</si>
  <si>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</si>
  <si>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</si>
  <si>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</si>
  <si>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</si>
  <si>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</si>
  <si>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</si>
  <si>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</si>
  <si>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</si>
  <si>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</si>
  <si>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</si>
  <si>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</si>
  <si>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</si>
  <si>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</si>
  <si>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</si>
  <si>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</si>
  <si>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</si>
  <si>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</si>
  <si>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</si>
  <si>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</si>
  <si>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</si>
  <si>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</si>
  <si>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</si>
  <si>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</si>
  <si>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</si>
  <si>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</si>
  <si>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</si>
  <si>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</si>
  <si>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</si>
  <si>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</si>
  <si>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</si>
  <si>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</si>
  <si>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</si>
  <si>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</si>
  <si>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</si>
  <si>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</si>
  <si>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</si>
  <si>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</si>
  <si>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</si>
  <si>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</si>
  <si>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</si>
  <si>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</si>
  <si>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</si>
  <si>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</si>
  <si>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</si>
  <si>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</si>
  <si>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</si>
  <si>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</si>
  <si>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</si>
  <si>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</si>
  <si>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</si>
  <si>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</si>
  <si>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</si>
  <si>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</si>
  <si>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</si>
  <si>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</si>
  <si>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</si>
  <si>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</si>
  <si>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</si>
  <si>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</si>
  <si>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</si>
  <si>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</si>
  <si>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</si>
  <si>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</si>
  <si>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</si>
  <si>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</si>
  <si>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</si>
  <si>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</si>
  <si>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</si>
  <si>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</si>
  <si>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</si>
  <si>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</si>
  <si>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</si>
  <si>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</si>
  <si>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</si>
  <si>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</si>
  <si>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</si>
  <si>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</si>
  <si>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</si>
  <si>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</si>
  <si>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</si>
  <si>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</si>
  <si>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</si>
  <si>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</si>
  <si>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</si>
  <si>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</si>
  <si>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</si>
  <si>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</si>
  <si>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</si>
  <si>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</si>
  <si>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</si>
  <si>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</si>
  <si>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</si>
  <si>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</si>
  <si>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</si>
  <si>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</si>
  <si>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</si>
  <si>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</si>
  <si>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</si>
  <si>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</si>
  <si>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</si>
  <si>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</si>
  <si>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</si>
  <si>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</si>
  <si>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</si>
  <si>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</si>
  <si>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</si>
  <si>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</si>
  <si>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</si>
  <si>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</si>
  <si>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</si>
  <si>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</si>
  <si>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</si>
  <si>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</si>
  <si>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</si>
  <si>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</si>
  <si>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</si>
  <si>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</si>
  <si>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</si>
  <si>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</si>
  <si>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</si>
  <si>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</si>
  <si>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</si>
  <si>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</si>
  <si>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</si>
  <si>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</si>
  <si>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</si>
  <si>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</si>
  <si>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</si>
  <si>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</si>
  <si>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</si>
  <si>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</si>
  <si>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</si>
  <si>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</si>
  <si>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</si>
  <si>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</si>
  <si>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</si>
  <si>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</si>
  <si>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</si>
  <si>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</si>
  <si>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</si>
  <si>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</si>
  <si>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</si>
  <si>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</si>
  <si>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</si>
  <si>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</si>
  <si>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</si>
  <si>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</si>
  <si>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</si>
  <si>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</si>
  <si>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</si>
  <si>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</si>
  <si>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</si>
  <si>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</si>
  <si>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</si>
  <si>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</si>
  <si>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</si>
  <si>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</si>
  <si>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</si>
  <si>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</si>
  <si>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</si>
  <si>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</si>
  <si>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</si>
  <si>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</si>
  <si>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</si>
  <si>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</si>
  <si>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</si>
  <si>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</si>
  <si>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</si>
  <si>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</si>
  <si>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</si>
  <si>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</si>
  <si>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</si>
  <si>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</si>
  <si>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</si>
  <si>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</si>
  <si>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</si>
  <si>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</si>
  <si>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</si>
  <si>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</si>
  <si>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</si>
  <si>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</si>
  <si>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</si>
  <si>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</si>
  <si>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</si>
  <si>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</si>
  <si>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</si>
  <si>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</si>
  <si>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</si>
  <si>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</si>
  <si>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</si>
  <si>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</si>
  <si>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</si>
  <si>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</si>
  <si>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</si>
  <si>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</si>
  <si>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</si>
  <si>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</si>
  <si>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</si>
  <si>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</si>
  <si>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</si>
  <si>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</si>
  <si>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</si>
  <si>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</si>
  <si>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</si>
  <si>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</si>
  <si>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</si>
  <si>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</si>
  <si>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</si>
  <si>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</si>
  <si>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</si>
  <si>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</si>
  <si>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</si>
  <si>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</si>
  <si>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</si>
  <si>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</si>
  <si>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</si>
  <si>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</si>
  <si>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</si>
  <si>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</si>
  <si>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</si>
  <si>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</si>
  <si>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</si>
  <si>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</si>
  <si>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</si>
  <si>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</si>
  <si>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</si>
  <si>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</si>
  <si>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</si>
  <si>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</si>
  <si>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</si>
  <si>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</si>
  <si>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</si>
  <si>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</si>
  <si>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</si>
  <si>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</si>
  <si>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</si>
  <si>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</si>
  <si>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</si>
  <si>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</si>
  <si>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</si>
  <si>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</si>
  <si>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</si>
  <si>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</si>
  <si>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</si>
  <si>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</si>
  <si>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</si>
  <si>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</si>
  <si>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</si>
  <si>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</si>
  <si>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</si>
  <si>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</si>
  <si>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</si>
  <si>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</si>
  <si>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</si>
  <si>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</si>
  <si>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</si>
  <si>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</si>
  <si>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</si>
  <si>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</si>
  <si>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</si>
  <si>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</si>
  <si>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</si>
  <si>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</si>
  <si>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</si>
  <si>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</si>
  <si>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</si>
  <si>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</si>
  <si>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</si>
  <si>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</si>
  <si>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</si>
  <si>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</si>
  <si>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</si>
  <si>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</si>
  <si>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</si>
  <si>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</si>
  <si>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</si>
  <si>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</si>
  <si>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</si>
  <si>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</si>
  <si>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</si>
  <si>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</si>
  <si>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</si>
  <si>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</si>
  <si>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</si>
  <si>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</si>
  <si>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</si>
  <si>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</si>
  <si>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</si>
  <si>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</si>
  <si>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</si>
  <si>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</si>
  <si>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</si>
  <si>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</si>
  <si>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</si>
  <si>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</si>
  <si>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</si>
  <si>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</si>
  <si>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</si>
  <si>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</si>
  <si>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</si>
  <si>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</si>
  <si>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</si>
  <si>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</si>
  <si>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</si>
  <si>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</si>
  <si>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</si>
  <si>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</si>
  <si>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</si>
  <si>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</si>
  <si>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</si>
  <si>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</si>
  <si>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</si>
  <si>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</si>
  <si>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</si>
  <si>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</si>
  <si>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</si>
  <si>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</si>
  <si>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</si>
  <si>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</si>
  <si>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</si>
  <si>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</si>
  <si>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</si>
  <si>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</si>
  <si>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</si>
  <si>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</si>
  <si>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</si>
  <si>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</si>
  <si>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</si>
  <si>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</si>
  <si>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</si>
  <si>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</si>
  <si>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</si>
  <si>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</si>
  <si>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</si>
  <si>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</si>
  <si>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</si>
  <si>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</si>
  <si>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</si>
  <si>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</si>
  <si>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</si>
  <si>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</si>
  <si>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</si>
  <si>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</si>
  <si>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</si>
  <si>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</si>
  <si>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</si>
  <si>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</si>
  <si>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</si>
  <si>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</si>
  <si>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</si>
  <si>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</si>
  <si>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</si>
  <si>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</si>
  <si>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</si>
  <si>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</si>
  <si>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</si>
  <si>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</si>
  <si>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</si>
  <si>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</si>
  <si>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</si>
  <si>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</si>
  <si>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</si>
  <si>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</si>
  <si>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</si>
  <si>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</si>
  <si>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</si>
  <si>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</si>
  <si>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</si>
  <si>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</si>
  <si>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</si>
  <si>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</si>
  <si>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</si>
  <si>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</si>
  <si>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</si>
  <si>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</si>
  <si>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</si>
  <si>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</si>
  <si>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</si>
  <si>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</si>
  <si>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</si>
  <si>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</si>
  <si>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</si>
  <si>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</si>
  <si>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</si>
  <si>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</si>
  <si>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</si>
  <si>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</si>
  <si>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</si>
  <si>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</si>
  <si>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</si>
  <si>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</si>
  <si>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</si>
  <si>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</si>
  <si>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</si>
  <si>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</si>
  <si>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</si>
  <si>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</si>
  <si>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</si>
  <si>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</si>
  <si>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</si>
  <si>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</si>
  <si>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</si>
  <si>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</si>
  <si>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</si>
  <si>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</si>
  <si>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</si>
  <si>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</si>
  <si>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</si>
  <si>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</si>
  <si>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</si>
  <si>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</si>
  <si>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</si>
  <si>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</si>
  <si>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</si>
  <si>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</si>
  <si>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</si>
  <si>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</si>
  <si>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</si>
  <si>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</si>
  <si>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</si>
  <si>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</si>
  <si>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</si>
  <si>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</si>
  <si>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</si>
  <si>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</si>
  <si>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</si>
  <si>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</si>
  <si>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</si>
  <si>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</si>
  <si>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</si>
  <si>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</si>
  <si>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</si>
  <si>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</si>
  <si>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</si>
  <si>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</si>
  <si>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</si>
  <si>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</si>
  <si>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</si>
  <si>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</si>
  <si>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</si>
  <si>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</si>
  <si>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</si>
  <si>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</si>
  <si>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</si>
  <si>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</si>
  <si>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</si>
  <si>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</si>
  <si>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</si>
  <si>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</si>
  <si>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</si>
  <si>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</si>
  <si>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</si>
  <si>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</si>
  <si>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</si>
  <si>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</si>
  <si>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</si>
  <si>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</si>
  <si>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</si>
  <si>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</si>
  <si>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</si>
  <si>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</si>
  <si>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</si>
  <si>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</si>
  <si>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</si>
  <si>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</si>
  <si>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</si>
  <si>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</si>
  <si>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</si>
  <si>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</si>
  <si>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</si>
  <si>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</si>
  <si>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</si>
  <si>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</si>
  <si>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</si>
  <si>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</si>
  <si>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</si>
  <si>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</si>
  <si>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</si>
  <si>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</si>
  <si>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</si>
  <si>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</si>
  <si>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</si>
  <si>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</si>
  <si>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</si>
  <si>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</si>
  <si>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</si>
  <si>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</si>
  <si>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</si>
  <si>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</si>
  <si>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</si>
  <si>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</si>
  <si>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</si>
  <si>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</si>
  <si>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</si>
  <si>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</si>
  <si>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</si>
  <si>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</si>
  <si>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</si>
  <si>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</si>
  <si>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</si>
  <si>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</si>
  <si>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</si>
  <si>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</si>
  <si>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</si>
  <si>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</si>
  <si>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</si>
  <si>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</si>
  <si>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</si>
  <si>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</si>
  <si>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</si>
  <si>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</si>
  <si>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</si>
  <si>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</si>
  <si>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</si>
  <si>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</si>
  <si>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</si>
  <si>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</si>
  <si>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</si>
  <si>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</si>
  <si>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</si>
  <si>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</si>
  <si>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</si>
  <si>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</si>
  <si>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</si>
  <si>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</si>
  <si>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</si>
  <si>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</si>
  <si>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</si>
  <si>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</si>
  <si>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</si>
  <si>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</si>
  <si>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</si>
  <si>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</si>
  <si>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</si>
  <si>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</si>
  <si>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</si>
  <si>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</si>
  <si>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</si>
  <si>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</si>
  <si>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</si>
  <si>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</si>
  <si>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</si>
  <si>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</si>
  <si>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</si>
  <si>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</si>
  <si>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</si>
  <si>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</si>
  <si>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</si>
  <si>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</si>
  <si>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</si>
  <si>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</si>
  <si>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</si>
  <si>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</si>
  <si>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</si>
  <si>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</si>
  <si>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</si>
  <si>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</si>
  <si>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</si>
  <si>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</si>
  <si>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</si>
  <si>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</si>
  <si>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</si>
  <si>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</si>
  <si>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</si>
  <si>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</si>
  <si>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</si>
  <si>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</si>
  <si>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</si>
  <si>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</si>
  <si>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</si>
  <si>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</si>
  <si>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</si>
  <si>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</si>
  <si>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</si>
  <si>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</si>
  <si>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</si>
  <si>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</si>
  <si>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</si>
  <si>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</si>
  <si>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</si>
  <si>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</si>
  <si>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</si>
  <si>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</si>
  <si>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</si>
  <si>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</si>
  <si>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</si>
  <si>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</si>
  <si>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</si>
  <si>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</si>
  <si>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</si>
  <si>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</si>
  <si>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</si>
  <si>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</si>
  <si>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</si>
  <si>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</si>
  <si>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</si>
  <si>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</si>
  <si>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</si>
  <si>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</si>
  <si>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</si>
  <si>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</si>
  <si>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</si>
  <si>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</si>
  <si>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</si>
  <si>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</si>
  <si>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</si>
  <si>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</si>
  <si>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</si>
  <si>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</si>
  <si>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</si>
  <si>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</si>
  <si>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</si>
  <si>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</si>
  <si>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</si>
  <si>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</si>
  <si>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</si>
  <si>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</si>
  <si>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</si>
  <si>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</si>
  <si>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</si>
  <si>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</si>
  <si>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</si>
  <si>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</si>
  <si>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</si>
  <si>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</si>
  <si>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</si>
  <si>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</si>
  <si>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</si>
  <si>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</si>
  <si>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</si>
  <si>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</si>
  <si>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</si>
  <si>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</si>
  <si>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</si>
  <si>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</si>
  <si>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</si>
  <si>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</si>
  <si>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</si>
  <si>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</si>
  <si>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</si>
  <si>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</si>
  <si>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</si>
  <si>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</si>
  <si>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</si>
  <si>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</si>
  <si>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</si>
  <si>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</si>
  <si>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</si>
  <si>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</si>
  <si>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</si>
  <si>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</si>
  <si>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</si>
  <si>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</si>
  <si>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</si>
  <si>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</si>
  <si>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</si>
  <si>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</si>
  <si>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</si>
  <si>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</si>
  <si>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</si>
  <si>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</si>
  <si>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</si>
  <si>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</si>
  <si>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</si>
  <si>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</si>
  <si>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</si>
  <si>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</si>
  <si>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</si>
  <si>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</si>
  <si>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</si>
  <si>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</si>
  <si>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</si>
  <si>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</si>
  <si>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</si>
  <si>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</si>
  <si>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</si>
  <si>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</si>
  <si>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</si>
  <si>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</si>
  <si>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</si>
  <si>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</si>
  <si>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</si>
  <si>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</si>
  <si>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</si>
  <si>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</si>
  <si>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</si>
  <si>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</si>
  <si>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</si>
  <si>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</si>
  <si>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</si>
  <si>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</si>
  <si>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</si>
  <si>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</si>
  <si>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</si>
  <si>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</si>
  <si>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</si>
  <si>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</si>
  <si>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</si>
  <si>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</si>
  <si>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</si>
  <si>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</si>
  <si>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</si>
  <si>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</si>
  <si>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</si>
  <si>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</si>
  <si>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</si>
  <si>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</si>
  <si>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</si>
  <si>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</si>
  <si>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</si>
  <si>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</si>
  <si>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</si>
  <si>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</si>
  <si>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</si>
  <si>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</si>
  <si>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</si>
  <si>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</si>
  <si>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</si>
  <si>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</si>
  <si>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</si>
  <si>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</si>
  <si>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</si>
  <si>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</si>
  <si>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</si>
  <si>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</si>
  <si>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</si>
  <si>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</si>
  <si>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</si>
  <si>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</si>
  <si>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</si>
  <si>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</si>
  <si>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</si>
  <si>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</si>
  <si>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</si>
  <si>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</si>
  <si>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</si>
  <si>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</si>
  <si>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</si>
  <si>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</si>
  <si>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</si>
  <si>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</si>
  <si>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</si>
  <si>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</si>
  <si>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</si>
  <si>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</si>
  <si>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</si>
  <si>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</si>
  <si>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</si>
  <si>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</si>
  <si>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</si>
  <si>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</si>
  <si>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</si>
  <si>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</si>
  <si>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</si>
  <si>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</si>
  <si>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</si>
  <si>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</si>
  <si>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</si>
  <si>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</si>
  <si>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</si>
  <si>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</si>
  <si>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</si>
  <si>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</si>
  <si>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</si>
  <si>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</si>
  <si>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</si>
  <si>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</si>
  <si>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</si>
  <si>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</si>
  <si>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</si>
  <si>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</si>
  <si>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</si>
  <si>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</si>
  <si>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</si>
  <si>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</si>
  <si>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</si>
  <si>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</si>
  <si>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</si>
  <si>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</si>
  <si>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</si>
  <si>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</si>
  <si>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</si>
  <si>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</si>
  <si>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</si>
  <si>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</si>
  <si>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</si>
  <si>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</si>
  <si>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</si>
  <si>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</si>
  <si>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</si>
  <si>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</si>
  <si>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</si>
  <si>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</si>
  <si>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</si>
  <si>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</si>
  <si>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</si>
  <si>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</si>
  <si>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</si>
  <si>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</si>
  <si>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</si>
  <si>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</si>
  <si>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</si>
  <si>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</si>
  <si>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</si>
  <si>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</si>
  <si>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</si>
  <si>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</si>
  <si>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</si>
  <si>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</si>
  <si>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</si>
  <si>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</si>
  <si>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</si>
  <si>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</si>
  <si>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</si>
  <si>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</si>
  <si>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</si>
  <si>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</si>
  <si>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</si>
  <si>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</si>
  <si>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</si>
  <si>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</si>
  <si>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</si>
  <si>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</si>
  <si>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</si>
  <si>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</si>
  <si>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</si>
  <si>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</si>
  <si>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</si>
  <si>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</si>
  <si>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</si>
  <si>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</si>
  <si>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</si>
  <si>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</si>
  <si>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</si>
  <si>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</si>
  <si>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</si>
  <si>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</si>
  <si>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</si>
  <si>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</si>
  <si>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</si>
  <si>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</si>
  <si>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</si>
  <si>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</si>
  <si>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</si>
  <si>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</si>
  <si>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</si>
  <si>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</si>
  <si>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</si>
  <si>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</si>
  <si>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</si>
  <si>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</si>
  <si>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</si>
  <si>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</si>
  <si>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</si>
  <si>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</si>
  <si>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</si>
  <si>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</si>
  <si>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</si>
  <si>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</si>
  <si>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</si>
  <si>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</si>
  <si>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</si>
  <si>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</si>
  <si>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</si>
  <si>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</si>
  <si>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</si>
  <si>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</si>
  <si>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</si>
  <si>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</si>
  <si>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</si>
  <si>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</si>
  <si>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</si>
  <si>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</si>
  <si>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</si>
  <si>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</si>
  <si>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</si>
  <si>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</si>
  <si>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</si>
  <si>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</si>
  <si>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</si>
  <si>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</si>
  <si>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</si>
  <si>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</si>
  <si>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</si>
  <si>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</si>
  <si>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</si>
  <si>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</si>
  <si>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</si>
  <si>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</si>
  <si>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</si>
  <si>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</si>
  <si>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</si>
  <si>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</si>
  <si>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</si>
  <si>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</si>
  <si>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</si>
  <si>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</si>
  <si>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</si>
  <si>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</si>
  <si>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</si>
  <si>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</si>
  <si>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</si>
  <si>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</si>
  <si>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</si>
  <si>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</si>
  <si>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</si>
  <si>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</si>
  <si>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</si>
  <si>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</si>
  <si>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</si>
  <si>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</si>
  <si>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</si>
  <si>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</si>
  <si>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</si>
  <si>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</si>
  <si>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</si>
  <si>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</si>
  <si>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</si>
  <si>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</si>
  <si>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</si>
  <si>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</si>
  <si>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</si>
  <si>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</si>
  <si>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</si>
  <si>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</si>
  <si>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</si>
  <si>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</si>
  <si>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</si>
  <si>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</si>
  <si>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</si>
  <si>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</si>
  <si>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</si>
  <si>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</si>
  <si>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</si>
  <si>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</si>
  <si>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</si>
  <si>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</si>
  <si>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</si>
  <si>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</si>
  <si>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</si>
  <si>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</si>
  <si>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</si>
  <si>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</si>
  <si>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</si>
  <si>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</si>
  <si>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</si>
  <si>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</si>
  <si>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</si>
  <si>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</si>
  <si>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</si>
  <si>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</si>
  <si>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</si>
  <si>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</si>
  <si>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</si>
  <si>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</si>
  <si>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</si>
  <si>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</si>
  <si>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</si>
  <si>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</si>
  <si>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</si>
  <si>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</si>
  <si>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</si>
  <si>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</si>
  <si>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</si>
  <si>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</si>
  <si>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</si>
  <si>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</si>
  <si>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</si>
  <si>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</si>
  <si>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</si>
  <si>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</si>
  <si>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</si>
  <si>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</si>
  <si>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</si>
  <si>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</si>
  <si>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</si>
  <si>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</si>
  <si>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</si>
  <si>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</si>
  <si>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</si>
  <si>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</si>
  <si>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</si>
  <si>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</si>
  <si>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</si>
  <si>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</si>
  <si>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</si>
  <si>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</si>
  <si>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</si>
  <si>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</si>
  <si>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</si>
  <si>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</si>
  <si>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</si>
  <si>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</si>
  <si>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</si>
  <si>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</si>
  <si>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</si>
  <si>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</si>
  <si>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</si>
  <si>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</si>
  <si>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</si>
  <si>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</si>
  <si>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</si>
  <si>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</si>
  <si>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</si>
  <si>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</si>
  <si>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</si>
  <si>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</si>
  <si>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</si>
  <si>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</si>
  <si>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</si>
  <si>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</si>
  <si>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</si>
  <si>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</si>
  <si>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</si>
  <si>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</si>
  <si>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</si>
  <si>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</si>
  <si>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</si>
  <si>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</si>
  <si>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</si>
  <si>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</si>
  <si>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</si>
  <si>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</si>
  <si>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</si>
  <si>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</si>
  <si>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</si>
  <si>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</si>
  <si>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</si>
  <si>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</si>
  <si>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</si>
  <si>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</si>
  <si>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</si>
  <si>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</si>
  <si>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</si>
  <si>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</si>
  <si>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</si>
  <si>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</si>
  <si>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</si>
  <si>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</si>
  <si>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</si>
  <si>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</si>
  <si>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</si>
  <si>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</si>
  <si>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</si>
  <si>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</si>
  <si>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</si>
  <si>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</si>
  <si>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</si>
  <si>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</si>
  <si>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</si>
  <si>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</si>
  <si>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</si>
  <si>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</si>
  <si>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</si>
  <si>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</si>
  <si>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</si>
  <si>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</si>
  <si>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</si>
  <si>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</si>
  <si>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</si>
  <si>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</si>
  <si>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</si>
  <si>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</si>
  <si>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</si>
  <si>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</si>
  <si>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</si>
  <si>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</si>
  <si>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</si>
  <si>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</si>
  <si>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</si>
  <si>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</si>
  <si>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</si>
  <si>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</si>
  <si>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</si>
  <si>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</si>
  <si>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</si>
  <si>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</si>
  <si>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</si>
  <si>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</si>
  <si>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</si>
  <si>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</si>
  <si>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</si>
  <si>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</si>
  <si>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</si>
  <si>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</si>
  <si>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</si>
  <si>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</si>
  <si>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</si>
  <si>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</si>
  <si>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</si>
  <si>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</si>
  <si>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</si>
  <si>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</si>
  <si>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</si>
  <si>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</si>
  <si>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</si>
  <si>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</si>
  <si>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</si>
  <si>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</si>
  <si>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</si>
  <si>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</si>
  <si>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</si>
  <si>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</si>
  <si>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</si>
  <si>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</si>
  <si>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</si>
  <si>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</si>
  <si>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</si>
  <si>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</si>
  <si>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</si>
  <si>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</si>
  <si>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</si>
  <si>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</si>
  <si>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</si>
  <si>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</si>
  <si>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</si>
  <si>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</si>
  <si>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</si>
  <si>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</si>
  <si>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</si>
  <si>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</si>
  <si>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</si>
  <si>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</si>
  <si>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</si>
  <si>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</si>
  <si>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</si>
  <si>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</si>
  <si>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</si>
  <si>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</si>
  <si>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</si>
  <si>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</si>
  <si>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</si>
  <si>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</si>
  <si>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</si>
  <si>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</si>
  <si>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</si>
  <si>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</si>
  <si>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</si>
  <si>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</si>
  <si>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</si>
  <si>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</si>
  <si>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</si>
  <si>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</si>
  <si>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</si>
  <si>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</si>
  <si>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</si>
  <si>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</si>
  <si>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</si>
  <si>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</si>
  <si>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</si>
  <si>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</si>
  <si>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</si>
  <si>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</si>
  <si>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</si>
  <si>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</si>
  <si>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</si>
  <si>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</si>
  <si>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</si>
  <si>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</si>
  <si>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</si>
  <si>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</si>
  <si>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</si>
  <si>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</si>
  <si>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</si>
  <si>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</si>
  <si>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</si>
  <si>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</si>
  <si>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</si>
  <si>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</si>
  <si>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</si>
  <si>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</si>
  <si>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</si>
  <si>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</si>
  <si>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</si>
  <si>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</si>
  <si>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</si>
  <si>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</si>
  <si>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</si>
  <si>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</si>
  <si>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</si>
  <si>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</si>
  <si>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</si>
  <si>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</si>
  <si>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</si>
  <si>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</si>
  <si>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</si>
  <si>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</si>
  <si>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</si>
  <si>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</si>
  <si>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</si>
  <si>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</si>
  <si>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</si>
  <si>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</si>
  <si>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</si>
  <si>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</si>
  <si>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</si>
  <si>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</si>
  <si>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</si>
  <si>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</si>
  <si>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</si>
  <si>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</si>
  <si>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</si>
  <si>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</si>
  <si>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</si>
  <si>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</si>
  <si>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</si>
  <si>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</si>
  <si>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</si>
  <si>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</si>
  <si>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</si>
  <si>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</si>
  <si>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</si>
  <si>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</si>
  <si>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</si>
  <si>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</si>
  <si>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</si>
  <si>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</si>
  <si>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</si>
  <si>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</si>
  <si>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</si>
  <si>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</si>
  <si>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</si>
  <si>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</si>
  <si>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</si>
  <si>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</si>
  <si>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</si>
  <si>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</si>
  <si>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</si>
  <si>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</si>
  <si>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</si>
  <si>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</si>
  <si>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</si>
  <si>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</si>
  <si>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</si>
  <si>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</si>
  <si>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</si>
  <si>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</si>
  <si>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</si>
  <si>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</si>
  <si>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</si>
  <si>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</si>
  <si>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</si>
  <si>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</si>
  <si>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</si>
  <si>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</si>
  <si>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</si>
  <si>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</si>
  <si>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</si>
  <si>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</si>
  <si>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</si>
  <si>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</si>
  <si>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</si>
  <si>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</si>
  <si>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</si>
  <si>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</si>
  <si>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</si>
  <si>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</si>
  <si>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</si>
  <si>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</si>
  <si>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</si>
  <si>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</si>
  <si>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</si>
  <si>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</si>
  <si>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</si>
  <si>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</si>
  <si>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</si>
  <si>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</si>
  <si>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</si>
  <si>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</si>
  <si>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</si>
  <si>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</si>
  <si>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</si>
  <si>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</si>
  <si>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</si>
  <si>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</si>
  <si>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</si>
  <si>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</si>
  <si>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</si>
  <si>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</si>
  <si>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</si>
  <si>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</si>
  <si>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</si>
  <si>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</si>
  <si>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</si>
  <si>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</si>
  <si>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</si>
  <si>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</si>
  <si>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</si>
  <si>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</si>
  <si>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</si>
  <si>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</si>
  <si>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</si>
  <si>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</si>
  <si>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</si>
  <si>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</si>
  <si>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</si>
  <si>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</si>
  <si>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</si>
  <si>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</si>
  <si>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</si>
  <si>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</si>
  <si>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</si>
  <si>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</si>
  <si>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</si>
  <si>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</si>
  <si>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</si>
  <si>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</si>
  <si>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</si>
  <si>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</si>
  <si>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</si>
  <si>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</si>
  <si>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</si>
  <si>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</si>
  <si>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</si>
  <si>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</si>
  <si>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</si>
  <si>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</si>
  <si>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</si>
  <si>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</si>
  <si>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</si>
  <si>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</si>
  <si>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</si>
  <si>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</si>
  <si>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</si>
  <si>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</si>
  <si>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</si>
  <si>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</si>
  <si>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</si>
  <si>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</si>
  <si>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</si>
  <si>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</si>
  <si>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</si>
  <si>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</si>
  <si>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</si>
  <si>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</si>
  <si>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</si>
  <si>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</si>
  <si>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</si>
  <si>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</si>
  <si>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</si>
  <si>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</si>
  <si>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</si>
  <si>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</si>
  <si>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</si>
  <si>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</si>
  <si>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</si>
  <si>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</si>
  <si>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</si>
  <si>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</si>
  <si>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</si>
  <si>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</si>
  <si>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</si>
  <si>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</si>
  <si>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</si>
  <si>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</si>
  <si>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</si>
  <si>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</si>
  <si>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</si>
  <si>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</si>
  <si>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</si>
  <si>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</si>
  <si>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</si>
  <si>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</si>
  <si>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</si>
  <si>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</si>
  <si>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</si>
  <si>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</si>
  <si>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</si>
  <si>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</si>
  <si>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</si>
  <si>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</si>
  <si>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</si>
  <si>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</si>
  <si>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</si>
  <si>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</si>
  <si>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</si>
  <si>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</si>
  <si>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</si>
  <si>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</si>
  <si>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</si>
  <si>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</si>
  <si>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</si>
  <si>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</si>
  <si>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</si>
  <si>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</si>
  <si>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</si>
  <si>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</si>
  <si>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</si>
  <si>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</si>
  <si>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</si>
  <si>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</si>
  <si>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</si>
  <si>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</si>
  <si>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</si>
  <si>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</si>
  <si>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</si>
  <si>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</si>
  <si>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</si>
  <si>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</si>
  <si>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</si>
  <si>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</si>
  <si>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</si>
  <si>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</si>
  <si>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</si>
  <si>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</si>
  <si>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</si>
  <si>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</si>
  <si>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</si>
  <si>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</si>
  <si>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</si>
  <si>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</si>
  <si>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</si>
  <si>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</si>
  <si>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</si>
  <si>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</si>
  <si>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</si>
  <si>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</si>
  <si>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</si>
  <si>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</si>
  <si>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</si>
  <si>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</si>
  <si>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</si>
  <si>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</si>
  <si>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</si>
  <si>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</si>
  <si>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</si>
  <si>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</si>
  <si>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</si>
  <si>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</si>
  <si>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</si>
  <si>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</si>
  <si>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</si>
  <si>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</si>
  <si>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</si>
  <si>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</si>
  <si>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</si>
  <si>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</si>
  <si>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</si>
  <si>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</si>
  <si>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</si>
  <si>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</si>
  <si>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</si>
  <si>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</si>
  <si>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</si>
  <si>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</si>
  <si>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</si>
  <si>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</si>
  <si>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</si>
  <si>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</si>
  <si>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</si>
  <si>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</si>
  <si>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</si>
  <si>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</si>
  <si>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</si>
  <si>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</si>
  <si>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</si>
  <si>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</si>
  <si>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</si>
  <si>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</si>
  <si>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</si>
  <si>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</si>
  <si>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</si>
  <si>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</si>
  <si>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</si>
  <si>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</si>
  <si>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</si>
  <si>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</si>
  <si>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</si>
  <si>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</si>
  <si>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</si>
  <si>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</si>
  <si>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</si>
  <si>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</si>
  <si>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</si>
  <si>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</si>
  <si>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</si>
  <si>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</si>
  <si>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</si>
  <si>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</si>
  <si>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</si>
  <si>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</si>
  <si>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</si>
  <si>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</si>
  <si>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</si>
  <si>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</si>
  <si>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</si>
  <si>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</si>
  <si>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</si>
  <si>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</si>
  <si>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</si>
  <si>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</si>
  <si>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</si>
  <si>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</si>
  <si>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</si>
  <si>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</si>
  <si>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</si>
  <si>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</si>
  <si>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</si>
  <si>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</si>
  <si>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</si>
  <si>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</si>
  <si>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</si>
  <si>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</si>
  <si>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</si>
  <si>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</si>
  <si>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</si>
  <si>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</si>
  <si>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</si>
  <si>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</si>
  <si>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</si>
  <si>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</si>
  <si>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</si>
  <si>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</si>
  <si>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</si>
  <si>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</si>
  <si>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</si>
  <si>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</si>
  <si>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</si>
  <si>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</si>
  <si>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</si>
  <si>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</si>
  <si>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</si>
  <si>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</si>
  <si>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</si>
  <si>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</si>
  <si>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</si>
  <si>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</si>
  <si>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</si>
  <si>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</si>
  <si>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</si>
  <si>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</si>
  <si>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</si>
  <si>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</si>
  <si>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</si>
  <si>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</si>
  <si>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</si>
  <si>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</si>
  <si>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</si>
  <si>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</si>
  <si>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</si>
  <si>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</si>
  <si>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</si>
  <si>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</si>
  <si>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</si>
  <si>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</si>
  <si>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</si>
  <si>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</si>
  <si>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</si>
  <si>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</si>
  <si>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</si>
  <si>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</si>
  <si>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</si>
  <si>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</si>
  <si>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</si>
  <si>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</si>
  <si>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</si>
  <si>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</si>
  <si>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</si>
  <si>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</si>
  <si>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</si>
  <si>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</si>
  <si>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</si>
  <si>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</si>
  <si>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</si>
  <si>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</si>
  <si>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</si>
  <si>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</si>
  <si>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</si>
  <si>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</si>
  <si>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</si>
  <si>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</si>
  <si>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</si>
  <si>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</si>
  <si>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</si>
  <si>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</si>
  <si>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</si>
  <si>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</si>
  <si>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</si>
  <si>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</si>
  <si>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</si>
  <si>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</si>
  <si>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</si>
  <si>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</si>
  <si>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</si>
  <si>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</si>
  <si>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</si>
  <si>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</si>
  <si>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</si>
  <si>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</si>
  <si>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</si>
  <si>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</si>
  <si>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</si>
  <si>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</si>
  <si>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</si>
  <si>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</si>
  <si>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</si>
  <si>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</si>
  <si>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</si>
  <si>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</si>
  <si>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</si>
  <si>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</si>
  <si>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</si>
  <si>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</si>
  <si>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</si>
  <si>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</si>
  <si>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</si>
  <si>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</si>
  <si>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</si>
  <si>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</si>
  <si>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</si>
  <si>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</si>
  <si>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</si>
  <si>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</si>
  <si>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</si>
  <si>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</si>
  <si>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</si>
  <si>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</si>
  <si>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</si>
  <si>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</si>
  <si>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</si>
  <si>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</si>
  <si>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</si>
  <si>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</si>
  <si>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</si>
  <si>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</si>
  <si>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</si>
  <si>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</si>
  <si>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</si>
  <si>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</si>
  <si>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</si>
  <si>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</si>
  <si>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</si>
  <si>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</si>
  <si>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</si>
  <si>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</si>
  <si>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</si>
  <si>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</si>
  <si>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</si>
  <si>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</si>
  <si>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</si>
  <si>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</si>
  <si>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</si>
  <si>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</si>
  <si>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</si>
  <si>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</si>
  <si>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</si>
  <si>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</si>
  <si>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</si>
  <si>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</si>
  <si>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</si>
  <si>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</si>
  <si>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</si>
  <si>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</si>
  <si>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</si>
  <si>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</si>
  <si>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</si>
  <si>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</si>
  <si>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</si>
  <si>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</si>
  <si>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</si>
  <si>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</si>
  <si>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</si>
  <si>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</si>
  <si>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</si>
  <si>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</si>
  <si>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</si>
  <si>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</si>
  <si>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</si>
  <si>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</si>
  <si>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</si>
  <si>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</si>
  <si>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</si>
  <si>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</si>
  <si>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</si>
  <si>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</si>
  <si>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</si>
  <si>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</si>
  <si>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</si>
  <si>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</si>
  <si>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</si>
  <si>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</si>
  <si>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</si>
  <si>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</si>
  <si>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</si>
  <si>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</si>
  <si>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</si>
  <si>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</si>
  <si>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</si>
  <si>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</si>
  <si>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</si>
  <si>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</si>
  <si>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</si>
  <si>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</si>
  <si>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</si>
  <si>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</si>
  <si>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</si>
  <si>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</si>
  <si>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</si>
  <si>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</si>
  <si>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</si>
  <si>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</si>
  <si>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</si>
  <si>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</si>
  <si>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</si>
  <si>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</si>
  <si>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</si>
  <si>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</si>
  <si>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</si>
  <si>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</si>
  <si>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</si>
  <si>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</si>
  <si>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</si>
  <si>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</si>
  <si>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</si>
  <si>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</si>
  <si>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</si>
  <si>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</si>
  <si>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</si>
  <si>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</si>
  <si>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</si>
  <si>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</si>
  <si>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</si>
  <si>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</si>
  <si>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</si>
  <si>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</si>
  <si>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</si>
  <si>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</si>
  <si>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</si>
  <si>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</si>
  <si>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</si>
  <si>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</si>
  <si>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</si>
  <si>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</si>
  <si>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</si>
  <si>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</si>
  <si>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</si>
  <si>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</si>
  <si>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</si>
  <si>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</si>
  <si>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</si>
  <si>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</si>
  <si>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</si>
  <si>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</si>
  <si>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</si>
  <si>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</si>
  <si>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</si>
  <si>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</si>
  <si>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</si>
  <si>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</si>
  <si>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</si>
  <si>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</si>
  <si>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</si>
  <si>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</si>
  <si>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</si>
  <si>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</si>
  <si>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</si>
  <si>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</si>
  <si>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</si>
  <si>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</si>
  <si>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</si>
  <si>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</si>
  <si>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</si>
  <si>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</si>
  <si>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</si>
  <si>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</si>
  <si>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</si>
  <si>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</si>
  <si>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</si>
  <si>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</si>
  <si>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</si>
  <si>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</si>
  <si>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</si>
  <si>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</si>
  <si>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</si>
  <si>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</si>
  <si>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</si>
  <si>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</si>
  <si>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</si>
  <si>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</si>
  <si>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</si>
  <si>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</si>
  <si>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</si>
  <si>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</si>
  <si>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</si>
  <si>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</si>
  <si>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</si>
  <si>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</si>
  <si>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</si>
  <si>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</si>
  <si>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</si>
  <si>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</si>
  <si>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</si>
  <si>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</si>
  <si>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</si>
  <si>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</si>
  <si>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</si>
  <si>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</si>
  <si>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</si>
  <si>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</si>
  <si>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</si>
  <si>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</si>
  <si>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</si>
  <si>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</si>
  <si>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</si>
  <si>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</si>
  <si>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</si>
  <si>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</si>
  <si>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</si>
  <si>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</si>
  <si>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</si>
  <si>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</si>
  <si>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</si>
  <si>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</si>
  <si>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</si>
  <si>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</si>
  <si>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</si>
  <si>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</si>
  <si>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</si>
  <si>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</si>
  <si>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</si>
  <si>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</si>
  <si>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</si>
  <si>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</si>
  <si>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</si>
  <si>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</si>
  <si>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</si>
  <si>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</si>
  <si>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</si>
  <si>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</si>
  <si>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</si>
  <si>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</si>
  <si>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</si>
  <si>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</si>
  <si>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</si>
  <si>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</si>
  <si>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</si>
  <si>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</si>
  <si>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</si>
  <si>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</si>
  <si>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</si>
  <si>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</si>
  <si>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</si>
  <si>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</si>
  <si>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</si>
  <si>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</si>
  <si>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</si>
  <si>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</si>
  <si>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</si>
  <si>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</si>
  <si>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</si>
  <si>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</si>
  <si>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</si>
  <si>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</si>
  <si>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</si>
  <si>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</si>
  <si>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</si>
  <si>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</si>
  <si>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</si>
  <si>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</si>
  <si>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</si>
  <si>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</si>
  <si>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</si>
  <si>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</si>
  <si>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</si>
  <si>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</si>
  <si>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</si>
  <si>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</si>
  <si>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</si>
  <si>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</si>
  <si>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</si>
  <si>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</si>
  <si>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</si>
  <si>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</si>
  <si>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</si>
  <si>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</si>
  <si>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</si>
  <si>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</si>
  <si>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</si>
  <si>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</si>
  <si>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</si>
  <si>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</si>
  <si>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</si>
  <si>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</si>
  <si>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</si>
  <si>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</si>
  <si>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</si>
  <si>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</si>
  <si>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</si>
  <si>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</si>
  <si>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</si>
  <si>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</si>
  <si>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</si>
  <si>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</si>
  <si>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</si>
  <si>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</si>
  <si>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</si>
  <si>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</si>
  <si>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</si>
  <si>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</si>
  <si>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</si>
  <si>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</si>
  <si>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</si>
  <si>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</si>
  <si>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</si>
  <si>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</si>
  <si>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</si>
  <si>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</si>
  <si>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</si>
  <si>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</si>
  <si>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</si>
  <si>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</si>
  <si>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</si>
  <si>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</si>
  <si>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</si>
  <si>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</si>
  <si>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</si>
  <si>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</si>
  <si>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</si>
  <si>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</si>
  <si>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</si>
  <si>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</si>
  <si>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</si>
  <si>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</si>
  <si>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</si>
  <si>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</si>
  <si>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</si>
  <si>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</si>
  <si>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</si>
  <si>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</si>
  <si>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</si>
  <si>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</si>
  <si>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</si>
  <si>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</si>
  <si>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</si>
  <si>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</si>
  <si>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</si>
  <si>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</si>
  <si>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</si>
  <si>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</si>
  <si>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</si>
  <si>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</si>
  <si>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</si>
  <si>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</si>
  <si>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</si>
  <si>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</si>
  <si>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</si>
  <si>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</si>
  <si>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</si>
  <si>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</si>
  <si>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</si>
  <si>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</si>
  <si>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</si>
  <si>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</si>
  <si>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</si>
  <si>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</si>
  <si>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</si>
  <si>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</si>
  <si>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</si>
  <si>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</si>
  <si>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</si>
  <si>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</si>
  <si>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</si>
  <si>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</si>
  <si>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</si>
  <si>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</si>
  <si>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</si>
  <si>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</si>
  <si>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</si>
  <si>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</si>
  <si>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</si>
  <si>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</si>
  <si>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</si>
  <si>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</si>
  <si>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</si>
  <si>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</si>
  <si>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</si>
  <si>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</si>
  <si>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</si>
  <si>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</si>
  <si>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</si>
  <si>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</si>
  <si>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</si>
  <si>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</si>
  <si>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</si>
  <si>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</si>
  <si>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</si>
  <si>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</si>
  <si>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</si>
  <si>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</si>
  <si>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</si>
  <si>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</si>
  <si>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</si>
  <si>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</si>
  <si>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</si>
  <si>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</si>
  <si>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</si>
  <si>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</si>
  <si>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</si>
  <si>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</si>
  <si>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</si>
  <si>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</si>
  <si>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</si>
  <si>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</si>
  <si>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</si>
  <si>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</si>
  <si>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</si>
  <si>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</si>
  <si>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</si>
  <si>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</si>
  <si>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</si>
  <si>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</si>
  <si>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</si>
  <si>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</si>
  <si>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</si>
  <si>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</si>
  <si>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</si>
  <si>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</si>
  <si>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</si>
  <si>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</si>
  <si>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</si>
  <si>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</si>
  <si>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</si>
  <si>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</si>
  <si>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</si>
  <si>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</si>
  <si>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</si>
  <si>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</si>
  <si>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</si>
  <si>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</si>
  <si>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</si>
  <si>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</si>
  <si>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</si>
  <si>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</si>
  <si>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</si>
  <si>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</si>
  <si>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</si>
  <si>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</si>
  <si>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</si>
  <si>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</si>
  <si>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</si>
  <si>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</si>
  <si>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</si>
  <si>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</si>
  <si>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</si>
  <si>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</si>
  <si>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</si>
  <si>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</si>
  <si>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</si>
  <si>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</si>
  <si>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</si>
  <si>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</si>
  <si>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</si>
  <si>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</si>
  <si>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</si>
  <si>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</si>
  <si>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</si>
  <si>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</si>
  <si>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</si>
  <si>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</si>
  <si>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</si>
  <si>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</si>
  <si>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</si>
  <si>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</si>
  <si>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</si>
  <si>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</si>
  <si>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</si>
  <si>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</si>
  <si>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</si>
  <si>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</si>
  <si>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</si>
  <si>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</si>
  <si>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</si>
  <si>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</si>
  <si>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</si>
  <si>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</si>
  <si>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</si>
  <si>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</si>
  <si>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</si>
  <si>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</si>
  <si>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</si>
  <si>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</si>
  <si>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</si>
  <si>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</si>
  <si>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</si>
  <si>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</si>
  <si>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</si>
  <si>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</si>
  <si>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</si>
  <si>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</si>
  <si>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</si>
  <si>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</si>
  <si>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</si>
  <si>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</si>
  <si>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</si>
  <si>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</si>
  <si>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</si>
  <si>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</si>
  <si>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</si>
  <si>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</si>
  <si>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</si>
  <si>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</si>
  <si>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</si>
  <si>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</si>
  <si>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</si>
  <si>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</si>
  <si>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</si>
  <si>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</si>
  <si>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</si>
  <si>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</si>
  <si>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</si>
  <si>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</si>
  <si>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</si>
  <si>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</si>
  <si>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</si>
  <si>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</si>
  <si>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</si>
  <si>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</si>
  <si>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</si>
  <si>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</si>
  <si>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</si>
  <si>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</si>
  <si>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</si>
  <si>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</si>
  <si>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</si>
  <si>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</si>
  <si>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</si>
  <si>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</si>
  <si>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</si>
  <si>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</si>
  <si>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</si>
  <si>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</si>
  <si>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</si>
  <si>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</si>
  <si>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</si>
  <si>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</si>
  <si>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</si>
  <si>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</si>
  <si>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</si>
  <si>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</si>
  <si>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</si>
  <si>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</si>
  <si>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</si>
  <si>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</si>
  <si>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</si>
  <si>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</si>
  <si>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</si>
  <si>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</si>
  <si>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</si>
  <si>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</si>
  <si>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</si>
  <si>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</si>
  <si>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</si>
  <si>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</si>
  <si>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</si>
  <si>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</si>
  <si>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</si>
  <si>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</si>
  <si>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</si>
  <si>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</si>
  <si>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</si>
  <si>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</si>
  <si>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</si>
  <si>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</si>
  <si>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</si>
  <si>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</si>
  <si>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</si>
  <si>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</si>
  <si>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</si>
  <si>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</si>
  <si>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</si>
  <si>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</si>
  <si>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</si>
  <si>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</si>
  <si>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</si>
  <si>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</si>
  <si>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</si>
  <si>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</si>
  <si>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</si>
  <si>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</si>
  <si>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</si>
  <si>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</si>
  <si>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</si>
  <si>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</si>
  <si>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</si>
  <si>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</si>
  <si>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</si>
  <si>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</si>
  <si>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</si>
  <si>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</si>
  <si>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</si>
  <si>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</si>
  <si>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</si>
  <si>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</si>
  <si>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</si>
  <si>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</si>
  <si>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</si>
  <si>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</si>
  <si>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</si>
  <si>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</si>
  <si>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</si>
  <si>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</si>
  <si>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</si>
  <si>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</si>
  <si>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</si>
  <si>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</si>
  <si>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</si>
  <si>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</si>
  <si>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</si>
  <si>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</si>
  <si>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</si>
  <si>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</si>
  <si>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</si>
  <si>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</si>
  <si>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</si>
  <si>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</si>
  <si>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</si>
  <si>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</si>
  <si>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</si>
  <si>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</si>
  <si>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</si>
  <si>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</si>
  <si>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</si>
  <si>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</si>
  <si>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</si>
  <si>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</si>
  <si>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</si>
  <si>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</si>
  <si>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</si>
  <si>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</si>
  <si>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</si>
  <si>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</si>
  <si>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</si>
  <si>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</si>
  <si>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</si>
  <si>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</si>
  <si>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</si>
  <si>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</si>
  <si>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</si>
  <si>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</si>
  <si>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</si>
  <si>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</si>
  <si>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</si>
  <si>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</si>
  <si>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</si>
  <si>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</si>
  <si>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</si>
  <si>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</si>
  <si>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</si>
  <si>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</si>
  <si>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</si>
  <si>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</si>
  <si>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</si>
  <si>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</si>
  <si>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</si>
  <si>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</si>
  <si>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</si>
  <si>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</si>
  <si>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</si>
  <si>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</si>
  <si>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</si>
  <si>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</si>
  <si>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</si>
  <si>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</si>
  <si>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</si>
  <si>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</si>
  <si>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</si>
  <si>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</si>
  <si>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</si>
  <si>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</si>
  <si>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</si>
  <si>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</si>
  <si>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</si>
  <si>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</si>
  <si>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</si>
  <si>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</si>
  <si>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</si>
  <si>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</si>
  <si>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</si>
  <si>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</si>
  <si>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</si>
  <si>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</si>
  <si>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</si>
  <si>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</si>
  <si>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</si>
  <si>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</si>
  <si>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</si>
  <si>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</si>
  <si>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</si>
  <si>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</si>
  <si>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</si>
  <si>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</si>
  <si>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</si>
  <si>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</si>
  <si>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</si>
  <si>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</si>
  <si>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</si>
  <si>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</si>
  <si>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</si>
  <si>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</si>
  <si>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</si>
  <si>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</si>
  <si>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</si>
  <si>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</si>
  <si>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</si>
  <si>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</si>
  <si>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</si>
  <si>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</si>
  <si>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</si>
  <si>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</si>
  <si>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</si>
  <si>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</si>
  <si>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</si>
  <si>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</si>
  <si>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</si>
  <si>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</si>
  <si>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</si>
  <si>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</si>
  <si>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</si>
  <si>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</si>
  <si>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</si>
  <si>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</si>
  <si>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</si>
  <si>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</si>
  <si>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</si>
  <si>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</si>
  <si>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</si>
  <si>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</si>
  <si>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</si>
  <si>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</si>
  <si>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</si>
  <si>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</si>
  <si>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</si>
  <si>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</si>
  <si>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</si>
  <si>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</si>
  <si>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</si>
  <si>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</si>
  <si>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</si>
  <si>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</si>
  <si>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</si>
  <si>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</si>
  <si>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</si>
  <si>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</si>
  <si>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</si>
  <si>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</si>
  <si>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</si>
  <si>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</si>
  <si>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</si>
  <si>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</si>
  <si>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</si>
  <si>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</si>
  <si>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</si>
  <si>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</si>
  <si>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</si>
  <si>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</si>
  <si>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</si>
  <si>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</si>
  <si>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</si>
  <si>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</si>
  <si>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</si>
  <si>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</si>
  <si>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</si>
  <si>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</si>
  <si>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</si>
  <si>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</si>
  <si>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</si>
  <si>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</si>
  <si>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</si>
  <si>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</si>
  <si>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</si>
  <si>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</si>
  <si>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</si>
  <si>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</si>
  <si>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</si>
  <si>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</si>
  <si>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</si>
  <si>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</si>
  <si>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</si>
  <si>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</si>
  <si>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</si>
  <si>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</si>
  <si>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</si>
  <si>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</si>
  <si>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</si>
  <si>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</si>
  <si>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</si>
  <si>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</si>
  <si>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</si>
  <si>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</si>
  <si>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</si>
  <si>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</si>
  <si>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</si>
  <si>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</si>
  <si>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</si>
  <si>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</si>
  <si>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</si>
  <si>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</si>
  <si>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</si>
  <si>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</si>
  <si>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</si>
  <si>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</si>
  <si>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</si>
  <si>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</si>
  <si>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</si>
  <si>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</si>
  <si>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</si>
  <si>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</si>
  <si>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</si>
  <si>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</si>
  <si>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</si>
  <si>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</si>
  <si>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</si>
  <si>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</si>
  <si>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</si>
  <si>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</si>
  <si>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</si>
  <si>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</si>
  <si>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</si>
  <si>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</si>
  <si>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</si>
  <si>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</si>
  <si>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</si>
  <si>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</si>
  <si>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</si>
  <si>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</si>
  <si>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</si>
  <si>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</si>
  <si>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</si>
  <si>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</si>
  <si>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</si>
  <si>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</si>
  <si>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</si>
  <si>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</si>
  <si>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</si>
  <si>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</si>
  <si>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</si>
  <si>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</si>
  <si>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</si>
  <si>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</si>
  <si>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</si>
  <si>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</si>
  <si>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</si>
  <si>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</si>
  <si>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</si>
  <si>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</si>
  <si>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</si>
  <si>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</si>
  <si>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</si>
  <si>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</si>
  <si>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</si>
  <si>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</si>
  <si>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</si>
  <si>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</si>
  <si>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</si>
  <si>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</si>
  <si>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</si>
  <si>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</si>
  <si>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</si>
  <si>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</si>
  <si>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</si>
  <si>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</si>
  <si>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</si>
  <si>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</si>
  <si>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</si>
  <si>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</si>
  <si>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</si>
  <si>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</si>
  <si>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</si>
  <si>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</si>
  <si>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</si>
  <si>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</si>
  <si>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</si>
  <si>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</si>
  <si>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</si>
  <si>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</si>
  <si>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</si>
  <si>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</si>
  <si>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</si>
  <si>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</si>
  <si>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</si>
  <si>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</si>
  <si>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</si>
  <si>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</si>
  <si>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</si>
  <si>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</si>
  <si>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</si>
  <si>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</si>
  <si>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</si>
  <si>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</si>
  <si>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</si>
  <si>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</si>
  <si>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</si>
  <si>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</si>
  <si>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</si>
  <si>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</si>
  <si>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</si>
  <si>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</si>
  <si>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</si>
  <si>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</si>
  <si>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</si>
  <si>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</si>
  <si>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</si>
  <si>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</si>
  <si>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</si>
  <si>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</si>
  <si>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</si>
  <si>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</si>
  <si>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</si>
  <si>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</si>
  <si>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</si>
  <si>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</si>
  <si>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</si>
  <si>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</si>
  <si>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</si>
  <si>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</si>
  <si>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</si>
  <si>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</si>
  <si>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</si>
  <si>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</si>
  <si>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</si>
  <si>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</si>
  <si>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</si>
  <si>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</si>
  <si>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</si>
  <si>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</si>
  <si>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</si>
  <si>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</si>
  <si>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</si>
  <si>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</si>
  <si>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</si>
  <si>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</si>
  <si>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</si>
  <si>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</si>
  <si>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</si>
  <si>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</si>
  <si>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</si>
  <si>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</si>
  <si>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</si>
  <si>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</si>
  <si>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</si>
  <si>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</si>
  <si>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</si>
  <si>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</si>
  <si>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</si>
  <si>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</si>
  <si>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</si>
  <si>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</si>
  <si>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</si>
  <si>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</si>
  <si>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</si>
  <si>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</si>
  <si>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</si>
  <si>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</si>
  <si>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</si>
  <si>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</si>
  <si>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</si>
  <si>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</si>
  <si>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</si>
  <si>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</si>
  <si>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</si>
  <si>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</si>
  <si>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</si>
  <si>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</si>
  <si>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</si>
  <si>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</si>
  <si>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</si>
  <si>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</si>
  <si>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</si>
  <si>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</si>
  <si>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</si>
  <si>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</si>
  <si>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</si>
  <si>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</si>
  <si>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</si>
  <si>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</si>
  <si>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</si>
  <si>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</si>
  <si>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</si>
  <si>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</si>
  <si>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</si>
  <si>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</si>
  <si>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</si>
  <si>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</si>
  <si>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</si>
  <si>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</si>
  <si>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</si>
  <si>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</si>
  <si>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</si>
  <si>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</si>
  <si>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</si>
  <si>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</si>
  <si>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</si>
  <si>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</si>
  <si>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</si>
  <si>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</si>
  <si>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</si>
  <si>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</si>
  <si>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</si>
  <si>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</si>
  <si>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</si>
  <si>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</si>
  <si>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</si>
  <si>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</si>
  <si>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</si>
  <si>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</si>
  <si>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</si>
  <si>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</si>
  <si>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</si>
  <si>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</si>
  <si>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</si>
  <si>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</si>
  <si>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</si>
  <si>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</si>
  <si>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</si>
  <si>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</si>
  <si>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</si>
  <si>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</si>
  <si>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</si>
  <si>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</si>
  <si>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</si>
  <si>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</si>
  <si>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</si>
  <si>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</si>
  <si>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</si>
  <si>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</si>
  <si>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</si>
  <si>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</si>
  <si>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</si>
  <si>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</si>
  <si>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</si>
  <si>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</si>
  <si>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</si>
  <si>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</si>
  <si>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</si>
  <si>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</si>
  <si>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</si>
  <si>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</si>
  <si>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</si>
  <si>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</si>
  <si>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</si>
  <si>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</si>
  <si>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</si>
  <si>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</si>
  <si>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</si>
  <si>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</si>
  <si>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</si>
  <si>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</si>
  <si>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</si>
  <si>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</si>
  <si>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</si>
  <si>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</si>
  <si>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</si>
  <si>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</si>
  <si>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</si>
  <si>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</si>
  <si>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</si>
  <si>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</si>
  <si>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</si>
  <si>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</si>
  <si>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</si>
  <si>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</si>
  <si>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</si>
  <si>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</si>
  <si>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</si>
  <si>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</si>
  <si>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</si>
  <si>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</si>
  <si>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</si>
  <si>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</si>
  <si>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</si>
  <si>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</si>
  <si>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</si>
  <si>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</si>
  <si>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</si>
  <si>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</si>
  <si>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</si>
  <si>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</si>
  <si>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</si>
  <si>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</si>
  <si>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</si>
  <si>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</si>
  <si>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</si>
  <si>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</si>
  <si>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</si>
  <si>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</si>
  <si>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</si>
  <si>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</si>
  <si>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</si>
  <si>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</si>
  <si>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</si>
  <si>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</si>
  <si>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</si>
  <si>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</si>
  <si>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</si>
  <si>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</si>
  <si>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</si>
  <si>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</si>
  <si>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</si>
  <si>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</si>
  <si>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</si>
  <si>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</si>
  <si>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</si>
  <si>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</si>
  <si>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</si>
  <si>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</si>
  <si>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</si>
  <si>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</si>
  <si>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</si>
  <si>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</si>
  <si>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</si>
  <si>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</si>
  <si>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</si>
  <si>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</si>
  <si>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</si>
  <si>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</si>
  <si>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</si>
  <si>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</si>
  <si>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</si>
  <si>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</si>
  <si>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</si>
  <si>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</si>
  <si>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</si>
  <si>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</si>
  <si>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</si>
  <si>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</si>
  <si>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</si>
  <si>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</si>
  <si>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</si>
  <si>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</si>
  <si>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</si>
  <si>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</si>
  <si>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</si>
  <si>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</si>
  <si>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</si>
  <si>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</si>
  <si>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</si>
  <si>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</si>
  <si>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</si>
  <si>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</si>
  <si>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</si>
  <si>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</si>
  <si>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</si>
  <si>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</si>
  <si>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</si>
  <si>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</si>
  <si>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</si>
  <si>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</si>
  <si>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</si>
  <si>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</si>
  <si>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</si>
  <si>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</si>
  <si>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</si>
  <si>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</si>
  <si>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</si>
  <si>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</si>
  <si>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</si>
  <si>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</si>
  <si>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</si>
  <si>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</si>
  <si>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</si>
  <si>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</si>
  <si>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</si>
  <si>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</si>
  <si>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</si>
  <si>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</si>
  <si>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</si>
  <si>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</si>
  <si>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</si>
  <si>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</si>
  <si>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</si>
  <si>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</si>
  <si>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</si>
  <si>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</si>
  <si>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</si>
  <si>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</si>
  <si>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</si>
  <si>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</si>
  <si>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</si>
  <si>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</si>
  <si>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</si>
  <si>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</si>
  <si>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</si>
  <si>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</si>
  <si>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</si>
  <si>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</si>
  <si>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</si>
  <si>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</si>
  <si>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</si>
  <si>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</si>
  <si>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</si>
  <si>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</si>
  <si>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</si>
  <si>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</si>
  <si>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</si>
  <si>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</si>
  <si>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</si>
  <si>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</si>
  <si>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</si>
  <si>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</si>
  <si>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</si>
  <si>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</si>
  <si>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</si>
  <si>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</si>
  <si>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</si>
  <si>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</si>
  <si>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</si>
  <si>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</si>
  <si>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</si>
  <si>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</si>
  <si>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</si>
  <si>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</si>
  <si>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</si>
  <si>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</si>
  <si>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</si>
  <si>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</si>
  <si>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</si>
  <si>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</si>
  <si>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</si>
  <si>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</si>
  <si>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</si>
  <si>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</si>
  <si>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</si>
  <si>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</si>
  <si>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</si>
  <si>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</si>
  <si>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</si>
  <si>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</si>
  <si>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</si>
  <si>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</si>
  <si>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</si>
  <si>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</si>
  <si>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</si>
  <si>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</si>
  <si>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</si>
  <si>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</si>
  <si>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</si>
  <si>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</si>
  <si>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</si>
  <si>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</si>
  <si>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</si>
  <si>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</si>
  <si>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</si>
  <si>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</si>
  <si>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</si>
  <si>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</si>
  <si>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</si>
  <si>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</si>
  <si>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</si>
  <si>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</si>
  <si>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</si>
  <si>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</si>
  <si>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</si>
  <si>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</si>
  <si>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</si>
  <si>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</si>
  <si>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</si>
  <si>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</si>
  <si>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</si>
  <si>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</si>
  <si>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</si>
  <si>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</si>
  <si>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</si>
  <si>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</si>
  <si>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</si>
  <si>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</si>
  <si>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</si>
  <si>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</si>
  <si>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</si>
  <si>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</si>
  <si>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</si>
  <si>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</si>
  <si>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</si>
  <si>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</si>
  <si>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</si>
  <si>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</si>
  <si>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</si>
  <si>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</si>
  <si>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</si>
  <si>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</si>
  <si>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</si>
  <si>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</si>
  <si>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</si>
  <si>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</si>
  <si>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</si>
  <si>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</si>
  <si>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</si>
  <si>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</si>
  <si>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</si>
  <si>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</si>
  <si>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</si>
  <si>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</si>
  <si>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</si>
  <si>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</si>
  <si>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</si>
  <si>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</si>
  <si>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</si>
  <si>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</si>
  <si>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</si>
  <si>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</si>
  <si>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</si>
  <si>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</si>
  <si>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</si>
  <si>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</si>
  <si>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</si>
  <si>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</si>
  <si>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</si>
  <si>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</si>
  <si>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</si>
  <si>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</si>
  <si>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</si>
  <si>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</si>
  <si>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</si>
  <si>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</si>
  <si>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</si>
  <si>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</si>
  <si>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</si>
  <si>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</si>
  <si>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</si>
  <si>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</si>
  <si>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</si>
  <si>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</si>
  <si>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</si>
  <si>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</si>
  <si>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</si>
  <si>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</si>
  <si>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</si>
  <si>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</si>
  <si>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</si>
  <si>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</si>
  <si>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</si>
  <si>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</si>
  <si>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</si>
  <si>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</si>
  <si>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</si>
  <si>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</si>
  <si>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</si>
  <si>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</si>
  <si>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</si>
  <si>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</si>
  <si>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</si>
  <si>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</si>
  <si>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</si>
  <si>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</si>
  <si>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</si>
  <si>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</si>
  <si>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</si>
  <si>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</si>
  <si>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</si>
  <si>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</si>
  <si>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</si>
  <si>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</si>
  <si>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</si>
  <si>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</si>
  <si>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</si>
  <si>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</si>
  <si>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</si>
  <si>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</si>
  <si>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</si>
  <si>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</si>
  <si>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</si>
  <si>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</si>
  <si>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</si>
  <si>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</si>
  <si>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</si>
  <si>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</si>
  <si>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</si>
  <si>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</si>
  <si>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</si>
  <si>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</si>
  <si>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</si>
  <si>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</si>
  <si>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</si>
  <si>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</si>
  <si>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</si>
  <si>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</si>
  <si>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</si>
  <si>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</si>
  <si>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</si>
  <si>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</si>
  <si>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</si>
  <si>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</si>
  <si>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</si>
  <si>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</si>
  <si>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</si>
  <si>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</si>
  <si>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</si>
  <si>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</si>
  <si>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</si>
  <si>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</si>
  <si>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</si>
  <si>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</si>
  <si>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</si>
  <si>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</si>
  <si>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</si>
  <si>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</si>
  <si>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</si>
  <si>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</si>
  <si>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</si>
  <si>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</si>
  <si>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</si>
  <si>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</si>
  <si>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</si>
  <si>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</si>
  <si>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</si>
  <si>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</si>
  <si>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</si>
  <si>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</si>
  <si>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</si>
  <si>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</si>
  <si>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</si>
  <si>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</si>
  <si>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</si>
  <si>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</si>
  <si>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</si>
  <si>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</si>
  <si>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</si>
  <si>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</si>
  <si>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</si>
  <si>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</si>
  <si>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</si>
  <si>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</si>
  <si>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</si>
  <si>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</si>
  <si>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</si>
  <si>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</si>
  <si>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</si>
  <si>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</si>
  <si>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</si>
  <si>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</si>
  <si>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</si>
  <si>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</si>
  <si>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</si>
  <si>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</si>
  <si>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</si>
  <si>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</si>
  <si>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</si>
  <si>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</si>
  <si>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</si>
  <si>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</si>
  <si>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</si>
  <si>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</si>
  <si>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</si>
  <si>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</si>
  <si>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</si>
  <si>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</si>
  <si>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</si>
  <si>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</si>
  <si>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</si>
  <si>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</si>
  <si>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</si>
  <si>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</si>
  <si>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</si>
  <si>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</si>
  <si>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</si>
  <si>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</si>
  <si>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</si>
  <si>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</si>
  <si>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</si>
  <si>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</si>
  <si>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</si>
  <si>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</si>
  <si>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</si>
  <si>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</si>
  <si>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</si>
  <si>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</si>
  <si>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</si>
  <si>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</si>
  <si>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</si>
  <si>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</si>
  <si>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</si>
  <si>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</si>
  <si>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</si>
  <si>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</si>
  <si>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</si>
  <si>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</si>
  <si>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</si>
  <si>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</si>
  <si>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</si>
  <si>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</si>
  <si>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</si>
  <si>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</si>
  <si>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</si>
  <si>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</si>
  <si>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</si>
  <si>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</si>
  <si>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</si>
  <si>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</si>
  <si>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</si>
  <si>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</si>
  <si>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</si>
  <si>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</si>
  <si>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</si>
  <si>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</si>
  <si>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</si>
  <si>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</si>
  <si>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</si>
  <si>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</si>
  <si>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</si>
  <si>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</si>
  <si>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</si>
  <si>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</si>
  <si>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</si>
  <si>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</si>
  <si>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</si>
  <si>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</si>
  <si>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</si>
  <si>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</si>
  <si>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</si>
  <si>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</si>
  <si>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</si>
  <si>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</si>
  <si>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</si>
  <si>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</si>
  <si>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</si>
  <si>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</si>
  <si>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</si>
  <si>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</si>
  <si>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</si>
  <si>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</si>
  <si>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</si>
  <si>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</si>
  <si>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</si>
  <si>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</si>
  <si>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</si>
  <si>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</si>
  <si>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</si>
  <si>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</si>
  <si>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</si>
  <si>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</si>
  <si>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</si>
  <si>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</si>
  <si>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</si>
  <si>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</si>
  <si>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</si>
  <si>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</si>
  <si>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</si>
  <si>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</si>
  <si>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</si>
  <si>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</si>
  <si>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</si>
  <si>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</si>
  <si>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</si>
  <si>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</si>
  <si>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</si>
  <si>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</si>
  <si>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</si>
  <si>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</si>
  <si>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</si>
  <si>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</si>
  <si>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</si>
  <si>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</si>
  <si>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</si>
  <si>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</si>
  <si>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</si>
  <si>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</si>
  <si>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</si>
  <si>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</si>
  <si>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</si>
  <si>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</si>
  <si>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</si>
  <si>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</si>
  <si>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</si>
  <si>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</si>
  <si>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</si>
  <si>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</si>
  <si>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</si>
  <si>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</si>
  <si>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</si>
  <si>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</si>
  <si>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</si>
  <si>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</si>
  <si>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</si>
  <si>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</si>
  <si>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</si>
  <si>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</si>
  <si>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</si>
  <si>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</si>
  <si>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</si>
  <si>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</si>
  <si>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</si>
  <si>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</si>
  <si>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</si>
  <si>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</si>
  <si>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</si>
  <si>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</si>
  <si>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</si>
  <si>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</si>
  <si>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</si>
  <si>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</si>
  <si>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</si>
  <si>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</si>
  <si>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</si>
  <si>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</si>
  <si>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</si>
  <si>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</si>
  <si>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</si>
  <si>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</si>
  <si>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</si>
  <si>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</si>
  <si>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</si>
  <si>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</si>
  <si>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</si>
  <si>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</si>
  <si>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</si>
  <si>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</si>
  <si>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</si>
  <si>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</si>
  <si>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</si>
  <si>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</si>
  <si>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</si>
  <si>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</si>
  <si>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</si>
  <si>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</si>
  <si>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</si>
  <si>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</si>
  <si>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</si>
  <si>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</si>
  <si>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</si>
  <si>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</si>
  <si>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</si>
  <si>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</si>
  <si>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</si>
  <si>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</si>
  <si>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</si>
  <si>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</si>
  <si>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</si>
  <si>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</si>
  <si>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</si>
  <si>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</si>
  <si>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</si>
  <si>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</si>
  <si>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</si>
  <si>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</si>
  <si>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</si>
  <si>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</si>
  <si>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</si>
  <si>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</si>
  <si>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</si>
  <si>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</si>
  <si>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</si>
  <si>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</si>
  <si>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</si>
  <si>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</si>
  <si>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</si>
  <si>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</si>
  <si>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</si>
  <si>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</si>
  <si>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</si>
  <si>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</si>
  <si>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</si>
  <si>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</si>
  <si>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</si>
  <si>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</si>
  <si>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</si>
  <si>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</si>
  <si>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</si>
  <si>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</si>
  <si>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</si>
  <si>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</si>
  <si>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</si>
  <si>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</si>
  <si>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</si>
  <si>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</si>
  <si>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</si>
  <si>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</si>
  <si>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</si>
  <si>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</si>
  <si>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</si>
  <si>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</si>
  <si>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</si>
  <si>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</si>
  <si>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</si>
  <si>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</si>
  <si>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</si>
  <si>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</si>
  <si>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</si>
  <si>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</si>
  <si>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</si>
  <si>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</si>
  <si>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</si>
  <si>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</si>
  <si>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</si>
  <si>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</si>
  <si>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</si>
  <si>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</si>
  <si>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</si>
  <si>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</si>
  <si>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</si>
  <si>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</si>
  <si>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</si>
  <si>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</si>
  <si>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</si>
  <si>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</si>
  <si>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</si>
  <si>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</si>
  <si>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</si>
  <si>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</si>
  <si>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</si>
  <si>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</si>
  <si>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</si>
  <si>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</si>
  <si>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</si>
  <si>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</si>
  <si>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</si>
  <si>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</si>
  <si>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</si>
  <si>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</si>
  <si>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</si>
  <si>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</si>
  <si>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</si>
  <si>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</si>
  <si>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</si>
  <si>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</si>
  <si>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</si>
  <si>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</si>
  <si>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</si>
  <si>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</si>
  <si>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</si>
  <si>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</si>
  <si>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</si>
  <si>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</si>
  <si>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</si>
  <si>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</si>
  <si>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</si>
  <si>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</si>
  <si>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</si>
  <si>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</si>
  <si>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</si>
  <si>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</si>
  <si>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</si>
  <si>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</si>
  <si>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</si>
  <si>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</si>
  <si>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</si>
  <si>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</si>
  <si>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</si>
  <si>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</si>
  <si>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</si>
  <si>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</si>
  <si>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</si>
  <si>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</si>
  <si>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</si>
  <si>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</si>
  <si>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</si>
  <si>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</si>
  <si>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</si>
  <si>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</si>
  <si>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</si>
  <si>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</si>
  <si>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</si>
  <si>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</si>
  <si>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</si>
  <si>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</si>
  <si>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</si>
  <si>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</si>
  <si>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</si>
  <si>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</si>
  <si>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</si>
  <si>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</si>
  <si>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</si>
  <si>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</si>
  <si>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</si>
  <si>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</si>
  <si>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</si>
  <si>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</si>
  <si>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</si>
  <si>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</si>
  <si>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</si>
  <si>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</si>
  <si>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</si>
  <si>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</si>
  <si>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</si>
  <si>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</si>
  <si>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</si>
  <si>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</si>
  <si>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</si>
  <si>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</si>
  <si>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</si>
  <si>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</si>
  <si>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</si>
  <si>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</si>
  <si>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</si>
  <si>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</si>
  <si>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</si>
  <si>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</si>
  <si>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</si>
  <si>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</si>
  <si>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</si>
  <si>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</si>
  <si>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</si>
  <si>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</si>
  <si>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</si>
  <si>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</si>
  <si>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</si>
  <si>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</si>
  <si>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</si>
  <si>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</si>
  <si>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</si>
  <si>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</si>
  <si>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</si>
  <si>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</si>
  <si>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</si>
  <si>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</si>
  <si>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</si>
  <si>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</si>
  <si>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</si>
  <si>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</si>
  <si>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</si>
  <si>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</si>
  <si>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</si>
  <si>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</si>
  <si>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</si>
  <si>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</si>
  <si>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</si>
  <si>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</si>
  <si>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</si>
  <si>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</si>
  <si>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</si>
  <si>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</si>
  <si>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</si>
  <si>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</si>
  <si>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</si>
  <si>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</si>
  <si>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</si>
  <si>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</si>
  <si>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</si>
  <si>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</si>
  <si>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</si>
  <si>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</si>
  <si>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</si>
  <si>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</si>
  <si>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</si>
  <si>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</si>
  <si>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</si>
  <si>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</si>
  <si>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</si>
  <si>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</si>
  <si>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</si>
  <si>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</si>
  <si>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</si>
  <si>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</si>
  <si>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</si>
  <si>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</si>
  <si>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</si>
  <si>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</si>
  <si>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</si>
  <si>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</si>
  <si>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</si>
  <si>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</si>
  <si>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</si>
  <si>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</si>
  <si>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</si>
  <si>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</si>
  <si>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</si>
  <si>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</si>
  <si>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</si>
  <si>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</si>
  <si>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</si>
  <si>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</si>
  <si>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</si>
  <si>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</si>
  <si>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</si>
  <si>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</si>
  <si>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</si>
  <si>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</si>
  <si>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</si>
  <si>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</si>
  <si>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</si>
  <si>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</si>
  <si>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</si>
  <si>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</si>
  <si>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</si>
  <si>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</si>
  <si>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</si>
  <si>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        PRECOS DE INSUMOS</t>
  </si>
  <si>
    <t/>
  </si>
  <si>
    <t>LOCALIDADE: 0300 - PORTO VELHO</t>
  </si>
  <si>
    <t xml:space="preserve">CODIGO  </t>
  </si>
  <si>
    <t>DESCRICAO DO INSUMO</t>
  </si>
  <si>
    <t xml:space="preserve">  PRECO MEDIANO R$</t>
  </si>
  <si>
    <t>!EM PROCESSO DE DESATIVACAO! AR-CONDICIONADO FRIO SPLIT HI-WALL (PAREDE) 12000 BTU/H</t>
  </si>
  <si>
    <t xml:space="preserve">UN    </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</si>
  <si>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</si>
  <si>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</si>
  <si>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</si>
  <si>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</si>
  <si>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</si>
  <si>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</si>
  <si>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</si>
  <si>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</si>
  <si>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</si>
  <si>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</si>
  <si>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</si>
  <si>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</si>
  <si>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</si>
  <si>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</si>
  <si>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</si>
  <si>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</si>
  <si>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</si>
  <si>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</si>
  <si>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</si>
  <si>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</si>
  <si>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</si>
  <si>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</si>
  <si>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</si>
  <si>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</si>
  <si>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</si>
  <si>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</si>
  <si>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</si>
  <si>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</si>
  <si>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</si>
  <si>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</si>
  <si>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</si>
  <si>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</si>
  <si>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</si>
  <si>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</si>
  <si>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</si>
  <si>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</si>
  <si>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</si>
  <si>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</si>
  <si>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</si>
  <si>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</si>
  <si>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</si>
  <si>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</si>
  <si>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</si>
  <si>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</si>
  <si>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</si>
  <si>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</si>
  <si>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</si>
  <si>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</si>
  <si>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</si>
  <si>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</si>
  <si>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</si>
  <si>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</si>
  <si>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</si>
  <si>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</si>
  <si>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</si>
  <si>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</si>
  <si>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</si>
  <si>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</si>
  <si>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</si>
  <si>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</si>
  <si>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</si>
  <si>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</si>
  <si>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</si>
  <si>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</si>
  <si>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</si>
  <si>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</si>
  <si>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</si>
  <si>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</si>
  <si>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</si>
  <si>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</si>
  <si>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</si>
  <si>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</si>
  <si>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</si>
  <si>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</si>
  <si>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</si>
  <si>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</si>
  <si>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</si>
  <si>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</si>
  <si>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</si>
  <si>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</si>
  <si>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</si>
  <si>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</si>
  <si>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</si>
  <si>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</si>
  <si>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</si>
  <si>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</si>
  <si>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</si>
  <si>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</si>
  <si>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</si>
  <si>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</si>
  <si>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</si>
  <si>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</si>
  <si>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</si>
  <si>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</si>
  <si>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</si>
  <si>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</si>
  <si>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</si>
  <si>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</si>
  <si>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</si>
  <si>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</si>
  <si>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</si>
  <si>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</si>
  <si>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</si>
  <si>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</si>
  <si>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</si>
  <si>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</si>
  <si>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</si>
  <si>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</si>
  <si>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</si>
  <si>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</si>
  <si>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</si>
  <si>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</si>
  <si>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</si>
  <si>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</si>
  <si>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</si>
  <si>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</si>
  <si>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</si>
  <si>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</si>
  <si>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</si>
  <si>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</si>
  <si>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</si>
  <si>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</si>
  <si>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</si>
  <si>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</si>
  <si>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</si>
  <si>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</si>
  <si>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</si>
  <si>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</si>
  <si>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</si>
  <si>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</si>
  <si>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</si>
  <si>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</si>
  <si>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</si>
  <si>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</si>
  <si>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</si>
  <si>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</si>
  <si>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</si>
  <si>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</si>
  <si>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</si>
  <si>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</si>
  <si>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</si>
  <si>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</si>
  <si>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</si>
  <si>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</si>
  <si>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</si>
  <si>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</si>
  <si>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</si>
  <si>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</si>
  <si>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</si>
  <si>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</si>
  <si>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</si>
  <si>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</si>
  <si>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</si>
  <si>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</si>
  <si>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</si>
  <si>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</si>
  <si>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</si>
  <si>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</si>
  <si>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</si>
  <si>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</si>
  <si>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</si>
  <si>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</si>
  <si>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</si>
  <si>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</si>
  <si>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</si>
  <si>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</si>
  <si>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</si>
  <si>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</si>
  <si>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</si>
  <si>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</si>
  <si>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</si>
  <si>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</si>
  <si>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</si>
  <si>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</si>
  <si>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</si>
  <si>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</si>
  <si>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</si>
  <si>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</si>
  <si>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</si>
  <si>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</si>
  <si>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</si>
  <si>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</si>
  <si>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</si>
  <si>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</si>
  <si>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</si>
  <si>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</si>
  <si>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</si>
  <si>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</si>
  <si>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</si>
  <si>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</si>
  <si>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</si>
  <si>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</si>
  <si>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</si>
  <si>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</si>
  <si>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</si>
  <si>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</si>
  <si>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</si>
  <si>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</si>
  <si>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</si>
  <si>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</si>
  <si>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</si>
  <si>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</si>
  <si>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</si>
  <si>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</si>
  <si>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</si>
  <si>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</si>
  <si>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</si>
  <si>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</si>
  <si>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</si>
  <si>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</si>
  <si>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</si>
  <si>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</si>
  <si>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</si>
  <si>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</si>
  <si>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</si>
  <si>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</si>
  <si>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</si>
  <si>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</si>
  <si>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</si>
  <si>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</si>
  <si>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</si>
  <si>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</si>
  <si>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</si>
  <si>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</si>
  <si>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</si>
  <si>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</si>
  <si>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</si>
  <si>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</si>
  <si>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</si>
  <si>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</si>
  <si>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</si>
  <si>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</si>
  <si>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</si>
  <si>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</si>
  <si>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</si>
  <si>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</si>
  <si>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</si>
  <si>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</si>
  <si>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</si>
  <si>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</si>
  <si>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</si>
  <si>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</si>
  <si>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</si>
  <si>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</si>
  <si>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</si>
  <si>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</si>
  <si>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</si>
  <si>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</si>
  <si>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</si>
  <si>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</si>
  <si>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</si>
  <si>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</si>
  <si>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</si>
  <si>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</si>
  <si>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</si>
  <si>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</si>
  <si>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</si>
  <si>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</si>
  <si>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</si>
  <si>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</si>
  <si>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</si>
  <si>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</si>
  <si>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</si>
  <si>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</si>
  <si>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</si>
  <si>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</si>
  <si>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</si>
  <si>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</si>
  <si>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</si>
  <si>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</si>
  <si>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</si>
  <si>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</si>
  <si>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</si>
  <si>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</si>
  <si>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</si>
  <si>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</si>
  <si>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</si>
  <si>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</si>
  <si>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</si>
  <si>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</si>
  <si>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</si>
  <si>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</si>
  <si>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</si>
  <si>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</si>
  <si>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</si>
  <si>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</si>
  <si>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</si>
  <si>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</si>
  <si>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</si>
  <si>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</si>
  <si>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</si>
  <si>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</si>
  <si>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</si>
  <si>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</si>
  <si>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</si>
  <si>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</si>
  <si>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</si>
  <si>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</si>
  <si>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</si>
  <si>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</si>
  <si>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</si>
  <si>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</si>
  <si>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</si>
  <si>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</si>
  <si>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</si>
  <si>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</si>
  <si>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</si>
  <si>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</si>
  <si>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</si>
  <si>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</si>
  <si>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</si>
  <si>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</si>
  <si>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</si>
  <si>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</si>
  <si>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</si>
  <si>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</si>
  <si>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</si>
  <si>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</si>
  <si>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</si>
  <si>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</si>
  <si>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</si>
  <si>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</si>
  <si>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</si>
  <si>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</si>
  <si>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</si>
  <si>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</si>
  <si>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</si>
  <si>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</si>
  <si>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</si>
  <si>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</si>
  <si>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</si>
  <si>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</si>
  <si>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</si>
  <si>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</si>
  <si>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</si>
  <si>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</si>
  <si>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</si>
  <si>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</si>
  <si>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</si>
  <si>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</si>
  <si>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</si>
  <si>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</si>
  <si>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</si>
  <si>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</si>
  <si>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</si>
  <si>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</si>
  <si>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</si>
  <si>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</si>
  <si>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</si>
  <si>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</si>
  <si>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</si>
  <si>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</si>
  <si>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</si>
  <si>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</si>
  <si>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</si>
  <si>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</si>
  <si>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</si>
  <si>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</si>
  <si>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</si>
  <si>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</si>
  <si>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</si>
  <si>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</si>
  <si>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</si>
  <si>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</si>
  <si>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</si>
  <si>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</si>
  <si>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</si>
  <si>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</si>
  <si>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</si>
  <si>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</si>
  <si>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</si>
  <si>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</si>
  <si>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</si>
  <si>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</si>
  <si>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</si>
  <si>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</si>
  <si>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</si>
  <si>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</si>
  <si>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</si>
  <si>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</si>
  <si>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</si>
  <si>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</si>
  <si>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</si>
  <si>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</si>
  <si>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</si>
  <si>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</si>
  <si>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</si>
  <si>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</si>
  <si>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</si>
  <si>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</si>
  <si>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</si>
  <si>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</si>
  <si>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</si>
  <si>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</si>
  <si>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</si>
  <si>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</si>
  <si>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</si>
  <si>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</si>
  <si>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</si>
  <si>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</si>
  <si>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</si>
  <si>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</si>
  <si>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</si>
  <si>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</si>
  <si>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</si>
  <si>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</si>
  <si>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</si>
  <si>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</si>
  <si>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</si>
  <si>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</si>
  <si>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</si>
  <si>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</si>
  <si>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</si>
  <si>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</si>
  <si>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</si>
  <si>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</si>
  <si>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</si>
  <si>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</si>
  <si>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</si>
  <si>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</si>
  <si>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</si>
  <si>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</si>
  <si>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</si>
  <si>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</si>
  <si>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</si>
  <si>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</si>
  <si>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</si>
  <si>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</si>
  <si>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</si>
  <si>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</si>
  <si>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</si>
  <si>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</si>
  <si>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</si>
  <si>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</si>
  <si>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</si>
  <si>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</si>
  <si>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</si>
  <si>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</si>
  <si>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</si>
  <si>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</si>
  <si>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</si>
  <si>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</si>
  <si>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</si>
  <si>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</si>
  <si>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</si>
  <si>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</si>
  <si>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</si>
  <si>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</si>
  <si>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</si>
  <si>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</si>
  <si>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</si>
  <si>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</si>
  <si>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</si>
  <si>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</si>
  <si>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</si>
  <si>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</si>
  <si>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</si>
  <si>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</si>
  <si>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</si>
  <si>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</si>
  <si>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</si>
  <si>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</si>
  <si>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</si>
  <si>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</si>
  <si>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</si>
  <si>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</si>
  <si>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</si>
  <si>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</si>
  <si>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</si>
  <si>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</si>
  <si>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</si>
  <si>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</si>
  <si>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</si>
  <si>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</si>
  <si>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</si>
  <si>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</si>
  <si>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</si>
  <si>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</si>
  <si>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</si>
  <si>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</si>
  <si>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</si>
  <si>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</si>
  <si>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</si>
  <si>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</si>
  <si>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</si>
  <si>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</si>
  <si>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</si>
  <si>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</si>
  <si>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</si>
  <si>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</si>
  <si>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</si>
  <si>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</si>
  <si>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</si>
  <si>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</si>
  <si>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</si>
  <si>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</si>
  <si>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</si>
  <si>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</si>
  <si>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</si>
  <si>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</si>
  <si>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</si>
  <si>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</si>
  <si>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</si>
  <si>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</si>
  <si>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</si>
  <si>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</si>
  <si>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</si>
  <si>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</si>
  <si>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</si>
  <si>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</si>
  <si>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</si>
  <si>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</si>
  <si>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</si>
  <si>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</si>
  <si>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</si>
  <si>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</si>
  <si>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</si>
  <si>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</si>
  <si>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</si>
  <si>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</si>
  <si>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</si>
  <si>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</si>
  <si>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</si>
  <si>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</si>
  <si>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</si>
  <si>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</si>
  <si>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</si>
  <si>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</si>
  <si>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</si>
  <si>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</si>
  <si>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</si>
  <si>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</si>
  <si>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</si>
  <si>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</si>
  <si>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</si>
  <si>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</si>
  <si>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</si>
  <si>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</si>
  <si>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</si>
  <si>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</si>
  <si>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</si>
  <si>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</si>
  <si>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</si>
  <si>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</si>
  <si>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</si>
  <si>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</si>
  <si>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</si>
  <si>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</si>
  <si>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</si>
  <si>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</si>
  <si>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</si>
  <si>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</si>
  <si>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</si>
  <si>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</si>
  <si>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</si>
  <si>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</si>
  <si>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</si>
  <si>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</si>
  <si>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</si>
  <si>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</si>
  <si>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</si>
  <si>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</si>
  <si>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</si>
  <si>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</si>
  <si>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</si>
  <si>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</si>
  <si>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</si>
  <si>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</si>
  <si>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</si>
  <si>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</si>
  <si>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</si>
  <si>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</si>
  <si>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</si>
  <si>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</si>
  <si>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</si>
  <si>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</si>
  <si>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</si>
  <si>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</si>
  <si>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</si>
  <si>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</si>
  <si>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</si>
  <si>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</si>
  <si>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</si>
  <si>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</si>
  <si>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</si>
  <si>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</si>
  <si>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</si>
  <si>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</si>
  <si>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</si>
  <si>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</si>
  <si>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</si>
  <si>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</si>
  <si>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</si>
  <si>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</si>
  <si>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</si>
  <si>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</si>
  <si>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</si>
  <si>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</si>
  <si>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</si>
  <si>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</si>
  <si>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</si>
  <si>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</si>
  <si>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</si>
  <si>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</si>
  <si>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</si>
  <si>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</si>
  <si>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</si>
  <si>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</si>
  <si>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</si>
  <si>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</si>
  <si>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</si>
  <si>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</si>
  <si>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</si>
  <si>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</si>
  <si>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</si>
  <si>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</si>
  <si>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</si>
  <si>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</si>
  <si>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</si>
  <si>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</si>
  <si>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</si>
  <si>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</si>
  <si>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</si>
  <si>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</si>
  <si>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</si>
  <si>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</si>
  <si>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</si>
  <si>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</si>
  <si>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</si>
  <si>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</si>
  <si>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</si>
  <si>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</si>
  <si>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</si>
  <si>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</si>
  <si>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</si>
  <si>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</si>
  <si>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</si>
  <si>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</si>
  <si>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</si>
  <si>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</si>
  <si>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</si>
  <si>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</si>
  <si>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</si>
  <si>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</si>
  <si>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</si>
  <si>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</si>
  <si>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</si>
  <si>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</si>
  <si>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</si>
  <si>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</si>
  <si>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</si>
  <si>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</si>
  <si>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</si>
  <si>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</si>
  <si>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</si>
  <si>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</si>
  <si>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</si>
  <si>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</si>
  <si>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</si>
  <si>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</si>
  <si>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</si>
  <si>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</si>
  <si>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</si>
  <si>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</si>
  <si>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</si>
  <si>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</si>
  <si>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</si>
  <si>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</si>
  <si>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</si>
  <si>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</si>
  <si>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</si>
  <si>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</si>
  <si>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</si>
  <si>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</si>
  <si>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</si>
  <si>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</si>
  <si>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</si>
  <si>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</si>
  <si>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</si>
  <si>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</si>
  <si>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</si>
  <si>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</si>
  <si>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</si>
  <si>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</si>
  <si>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</si>
  <si>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</si>
  <si>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</si>
  <si>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</si>
  <si>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</si>
  <si>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</si>
  <si>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</si>
  <si>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</si>
  <si>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</si>
  <si>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</si>
  <si>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</si>
  <si>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</si>
  <si>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</si>
  <si>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</si>
  <si>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</si>
  <si>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</si>
  <si>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</si>
  <si>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</si>
  <si>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</si>
  <si>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</si>
  <si>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</si>
  <si>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</si>
  <si>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</si>
  <si>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</si>
  <si>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</si>
  <si>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</si>
  <si>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</si>
  <si>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</si>
  <si>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</si>
  <si>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</si>
  <si>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</si>
  <si>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</si>
  <si>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</si>
  <si>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</si>
  <si>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</si>
  <si>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</si>
  <si>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</si>
  <si>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</si>
  <si>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</si>
  <si>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</si>
  <si>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</si>
  <si>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</si>
  <si>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</si>
  <si>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</si>
  <si>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</si>
  <si>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</si>
  <si>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</si>
  <si>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</si>
  <si>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</si>
  <si>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</si>
  <si>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</si>
  <si>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</si>
  <si>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</si>
  <si>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</si>
  <si>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</si>
  <si>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</si>
  <si>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</si>
  <si>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</si>
  <si>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</si>
  <si>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</si>
  <si>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</si>
  <si>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</si>
  <si>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</si>
  <si>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</si>
  <si>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</si>
  <si>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</si>
  <si>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</si>
  <si>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</si>
  <si>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</si>
  <si>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</si>
  <si>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</si>
  <si>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</si>
  <si>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</si>
  <si>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</si>
  <si>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</si>
  <si>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</si>
  <si>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</si>
  <si>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</si>
  <si>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</si>
  <si>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</si>
  <si>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</si>
  <si>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</si>
  <si>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</si>
  <si>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</si>
  <si>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</si>
  <si>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</si>
  <si>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</si>
  <si>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</si>
  <si>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</si>
  <si>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</si>
  <si>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</si>
  <si>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</si>
  <si>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</si>
  <si>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</si>
  <si>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</si>
  <si>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</si>
  <si>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</si>
  <si>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</si>
  <si>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</si>
  <si>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</si>
  <si>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</si>
  <si>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</si>
  <si>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</si>
  <si>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</si>
  <si>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</si>
  <si>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</si>
  <si>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</si>
  <si>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</si>
  <si>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</si>
  <si>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</si>
  <si>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</si>
  <si>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</si>
  <si>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</si>
  <si>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</si>
  <si>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</si>
  <si>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</si>
  <si>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</si>
  <si>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</si>
  <si>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</si>
  <si>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</si>
  <si>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</si>
  <si>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</si>
  <si>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</si>
  <si>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</si>
  <si>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</si>
  <si>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</si>
  <si>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</si>
  <si>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</si>
  <si>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</si>
  <si>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</si>
  <si>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</si>
  <si>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</si>
  <si>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</si>
  <si>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</si>
  <si>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</si>
  <si>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</si>
  <si>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</si>
  <si>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</si>
  <si>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</si>
  <si>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</si>
  <si>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</si>
  <si>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</si>
  <si>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</si>
  <si>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</si>
  <si>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</si>
  <si>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</si>
  <si>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</si>
  <si>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</si>
  <si>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</si>
  <si>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</si>
  <si>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</si>
  <si>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</si>
  <si>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</si>
  <si>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</si>
  <si>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</si>
  <si>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</si>
  <si>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</si>
  <si>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</si>
  <si>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</si>
  <si>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</si>
  <si>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</si>
  <si>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</si>
  <si>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</si>
  <si>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</si>
  <si>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</si>
  <si>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</si>
  <si>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</si>
  <si>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</si>
  <si>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</si>
  <si>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</si>
  <si>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</si>
  <si>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</si>
  <si>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</si>
  <si>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</si>
  <si>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</si>
  <si>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</si>
  <si>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</si>
  <si>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</si>
  <si>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</si>
  <si>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</si>
  <si>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</si>
  <si>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</si>
  <si>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</si>
  <si>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</si>
  <si>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</si>
  <si>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</si>
  <si>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</si>
  <si>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</si>
  <si>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</si>
  <si>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</si>
  <si>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</si>
  <si>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</si>
  <si>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</si>
  <si>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</si>
  <si>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</si>
  <si>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</si>
  <si>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</si>
  <si>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</si>
  <si>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</si>
  <si>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</si>
  <si>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</si>
  <si>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</si>
  <si>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</si>
  <si>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</si>
  <si>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</si>
  <si>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</si>
  <si>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</si>
  <si>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</si>
  <si>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</si>
  <si>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</si>
  <si>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</si>
  <si>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</si>
  <si>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</si>
  <si>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</si>
  <si>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</si>
  <si>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</si>
  <si>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</si>
  <si>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</si>
  <si>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</si>
  <si>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</si>
  <si>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</si>
  <si>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</si>
  <si>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</si>
  <si>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</si>
  <si>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</si>
  <si>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</si>
  <si>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</si>
  <si>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</si>
  <si>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</si>
  <si>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</si>
  <si>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</si>
  <si>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</si>
  <si>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</si>
  <si>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</si>
  <si>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</si>
  <si>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</si>
  <si>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</si>
  <si>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</si>
  <si>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</si>
  <si>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</si>
  <si>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</si>
  <si>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</si>
  <si>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</si>
  <si>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</si>
  <si>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</si>
  <si>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</si>
  <si>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</si>
  <si>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</si>
  <si>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</si>
  <si>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</si>
  <si>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</si>
  <si>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</si>
  <si>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</si>
  <si>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</si>
  <si>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</si>
  <si>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</si>
  <si>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</si>
  <si>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</si>
  <si>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</si>
  <si>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</si>
  <si>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</si>
  <si>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</si>
  <si>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</si>
  <si>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</si>
  <si>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</si>
  <si>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</si>
  <si>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</si>
  <si>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</si>
  <si>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</si>
  <si>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</si>
  <si>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</si>
  <si>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</si>
  <si>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</si>
  <si>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</si>
  <si>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</si>
  <si>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</si>
  <si>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</si>
  <si>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</si>
  <si>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</si>
  <si>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</si>
  <si>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</si>
  <si>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</si>
  <si>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</si>
  <si>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</si>
  <si>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</si>
  <si>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</si>
  <si>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</si>
  <si>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</si>
  <si>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</si>
  <si>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</si>
  <si>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</si>
  <si>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</si>
  <si>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</si>
  <si>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</si>
  <si>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</si>
  <si>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</si>
  <si>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</si>
  <si>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</si>
  <si>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</si>
  <si>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</si>
  <si>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</si>
  <si>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</si>
  <si>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</si>
  <si>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</si>
  <si>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</si>
  <si>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</si>
  <si>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</si>
  <si>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</si>
  <si>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</si>
  <si>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</si>
  <si>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</si>
  <si>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</si>
  <si>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</si>
  <si>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</si>
  <si>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</si>
  <si>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</si>
  <si>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</si>
  <si>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</si>
  <si>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</si>
  <si>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</si>
  <si>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</si>
  <si>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</si>
  <si>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</si>
  <si>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</si>
  <si>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</si>
  <si>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</si>
  <si>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</si>
  <si>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</si>
  <si>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</si>
  <si>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</si>
  <si>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</si>
  <si>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</si>
  <si>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</si>
  <si>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</si>
  <si>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</si>
  <si>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</si>
  <si>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</si>
  <si>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</si>
  <si>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</si>
  <si>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</si>
  <si>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</si>
  <si>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</si>
  <si>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</si>
  <si>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</si>
  <si>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</si>
  <si>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</si>
  <si>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</si>
  <si>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</si>
  <si>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</si>
  <si>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</si>
  <si>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</si>
  <si>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</si>
  <si>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</si>
  <si>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</si>
  <si>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</si>
  <si>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</si>
  <si>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</si>
  <si>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</si>
  <si>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</si>
  <si>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</si>
  <si>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</si>
  <si>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</si>
  <si>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</si>
  <si>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</si>
  <si>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</si>
  <si>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</si>
  <si>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</si>
  <si>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</si>
  <si>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</si>
  <si>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</si>
  <si>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</si>
  <si>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</si>
  <si>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</si>
  <si>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</si>
  <si>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</si>
  <si>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</si>
  <si>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</si>
  <si>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</si>
  <si>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</si>
  <si>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</si>
  <si>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</si>
  <si>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</si>
  <si>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</si>
  <si>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</si>
  <si>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</si>
  <si>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</si>
  <si>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</si>
  <si>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</si>
  <si>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</si>
  <si>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</si>
  <si>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</si>
  <si>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</si>
  <si>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</si>
  <si>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</si>
  <si>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</si>
  <si>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</si>
  <si>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</si>
  <si>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</si>
  <si>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</si>
  <si>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</si>
  <si>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</si>
  <si>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</si>
  <si>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</si>
  <si>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</si>
  <si>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</si>
  <si>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</si>
  <si>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</si>
  <si>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</si>
  <si>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</si>
  <si>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</si>
  <si>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</si>
  <si>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</si>
  <si>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</si>
  <si>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</si>
  <si>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</si>
  <si>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</si>
  <si>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</si>
  <si>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</si>
  <si>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</si>
  <si>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</si>
  <si>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</si>
  <si>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</si>
  <si>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</si>
  <si>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</si>
  <si>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</si>
  <si>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</si>
  <si>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</si>
  <si>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</si>
  <si>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</si>
  <si>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</si>
  <si>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</si>
  <si>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</si>
  <si>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</si>
  <si>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</si>
  <si>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</si>
  <si>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</si>
  <si>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</si>
  <si>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</si>
  <si>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</si>
  <si>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</si>
  <si>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</si>
  <si>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</si>
  <si>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</si>
  <si>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</si>
  <si>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</si>
  <si>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</si>
  <si>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</si>
  <si>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</si>
  <si>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</si>
  <si>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</si>
  <si>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</si>
  <si>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</si>
  <si>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</si>
  <si>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</si>
  <si>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</si>
  <si>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</si>
  <si>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</si>
  <si>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</si>
  <si>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</si>
  <si>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</si>
  <si>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</si>
  <si>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</si>
  <si>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</si>
  <si>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</si>
  <si>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</si>
  <si>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</si>
  <si>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</si>
  <si>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</si>
  <si>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</si>
  <si>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</si>
  <si>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</si>
  <si>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</si>
  <si>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</si>
  <si>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</si>
  <si>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</si>
  <si>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</si>
  <si>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</si>
  <si>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</si>
  <si>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</si>
  <si>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</si>
  <si>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</si>
  <si>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</si>
  <si>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</si>
  <si>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</si>
  <si>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</si>
  <si>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</si>
  <si>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</si>
  <si>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</si>
  <si>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</si>
  <si>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</si>
  <si>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</si>
  <si>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</si>
  <si>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</si>
  <si>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</si>
  <si>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</si>
  <si>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</si>
  <si>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</si>
  <si>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</si>
  <si>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</si>
  <si>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</si>
  <si>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</si>
  <si>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</si>
  <si>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</si>
  <si>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</si>
  <si>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</si>
  <si>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</si>
  <si>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</si>
  <si>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</si>
  <si>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</si>
  <si>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</si>
  <si>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</si>
  <si>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</si>
  <si>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</si>
  <si>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</si>
  <si>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</si>
  <si>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</si>
  <si>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</si>
  <si>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</si>
  <si>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</si>
  <si>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</si>
  <si>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</si>
  <si>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</si>
  <si>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</si>
  <si>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</si>
  <si>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</si>
  <si>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</si>
  <si>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</si>
  <si>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</si>
  <si>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</si>
  <si>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</si>
  <si>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</si>
  <si>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</si>
  <si>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</si>
  <si>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</si>
  <si>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</si>
  <si>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</si>
  <si>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</si>
  <si>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</si>
  <si>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</si>
  <si>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</si>
  <si>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</si>
  <si>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</si>
  <si>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</si>
  <si>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</si>
  <si>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</si>
  <si>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</si>
  <si>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</si>
  <si>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</si>
  <si>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</si>
  <si>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</si>
  <si>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</si>
  <si>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</si>
  <si>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</si>
  <si>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</si>
  <si>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</si>
  <si>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</si>
  <si>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</si>
  <si>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</si>
  <si>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</si>
  <si>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</si>
  <si>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</si>
  <si>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</si>
  <si>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</si>
  <si>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</si>
  <si>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</si>
  <si>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</si>
  <si>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</si>
  <si>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</si>
  <si>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</si>
  <si>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</si>
  <si>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</si>
  <si>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</si>
  <si>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</si>
  <si>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</si>
  <si>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</si>
  <si>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</si>
  <si>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</si>
  <si>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</si>
  <si>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</si>
  <si>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</si>
  <si>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</si>
  <si>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</si>
  <si>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</si>
  <si>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</si>
  <si>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</si>
  <si>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</si>
  <si>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</si>
  <si>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</si>
  <si>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</si>
  <si>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</si>
  <si>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</si>
  <si>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</si>
  <si>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</si>
  <si>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</si>
  <si>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</si>
  <si>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</si>
  <si>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</si>
  <si>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</si>
  <si>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</si>
  <si>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</si>
  <si>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</si>
  <si>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</si>
  <si>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</si>
  <si>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</si>
  <si>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</si>
  <si>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</si>
  <si>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</si>
  <si>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</si>
  <si>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</si>
  <si>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</si>
  <si>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</si>
  <si>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</si>
  <si>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</si>
  <si>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</si>
  <si>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</si>
  <si>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</si>
  <si>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</si>
  <si>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</si>
  <si>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</si>
  <si>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</si>
  <si>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</si>
  <si>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</si>
  <si>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</si>
  <si>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</si>
  <si>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</si>
  <si>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</si>
  <si>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</si>
  <si>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</si>
  <si>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</si>
  <si>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</si>
  <si>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</si>
  <si>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</si>
  <si>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</si>
  <si>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</si>
  <si>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</si>
  <si>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</si>
  <si>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</si>
  <si>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</si>
  <si>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</si>
  <si>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</si>
  <si>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</si>
  <si>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</si>
  <si>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</si>
  <si>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</si>
  <si>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</si>
  <si>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</si>
  <si>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</si>
  <si>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</si>
  <si>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</si>
  <si>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</si>
  <si>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</si>
  <si>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</si>
  <si>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</si>
  <si>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</si>
  <si>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</si>
  <si>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</si>
  <si>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</si>
  <si>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</si>
  <si>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</si>
  <si>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</si>
  <si>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</si>
  <si>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</si>
  <si>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</si>
  <si>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</si>
  <si>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</si>
  <si>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</si>
  <si>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</si>
  <si>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</si>
  <si>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</si>
  <si>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</si>
  <si>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</si>
  <si>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</si>
  <si>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</si>
  <si>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</si>
  <si>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</si>
  <si>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</si>
  <si>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</si>
  <si>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</si>
  <si>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</si>
  <si>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</si>
  <si>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</si>
  <si>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</si>
  <si>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</si>
  <si>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</si>
  <si>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</si>
  <si>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</si>
  <si>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</si>
  <si>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</si>
  <si>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</si>
  <si>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</si>
  <si>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</si>
  <si>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</si>
  <si>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</si>
  <si>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</si>
  <si>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</si>
  <si>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</si>
  <si>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</si>
  <si>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</si>
  <si>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</si>
  <si>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</si>
  <si>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</si>
  <si>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</si>
  <si>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</si>
  <si>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</si>
  <si>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</si>
  <si>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</si>
  <si>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</si>
  <si>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</si>
  <si>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</si>
  <si>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</si>
  <si>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</si>
  <si>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</si>
  <si>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</si>
  <si>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</si>
  <si>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</si>
  <si>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</si>
  <si>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</si>
  <si>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</si>
  <si>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</si>
  <si>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</si>
  <si>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</si>
  <si>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</si>
  <si>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</si>
  <si>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</si>
  <si>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</si>
  <si>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</si>
  <si>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</si>
  <si>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</si>
  <si>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</si>
  <si>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</si>
  <si>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</si>
  <si>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</si>
  <si>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</si>
  <si>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</si>
  <si>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</si>
  <si>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</si>
  <si>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</si>
  <si>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</si>
  <si>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</si>
  <si>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</si>
  <si>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</si>
  <si>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</si>
  <si>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</si>
  <si>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</si>
  <si>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</si>
  <si>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</si>
  <si>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</si>
  <si>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</si>
  <si>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</si>
  <si>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</si>
  <si>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</si>
  <si>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</si>
  <si>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</si>
  <si>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</si>
  <si>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</si>
  <si>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</si>
  <si>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</si>
  <si>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</si>
  <si>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</si>
  <si>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</si>
  <si>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</si>
  <si>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</si>
  <si>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</si>
  <si>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</si>
  <si>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</si>
  <si>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</si>
  <si>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</si>
  <si>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</si>
  <si>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</si>
  <si>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</si>
  <si>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</si>
  <si>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</si>
  <si>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</si>
  <si>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</si>
  <si>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</si>
  <si>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</si>
  <si>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</si>
  <si>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</si>
  <si>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</si>
  <si>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</si>
  <si>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</si>
  <si>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</si>
  <si>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</si>
  <si>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</si>
  <si>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</si>
  <si>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</si>
  <si>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</si>
  <si>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</si>
  <si>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</si>
  <si>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</si>
  <si>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</si>
  <si>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</si>
  <si>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</si>
  <si>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</si>
  <si>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</si>
  <si>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</si>
  <si>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</si>
  <si>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</si>
  <si>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</si>
  <si>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</si>
  <si>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</si>
  <si>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</si>
  <si>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</si>
  <si>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</si>
  <si>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</si>
  <si>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</si>
  <si>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</si>
  <si>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</si>
  <si>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</si>
  <si>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</si>
  <si>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</si>
  <si>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</si>
  <si>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</si>
  <si>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</si>
  <si>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</si>
  <si>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</si>
  <si>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</si>
  <si>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</si>
  <si>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</si>
  <si>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</si>
  <si>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</si>
  <si>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</si>
  <si>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</si>
  <si>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</si>
  <si>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</si>
  <si>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</si>
  <si>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</si>
  <si>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</si>
  <si>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</si>
  <si>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</si>
  <si>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</si>
  <si>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</si>
  <si>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</si>
  <si>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</si>
  <si>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</si>
  <si>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</si>
  <si>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</si>
  <si>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</si>
  <si>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</si>
  <si>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</si>
  <si>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</si>
  <si>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</si>
  <si>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</si>
  <si>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</si>
  <si>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</si>
  <si>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</si>
  <si>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</si>
  <si>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</si>
  <si>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</si>
  <si>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</si>
  <si>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</si>
  <si>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</si>
  <si>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</si>
  <si>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</si>
  <si>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</si>
  <si>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</si>
  <si>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</si>
  <si>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</si>
  <si>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</si>
  <si>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</si>
  <si>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</si>
  <si>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</si>
  <si>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</si>
  <si>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</si>
  <si>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</si>
  <si>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</si>
  <si>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</si>
  <si>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</si>
  <si>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</si>
  <si>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</si>
  <si>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</si>
  <si>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</si>
  <si>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</si>
  <si>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</si>
  <si>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</si>
  <si>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</si>
  <si>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</si>
  <si>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</si>
  <si>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</si>
  <si>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</si>
  <si>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</si>
  <si>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</si>
  <si>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</si>
  <si>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</si>
  <si>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</si>
  <si>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</si>
  <si>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</si>
  <si>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</si>
  <si>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</si>
  <si>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</si>
  <si>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</si>
  <si>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</si>
  <si>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</si>
  <si>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</si>
  <si>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</si>
  <si>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</si>
  <si>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</si>
  <si>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</si>
  <si>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</si>
  <si>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</si>
  <si>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</si>
  <si>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</si>
  <si>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</si>
  <si>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</si>
  <si>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</si>
  <si>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</si>
  <si>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</si>
  <si>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</si>
  <si>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</si>
  <si>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</si>
  <si>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</si>
  <si>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</si>
  <si>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</si>
  <si>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</si>
  <si>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</si>
  <si>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</si>
  <si>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</si>
  <si>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</si>
  <si>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</si>
  <si>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</si>
  <si>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</si>
  <si>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</si>
  <si>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</si>
  <si>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</si>
  <si>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</si>
  <si>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</si>
  <si>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</si>
  <si>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</si>
  <si>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</si>
  <si>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</si>
  <si>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</si>
  <si>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</si>
  <si>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</si>
  <si>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</si>
  <si>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</si>
  <si>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</si>
  <si>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</si>
  <si>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</si>
  <si>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</si>
  <si>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</si>
  <si>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</si>
  <si>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</si>
  <si>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</si>
  <si>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</si>
  <si>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</si>
  <si>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</si>
  <si>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</si>
  <si>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</si>
  <si>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</si>
  <si>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</si>
  <si>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</si>
  <si>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</si>
  <si>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</si>
  <si>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</si>
  <si>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</si>
  <si>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</si>
  <si>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</si>
  <si>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</si>
  <si>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</si>
  <si>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</si>
  <si>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</si>
  <si>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</si>
  <si>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</si>
  <si>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</si>
  <si>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</si>
  <si>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</si>
  <si>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</si>
  <si>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</si>
  <si>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</si>
  <si>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</si>
  <si>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</si>
  <si>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</si>
  <si>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</si>
  <si>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</si>
  <si>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</si>
  <si>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</si>
  <si>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</si>
  <si>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</si>
  <si>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</si>
  <si>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</si>
  <si>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</si>
  <si>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</si>
  <si>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</si>
  <si>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</si>
  <si>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</si>
  <si>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</si>
  <si>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</si>
  <si>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</si>
  <si>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</si>
  <si>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</si>
  <si>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</si>
  <si>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</si>
  <si>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</si>
  <si>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</si>
  <si>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</si>
  <si>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</si>
  <si>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</si>
  <si>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</si>
  <si>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</si>
  <si>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</si>
  <si>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</si>
  <si>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</si>
  <si>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</si>
  <si>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</si>
  <si>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</si>
  <si>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</si>
  <si>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</si>
  <si>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</si>
  <si>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</si>
  <si>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</si>
  <si>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</si>
  <si>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</si>
  <si>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</si>
  <si>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</si>
  <si>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</si>
  <si>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</si>
  <si>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</si>
  <si>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</si>
  <si>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</si>
  <si>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</si>
  <si>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</si>
  <si>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</si>
  <si>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</si>
  <si>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</si>
  <si>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</si>
  <si>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</si>
  <si>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</si>
  <si>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</si>
  <si>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</si>
  <si>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</si>
  <si>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</si>
  <si>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</si>
  <si>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</si>
  <si>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</si>
  <si>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</si>
  <si>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</si>
  <si>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</si>
  <si>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</si>
  <si>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</si>
  <si>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</si>
  <si>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</si>
  <si>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</si>
  <si>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</si>
  <si>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</si>
  <si>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</si>
  <si>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</si>
  <si>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</si>
  <si>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</si>
  <si>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</si>
  <si>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</si>
  <si>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</si>
  <si>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</si>
  <si>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</si>
  <si>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</si>
  <si>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</si>
  <si>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</si>
  <si>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</si>
  <si>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</si>
  <si>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</si>
  <si>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</si>
  <si>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</si>
  <si>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</si>
  <si>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</si>
  <si>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</si>
  <si>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</si>
  <si>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</si>
  <si>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</si>
  <si>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</si>
  <si>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</si>
  <si>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</si>
  <si>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</si>
  <si>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</si>
  <si>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</si>
  <si>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</si>
  <si>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</si>
  <si>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</si>
  <si>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</si>
  <si>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</si>
  <si>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</si>
  <si>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</si>
  <si>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</si>
  <si>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</si>
  <si>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</si>
  <si>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</si>
  <si>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</si>
  <si>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</si>
  <si>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</si>
  <si>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</si>
  <si>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</si>
  <si>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</si>
  <si>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</si>
  <si>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</si>
  <si>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</si>
  <si>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</si>
  <si>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</si>
  <si>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</si>
  <si>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</si>
  <si>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</si>
  <si>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</si>
  <si>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</si>
  <si>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</si>
  <si>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</si>
  <si>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</si>
  <si>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</si>
  <si>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</si>
  <si>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</si>
  <si>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</si>
  <si>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</si>
  <si>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</si>
  <si>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</si>
  <si>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</si>
  <si>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</si>
  <si>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</si>
  <si>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</si>
  <si>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</si>
  <si>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</si>
  <si>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</si>
  <si>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</si>
  <si>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</si>
  <si>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</si>
  <si>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</si>
  <si>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</si>
  <si>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</si>
  <si>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</si>
  <si>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</si>
  <si>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</si>
  <si>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</si>
  <si>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</si>
  <si>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</si>
  <si>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</si>
  <si>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</si>
  <si>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</si>
  <si>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</si>
  <si>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</si>
  <si>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</si>
  <si>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</si>
  <si>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</si>
  <si>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</si>
  <si>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</si>
  <si>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</si>
  <si>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</si>
  <si>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</si>
  <si>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</si>
  <si>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</si>
  <si>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</si>
  <si>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</si>
  <si>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</si>
  <si>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</si>
  <si>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</si>
  <si>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</si>
  <si>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</si>
  <si>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</si>
  <si>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</si>
  <si>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</si>
  <si>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</si>
  <si>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</si>
  <si>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</si>
  <si>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</si>
  <si>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</si>
  <si>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</si>
  <si>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</si>
  <si>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</si>
  <si>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</si>
  <si>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</si>
  <si>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</si>
  <si>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</si>
  <si>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</si>
  <si>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</si>
  <si>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</si>
  <si>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</si>
  <si>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</si>
  <si>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</si>
  <si>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</si>
  <si>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</si>
  <si>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</si>
  <si>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</si>
  <si>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</si>
  <si>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</si>
  <si>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</si>
  <si>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</si>
  <si>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</si>
  <si>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</si>
  <si>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</si>
  <si>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</si>
  <si>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</si>
  <si>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</si>
  <si>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</si>
  <si>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</si>
  <si>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</si>
  <si>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</si>
  <si>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</si>
  <si>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</si>
  <si>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</si>
  <si>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</si>
  <si>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</si>
  <si>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</si>
  <si>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</si>
  <si>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</si>
  <si>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</si>
  <si>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</si>
  <si>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</si>
  <si>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</si>
  <si>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</si>
  <si>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</si>
  <si>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</si>
  <si>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</si>
  <si>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</si>
  <si>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</si>
  <si>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</si>
  <si>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</si>
  <si>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</si>
  <si>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</si>
  <si>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</si>
  <si>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</si>
  <si>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</si>
  <si>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</si>
  <si>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</si>
  <si>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</si>
  <si>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</si>
  <si>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</si>
  <si>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</si>
  <si>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</si>
  <si>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</si>
  <si>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</si>
  <si>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</si>
  <si>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</si>
  <si>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</si>
  <si>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</si>
  <si>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</si>
  <si>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</si>
  <si>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</si>
  <si>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</si>
  <si>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</si>
  <si>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</si>
  <si>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</si>
  <si>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</si>
  <si>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</si>
  <si>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</si>
  <si>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</si>
  <si>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</si>
  <si>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</si>
  <si>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</si>
  <si>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</si>
  <si>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</si>
  <si>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</si>
  <si>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</si>
  <si>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</si>
  <si>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</si>
  <si>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</si>
  <si>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</si>
  <si>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</si>
  <si>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</si>
  <si>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</si>
  <si>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</si>
  <si>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</si>
  <si>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</si>
  <si>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</si>
  <si>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</si>
  <si>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</si>
  <si>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</si>
  <si>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</si>
  <si>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</si>
  <si>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</si>
  <si>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</si>
  <si>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</si>
  <si>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</si>
  <si>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</si>
  <si>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</si>
  <si>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</si>
  <si>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</si>
  <si>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</si>
  <si>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</si>
  <si>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</si>
  <si>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</si>
  <si>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</si>
  <si>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</si>
  <si>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</si>
  <si>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</si>
  <si>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</si>
  <si>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</si>
  <si>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</si>
  <si>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</si>
  <si>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</si>
  <si>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</si>
  <si>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</si>
  <si>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</si>
  <si>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</si>
  <si>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</si>
  <si>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</si>
  <si>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</si>
  <si>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</si>
  <si>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</si>
  <si>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</si>
  <si>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</si>
  <si>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</si>
  <si>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</si>
  <si>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</si>
  <si>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</si>
  <si>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</si>
  <si>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</si>
  <si>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</si>
  <si>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</si>
  <si>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</si>
  <si>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</si>
  <si>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</si>
  <si>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</si>
  <si>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</si>
  <si>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</si>
  <si>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</si>
  <si>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</si>
  <si>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</si>
  <si>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</si>
  <si>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</si>
  <si>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</si>
  <si>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</si>
  <si>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</si>
  <si>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</si>
  <si>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</si>
  <si>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</si>
  <si>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</si>
  <si>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</si>
  <si>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</si>
  <si>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</si>
  <si>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</si>
  <si>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</si>
  <si>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</si>
  <si>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</si>
  <si>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</si>
  <si>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</si>
  <si>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</si>
  <si>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</si>
  <si>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</si>
  <si>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</si>
  <si>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</si>
  <si>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</si>
  <si>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</si>
  <si>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</si>
  <si>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</si>
  <si>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</si>
  <si>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</si>
  <si>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</si>
  <si>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</si>
  <si>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</si>
  <si>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</si>
  <si>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</si>
  <si>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</si>
  <si>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</si>
  <si>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</si>
  <si>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</si>
  <si>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</si>
  <si>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</si>
  <si>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</si>
  <si>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</si>
  <si>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</si>
  <si>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</si>
  <si>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</si>
  <si>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</si>
  <si>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</si>
  <si>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</si>
  <si>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</si>
  <si>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</si>
  <si>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</si>
  <si>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</si>
  <si>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</si>
  <si>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</si>
  <si>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</si>
  <si>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</si>
  <si>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</si>
  <si>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</si>
  <si>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</si>
  <si>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</si>
  <si>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</si>
  <si>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</si>
  <si>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</si>
  <si>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</si>
  <si>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</si>
  <si>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</si>
  <si>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</si>
  <si>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</si>
  <si>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</si>
  <si>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</si>
  <si>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</si>
  <si>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</si>
  <si>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</si>
  <si>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</si>
  <si>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</si>
  <si>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</si>
  <si>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</si>
  <si>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</si>
  <si>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</si>
  <si>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</si>
  <si>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</si>
  <si>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</si>
  <si>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</si>
  <si>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</si>
  <si>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</si>
  <si>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</si>
  <si>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</si>
  <si>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</si>
  <si>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</si>
  <si>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</si>
  <si>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</si>
  <si>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</si>
  <si>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</si>
  <si>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</si>
  <si>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</si>
  <si>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</si>
  <si>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</si>
  <si>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</si>
  <si>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</si>
  <si>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</si>
  <si>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</si>
  <si>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</si>
  <si>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</si>
  <si>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</si>
  <si>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</si>
  <si>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</si>
  <si>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</si>
  <si>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</si>
  <si>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</si>
  <si>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</si>
  <si>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</si>
  <si>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</si>
  <si>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</si>
  <si>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</si>
  <si>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</si>
  <si>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</si>
  <si>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</si>
  <si>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</si>
  <si>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</si>
  <si>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</si>
  <si>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</si>
  <si>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</si>
  <si>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</si>
  <si>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</si>
  <si>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</si>
  <si>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</si>
  <si>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</si>
  <si>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</si>
  <si>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</si>
  <si>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</si>
  <si>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</si>
  <si>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</si>
  <si>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</si>
  <si>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</si>
  <si>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</si>
  <si>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</si>
  <si>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</si>
  <si>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</si>
  <si>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</si>
  <si>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</si>
  <si>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</si>
  <si>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</si>
  <si>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</si>
  <si>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</si>
  <si>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</si>
  <si>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</si>
  <si>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</si>
  <si>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</si>
  <si>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</si>
  <si>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</si>
  <si>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</si>
  <si>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</si>
  <si>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</si>
  <si>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</si>
  <si>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</si>
  <si>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</si>
  <si>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</si>
  <si>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</si>
  <si>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</si>
  <si>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</si>
  <si>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</si>
  <si>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</si>
  <si>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</si>
  <si>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</si>
  <si>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</si>
  <si>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</si>
  <si>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</si>
  <si>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</si>
  <si>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</si>
  <si>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</si>
  <si>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</si>
  <si>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</si>
  <si>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</si>
  <si>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</si>
  <si>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</si>
  <si>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</si>
  <si>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</si>
  <si>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</si>
  <si>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</si>
  <si>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</si>
  <si>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</si>
  <si>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</si>
  <si>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</si>
  <si>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</si>
  <si>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</si>
  <si>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</si>
  <si>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</si>
  <si>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</si>
  <si>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</si>
  <si>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</si>
  <si>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</si>
  <si>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</si>
  <si>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</si>
  <si>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</si>
  <si>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</si>
  <si>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</si>
  <si>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</si>
  <si>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</si>
  <si>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</si>
  <si>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</si>
  <si>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</si>
  <si>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</si>
  <si>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</si>
  <si>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</si>
  <si>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</si>
  <si>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</si>
  <si>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</si>
  <si>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</si>
  <si>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</si>
  <si>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</si>
  <si>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</si>
  <si>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</si>
  <si>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</si>
  <si>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</si>
  <si>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</si>
  <si>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</si>
  <si>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</si>
  <si>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</si>
  <si>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</si>
  <si>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</si>
  <si>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</si>
  <si>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</si>
  <si>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</si>
  <si>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</si>
  <si>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</si>
  <si>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</si>
  <si>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</si>
  <si>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</si>
  <si>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</si>
  <si>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</si>
  <si>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</si>
  <si>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</si>
  <si>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</si>
  <si>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</si>
  <si>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</si>
  <si>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</si>
  <si>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</si>
  <si>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</si>
  <si>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</si>
  <si>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</si>
  <si>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</si>
  <si>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</si>
  <si>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</si>
  <si>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</si>
  <si>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</si>
  <si>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</si>
  <si>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</si>
  <si>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</si>
  <si>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</si>
  <si>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</si>
  <si>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</si>
  <si>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</si>
  <si>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</si>
  <si>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</si>
  <si>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</si>
  <si>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</si>
  <si>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</si>
  <si>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</si>
  <si>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</si>
  <si>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</si>
  <si>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</si>
  <si>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</si>
  <si>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</si>
  <si>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</si>
  <si>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</si>
  <si>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</si>
  <si>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</si>
  <si>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</si>
  <si>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</si>
  <si>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</si>
  <si>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</si>
  <si>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</si>
  <si>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</si>
  <si>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</si>
  <si>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</si>
  <si>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</si>
  <si>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</si>
  <si>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</si>
  <si>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</si>
  <si>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</si>
  <si>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</si>
  <si>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</si>
  <si>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</si>
  <si>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</si>
  <si>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</si>
  <si>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</si>
  <si>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</si>
  <si>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</si>
  <si>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</si>
  <si>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</si>
  <si>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</si>
  <si>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</si>
  <si>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</si>
  <si>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</si>
  <si>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</si>
  <si>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</si>
  <si>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</si>
  <si>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</si>
  <si>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</si>
  <si>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</si>
  <si>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</si>
  <si>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</si>
  <si>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</si>
  <si>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</si>
  <si>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</si>
  <si>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</si>
  <si>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</si>
  <si>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</si>
  <si>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</si>
  <si>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</si>
  <si>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</si>
  <si>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</si>
  <si>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</si>
  <si>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</si>
  <si>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</si>
  <si>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</si>
  <si>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</si>
  <si>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</si>
  <si>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</si>
  <si>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</si>
  <si>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</si>
  <si>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</si>
  <si>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</si>
  <si>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</si>
  <si>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</si>
  <si>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</si>
  <si>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</si>
  <si>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</si>
  <si>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</si>
  <si>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</si>
  <si>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</si>
  <si>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</si>
  <si>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</si>
  <si>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</si>
  <si>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</si>
  <si>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</si>
  <si>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</si>
  <si>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</si>
  <si>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</si>
  <si>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</si>
  <si>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</si>
  <si>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</si>
  <si>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</si>
  <si>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</si>
  <si>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</si>
  <si>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</si>
  <si>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</si>
  <si>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</si>
  <si>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</si>
  <si>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</si>
  <si>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</si>
  <si>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</si>
  <si>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</si>
  <si>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</si>
  <si>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</si>
  <si>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</si>
  <si>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</si>
  <si>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</si>
  <si>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</si>
  <si>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</si>
  <si>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</si>
  <si>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</si>
  <si>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</si>
  <si>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</si>
  <si>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</si>
  <si>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</si>
  <si>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</si>
  <si>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</si>
  <si>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</si>
  <si>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</si>
  <si>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</si>
  <si>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</si>
  <si>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</si>
  <si>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</si>
  <si>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</si>
  <si>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</si>
  <si>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</si>
  <si>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</si>
  <si>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</si>
  <si>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</si>
  <si>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</si>
  <si>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</si>
  <si>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</si>
  <si>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</si>
  <si>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</si>
  <si>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</si>
  <si>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</si>
  <si>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</si>
  <si>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</si>
  <si>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</si>
  <si>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</si>
  <si>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</si>
  <si>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</si>
  <si>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</si>
  <si>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</si>
  <si>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</si>
  <si>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</si>
  <si>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</si>
  <si>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</si>
  <si>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</si>
  <si>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</si>
  <si>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</si>
  <si>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</si>
  <si>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</si>
  <si>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</si>
  <si>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</si>
  <si>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</si>
  <si>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</si>
  <si>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</si>
  <si>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</si>
  <si>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</si>
  <si>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</si>
  <si>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</si>
  <si>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</si>
  <si>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</si>
  <si>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</si>
  <si>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</si>
  <si>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</si>
  <si>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</si>
  <si>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</si>
  <si>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</si>
  <si>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</si>
  <si>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</si>
  <si>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</si>
  <si>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</si>
  <si>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</si>
  <si>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</si>
  <si>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</si>
  <si>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</si>
  <si>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</si>
  <si>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</si>
  <si>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</si>
  <si>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</si>
  <si>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</si>
  <si>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</si>
  <si>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</si>
  <si>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</si>
  <si>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</si>
  <si>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</si>
  <si>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</si>
  <si>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</si>
  <si>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</si>
  <si>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</si>
  <si>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</si>
  <si>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</si>
  <si>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</si>
  <si>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</si>
  <si>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</si>
  <si>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</si>
  <si>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</si>
  <si>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</si>
  <si>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</si>
  <si>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</si>
  <si>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</si>
  <si>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</si>
  <si>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</si>
  <si>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</si>
  <si>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</si>
  <si>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</si>
  <si>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</si>
  <si>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</si>
  <si>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</si>
  <si>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</si>
  <si>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</si>
  <si>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</si>
  <si>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</si>
  <si>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</si>
  <si>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</si>
  <si>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</si>
  <si>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</si>
  <si>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</si>
  <si>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</si>
  <si>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</si>
  <si>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</si>
  <si>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</si>
  <si>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</si>
  <si>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</si>
  <si>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</si>
  <si>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</si>
  <si>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</si>
  <si>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</si>
  <si>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</si>
  <si>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</si>
  <si>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</si>
  <si>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</si>
  <si>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</si>
  <si>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</si>
  <si>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</si>
  <si>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</si>
  <si>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</si>
  <si>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</si>
  <si>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</si>
  <si>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</si>
  <si>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</si>
  <si>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</si>
  <si>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</si>
  <si>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</si>
  <si>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</si>
  <si>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</si>
  <si>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</si>
  <si>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</si>
  <si>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</si>
  <si>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</si>
  <si>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</si>
  <si>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</si>
  <si>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</si>
  <si>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</si>
  <si>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</si>
  <si>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</si>
  <si>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</si>
  <si>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</si>
  <si>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</si>
  <si>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</si>
  <si>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</si>
  <si>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</si>
  <si>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</si>
  <si>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</si>
  <si>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</si>
  <si>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</si>
  <si>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</si>
  <si>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</si>
  <si>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</si>
  <si>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</si>
  <si>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</si>
  <si>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</si>
  <si>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</si>
  <si>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</si>
  <si>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</si>
  <si>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</si>
  <si>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</si>
  <si>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</si>
  <si>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</si>
  <si>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</si>
  <si>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</si>
  <si>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</si>
  <si>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</si>
  <si>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</si>
  <si>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</si>
  <si>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</si>
  <si>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</si>
  <si>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</si>
  <si>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</si>
  <si>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</si>
  <si>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</si>
  <si>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</si>
  <si>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</si>
  <si>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</si>
  <si>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</si>
  <si>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</si>
  <si>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</si>
  <si>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</si>
  <si>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</si>
  <si>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</si>
  <si>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</si>
  <si>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</si>
  <si>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</si>
  <si>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</si>
  <si>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</si>
  <si>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</si>
  <si>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</si>
  <si>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</si>
  <si>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</si>
  <si>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</si>
  <si>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</si>
  <si>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</si>
  <si>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</si>
  <si>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</si>
  <si>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</si>
  <si>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</si>
  <si>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</si>
  <si>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</si>
  <si>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</si>
  <si>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</si>
  <si>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</si>
  <si>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</si>
  <si>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</si>
  <si>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</si>
  <si>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</si>
  <si>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</si>
  <si>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</si>
  <si>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</si>
  <si>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</si>
  <si>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</si>
  <si>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</si>
  <si>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</si>
  <si>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</si>
  <si>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</si>
  <si>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</si>
  <si>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</si>
  <si>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</si>
  <si>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</si>
  <si>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</si>
  <si>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</si>
  <si>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</si>
  <si>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</si>
  <si>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</si>
  <si>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</si>
  <si>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</si>
  <si>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</si>
  <si>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</si>
  <si>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</si>
  <si>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</si>
  <si>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</si>
  <si>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</si>
  <si>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</si>
  <si>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</si>
  <si>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</si>
  <si>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</si>
  <si>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</si>
  <si>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</si>
  <si>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</si>
  <si>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</si>
  <si>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</si>
  <si>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</si>
  <si>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</si>
  <si>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</si>
  <si>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</si>
  <si>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</si>
  <si>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</si>
  <si>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</si>
  <si>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</si>
  <si>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</si>
  <si>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</si>
  <si>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</si>
  <si>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</si>
  <si>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</si>
  <si>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</si>
  <si>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</si>
  <si>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</si>
  <si>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</si>
  <si>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</si>
  <si>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</si>
  <si>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</si>
  <si>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</si>
  <si>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</si>
  <si>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</si>
  <si>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</si>
  <si>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</si>
  <si>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</si>
  <si>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</si>
  <si>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</si>
  <si>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</si>
  <si>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</si>
  <si>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</si>
  <si>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</si>
  <si>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</si>
  <si>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</si>
  <si>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</si>
  <si>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</si>
  <si>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</si>
  <si>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</si>
  <si>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</si>
  <si>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</si>
  <si>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</si>
  <si>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</si>
  <si>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</si>
  <si>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</si>
  <si>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</si>
  <si>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</si>
  <si>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</si>
  <si>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</si>
  <si>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</si>
  <si>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</si>
  <si>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</si>
  <si>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</si>
  <si>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</si>
  <si>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</si>
  <si>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</si>
  <si>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</si>
  <si>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</si>
  <si>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</si>
  <si>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</si>
  <si>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</si>
  <si>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</si>
  <si>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</si>
  <si>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</si>
  <si>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</si>
  <si>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</si>
  <si>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</si>
  <si>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</si>
  <si>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</si>
  <si>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</si>
  <si>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</si>
  <si>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</si>
  <si>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</si>
  <si>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</si>
  <si>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</si>
  <si>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</si>
  <si>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</si>
  <si>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</si>
  <si>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</si>
  <si>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</si>
  <si>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</si>
  <si>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</si>
  <si>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</si>
  <si>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</si>
  <si>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</si>
  <si>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</si>
  <si>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</si>
  <si>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</si>
  <si>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</si>
  <si>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</si>
  <si>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</si>
  <si>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</si>
  <si>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</si>
  <si>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</si>
  <si>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</si>
  <si>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</si>
  <si>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</si>
  <si>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</si>
  <si>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</si>
  <si>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</si>
  <si>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</si>
  <si>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</si>
  <si>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</si>
  <si>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</si>
  <si>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</si>
  <si>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</si>
  <si>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</si>
  <si>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</si>
  <si>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</si>
  <si>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</si>
  <si>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</si>
  <si>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</si>
  <si>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</si>
  <si>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</si>
  <si>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</si>
  <si>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</si>
  <si>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</si>
  <si>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</si>
  <si>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</si>
  <si>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</si>
  <si>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</si>
  <si>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</si>
  <si>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</si>
  <si>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</si>
  <si>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</si>
  <si>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</si>
  <si>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</si>
  <si>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</si>
  <si>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</si>
  <si>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</si>
  <si>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</si>
  <si>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</si>
  <si>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</si>
  <si>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</si>
  <si>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</si>
  <si>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</si>
  <si>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</si>
  <si>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</si>
  <si>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</si>
  <si>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</si>
  <si>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</si>
  <si>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</si>
  <si>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</si>
  <si>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</si>
  <si>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</si>
  <si>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</si>
  <si>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</si>
  <si>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</si>
  <si>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</si>
  <si>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</si>
  <si>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</si>
  <si>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</si>
  <si>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</si>
  <si>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</si>
  <si>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</si>
  <si>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</si>
  <si>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</si>
  <si>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</si>
  <si>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</si>
  <si>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</si>
  <si>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</si>
  <si>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</si>
  <si>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</si>
  <si>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</si>
  <si>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</si>
  <si>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</si>
  <si>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</si>
  <si>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</si>
  <si>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</si>
  <si>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</si>
  <si>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</si>
  <si>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</si>
  <si>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</si>
  <si>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</si>
  <si>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</si>
  <si>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</si>
  <si>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</si>
  <si>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</si>
  <si>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</si>
  <si>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</si>
  <si>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</si>
  <si>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</si>
  <si>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</si>
  <si>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</si>
  <si>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</si>
  <si>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</si>
  <si>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</si>
  <si>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</si>
  <si>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</si>
  <si>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</si>
  <si>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</si>
  <si>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</si>
  <si>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</si>
  <si>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</si>
  <si>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</si>
  <si>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</si>
  <si>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</si>
  <si>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</si>
  <si>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</si>
  <si>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</si>
  <si>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</si>
  <si>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</si>
  <si>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</si>
  <si>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</si>
  <si>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</si>
  <si>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</si>
  <si>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</si>
  <si>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</si>
  <si>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</si>
  <si>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</si>
  <si>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</si>
  <si>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</si>
  <si>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</si>
  <si>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</si>
  <si>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</si>
  <si>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</si>
  <si>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</si>
  <si>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</si>
  <si>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</si>
  <si>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</si>
  <si>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</si>
  <si>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</si>
  <si>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</si>
  <si>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</si>
  <si>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</si>
  <si>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</si>
  <si>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</si>
  <si>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</si>
  <si>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</si>
  <si>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</si>
  <si>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</si>
  <si>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</si>
  <si>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</si>
  <si>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</si>
  <si>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</si>
  <si>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</si>
  <si>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</si>
  <si>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</si>
  <si>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</si>
  <si>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</si>
  <si>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</si>
  <si>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</si>
  <si>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</si>
  <si>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</si>
  <si>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</si>
  <si>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</si>
  <si>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</si>
  <si>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</si>
  <si>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</si>
  <si>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</si>
  <si>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</si>
  <si>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</si>
  <si>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</si>
  <si>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</si>
  <si>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</si>
  <si>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</si>
  <si>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</si>
  <si>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</si>
  <si>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</si>
  <si>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</si>
  <si>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</si>
  <si>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</si>
  <si>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</si>
  <si>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</si>
  <si>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</si>
  <si>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</si>
  <si>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</si>
  <si>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</si>
  <si>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</si>
  <si>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</si>
  <si>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</si>
  <si>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</si>
  <si>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</si>
  <si>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</si>
  <si>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</si>
  <si>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</si>
  <si>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</si>
  <si>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</si>
  <si>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</si>
  <si>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</si>
  <si>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</si>
  <si>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</si>
  <si>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</si>
  <si>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</si>
  <si>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</si>
  <si>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</si>
  <si>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</si>
  <si>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</si>
  <si>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</si>
  <si>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</si>
  <si>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</si>
  <si>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</si>
  <si>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</si>
  <si>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</si>
  <si>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</si>
  <si>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</si>
  <si>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</si>
  <si>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</si>
  <si>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</si>
  <si>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</si>
  <si>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</si>
  <si>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</si>
  <si>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</si>
  <si>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</si>
  <si>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</si>
  <si>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</si>
  <si>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</si>
  <si>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</si>
  <si>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</si>
  <si>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</si>
  <si>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</si>
  <si>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</si>
  <si>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</si>
  <si>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</si>
  <si>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</si>
  <si>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</si>
  <si>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</si>
  <si>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</si>
  <si>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</si>
  <si>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</si>
  <si>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</si>
  <si>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</si>
  <si>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</si>
  <si>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</si>
  <si>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</si>
  <si>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</si>
  <si>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</si>
  <si>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</si>
  <si>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</si>
  <si>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</si>
  <si>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</si>
  <si>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</si>
  <si>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</si>
  <si>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</si>
  <si>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</si>
  <si>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</si>
  <si>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</si>
  <si>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</si>
  <si>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</si>
  <si>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</si>
  <si>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</si>
  <si>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</si>
  <si>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</si>
  <si>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</si>
  <si>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</si>
  <si>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</si>
  <si>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</si>
  <si>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</si>
  <si>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</si>
  <si>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</si>
  <si>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</si>
  <si>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</si>
  <si>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</si>
  <si>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</si>
  <si>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</si>
  <si>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</si>
  <si>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</si>
  <si>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</si>
  <si>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</si>
  <si>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</si>
  <si>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</si>
  <si>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</si>
  <si>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</si>
  <si>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</si>
  <si>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</si>
  <si>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</si>
  <si>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</si>
  <si>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</si>
  <si>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</si>
  <si>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</si>
  <si>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</si>
  <si>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</si>
  <si>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</si>
  <si>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</si>
  <si>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</si>
  <si>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</si>
  <si>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</si>
  <si>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</si>
  <si>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</si>
  <si>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</si>
  <si>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</si>
  <si>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</si>
  <si>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</si>
  <si>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</si>
  <si>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</si>
  <si>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</si>
  <si>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</si>
  <si>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</si>
  <si>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</si>
  <si>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</si>
  <si>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</si>
  <si>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</si>
  <si>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</si>
  <si>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</si>
  <si>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</si>
  <si>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</si>
  <si>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</si>
  <si>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</si>
  <si>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</si>
  <si>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</si>
  <si>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</si>
  <si>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</si>
  <si>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</si>
  <si>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</si>
  <si>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</si>
  <si>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</si>
  <si>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</si>
  <si>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</si>
  <si>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</si>
  <si>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</si>
  <si>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</si>
  <si>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</si>
  <si>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</si>
  <si>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</si>
  <si>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</si>
  <si>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</si>
  <si>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</si>
  <si>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</si>
  <si>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</si>
  <si>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</si>
  <si>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</si>
  <si>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</si>
  <si>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</si>
  <si>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</si>
  <si>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</si>
  <si>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</si>
  <si>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</si>
  <si>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</si>
  <si>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</si>
  <si>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</si>
  <si>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</si>
  <si>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</si>
  <si>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</si>
  <si>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</si>
  <si>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</si>
  <si>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</si>
  <si>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</si>
  <si>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</si>
  <si>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</si>
  <si>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</si>
  <si>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</si>
  <si>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</si>
  <si>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</si>
  <si>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</si>
  <si>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</si>
  <si>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</si>
  <si>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</si>
  <si>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</si>
  <si>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</si>
  <si>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</si>
  <si>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</si>
  <si>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</si>
  <si>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</si>
  <si>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</si>
  <si>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</si>
  <si>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</si>
  <si>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</si>
  <si>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</si>
  <si>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</si>
  <si>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</si>
  <si>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</si>
  <si>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</si>
  <si>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</si>
  <si>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</si>
  <si>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</si>
  <si>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</si>
  <si>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</si>
  <si>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</si>
  <si>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</si>
  <si>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</si>
  <si>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</si>
  <si>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</si>
  <si>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</si>
  <si>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</si>
  <si>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</si>
  <si>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</si>
  <si>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</si>
  <si>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</si>
  <si>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</si>
  <si>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</si>
  <si>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</si>
  <si>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</si>
  <si>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</si>
  <si>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</si>
  <si>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</si>
  <si>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</si>
  <si>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</si>
  <si>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</si>
  <si>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</si>
  <si>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</si>
  <si>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</si>
  <si>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</si>
  <si>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</si>
  <si>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</si>
  <si>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</si>
  <si>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</si>
  <si>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</si>
  <si>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</si>
  <si>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</si>
  <si>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</si>
  <si>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</si>
  <si>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</si>
  <si>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</si>
  <si>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</si>
  <si>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</si>
  <si>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</si>
  <si>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</si>
  <si>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</si>
  <si>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</si>
  <si>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</si>
  <si>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</si>
  <si>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</si>
  <si>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</si>
  <si>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</si>
  <si>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</si>
  <si>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</si>
  <si>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</si>
  <si>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</si>
  <si>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</si>
  <si>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</si>
  <si>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</si>
  <si>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</si>
  <si>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</si>
  <si>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</si>
  <si>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</si>
  <si>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</si>
  <si>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</si>
  <si>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</si>
  <si>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</si>
  <si>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</si>
  <si>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</si>
  <si>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</si>
  <si>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</si>
  <si>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</si>
  <si>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</si>
  <si>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</si>
  <si>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</si>
  <si>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</si>
  <si>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</si>
  <si>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</si>
  <si>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</si>
  <si>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</si>
  <si>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</si>
  <si>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</si>
  <si>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</si>
  <si>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</si>
  <si>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</si>
  <si>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</si>
  <si>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</si>
  <si>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</si>
  <si>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</si>
  <si>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</si>
  <si>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</si>
  <si>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</si>
  <si>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</si>
  <si>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</si>
  <si>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</si>
  <si>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</si>
  <si>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</si>
  <si>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</si>
  <si>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</si>
  <si>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</si>
  <si>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</si>
  <si>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</si>
  <si>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</si>
  <si>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</si>
  <si>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</si>
  <si>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</si>
  <si>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</si>
  <si>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</si>
  <si>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</si>
  <si>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</si>
  <si>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</si>
  <si>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</si>
  <si>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</si>
  <si>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</si>
  <si>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</si>
  <si>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</si>
  <si>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</si>
  <si>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</si>
  <si>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</si>
  <si>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</si>
  <si>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</si>
  <si>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</si>
  <si>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</si>
  <si>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</si>
  <si>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</si>
  <si>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</si>
  <si>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</si>
  <si>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</si>
  <si>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</si>
  <si>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</si>
  <si>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</si>
  <si>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</si>
  <si>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</si>
  <si>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</si>
  <si>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</si>
  <si>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</si>
  <si>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</si>
  <si>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</si>
  <si>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</si>
  <si>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</si>
  <si>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</si>
  <si>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</si>
  <si>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</si>
  <si>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</si>
  <si>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</si>
  <si>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</si>
  <si>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</si>
  <si>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</si>
  <si>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</si>
  <si>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</si>
  <si>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</si>
  <si>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</si>
  <si>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</si>
  <si>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</si>
  <si>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</si>
  <si>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</si>
  <si>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</si>
  <si>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</si>
  <si>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</si>
  <si>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</si>
  <si>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</si>
  <si>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</si>
  <si>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</si>
  <si>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</si>
  <si>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</si>
  <si>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</si>
  <si>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</si>
  <si>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</si>
  <si>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</si>
  <si>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</si>
  <si>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</si>
  <si>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</si>
  <si>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</si>
  <si>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</si>
  <si>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</si>
  <si>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</si>
  <si>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</si>
  <si>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</si>
  <si>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</si>
  <si>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</si>
  <si>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</si>
  <si>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</si>
  <si>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</si>
  <si>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</si>
  <si>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</si>
  <si>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</si>
  <si>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</si>
  <si>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</si>
  <si>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</si>
  <si>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</si>
  <si>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</si>
  <si>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</si>
  <si>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</si>
  <si>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</si>
  <si>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</si>
  <si>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</si>
  <si>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</si>
  <si>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</si>
  <si>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</si>
  <si>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</si>
  <si>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</si>
  <si>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</si>
  <si>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</si>
  <si>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</si>
  <si>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</si>
  <si>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</si>
  <si>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</si>
  <si>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</si>
  <si>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</si>
  <si>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</si>
  <si>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</si>
  <si>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</si>
  <si>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</si>
  <si>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</si>
  <si>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</si>
  <si>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</si>
  <si>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</si>
  <si>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</si>
  <si>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</si>
  <si>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</si>
  <si>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</si>
  <si>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</si>
  <si>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</si>
  <si>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</si>
  <si>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</si>
  <si>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</si>
  <si>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</si>
  <si>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</si>
  <si>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</si>
  <si>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</si>
  <si>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</si>
  <si>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</si>
  <si>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</si>
  <si>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</si>
  <si>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</si>
  <si>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</si>
  <si>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</si>
  <si>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</si>
  <si>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</si>
  <si>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</si>
  <si>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</si>
  <si>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</si>
  <si>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</si>
  <si>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</si>
  <si>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</si>
  <si>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</si>
  <si>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</si>
  <si>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</si>
  <si>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</si>
  <si>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</si>
  <si>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</si>
  <si>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</si>
  <si>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</si>
  <si>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</si>
  <si>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</si>
  <si>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</si>
  <si>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</si>
  <si>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</si>
  <si>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</si>
  <si>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</si>
  <si>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</si>
  <si>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</si>
  <si>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</si>
  <si>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</si>
  <si>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</si>
  <si>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</si>
  <si>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</si>
  <si>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</si>
  <si>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</si>
  <si>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</si>
  <si>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</si>
  <si>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</si>
  <si>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</si>
  <si>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</si>
  <si>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</si>
  <si>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</si>
  <si>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</si>
  <si>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</si>
  <si>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</si>
  <si>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</si>
  <si>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</si>
  <si>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</si>
  <si>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</si>
  <si>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</si>
  <si>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</si>
  <si>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</si>
  <si>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</si>
  <si>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</si>
  <si>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</si>
  <si>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</si>
  <si>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</si>
  <si>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</si>
  <si>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</si>
  <si>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</si>
  <si>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</si>
  <si>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</si>
  <si>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</si>
  <si>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</si>
  <si>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</si>
  <si>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</si>
  <si>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</si>
  <si>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</si>
  <si>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</si>
  <si>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</si>
  <si>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</si>
  <si>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</si>
  <si>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</si>
  <si>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</si>
  <si>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</si>
  <si>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</si>
  <si>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</si>
  <si>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</si>
  <si>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</si>
  <si>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</si>
  <si>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</si>
  <si>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</si>
  <si>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</si>
  <si>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</si>
  <si>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</si>
  <si>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</si>
  <si>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</si>
  <si>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</si>
  <si>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</si>
  <si>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</si>
  <si>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</si>
  <si>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</si>
  <si>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</si>
  <si>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</si>
  <si>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</si>
  <si>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</si>
  <si>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</si>
  <si>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</si>
  <si>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</si>
  <si>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</si>
  <si>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</si>
  <si>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</si>
  <si>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</si>
  <si>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</si>
  <si>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</si>
  <si>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</si>
  <si>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</si>
  <si>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</si>
  <si>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</si>
  <si>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</si>
  <si>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</si>
  <si>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</si>
  <si>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</si>
  <si>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</si>
  <si>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</si>
  <si>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</si>
  <si>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</si>
  <si>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</si>
  <si>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</si>
  <si>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</si>
  <si>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</si>
  <si>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</si>
  <si>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</si>
  <si>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</si>
  <si>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</si>
  <si>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</si>
  <si>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</si>
  <si>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</si>
  <si>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</si>
  <si>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</si>
  <si>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</si>
  <si>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</si>
  <si>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</si>
  <si>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</si>
  <si>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</si>
  <si>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</si>
  <si>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</si>
  <si>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</si>
  <si>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</si>
  <si>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</si>
  <si>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</si>
  <si>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</si>
  <si>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</si>
  <si>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</si>
  <si>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</si>
  <si>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</si>
  <si>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</si>
  <si>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</si>
  <si>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</si>
  <si>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</si>
  <si>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</si>
  <si>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</si>
  <si>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</si>
  <si>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</si>
  <si>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</si>
  <si>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</si>
  <si>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</si>
  <si>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</si>
  <si>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</si>
  <si>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</si>
  <si>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</si>
  <si>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</si>
  <si>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</si>
  <si>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</si>
  <si>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</si>
  <si>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</si>
  <si>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</si>
  <si>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</si>
  <si>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</si>
  <si>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</si>
  <si>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</si>
  <si>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</si>
  <si>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</si>
  <si>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</si>
  <si>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</si>
  <si>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</si>
  <si>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</si>
  <si>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</si>
  <si>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</si>
  <si>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</si>
  <si>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</si>
  <si>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</si>
  <si>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</si>
  <si>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</si>
  <si>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</si>
  <si>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</si>
  <si>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</si>
  <si>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</si>
  <si>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</si>
  <si>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</si>
  <si>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</si>
  <si>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</si>
  <si>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</si>
  <si>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</si>
  <si>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</si>
  <si>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</si>
  <si>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</si>
  <si>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</si>
  <si>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</si>
  <si>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</si>
  <si>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</si>
  <si>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</si>
  <si>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</si>
  <si>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</si>
  <si>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</si>
  <si>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</si>
  <si>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</si>
  <si>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</si>
  <si>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</si>
  <si>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</si>
  <si>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</si>
  <si>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</si>
  <si>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</si>
  <si>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</si>
  <si>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</si>
  <si>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</si>
  <si>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</si>
  <si>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</si>
  <si>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</si>
  <si>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</si>
  <si>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</si>
  <si>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</si>
  <si>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</si>
  <si>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</si>
  <si>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</si>
  <si>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</si>
  <si>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</si>
  <si>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</si>
  <si>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</si>
  <si>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</si>
  <si>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</si>
  <si>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</si>
  <si>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</si>
  <si>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</si>
  <si>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</si>
  <si>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</si>
  <si>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</si>
  <si>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</si>
  <si>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</si>
  <si>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</si>
  <si>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</si>
  <si>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</si>
  <si>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</si>
  <si>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</si>
  <si>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</si>
  <si>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</si>
  <si>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</si>
  <si>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</si>
  <si>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</si>
  <si>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</si>
  <si>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</si>
  <si>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</si>
  <si>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</si>
  <si>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</si>
  <si>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</si>
  <si>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</si>
  <si>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</si>
  <si>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</si>
  <si>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</si>
  <si>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</si>
  <si>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</si>
  <si>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</si>
  <si>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</si>
  <si>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</si>
  <si>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</si>
  <si>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</si>
  <si>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</si>
  <si>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</si>
  <si>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</si>
  <si>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</si>
  <si>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</si>
  <si>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</si>
  <si>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</si>
  <si>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</si>
  <si>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</si>
  <si>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</si>
  <si>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</si>
  <si>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</si>
  <si>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</si>
  <si>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</si>
  <si>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</si>
  <si>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</si>
  <si>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</si>
  <si>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</si>
  <si>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</si>
  <si>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</si>
  <si>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</si>
  <si>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</si>
  <si>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</si>
  <si>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</si>
  <si>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</si>
  <si>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</si>
  <si>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</si>
  <si>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</si>
  <si>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</si>
  <si>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</si>
  <si>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</si>
  <si>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</si>
  <si>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</si>
  <si>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</si>
  <si>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</si>
  <si>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</si>
  <si>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</si>
  <si>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</si>
  <si>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</si>
  <si>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</si>
  <si>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</si>
  <si>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</si>
  <si>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</si>
  <si>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</si>
  <si>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</si>
  <si>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</si>
  <si>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</si>
  <si>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</si>
  <si>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</si>
  <si>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</si>
  <si>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</si>
  <si>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</si>
  <si>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</si>
  <si>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</si>
  <si>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</si>
  <si>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</si>
  <si>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</si>
  <si>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</si>
  <si>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</si>
  <si>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</si>
  <si>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</si>
  <si>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</si>
  <si>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</si>
  <si>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</si>
  <si>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</si>
  <si>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</si>
  <si>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</si>
  <si>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</si>
  <si>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</si>
  <si>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</si>
  <si>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</si>
  <si>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</si>
  <si>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</si>
  <si>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</si>
  <si>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</si>
  <si>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</si>
  <si>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</si>
  <si>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</si>
  <si>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</si>
  <si>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</si>
  <si>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</si>
  <si>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</si>
  <si>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</si>
  <si>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</si>
  <si>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</si>
  <si>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</si>
  <si>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</si>
  <si>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</si>
  <si>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</si>
  <si>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</si>
  <si>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</si>
  <si>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</si>
  <si>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</si>
  <si>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</si>
  <si>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</si>
  <si>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</si>
  <si>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</si>
  <si>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</si>
  <si>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</si>
  <si>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</si>
  <si>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</si>
  <si>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</si>
  <si>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</si>
  <si>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</si>
  <si>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</si>
  <si>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</si>
  <si>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</si>
  <si>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</si>
  <si>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</si>
  <si>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</si>
  <si>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</si>
  <si>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</si>
  <si>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</si>
  <si>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</si>
  <si>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</si>
  <si>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</si>
  <si>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</si>
  <si>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</si>
  <si>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</si>
  <si>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</si>
  <si>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</si>
  <si>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</si>
  <si>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</si>
  <si>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</si>
  <si>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</si>
  <si>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</si>
  <si>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</si>
  <si>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</si>
  <si>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</si>
  <si>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</si>
  <si>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</si>
  <si>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</si>
  <si>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</si>
  <si>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</si>
  <si>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</si>
  <si>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</si>
  <si>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</si>
  <si>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</si>
  <si>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</si>
  <si>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</si>
  <si>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</si>
  <si>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</si>
  <si>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</si>
  <si>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</si>
  <si>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</si>
  <si>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</si>
  <si>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</si>
  <si>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</si>
  <si>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</si>
  <si>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</si>
  <si>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</si>
  <si>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</si>
  <si>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</si>
  <si>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</si>
  <si>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</si>
  <si>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</si>
  <si>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</si>
  <si>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</si>
  <si>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</si>
  <si>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</si>
  <si>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</si>
  <si>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</si>
  <si>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</si>
  <si>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</si>
  <si>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</si>
  <si>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</si>
  <si>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</si>
  <si>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</si>
  <si>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</si>
  <si>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</si>
  <si>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</si>
  <si>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</si>
  <si>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</si>
  <si>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</si>
  <si>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</si>
  <si>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</si>
  <si>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</si>
  <si>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</si>
  <si>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</si>
  <si>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</si>
  <si>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</si>
  <si>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</si>
  <si>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</si>
  <si>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</si>
  <si>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</si>
  <si>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</si>
  <si>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</si>
  <si>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</si>
  <si>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</si>
  <si>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</si>
  <si>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</si>
  <si>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</si>
  <si>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</si>
  <si>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</si>
  <si>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</si>
  <si>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</si>
  <si>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</si>
  <si>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</si>
  <si>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</si>
  <si>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</si>
  <si>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</si>
  <si>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</si>
  <si>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</si>
  <si>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</si>
  <si>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</si>
  <si>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</si>
  <si>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</si>
  <si>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</si>
  <si>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</si>
  <si>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</si>
  <si>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</si>
  <si>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</si>
  <si>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</si>
  <si>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</si>
  <si>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</si>
  <si>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</si>
  <si>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</si>
  <si>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</si>
  <si>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</si>
  <si>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</si>
  <si>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</si>
  <si>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</si>
  <si>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</si>
  <si>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</si>
  <si>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</si>
  <si>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</si>
  <si>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</si>
  <si>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</si>
  <si>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</si>
  <si>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</si>
  <si>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</si>
  <si>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</si>
  <si>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</si>
  <si>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</si>
  <si>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</si>
  <si>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</si>
  <si>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</si>
  <si>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</si>
  <si>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</si>
  <si>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</si>
  <si>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</si>
  <si>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</si>
  <si>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</si>
  <si>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</si>
  <si>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</si>
  <si>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</si>
  <si>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</si>
  <si>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</si>
  <si>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</si>
  <si>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</si>
  <si>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</si>
  <si>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</si>
  <si>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</si>
  <si>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</si>
  <si>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</si>
  <si>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</si>
  <si>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</si>
  <si>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</si>
  <si>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</si>
  <si>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</si>
  <si>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</si>
  <si>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</si>
  <si>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</si>
  <si>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</si>
  <si>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</si>
  <si>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</si>
  <si>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</si>
  <si>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</si>
  <si>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</si>
  <si>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</si>
  <si>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</si>
  <si>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</si>
  <si>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</si>
  <si>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</si>
  <si>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</si>
  <si>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</si>
  <si>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</si>
  <si>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</si>
  <si>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</si>
  <si>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</si>
  <si>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</si>
  <si>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</si>
  <si>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</si>
  <si>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</si>
  <si>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</si>
  <si>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</si>
  <si>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</si>
  <si>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</si>
  <si>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</si>
  <si>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</si>
  <si>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</si>
  <si>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</si>
  <si>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</si>
  <si>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</si>
  <si>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</si>
  <si>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</si>
  <si>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</si>
  <si>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</si>
  <si>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</si>
  <si>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</si>
  <si>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</si>
  <si>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</si>
  <si>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</si>
  <si>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</si>
  <si>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</si>
  <si>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</si>
  <si>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</si>
  <si>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</si>
  <si>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</si>
  <si>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</si>
  <si>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</si>
  <si>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</si>
  <si>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</si>
  <si>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</si>
  <si>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</si>
  <si>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</si>
  <si>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</si>
  <si>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</si>
  <si>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</si>
  <si>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</si>
  <si>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</si>
  <si>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</si>
  <si>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</si>
  <si>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</si>
  <si>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</si>
  <si>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</si>
  <si>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</si>
  <si>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</si>
  <si>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</si>
  <si>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</si>
  <si>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</si>
  <si>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</si>
  <si>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</si>
  <si>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</si>
  <si>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</si>
  <si>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</si>
  <si>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</si>
  <si>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</si>
  <si>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</si>
  <si>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</si>
  <si>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</si>
  <si>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</si>
  <si>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</si>
  <si>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</si>
  <si>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</si>
  <si>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</si>
  <si>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</si>
  <si>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</si>
  <si>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</si>
  <si>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</si>
  <si>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</si>
  <si>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</si>
  <si>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</si>
  <si>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</si>
  <si>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</si>
  <si>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</si>
  <si>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</si>
  <si>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</si>
  <si>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</si>
  <si>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</si>
  <si>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</si>
  <si>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</si>
  <si>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</si>
  <si>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</si>
  <si>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</si>
  <si>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</si>
  <si>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</si>
  <si>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</si>
  <si>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</si>
  <si>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</si>
  <si>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</si>
  <si>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</si>
  <si>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</si>
  <si>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</si>
  <si>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</si>
  <si>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</si>
  <si>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</si>
  <si>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</si>
  <si>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</si>
  <si>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</si>
  <si>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</si>
  <si>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</si>
  <si>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</si>
  <si>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</si>
  <si>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</si>
  <si>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</si>
  <si>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</si>
  <si>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</si>
  <si>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</si>
  <si>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</si>
  <si>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</si>
  <si>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</si>
  <si>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</si>
  <si>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</si>
  <si>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</si>
  <si>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</si>
  <si>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</si>
  <si>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</si>
  <si>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</si>
  <si>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</si>
  <si>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</si>
  <si>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</si>
  <si>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</si>
  <si>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</si>
  <si>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</si>
  <si>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</si>
  <si>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</si>
  <si>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</si>
  <si>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</si>
  <si>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</si>
  <si>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</si>
  <si>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</si>
  <si>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</si>
  <si>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</si>
  <si>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</si>
  <si>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</si>
  <si>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</si>
  <si>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</si>
  <si>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</si>
  <si>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</si>
  <si>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</si>
  <si>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</si>
  <si>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</si>
  <si>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</si>
  <si>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</si>
  <si>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</si>
  <si>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</si>
  <si>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</si>
  <si>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</si>
  <si>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</si>
  <si>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</si>
  <si>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</si>
  <si>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</si>
  <si>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</si>
  <si>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</si>
  <si>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</si>
  <si>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</si>
  <si>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</si>
  <si>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</si>
  <si>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</si>
  <si>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</si>
  <si>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</si>
  <si>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</si>
  <si>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</si>
  <si>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</si>
  <si>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</si>
  <si>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</si>
  <si>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</si>
  <si>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</si>
  <si>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</si>
  <si>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</si>
  <si>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</si>
  <si>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</si>
  <si>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</si>
  <si>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</si>
  <si>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</si>
  <si>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</si>
  <si>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</si>
  <si>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</si>
  <si>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</si>
  <si>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</si>
  <si>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</si>
  <si>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</si>
  <si>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</si>
  <si>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</si>
  <si>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</si>
  <si>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</si>
  <si>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</si>
  <si>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</si>
  <si>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</si>
  <si>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</si>
  <si>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</si>
  <si>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</si>
  <si>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</si>
  <si>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</si>
  <si>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</si>
  <si>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</si>
  <si>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</si>
  <si>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</si>
  <si>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</si>
  <si>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</si>
  <si>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</si>
  <si>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</si>
  <si>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</si>
  <si>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</si>
  <si>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</si>
  <si>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</si>
  <si>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</si>
  <si>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</si>
  <si>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</si>
  <si>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</si>
  <si>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</si>
  <si>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</si>
  <si>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</si>
  <si>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</si>
  <si>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</si>
  <si>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</si>
  <si>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</si>
  <si>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</si>
  <si>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</si>
  <si>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</si>
  <si>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</si>
  <si>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</si>
  <si>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</si>
  <si>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</si>
  <si>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</si>
  <si>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</si>
  <si>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</si>
  <si>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</si>
  <si>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</si>
  <si>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</si>
  <si>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</si>
  <si>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</si>
  <si>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</si>
  <si>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</si>
  <si>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</si>
  <si>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</si>
  <si>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</si>
  <si>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</si>
  <si>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</si>
  <si>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</si>
  <si>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</si>
  <si>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</si>
  <si>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</si>
  <si>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</si>
  <si>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</si>
  <si>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</si>
  <si>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</si>
  <si>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</si>
  <si>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</si>
  <si>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</si>
  <si>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</si>
  <si>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</si>
  <si>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</si>
  <si>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</si>
  <si>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</si>
  <si>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</si>
  <si>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</si>
  <si>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</si>
  <si>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</si>
  <si>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</si>
  <si>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</si>
  <si>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</si>
  <si>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</si>
  <si>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</si>
  <si>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</si>
  <si>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</si>
  <si>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</si>
  <si>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</si>
  <si>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</si>
  <si>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</si>
  <si>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</si>
  <si>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</si>
  <si>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</si>
  <si>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</si>
  <si>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</si>
  <si>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</si>
  <si>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</si>
  <si>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</si>
  <si>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</si>
  <si>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</si>
  <si>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</si>
  <si>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</si>
  <si>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</si>
  <si>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</si>
  <si>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</si>
  <si>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</si>
  <si>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</si>
  <si>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</si>
  <si>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</si>
  <si>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</si>
  <si>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</si>
  <si>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</si>
  <si>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</si>
  <si>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</si>
  <si>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</si>
  <si>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</si>
  <si>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</si>
  <si>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</si>
  <si>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</si>
  <si>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</si>
  <si>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</si>
  <si>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</si>
  <si>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</si>
  <si>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</si>
  <si>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</si>
  <si>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</si>
  <si>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</si>
  <si>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</si>
  <si>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</si>
  <si>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</si>
  <si>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</si>
  <si>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</si>
  <si>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</si>
  <si>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</si>
  <si>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</si>
  <si>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</si>
  <si>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</si>
  <si>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</si>
  <si>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</si>
  <si>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</si>
  <si>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</si>
  <si>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</si>
  <si>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</si>
  <si>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</si>
  <si>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</si>
  <si>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</si>
  <si>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</si>
  <si>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</si>
  <si>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</si>
  <si>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</si>
  <si>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</si>
  <si>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</si>
  <si>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</si>
  <si>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</si>
  <si>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</si>
  <si>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</si>
  <si>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</si>
  <si>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</si>
  <si>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</si>
  <si>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</si>
  <si>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</si>
  <si>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</si>
  <si>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</si>
  <si>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</si>
  <si>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</si>
  <si>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</si>
  <si>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</si>
  <si>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</si>
  <si>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</si>
  <si>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</si>
  <si>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</si>
  <si>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</si>
  <si>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</si>
  <si>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</si>
  <si>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</si>
  <si>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</si>
  <si>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</si>
  <si>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</si>
  <si>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</si>
  <si>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</si>
  <si>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</si>
  <si>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</si>
  <si>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</si>
  <si>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</si>
  <si>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</si>
  <si>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</si>
  <si>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</si>
  <si>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</si>
  <si>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</si>
  <si>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</si>
  <si>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</si>
  <si>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</si>
  <si>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</si>
  <si>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</si>
  <si>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</si>
  <si>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</si>
  <si>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</si>
  <si>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</si>
  <si>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</si>
  <si>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</si>
  <si>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</si>
  <si>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</si>
  <si>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</si>
  <si>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</si>
  <si>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</si>
  <si>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</si>
  <si>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</si>
  <si>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</si>
  <si>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</si>
  <si>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</si>
  <si>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</si>
  <si>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</si>
  <si>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</si>
  <si>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</si>
  <si>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</si>
  <si>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</si>
  <si>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</si>
  <si>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</si>
  <si>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</si>
  <si>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</si>
  <si>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</si>
  <si>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</si>
  <si>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</si>
  <si>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</si>
  <si>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</si>
  <si>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</si>
  <si>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</si>
  <si>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</si>
  <si>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</si>
  <si>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</si>
  <si>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</si>
  <si>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</si>
  <si>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</si>
  <si>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</si>
  <si>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</si>
  <si>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</si>
  <si>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</si>
  <si>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</si>
  <si>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</si>
  <si>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</si>
  <si>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</si>
  <si>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</si>
  <si>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</si>
  <si>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</si>
  <si>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</si>
  <si>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</si>
  <si>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</si>
  <si>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</si>
  <si>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</si>
  <si>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</si>
  <si>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</si>
  <si>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</si>
  <si>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</si>
  <si>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</si>
  <si>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</si>
  <si>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</si>
  <si>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</si>
  <si>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</si>
  <si>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</si>
  <si>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</si>
  <si>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</si>
  <si>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</si>
  <si>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</si>
  <si>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</si>
  <si>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</si>
  <si>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</si>
  <si>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</si>
  <si>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</si>
  <si>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</si>
  <si>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</si>
  <si>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</si>
  <si>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</si>
  <si>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</si>
  <si>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</si>
  <si>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</si>
  <si>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</si>
  <si>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</si>
  <si>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</si>
  <si>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</si>
  <si>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</si>
  <si>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</si>
  <si>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</si>
  <si>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</si>
  <si>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</si>
  <si>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</si>
  <si>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</si>
  <si>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</si>
  <si>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</si>
  <si>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</si>
  <si>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</si>
  <si>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</si>
  <si>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</si>
  <si>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</si>
  <si>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</si>
  <si>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</si>
  <si>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</si>
  <si>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</si>
  <si>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</si>
  <si>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</si>
  <si>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</si>
  <si>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</si>
  <si>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</si>
  <si>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</si>
  <si>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</si>
  <si>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</si>
  <si>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</si>
  <si>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</si>
  <si>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</si>
  <si>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</si>
  <si>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</si>
  <si>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</si>
  <si>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</si>
  <si>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</si>
  <si>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</si>
  <si>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</si>
  <si>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</si>
  <si>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</si>
  <si>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</si>
  <si>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</si>
  <si>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</si>
  <si>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</si>
  <si>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</si>
  <si>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</si>
  <si>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</si>
  <si>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</si>
  <si>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</si>
  <si>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</si>
  <si>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</si>
  <si>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</si>
  <si>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</si>
  <si>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</si>
  <si>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</si>
  <si>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</si>
  <si>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</si>
  <si>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</si>
  <si>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</si>
  <si>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</si>
  <si>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</si>
  <si>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</si>
  <si>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</si>
  <si>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</si>
  <si>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</si>
  <si>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</si>
  <si>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</si>
  <si>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</si>
  <si>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</si>
  <si>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</si>
  <si>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</si>
  <si>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</si>
  <si>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</si>
  <si>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</si>
  <si>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</si>
  <si>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</si>
  <si>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</si>
  <si>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</si>
  <si>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</si>
  <si>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</si>
  <si>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</si>
  <si>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</si>
  <si>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</si>
  <si>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</si>
  <si>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</si>
  <si>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</si>
  <si>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</si>
  <si>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</si>
  <si>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</si>
  <si>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</si>
  <si>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</si>
  <si>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</si>
  <si>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</si>
  <si>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</si>
  <si>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</si>
  <si>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</si>
  <si>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</si>
  <si>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</si>
  <si>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</si>
  <si>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</si>
  <si>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</si>
  <si>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</si>
  <si>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</si>
  <si>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</si>
  <si>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</si>
  <si>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</si>
  <si>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</si>
  <si>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</si>
  <si>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</si>
  <si>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</si>
  <si>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</si>
  <si>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</si>
  <si>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</si>
  <si>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</si>
  <si>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</si>
  <si>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</si>
  <si>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</si>
  <si>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</si>
  <si>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</si>
  <si>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</si>
  <si>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</si>
  <si>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</si>
  <si>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</si>
  <si>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</si>
  <si>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</si>
  <si>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</si>
  <si>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</si>
  <si>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</si>
  <si>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</si>
  <si>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</si>
  <si>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</si>
  <si>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</si>
  <si>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</si>
  <si>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</si>
  <si>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</si>
  <si>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</si>
  <si>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</si>
  <si>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</si>
  <si>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</si>
  <si>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</si>
  <si>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</si>
  <si>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</si>
  <si>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</si>
  <si>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</si>
  <si>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</si>
  <si>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</si>
  <si>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</si>
  <si>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</si>
  <si>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</si>
  <si>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</si>
  <si>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</si>
  <si>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</si>
  <si>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</si>
  <si>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</si>
  <si>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</si>
  <si>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</si>
  <si>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</si>
  <si>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</si>
  <si>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</si>
  <si>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</si>
  <si>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</si>
  <si>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</si>
  <si>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</si>
  <si>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</si>
  <si>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</si>
  <si>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</si>
  <si>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</si>
  <si>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</si>
  <si>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</si>
  <si>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</si>
  <si>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</si>
  <si>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</si>
  <si>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</si>
  <si>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</si>
  <si>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</si>
  <si>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</si>
  <si>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</si>
  <si>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</si>
  <si>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</si>
  <si>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</si>
  <si>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</si>
  <si>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</si>
  <si>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</si>
  <si>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</si>
  <si>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</si>
  <si>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</si>
  <si>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</si>
  <si>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</si>
  <si>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</si>
  <si>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</si>
  <si>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</si>
  <si>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</si>
  <si>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</si>
  <si>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</si>
  <si>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</si>
  <si>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</si>
  <si>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</si>
  <si>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</si>
  <si>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</si>
  <si>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</si>
  <si>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</si>
  <si>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</si>
  <si>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</si>
  <si>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</si>
  <si>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</si>
  <si>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</si>
  <si>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</si>
  <si>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</si>
  <si>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</si>
  <si>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</si>
  <si>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</si>
  <si>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</si>
  <si>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</si>
  <si>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</si>
  <si>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</si>
  <si>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</si>
  <si>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</si>
  <si>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</si>
  <si>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</si>
  <si>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</si>
  <si>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</si>
  <si>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</si>
  <si>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</si>
  <si>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</si>
  <si>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</si>
  <si>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</si>
  <si>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</si>
  <si>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</si>
  <si>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</si>
  <si>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</si>
  <si>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</si>
  <si>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</si>
  <si>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</si>
  <si>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</si>
  <si>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</si>
  <si>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</si>
  <si>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</si>
  <si>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</si>
  <si>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</si>
  <si>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</si>
  <si>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</si>
  <si>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</si>
  <si>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</si>
  <si>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</si>
  <si>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</si>
  <si>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</si>
  <si>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</si>
  <si>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</si>
  <si>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</si>
  <si>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</si>
  <si>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</si>
  <si>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</si>
  <si>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</si>
  <si>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</si>
  <si>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</si>
  <si>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</si>
  <si>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</si>
  <si>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</si>
  <si>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</si>
  <si>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</si>
  <si>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</si>
  <si>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</si>
  <si>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</si>
  <si>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</si>
  <si>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</si>
  <si>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</si>
  <si>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</si>
  <si>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</si>
  <si>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</si>
  <si>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</si>
  <si>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</si>
  <si>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</si>
  <si>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</si>
  <si>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</si>
  <si>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</si>
  <si>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</si>
  <si>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</si>
  <si>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</si>
  <si>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</si>
  <si>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</si>
  <si>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</si>
  <si>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</si>
  <si>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</si>
  <si>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</si>
  <si>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</si>
  <si>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</si>
  <si>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</si>
  <si>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</si>
  <si>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</si>
  <si>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</si>
  <si>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</si>
  <si>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</si>
  <si>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</si>
  <si>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</si>
  <si>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</si>
  <si>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</si>
  <si>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</si>
  <si>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</si>
  <si>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</si>
  <si>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</si>
  <si>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</si>
  <si>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</si>
  <si>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</si>
  <si>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</si>
  <si>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</si>
  <si>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</si>
  <si>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</si>
  <si>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</si>
  <si>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</si>
  <si>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</si>
  <si>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</si>
  <si>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</si>
  <si>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</si>
  <si>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</si>
  <si>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</si>
  <si>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</si>
  <si>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</si>
  <si>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</si>
  <si>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</si>
  <si>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</si>
  <si>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</si>
  <si>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</si>
  <si>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</si>
  <si>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</si>
  <si>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</si>
  <si>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</si>
  <si>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</si>
  <si>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</si>
  <si>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</si>
  <si>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</si>
  <si>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</si>
  <si>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</si>
  <si>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</si>
  <si>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</si>
  <si>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</si>
  <si>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</si>
  <si>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</si>
  <si>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</si>
  <si>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</si>
  <si>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</si>
  <si>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</si>
  <si>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</si>
  <si>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</si>
  <si>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</si>
  <si>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</si>
  <si>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</si>
  <si>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</si>
  <si>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</si>
  <si>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</si>
  <si>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</si>
  <si>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</si>
  <si>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</si>
  <si>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</si>
  <si>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</si>
  <si>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</si>
  <si>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</si>
  <si>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</si>
  <si>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</si>
  <si>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</si>
  <si>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</si>
  <si>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</si>
  <si>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</si>
  <si>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</si>
  <si>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</si>
  <si>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</si>
  <si>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</si>
  <si>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</si>
  <si>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</si>
  <si>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</si>
  <si>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</si>
  <si>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</si>
  <si>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</si>
  <si>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</si>
  <si>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</si>
  <si>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</si>
  <si>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</si>
  <si>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</si>
  <si>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</si>
  <si>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</si>
  <si>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</si>
  <si>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</si>
  <si>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</si>
  <si>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</si>
  <si>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</si>
  <si>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</si>
  <si>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</si>
  <si>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</si>
  <si>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</si>
  <si>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</si>
  <si>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</si>
  <si>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</si>
  <si>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</si>
  <si>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</si>
  <si>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</si>
  <si>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</si>
  <si>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</si>
  <si>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</si>
  <si>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</si>
  <si>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</si>
  <si>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</si>
  <si>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</si>
  <si>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</si>
  <si>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</si>
  <si>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</si>
  <si>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</si>
  <si>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</si>
  <si>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</si>
  <si>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</si>
  <si>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</si>
  <si>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</si>
  <si>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</si>
  <si>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</si>
  <si>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</si>
  <si>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</si>
  <si>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</si>
  <si>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</si>
  <si>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</si>
  <si>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</si>
  <si>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</si>
  <si>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</si>
  <si>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</si>
  <si>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</si>
  <si>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</si>
  <si>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</si>
  <si>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</si>
  <si>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</si>
  <si>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</si>
  <si>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</si>
  <si>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</si>
  <si>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</si>
  <si>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</si>
  <si>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</si>
  <si>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</si>
  <si>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</si>
  <si>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</si>
  <si>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</si>
  <si>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</si>
  <si>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</si>
  <si>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</si>
  <si>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</si>
  <si>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</si>
  <si>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</si>
  <si>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</si>
  <si>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</si>
  <si>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</si>
  <si>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</si>
  <si>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</si>
  <si>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</si>
  <si>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</si>
  <si>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</si>
  <si>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</si>
  <si>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</si>
  <si>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</si>
  <si>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</si>
  <si>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</si>
  <si>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</si>
  <si>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</si>
  <si>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</si>
  <si>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</si>
  <si>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</si>
  <si>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</si>
  <si>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</si>
  <si>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</si>
  <si>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</si>
  <si>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</si>
  <si>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</si>
  <si>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</si>
  <si>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</si>
  <si>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</si>
  <si>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</si>
  <si>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</si>
  <si>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</si>
  <si>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</si>
  <si>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</si>
  <si>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</si>
  <si>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</si>
  <si>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</si>
  <si>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</si>
  <si>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</si>
  <si>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</si>
  <si>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</si>
  <si>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</si>
  <si>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</si>
  <si>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</si>
  <si>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</si>
  <si>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</si>
  <si>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</si>
  <si>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</si>
  <si>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</si>
  <si>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</si>
  <si>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</si>
  <si>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</si>
  <si>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</si>
  <si>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</si>
  <si>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</si>
  <si>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</si>
  <si>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</si>
  <si>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</si>
  <si>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</si>
  <si>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</si>
  <si>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</si>
  <si>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</si>
  <si>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</si>
  <si>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</si>
  <si>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</si>
  <si>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</si>
  <si>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</si>
  <si>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</si>
  <si>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</si>
  <si>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</si>
  <si>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</si>
  <si>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</si>
  <si>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</si>
  <si>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</si>
  <si>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</si>
  <si>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</si>
  <si>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</si>
  <si>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</si>
  <si>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</si>
  <si>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</si>
  <si>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</si>
  <si>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</si>
  <si>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</si>
  <si>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</si>
  <si>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</si>
  <si>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</si>
  <si>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</si>
  <si>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</si>
  <si>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</si>
  <si>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</si>
  <si>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</si>
  <si>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</si>
  <si>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</si>
  <si>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</si>
  <si>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</si>
  <si>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</si>
  <si>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</si>
  <si>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</si>
  <si>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</si>
  <si>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</si>
  <si>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</si>
  <si>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</si>
  <si>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</si>
  <si>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</si>
  <si>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</si>
  <si>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</si>
  <si>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</si>
  <si>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</si>
  <si>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</si>
  <si>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</si>
  <si>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</si>
  <si>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</si>
  <si>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</si>
  <si>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</si>
  <si>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</si>
  <si>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</si>
  <si>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</si>
  <si>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</si>
  <si>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</si>
  <si>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</si>
  <si>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</si>
  <si>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</si>
  <si>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</si>
  <si>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</si>
  <si>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</si>
  <si>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</si>
  <si>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</si>
  <si>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</si>
  <si>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</si>
  <si>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</si>
  <si>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</si>
  <si>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</si>
  <si>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</si>
  <si>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</si>
  <si>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</si>
  <si>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</si>
  <si>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</si>
  <si>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</si>
  <si>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</si>
  <si>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</si>
  <si>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</si>
  <si>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</si>
  <si>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</si>
  <si>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</si>
  <si>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</si>
  <si>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</si>
  <si>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</si>
  <si>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</si>
  <si>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</si>
  <si>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</si>
  <si>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</si>
  <si>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</si>
  <si>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</si>
  <si>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</si>
  <si>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</si>
  <si>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</si>
  <si>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</si>
  <si>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</si>
  <si>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</si>
  <si>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</si>
  <si>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</si>
  <si>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</si>
  <si>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</si>
  <si>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</si>
  <si>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</si>
  <si>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</si>
  <si>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</si>
  <si>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</si>
  <si>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</si>
  <si>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</si>
  <si>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</si>
  <si>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</si>
  <si>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</si>
  <si>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</si>
  <si>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</si>
  <si>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</si>
  <si>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</si>
  <si>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</si>
  <si>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</si>
  <si>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</si>
  <si>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</si>
  <si>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</si>
  <si>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</si>
  <si>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</si>
  <si>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</si>
  <si>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</si>
  <si>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</si>
  <si>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</si>
  <si>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</si>
  <si>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</si>
  <si>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</si>
  <si>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</si>
  <si>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</si>
  <si>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</si>
  <si>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</si>
  <si>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</si>
  <si>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</si>
  <si>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</si>
  <si>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</si>
  <si>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</si>
  <si>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</si>
  <si>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</si>
  <si>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</si>
  <si>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</si>
  <si>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</si>
  <si>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</si>
  <si>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</si>
  <si>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</si>
  <si>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</si>
  <si>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</si>
  <si>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</si>
  <si>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</si>
  <si>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</si>
  <si>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</si>
  <si>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</si>
  <si>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</si>
  <si>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</si>
  <si>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</si>
  <si>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</si>
  <si>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</si>
  <si>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</si>
  <si>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</si>
  <si>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</si>
  <si>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</si>
  <si>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</si>
  <si>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</si>
  <si>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</si>
  <si>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</si>
  <si>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</si>
  <si>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</si>
  <si>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</si>
  <si>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</si>
  <si>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</si>
  <si>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</si>
  <si>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</si>
  <si>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</si>
  <si>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</si>
  <si>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</si>
  <si>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</si>
  <si>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</si>
  <si>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</si>
  <si>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</si>
  <si>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</si>
  <si>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</si>
  <si>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</si>
  <si>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</si>
  <si>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</si>
  <si>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</si>
  <si>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</si>
  <si>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</si>
  <si>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</si>
  <si>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</si>
  <si>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</si>
  <si>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</si>
  <si>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</si>
  <si>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</si>
  <si>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</si>
  <si>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</si>
  <si>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</si>
  <si>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</si>
  <si>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</si>
  <si>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</si>
  <si>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</si>
  <si>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</si>
  <si>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</si>
  <si>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</si>
  <si>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</si>
  <si>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</si>
  <si>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</si>
  <si>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</si>
  <si>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</si>
  <si>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</si>
  <si>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</si>
  <si>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</si>
  <si>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</si>
  <si>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</si>
  <si>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</si>
  <si>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</si>
  <si>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</si>
  <si>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</si>
  <si>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</si>
  <si>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</si>
  <si>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</si>
  <si>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</si>
  <si>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</si>
  <si>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</si>
  <si>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</si>
  <si>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</si>
  <si>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</si>
  <si>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</si>
  <si>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</si>
  <si>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</si>
  <si>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</si>
  <si>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</si>
  <si>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</si>
  <si>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</si>
  <si>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</si>
  <si>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</si>
  <si>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</si>
  <si>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</si>
  <si>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</si>
  <si>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</si>
  <si>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</si>
  <si>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</si>
  <si>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</si>
  <si>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</si>
  <si>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</si>
  <si>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</si>
  <si>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</si>
  <si>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</si>
  <si>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</si>
  <si>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</si>
  <si>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</si>
  <si>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</si>
  <si>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</si>
  <si>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</si>
  <si>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</si>
  <si>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</si>
  <si>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</si>
  <si>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</si>
  <si>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</si>
  <si>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</si>
  <si>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</si>
  <si>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</si>
  <si>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</si>
  <si>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</si>
  <si>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</si>
  <si>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</si>
  <si>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</si>
  <si>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</si>
  <si>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</si>
  <si>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</si>
  <si>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</si>
  <si>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</si>
  <si>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</si>
  <si>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</si>
  <si>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</si>
  <si>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</si>
  <si>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</si>
  <si>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</si>
  <si>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</si>
  <si>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</si>
  <si>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</si>
  <si>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</si>
  <si>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</si>
  <si>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</si>
  <si>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</si>
  <si>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</si>
  <si>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</si>
  <si>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</si>
  <si>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</si>
  <si>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</si>
  <si>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</si>
  <si>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</si>
  <si>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</si>
  <si>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</si>
  <si>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</si>
  <si>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</si>
  <si>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</si>
  <si>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</si>
  <si>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</si>
  <si>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</si>
  <si>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</si>
  <si>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</si>
  <si>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</si>
  <si>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</si>
  <si>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</si>
  <si>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</si>
  <si>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</si>
  <si>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</si>
  <si>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</si>
  <si>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</si>
  <si>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</si>
  <si>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</si>
  <si>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</si>
  <si>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</si>
  <si>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</si>
  <si>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</si>
  <si>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</si>
  <si>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</si>
  <si>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</si>
  <si>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</si>
  <si>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</si>
  <si>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</si>
  <si>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</si>
  <si>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</si>
  <si>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</si>
  <si>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</si>
  <si>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</si>
  <si>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</si>
  <si>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</si>
  <si>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</si>
  <si>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</si>
  <si>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</si>
  <si>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</si>
  <si>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</si>
  <si>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</si>
  <si>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</si>
  <si>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</si>
  <si>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</si>
  <si>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</si>
  <si>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</si>
  <si>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</si>
  <si>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</si>
  <si>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</si>
  <si>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</si>
  <si>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</si>
  <si>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</si>
  <si>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</si>
  <si>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</si>
  <si>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</si>
  <si>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</si>
  <si>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</si>
  <si>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</si>
  <si>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</si>
  <si>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</si>
  <si>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</si>
  <si>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</si>
  <si>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</si>
  <si>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</si>
  <si>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</si>
  <si>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</si>
  <si>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</si>
  <si>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</si>
  <si>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</si>
  <si>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</si>
  <si>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</si>
  <si>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</si>
  <si>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</si>
  <si>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</si>
  <si>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</si>
  <si>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</si>
  <si>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</si>
  <si>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</si>
  <si>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</si>
  <si>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</si>
  <si>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</si>
  <si>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</si>
  <si>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</si>
  <si>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</si>
  <si>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</si>
  <si>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</si>
  <si>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</si>
  <si>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</si>
  <si>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</si>
  <si>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</si>
  <si>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</si>
  <si>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</si>
  <si>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</si>
  <si>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</si>
  <si>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</si>
  <si>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</si>
  <si>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</si>
  <si>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</si>
  <si>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</si>
  <si>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</si>
  <si>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</si>
  <si>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</si>
  <si>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</si>
  <si>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</si>
  <si>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</si>
  <si>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</si>
  <si>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</si>
  <si>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</si>
  <si>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</si>
  <si>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</si>
  <si>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</si>
  <si>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</si>
  <si>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</si>
  <si>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</si>
  <si>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</si>
  <si>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</si>
  <si>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</si>
  <si>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</si>
  <si>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</si>
  <si>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</si>
  <si>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</si>
  <si>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</si>
  <si>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</si>
  <si>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</si>
  <si>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</si>
  <si>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</si>
  <si>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</si>
  <si>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</si>
  <si>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</si>
  <si>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</si>
  <si>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</si>
  <si>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</si>
  <si>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</si>
  <si>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</si>
  <si>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</si>
  <si>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</si>
  <si>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</si>
  <si>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</si>
  <si>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</si>
  <si>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</si>
  <si>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</si>
  <si>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</si>
  <si>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</si>
  <si>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</si>
  <si>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</si>
  <si>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</si>
  <si>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</si>
  <si>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</si>
  <si>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</si>
  <si>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</si>
  <si>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</si>
  <si>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</si>
  <si>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</si>
  <si>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</si>
  <si>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</si>
  <si>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</si>
  <si>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</si>
  <si>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</si>
  <si>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</si>
  <si>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</si>
  <si>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</si>
  <si>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</si>
  <si>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</si>
  <si>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</si>
  <si>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</si>
  <si>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</si>
  <si>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</si>
  <si>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</si>
  <si>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</si>
  <si>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</si>
  <si>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</si>
  <si>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</si>
  <si>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</si>
  <si>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</si>
  <si>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</si>
  <si>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</si>
  <si>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</si>
  <si>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</si>
  <si>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</si>
  <si>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</si>
  <si>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</si>
  <si>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</si>
  <si>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</si>
  <si>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</si>
  <si>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</si>
  <si>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</si>
  <si>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</si>
  <si>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</si>
  <si>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</si>
  <si>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</si>
  <si>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</si>
  <si>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</si>
  <si>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</si>
  <si>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</si>
  <si>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</si>
  <si>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</si>
  <si>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</si>
  <si>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</si>
  <si>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</si>
  <si>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</si>
  <si>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</si>
  <si>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</si>
  <si>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</si>
  <si>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</si>
  <si>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</si>
  <si>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</si>
  <si>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</si>
  <si>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</si>
  <si>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</si>
  <si>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</si>
  <si>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</si>
  <si>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</si>
  <si>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</si>
  <si>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</si>
  <si>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</si>
  <si>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</si>
  <si>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</si>
  <si>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</si>
  <si>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</si>
  <si>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Escavação manual de valas até 1,5m.</t>
  </si>
  <si>
    <t>Reaterro de valas com compactação manual.</t>
  </si>
  <si>
    <t>Concreto Fck = 25 MPA, Traço 1:2,3:2,7, Preparo Mecânico com Betoneira 400 L - Vigas Baldrames</t>
  </si>
  <si>
    <t>CPU-05</t>
  </si>
  <si>
    <t>CPU-02</t>
  </si>
  <si>
    <t>CPU-03</t>
  </si>
  <si>
    <t>und</t>
  </si>
  <si>
    <t>Engenheiro Civil Junior com encargos complementares</t>
  </si>
  <si>
    <t>Descrição</t>
  </si>
  <si>
    <t>Adm e Controle</t>
  </si>
  <si>
    <t>PCMSO</t>
  </si>
  <si>
    <t>PPRA</t>
  </si>
  <si>
    <t>Galpão a ser demolido - Prancha 02/06</t>
  </si>
  <si>
    <t>Salas do Almoxarifado - Prancha 02/06 - A1</t>
  </si>
  <si>
    <t>Salas do Almoxarifado - Prancha 02/06 - A2</t>
  </si>
  <si>
    <t>Salas do Almoxarifado - Prancha 02/06 - A3</t>
  </si>
  <si>
    <t>Galpão a ser demolido</t>
  </si>
  <si>
    <t>Salas do Almoxarifado</t>
  </si>
  <si>
    <t>Espaçamento</t>
  </si>
  <si>
    <t>Varanda - A1</t>
  </si>
  <si>
    <t>Varanda - A2</t>
  </si>
  <si>
    <t>Sala 01</t>
  </si>
  <si>
    <t>Sala 02</t>
  </si>
  <si>
    <t>Sala 03</t>
  </si>
  <si>
    <t>Sala 04</t>
  </si>
  <si>
    <t>Sala 05</t>
  </si>
  <si>
    <t>Sala 06</t>
  </si>
  <si>
    <t>Sala 07</t>
  </si>
  <si>
    <t>Vestiário</t>
  </si>
  <si>
    <t>WC 01</t>
  </si>
  <si>
    <t>WC 02</t>
  </si>
  <si>
    <t>Quant</t>
  </si>
  <si>
    <t>Varanda</t>
  </si>
  <si>
    <t>Galpão</t>
  </si>
  <si>
    <t>Perímetro</t>
  </si>
  <si>
    <t>Quant. De Tomadas</t>
  </si>
  <si>
    <t>Circulação</t>
  </si>
  <si>
    <t>Total:</t>
  </si>
  <si>
    <t>JF1</t>
  </si>
  <si>
    <t>Varanda 1</t>
  </si>
  <si>
    <t>Varanda 2</t>
  </si>
  <si>
    <t>Varanda 3</t>
  </si>
  <si>
    <t>Varanda 4</t>
  </si>
  <si>
    <t>Largura (m)</t>
  </si>
  <si>
    <t>Comp. (m)</t>
  </si>
  <si>
    <t>Desconto das portas e vãos</t>
  </si>
  <si>
    <t>PM1</t>
  </si>
  <si>
    <t>PM2</t>
  </si>
  <si>
    <t>PM3</t>
  </si>
  <si>
    <t>Quantidade</t>
  </si>
  <si>
    <t>JF2</t>
  </si>
  <si>
    <t>JF3</t>
  </si>
  <si>
    <t>Altura (m)</t>
  </si>
  <si>
    <t>Desconto das áreas das portas</t>
  </si>
  <si>
    <t>Espessura (m)</t>
  </si>
  <si>
    <t>Comprimento (m)</t>
  </si>
  <si>
    <t>ÁREA TOTAL DE REVESTIMENTO CERÂMICO COM DESCONTO</t>
  </si>
  <si>
    <t>Subtotal</t>
  </si>
  <si>
    <t>Área (m²)</t>
  </si>
  <si>
    <t>-</t>
  </si>
  <si>
    <t>JV2</t>
  </si>
  <si>
    <t>PAL5</t>
  </si>
  <si>
    <t>Desconto de portas e janelas</t>
  </si>
  <si>
    <t>VALOR TORAL DA DEMOLIÇÃO DA ALVENARIA COM DESCONTO</t>
  </si>
  <si>
    <t>Calçada de contorno</t>
  </si>
  <si>
    <t>Remoção de peitoril em concreto</t>
  </si>
  <si>
    <t>Servente com encargos complementares</t>
  </si>
  <si>
    <t>h</t>
  </si>
  <si>
    <t>2.1.18</t>
  </si>
  <si>
    <t>2.1.19</t>
  </si>
  <si>
    <t>Demolição de emboço</t>
  </si>
  <si>
    <t>Pedreiro com encargos complementares</t>
  </si>
  <si>
    <t>PAL1</t>
  </si>
  <si>
    <t>VALOR TOTAL DA DEMOLIÇÃO DO EMBOÇO COM DESCONTO</t>
  </si>
  <si>
    <t>2.1.20</t>
  </si>
  <si>
    <t>CPU-07</t>
  </si>
  <si>
    <t>2.1.21</t>
  </si>
  <si>
    <t>Demolição de estrutura de madeira</t>
  </si>
  <si>
    <t>CPU-08</t>
  </si>
  <si>
    <t>2.1.22</t>
  </si>
  <si>
    <t>Carpinteiro com encargos complementares</t>
  </si>
  <si>
    <t>Ajudante de carpinteiro com encargos complementares</t>
  </si>
  <si>
    <t>Perímetro (m)</t>
  </si>
  <si>
    <t>Parede de madeira com desconto do piso em platô</t>
  </si>
  <si>
    <t>Lado</t>
  </si>
  <si>
    <t>2.1.23</t>
  </si>
  <si>
    <t>Fundos</t>
  </si>
  <si>
    <t>2.1.24</t>
  </si>
  <si>
    <t>Remoção de louça sanitária</t>
  </si>
  <si>
    <t>CPU-09</t>
  </si>
  <si>
    <t>WC 1</t>
  </si>
  <si>
    <t>WC 2</t>
  </si>
  <si>
    <t>Pia</t>
  </si>
  <si>
    <t>Vaso sanitário</t>
  </si>
  <si>
    <t>Retirada de torneiras</t>
  </si>
  <si>
    <t>CPU-10</t>
  </si>
  <si>
    <t>Retirada de ventilador de teto metálico</t>
  </si>
  <si>
    <t>CPU-11</t>
  </si>
  <si>
    <t>Eletricista com encargos complementares</t>
  </si>
  <si>
    <t>Remoção de raízes remanescentes de tronco de árvore com diâmetro maior ou igual a 0,20 m e menor que 0,40 m</t>
  </si>
  <si>
    <t>Ampliação</t>
  </si>
  <si>
    <t>Área de manobras de caminhões descoberta</t>
  </si>
  <si>
    <t>Calçada lateral</t>
  </si>
  <si>
    <t>PREPARO DO TERRENO</t>
  </si>
  <si>
    <t xml:space="preserve">Escavação manual de vala com profundidade menor ou igual a 1,30 m. </t>
  </si>
  <si>
    <t>Mês</t>
  </si>
  <si>
    <t xml:space="preserve">Lastro de concreto magro, aplicado em pisos ou radiers, espessura de 5 cm. </t>
  </si>
  <si>
    <t>Contrapiso em argamassa traço 1:4 (cimento e areia), preparo mecânico com betoneira, aplicado em áreas secas, aderido, espessura 3cm.</t>
  </si>
  <si>
    <t>Área de classificação e expedição</t>
  </si>
  <si>
    <t>Adm. Almoxarifado</t>
  </si>
  <si>
    <t>Área de estoque de material adm. E penso</t>
  </si>
  <si>
    <t>Despensa de alimentos não perecíveis e utensílios descartáveis</t>
  </si>
  <si>
    <t>Área para recepção e distribuição de medicamentos, saneantes, cosméticos e materiais inflamáveis</t>
  </si>
  <si>
    <t>Estoque de medicamentos</t>
  </si>
  <si>
    <t>Circulação 01</t>
  </si>
  <si>
    <t>Estoque de saneantes</t>
  </si>
  <si>
    <t xml:space="preserve">Estoque de ácidos </t>
  </si>
  <si>
    <t>Estoque de materiais inflamáveis</t>
  </si>
  <si>
    <t>DML</t>
  </si>
  <si>
    <t>Vestiário feminino</t>
  </si>
  <si>
    <t>Vestiário masculino</t>
  </si>
  <si>
    <t>WC PDC 02</t>
  </si>
  <si>
    <t>PAVIMENTAÇÃO EXTERNA</t>
  </si>
  <si>
    <t xml:space="preserve">PISO DE CONCRETO </t>
  </si>
  <si>
    <t>PISO DE PORCELANATO</t>
  </si>
  <si>
    <t>Área de recepção de alimentos não perecíveis e utensílios descartáveis</t>
  </si>
  <si>
    <t>Corredor DML e vestiários</t>
  </si>
  <si>
    <t>RODAPÉ E SOLEIRAS</t>
  </si>
  <si>
    <t>Frente</t>
  </si>
  <si>
    <t>PAL3</t>
  </si>
  <si>
    <t>PT1</t>
  </si>
  <si>
    <t>Soleiras</t>
  </si>
  <si>
    <t>PT2</t>
  </si>
  <si>
    <t>Estoque de medicamentos - Parede demolida</t>
  </si>
  <si>
    <t>PAL4</t>
  </si>
  <si>
    <t>PAL2</t>
  </si>
  <si>
    <t>TOTAL DE CONTRAPISO</t>
  </si>
  <si>
    <t>Execução de passeio (calçada) ou piso de concreto com concreto moldado in loco, feito em obra, acabamento convencional, espessura 9 cm, armado.</t>
  </si>
  <si>
    <t>Piso industrial em concreto armado de acabamento polido, espessura 12 cm (cimento queimado) (incluso execução)</t>
  </si>
  <si>
    <t>Soleira em granito, largura 15 cm, espessura 2,0 cm.</t>
  </si>
  <si>
    <t>PV1</t>
  </si>
  <si>
    <t>PVC1</t>
  </si>
  <si>
    <t>CPU-13</t>
  </si>
  <si>
    <t>CPU-12</t>
  </si>
  <si>
    <t>Azulejista ou ladrilhista com encargos complementares</t>
  </si>
  <si>
    <t>Kg</t>
  </si>
  <si>
    <t>ESQUADRIAS DE VIDRO TEMPERADO</t>
  </si>
  <si>
    <t>CPU-14</t>
  </si>
  <si>
    <t>Massa para vidro</t>
  </si>
  <si>
    <t>Vidro temperado incolor e = 8 mm, sem colocação</t>
  </si>
  <si>
    <t>Vidraceiro com encargos complementares</t>
  </si>
  <si>
    <t>JV1</t>
  </si>
  <si>
    <t>VT1</t>
  </si>
  <si>
    <t>VT2</t>
  </si>
  <si>
    <t>JV1 e JV2- Vidro temperado incolor, espessura 8mm - Fornecimento e instalação</t>
  </si>
  <si>
    <t>PT1 e PT2 - Portão de rolo em chapa de aço galvanizado - Fornecimento e instalação</t>
  </si>
  <si>
    <t>Pintura esmalte alto brilho, duas demãos, sobre superfície metálica</t>
  </si>
  <si>
    <t>PV1 - Porta de vidro temperado, 0,9x2,10m, espessura 10mm, inclusive acessórios - Fornecimento e instalação</t>
  </si>
  <si>
    <t>CPU-15</t>
  </si>
  <si>
    <t>PVC 1 - Porta sanfonada em PVC - Fornecimento e instalação</t>
  </si>
  <si>
    <t>Porta sanfonada em PVC branca, dimensões 0,90x2,10m</t>
  </si>
  <si>
    <t>Bucha de nylon sem aba s12, com parafuso de 5/16" x 80 mm em aço zincado com rosca soberba e cabeça sextavada</t>
  </si>
  <si>
    <t>CPU-16</t>
  </si>
  <si>
    <t>CPU-17</t>
  </si>
  <si>
    <t>CPU-18</t>
  </si>
  <si>
    <t>Porta de correr em chapa de painel de alumínio composto ACM 3 mm, cor branco, acabamento brilhoso, de dimensões 1,50x2,50m, com visor em vidro temperado de 10 mm de dimensões de 20x60cm</t>
  </si>
  <si>
    <t>Porta de correr em chapa de painel de alumínio composto ACM 3 mm, cor branco, acabamento brilhoso, de dimensões 1,20x2,50m, com visor em vidro temperado de 10 mm de dimensões de 20x60cm</t>
  </si>
  <si>
    <t>Porta de abrir em chapa de painel de alumínio composto ACM 3 mm, cor branco, acabamento brilhoso, de dimensões 0,90x2,10m</t>
  </si>
  <si>
    <t>Porta de abrir em chapa de painel de alumínio composto ACM 3 mm, cor branco, acabamento brilhoso, de dimensões 0,80x2,10m</t>
  </si>
  <si>
    <t>Porta de abrir em chapa de painel de alumínio composto ACM 3 mm, cor branco, acabamento brilhoso, de dimensões 1,20x2,10m, com visor em vidro temperado de 10 mm de dimensões de 20x60cm</t>
  </si>
  <si>
    <t>PAL1 - Porta de correr em chapa de painel de alumínio composto ACM 3 mm, cor branco, acabamento brilhoso, de dimensões 1,50x2,50m, com visor em vidro temperado de 10 mm de dimensões de 20x60cm - Fornecimento e instalação</t>
  </si>
  <si>
    <t>PAL2 - Porta de correr em chapa de painel de alumínio composto ACM 3 mm, cor branco, acabamento brilhoso, de dimensões 1,20x2,50m, com visor em vidro temperado de 10 mm de dimensões de 20x60cm - Fornecimento e instalação</t>
  </si>
  <si>
    <t>PAL3 - Porta de abrir em chapa de painel de alumínio composto ACM 3 mm, cor branco, acabamento brilhoso, de dimensões 0,90x2,10m - Fornecimento e instalação</t>
  </si>
  <si>
    <t>PAL4 - Porta de abrir em chapa de painel de alumínio composto ACM 3 mm, cor branco, acabamento brilhoso, de dimensões 0,80x2,10m - Fornecimento e instalação</t>
  </si>
  <si>
    <t>PAL5 - Porta de abrir em chapa de painel de alumínio composto ACM 3 mm, cor branco, acabamento brilhoso, de dimensões 1,20x2,10m, com visor em vidro temperado de 10 mm de dimensões de 20x60cm - Fornecimento e instalação</t>
  </si>
  <si>
    <t>CPU-19</t>
  </si>
  <si>
    <t>CPU-20</t>
  </si>
  <si>
    <t>Circulação 1</t>
  </si>
  <si>
    <t>Acréscimo (m)</t>
  </si>
  <si>
    <t>Largura</t>
  </si>
  <si>
    <t>Almoxarifado</t>
  </si>
  <si>
    <t>Alvenaria de Vedação de Blocos Ceramicos Furados na Horizontal 9X19X19CM (E = 9cm) de paredes com area Liquida Maior que 6 m² com Vãos e Argamassa de Assentamento com Preparo em Betoneira</t>
  </si>
  <si>
    <t>Desconto de portas</t>
  </si>
  <si>
    <t>TOTAL DE ALVENARIA COM DESCONTO</t>
  </si>
  <si>
    <t>7.1.2</t>
  </si>
  <si>
    <t>Tela de aço soldada galvanizada/zincada para alvenaria, fio d = *1,20 a 1,70* mm, malha 15 x 15 mm, (c x l) *50 x 6* cm</t>
  </si>
  <si>
    <t>7.1.3</t>
  </si>
  <si>
    <t>Ferro cabelo (travamento pilar metálico x alvenaria) D=4.2mmx0.88m</t>
  </si>
  <si>
    <t>Soldador com encargos complementares</t>
  </si>
  <si>
    <t>Eletrodo revestido AWS - e-6010, diâmetro igual a 4,00 mm</t>
  </si>
  <si>
    <t>kg</t>
  </si>
  <si>
    <t>Aço CA-60 Ø 4,20 mm em barra, massa nominal 0,109 kg/m</t>
  </si>
  <si>
    <t>7.2</t>
  </si>
  <si>
    <t>7.2.1</t>
  </si>
  <si>
    <t>Divisória Em Granito Branco Polido, Esp = 3cm, Assentado Com Argamassa Traço 1:4, Arremate Em Cimento Branco, Exclusive Ferragens - Fornecimento e instalação</t>
  </si>
  <si>
    <t>Chapisco Aplicado Tanto em Pilares e Vigas de Concreto como em Alvenaria de Paredes Internas e Externa, Com Colher de Pedreiro, Argamassa Traço 1:3 com Preparo em Betonrira 400L.</t>
  </si>
  <si>
    <t>Emboço, para recebimento de ceramica, em argamassa traço 1:2:8, Preparo Manual, Aplicado Manualmente em Faces Internas de Parede de Ambientes com Area Menor  que 5 m², Espessura de 20 mm</t>
  </si>
  <si>
    <t>Massa Única para Recebimento de Pintura, em Argamassa Traço 1:2:8, Preparo Manual, Aplicado Manualmente em Faces Internas de Paredes, Espessura de 20 mm, com Execução de Talisca</t>
  </si>
  <si>
    <t>TOTAL DO CHAPISCO COM DESCONTO</t>
  </si>
  <si>
    <t>TOTAL DO EMBOÇO COM DESCONTO</t>
  </si>
  <si>
    <t>Área do chapisco</t>
  </si>
  <si>
    <t>Área do emboço a descontar</t>
  </si>
  <si>
    <t>Área do emboço</t>
  </si>
  <si>
    <t>CPU-22</t>
  </si>
  <si>
    <t>Rejunte epóxi branco</t>
  </si>
  <si>
    <t>Piso porcelanato, borda reta, extra, formato maior que 2025 cm²</t>
  </si>
  <si>
    <t>Rodapé para piso industrial monolítico de alta resistência mecânica, fundido sobre base nivelada, acabamento desempenado, canto arredondado, altura 10 cm</t>
  </si>
  <si>
    <t>Aplicação manual de fundo selador acrilico em paredes, uma demão.</t>
  </si>
  <si>
    <t>Aplicação manual de massa acrílica, duas demãos.</t>
  </si>
  <si>
    <t>Aplicação manual de tinta látex acrílica em paredes, duas demãos.</t>
  </si>
  <si>
    <t>Administrativo almoxarifado</t>
  </si>
  <si>
    <t>Armação de Estruturas de Concreto Armado, Vigas, Pilares, Lajes e Fundações Profundas, Utilizando Aço AÇO CA-60 de 5,0 mm - Montagem e fornecimento</t>
  </si>
  <si>
    <t>Armação de Estruturas de Concreto Armado, Vigas, Pilares, Lajes e Fundações Profundas, Utilizando Aço AÇO CA-50 de 10,0 mm - Montagem e fornecimento</t>
  </si>
  <si>
    <t>Armação de Estruturas de Concreto Armado, Vigas, Pilares, Lajes e Fundações Profundas, Utilizando Aço AÇO CA-50 de 12,5 mm - Montagem e fornecimento</t>
  </si>
  <si>
    <t>Pilares</t>
  </si>
  <si>
    <t>Viga baldrame</t>
  </si>
  <si>
    <t>Peso (kg)</t>
  </si>
  <si>
    <t>Sapatas e pilares de arranque</t>
  </si>
  <si>
    <t>Regularização de fundo de vala com soquete</t>
  </si>
  <si>
    <t>Sapatas</t>
  </si>
  <si>
    <t>Fabricação, Montagem e Desmontagem de Forma Sapatas, em Madeira Serrada, E=25 MM, 4 Utilização.</t>
  </si>
  <si>
    <t>Fabricação, Montagem e Desmontagem de Forma Vigas Baldrame, em Madeira Serrada, E=25 MM, 4 Utilização.</t>
  </si>
  <si>
    <t xml:space="preserve">Concreto Fck = 25 MPA, Traço 1:2,3:2,7, Preparo Mecânico com Betoneira 400 L </t>
  </si>
  <si>
    <t>Lançamento com Uso de Baldes, Andesamento e Acabamento de Concreto em Estrturas</t>
  </si>
  <si>
    <t>Impermeabilização de estruturas enterradas, com tinta asfáltica, duas demãos</t>
  </si>
  <si>
    <t xml:space="preserve">Fabricação e Instalação de Tesoura Inteira em Aço, para vãos maiores de 16 m, Para Telha Ondulada de Fibrocimento, Metálica, Plástica ou Termoacústica, Incluso Içamento. </t>
  </si>
  <si>
    <t>Trama de Aço Composta por Terças Para Telhados de até 2 Águas para Telha Ondulada de Fibrocimento, Metálica, Plástica ou Termoacústica. Incluso Transporte Vertical - Fornecimento e instalação</t>
  </si>
  <si>
    <t>Fundo anticorrosivo a base de oxido de ferro (zarcão), duas demãos - Fornecimento e pintura</t>
  </si>
  <si>
    <t>Telhamento com Telha Metálica Termoacústica e=30mm, com áte 2 Águas Incluso Içamento - Fornecimento e instalação</t>
  </si>
  <si>
    <t>Calha em chapa de aço galvanizado número 24, desenvolvimento de 50 cm,incluso transporte vertical - Fornecimento e instalação</t>
  </si>
  <si>
    <t>FORRO EM GESSO</t>
  </si>
  <si>
    <t>Espessuras consideradas</t>
  </si>
  <si>
    <t>Forro em PVC</t>
  </si>
  <si>
    <t>Tipo</t>
  </si>
  <si>
    <t>Rodapé cerâmico</t>
  </si>
  <si>
    <t>Contrapiso</t>
  </si>
  <si>
    <t>Portas</t>
  </si>
  <si>
    <t>Janelas</t>
  </si>
  <si>
    <t>Telha fibrocimento</t>
  </si>
  <si>
    <t>Remoção de telhas</t>
  </si>
  <si>
    <t>Volume (m³)</t>
  </si>
  <si>
    <t>Remoção de forros de PVC</t>
  </si>
  <si>
    <t>Demolição de revestimento cerâmico</t>
  </si>
  <si>
    <t>Demolição de rodapé cerâmico</t>
  </si>
  <si>
    <t xml:space="preserve">Demolição de contrapiso </t>
  </si>
  <si>
    <t>Remoção de portas</t>
  </si>
  <si>
    <t>Remoção de janelas</t>
  </si>
  <si>
    <t>Demolição de alvenaria de bloco furado</t>
  </si>
  <si>
    <t>Trama p/ forro</t>
  </si>
  <si>
    <t>Trama p/ cobertura</t>
  </si>
  <si>
    <t>Calçada</t>
  </si>
  <si>
    <t>Remoção de trama para forro</t>
  </si>
  <si>
    <t xml:space="preserve">Remoção de trama para cobertura </t>
  </si>
  <si>
    <t>Peitoril em concreto</t>
  </si>
  <si>
    <t>Emboço</t>
  </si>
  <si>
    <t>Estrutura de madeira</t>
  </si>
  <si>
    <t>Volume da carga manual de entulho</t>
  </si>
  <si>
    <t>Coeficiente</t>
  </si>
  <si>
    <t>Empolamento</t>
  </si>
  <si>
    <t>Adm . Almoxarifado</t>
  </si>
  <si>
    <t>Acesso - WC PDC 02</t>
  </si>
  <si>
    <t>Desconto dos pilares metálicos</t>
  </si>
  <si>
    <t>Pilar 0,25 x 0,17 m</t>
  </si>
  <si>
    <t xml:space="preserve">Comprimento (m) </t>
  </si>
  <si>
    <t>Quantidade pilares</t>
  </si>
  <si>
    <t>Quantidade ferro cabelo / pilar</t>
  </si>
  <si>
    <t>Acabamentos para forro (moldura em drywall, com largura de 15 cm).</t>
  </si>
  <si>
    <t xml:space="preserve">Forro em Drywall, para ambientes comerciais, inclusive estrutura de fixação.  </t>
  </si>
  <si>
    <t>12.3</t>
  </si>
  <si>
    <t>12.3.1</t>
  </si>
  <si>
    <t>12.3.2</t>
  </si>
  <si>
    <t>TETO</t>
  </si>
  <si>
    <t>Área externa</t>
  </si>
  <si>
    <t>D'Alumínio</t>
  </si>
  <si>
    <t>Área do reboco</t>
  </si>
  <si>
    <t xml:space="preserve">Verga pré-moldada para janelas com até de 1,5m de vão. </t>
  </si>
  <si>
    <t>Verga pré-moldada para janelas com mais de 1,5m de vão.</t>
  </si>
  <si>
    <t>Contraverga pré-moldada para vãos de até 1,5 m de comprimento.</t>
  </si>
  <si>
    <t xml:space="preserve">Contraverga pré-moldada para vãos de mais de 1,5 m de comprimento. </t>
  </si>
  <si>
    <t xml:space="preserve">Verga pré-moldada para portas  até 1,5m de vão. </t>
  </si>
  <si>
    <t xml:space="preserve">Verga pré-moldada para portas com mais 1,5m de vão. </t>
  </si>
  <si>
    <t>Área do forro</t>
  </si>
  <si>
    <t>CPU-25</t>
  </si>
  <si>
    <t>Mestre de obras com encargos complementares</t>
  </si>
  <si>
    <t>Caixa de inspeção SPDA</t>
  </si>
  <si>
    <t>Quant.</t>
  </si>
  <si>
    <t>Área do forro em drywall</t>
  </si>
  <si>
    <t>Aplicação manual de tinta látex acrílica em teto, duas demãos.</t>
  </si>
  <si>
    <t>DRENAGEM</t>
  </si>
  <si>
    <t>14.1.2</t>
  </si>
  <si>
    <t>14.1.3</t>
  </si>
  <si>
    <t>14.1.4</t>
  </si>
  <si>
    <t>Tubo PVC, Serie Normal, Esgoto Predial, DN 100 mm, Fornecimento e Instalação em Ramal de Descarga ou Ramal de Esgoto Sanitário</t>
  </si>
  <si>
    <t>Tubo PVC, Serie Normal, Esgoto Predial, DN 100 mm, Fornecimento e Instalação</t>
  </si>
  <si>
    <t xml:space="preserve">Tubo PVC, Serie Normal, Esgoto Predial, DN 75 mm, Fornecimento e Instalação </t>
  </si>
  <si>
    <t>Drenagem pluvial</t>
  </si>
  <si>
    <t>Dreno ar-condicionado</t>
  </si>
  <si>
    <t>Tubo, PVC, Soldavel, DN 32mm, Instalado em Ramal ou Sub Ramal de Agua - Fornecimento e Instalação</t>
  </si>
  <si>
    <t>Tubo, PVC, soldável, DN 25mm, instalado em dreno de ar-condicionado - fornecimento e instalação</t>
  </si>
  <si>
    <t>Tubo, PVC, Soldavel, DN 32mm - Fornecimento e Instalação</t>
  </si>
  <si>
    <t>Joelho 45 graus, pvc, soldável, dn 25mm, instalado em dreno de ar-condicionado - fornecimento e instalação.</t>
  </si>
  <si>
    <t xml:space="preserve">Joelho 45 graus, pvc, soldável, dn 32mm, instalado em ramal ou sub-ramal de água - fornecimento e instalação. </t>
  </si>
  <si>
    <t xml:space="preserve">Joelho 90 graus, pvc, soldável, dn 25mm, instalado em dreno de ar-condicionado - fornecimento e instalação. </t>
  </si>
  <si>
    <t>Joelho 90 graus, pvc, soldável, dn 32mm, instalado em ramal ou sub-ramal de água - fornecimento e instalação.</t>
  </si>
  <si>
    <t xml:space="preserve">Te, pvc, soldável, dn 32mm, instalado em ramal ou sub-ramal de água - fornecimento e instalação. </t>
  </si>
  <si>
    <t>CAIXAS</t>
  </si>
  <si>
    <t>Caixa enterrada hidráulica retangular em alvenaria com tijolos cerâmicos maciços, dimensões internas: 0,6x0,6x0,6 m para rede de drenagem.</t>
  </si>
  <si>
    <t>Caixa enterrada hidráulica retangular em alvenaria com tijolos cerâmicos maciços, dimensões internas: 0,8x0,8x0,6 m para rede de drenagem.</t>
  </si>
  <si>
    <t>Rasgo em alvenaria para dreno de ar-condicionado com diâmetros menores ou iguais a 40 mm</t>
  </si>
  <si>
    <t>CPU-41</t>
  </si>
  <si>
    <t>Enchimento de rasgo em alvenaria com argamassa mista traço 1:4, para tubulação de 1/2" a 25 mm</t>
  </si>
  <si>
    <t>CPU-26</t>
  </si>
  <si>
    <t>Cimento CP-32</t>
  </si>
  <si>
    <t xml:space="preserve"> Areia média lavada</t>
  </si>
  <si>
    <t>Cal hidratada CH III</t>
  </si>
  <si>
    <t>RASGO E FECHAMENTO DE RASGO EM ALVENARIA</t>
  </si>
  <si>
    <t>ESCAVAÇÃO E REATERRO DE VALA PARA TUBOS SANITÁRIOS</t>
  </si>
  <si>
    <t>ATERRAMENTO</t>
  </si>
  <si>
    <t>ESCAVAÇÃO E REATERRO DE VALA PARA ELETRODUTO ENTERRADO</t>
  </si>
  <si>
    <t>15.2</t>
  </si>
  <si>
    <t>15.2.1</t>
  </si>
  <si>
    <t>TOMADA</t>
  </si>
  <si>
    <t>15.2.2</t>
  </si>
  <si>
    <t>15.2.3</t>
  </si>
  <si>
    <t>15.2.4</t>
  </si>
  <si>
    <t>15.3</t>
  </si>
  <si>
    <t>15.3.1</t>
  </si>
  <si>
    <t>15.3.2</t>
  </si>
  <si>
    <t>16.1</t>
  </si>
  <si>
    <t>16.1.1</t>
  </si>
  <si>
    <t>Água fria</t>
  </si>
  <si>
    <t xml:space="preserve">Tubo, PVC, soldável, DN 25mm, instalado em ramal de distribuição de água - fornecimento e instalação. </t>
  </si>
  <si>
    <t xml:space="preserve">Tubo, PVC, soldável, DN 40mm, instalado em prumada de água - fornecimento e instalação. </t>
  </si>
  <si>
    <t xml:space="preserve">Tubo, PVC, soldável, DN 50mm, instalado em prumada de água - fornecimento e instalação. </t>
  </si>
  <si>
    <t>Joelho de 90 graus, PVC, Soldável, DN 25mm, Instalado em Ramal ou Sub-Ramal de Água - Fornecimento e Instalação</t>
  </si>
  <si>
    <t>Joelho de 90 graus, PVC, Soldável, DN 32mm, Instalado em Ramal ou Sub-Ramal de Água - Fornecimento e Instalação</t>
  </si>
  <si>
    <t>Joelho 90 graus, PVC, soldável, DN 40mm, instalado em prumada de água - fornecimento e instalação.</t>
  </si>
  <si>
    <t>Joelho 90 graus, PVC, soldável, DN 50mm, instalado em prumada de água - fornecimento e instalação.</t>
  </si>
  <si>
    <t>Joelho 90° graus com bucha de latão, PVC, soldável, DN 25mm, x 1/2 em ramal ou sub-ramal de água - fornecimento e instalação.</t>
  </si>
  <si>
    <t>CPU-36</t>
  </si>
  <si>
    <t>Joelho 90° de redução soldável PVC Ø 32 x 25 mm  - fornecimento e instalação.</t>
  </si>
  <si>
    <t>CPU-27</t>
  </si>
  <si>
    <t>Auxiliar de encanador com encargos complementares</t>
  </si>
  <si>
    <t>Joelho 90º PVC soldável de redução Ø 32 mm x 25 mm</t>
  </si>
  <si>
    <t>Tê de redução, PVC, soldável, DN 32mm x 25mm, instalado em prumada de água - fornecimento e instalação.</t>
  </si>
  <si>
    <t>Tê de redução, PVC, soldável, DN 50mm x 40mm, instalado em prumada de água - fornecimento e instalação.</t>
  </si>
  <si>
    <t>13.2.9</t>
  </si>
  <si>
    <t>TÊ, PVC, Soldável, DN 25 mm Instalado em Ramal ou Sub-Ramal de Água Fornecimento e Instalação</t>
  </si>
  <si>
    <t>TÊ, PVC, Soldável, DN 32 mm Instalado em Ramal ou Sub-Ramal de Água Fornecimento e Instalação</t>
  </si>
  <si>
    <t xml:space="preserve">Tê com bucha de latão na bolsa central, pvc, soldável, dn 25mm x ¾”, instalado em ramal ou sub-ramal de água - fornecimento e instalação. </t>
  </si>
  <si>
    <t>REGISTROS E ADAPTADORES</t>
  </si>
  <si>
    <t>Esgoto sanitário</t>
  </si>
  <si>
    <t>Tubo PVC, Serie Normal, Esgoto Predial, DN 40 mm, Fornecimento e Instalação em Ramal de Descarga ou Ramal de Esgoto Sanitário</t>
  </si>
  <si>
    <t>Tubo PVC, Serie Normal, Esgoto Predial, DN 50 mm, Fornecimento e Instalação em Ramal de Descarga ou Ramal de Esgoto Sanitário</t>
  </si>
  <si>
    <t xml:space="preserve">Joelho 45 graus, PVC, serie normal, esgoto predial, DN 40 mm, junta soldável, fornecido e instalado em ramal de descarga ou ramal de esgoto sanitário. </t>
  </si>
  <si>
    <t xml:space="preserve">Joelho 45 graus, pvc, serie normal, esgoto predial, dn 100 mm, junta elástica, fornecido e instalado em prumada de esgoto sanitário ou ventilação. </t>
  </si>
  <si>
    <t xml:space="preserve">Joelho 45 graus, PVC, serie normal, esgoto predial, DN 50 mm, junta soldável, fornecido e instalado em prumada de esgoto sanitário ou ventilação. </t>
  </si>
  <si>
    <t xml:space="preserve">Joelho 90 graus, PVC, serie normal, esgoto predial, DN 40 mm, junta soldável, fornecido e instalado em ramal de descarga ou ramal de esgoto sanitário. </t>
  </si>
  <si>
    <t xml:space="preserve">Joelho 90 graus, PVC, serie normal, esgoto predial, DN 100 mm, junta elástica, fornecido e instalado em prumada de esgoto sanitário ou ventilação. </t>
  </si>
  <si>
    <t xml:space="preserve">Joelho 90 graus, PVC, serie normal, esgoto predial, DN 50 mm, junta soldável, fornecido e instalado em prumada de esgoto sanitário ou ventilação. </t>
  </si>
  <si>
    <t>Joelho 90° PVCØ 40 mm com anel - Fornecido e instalado</t>
  </si>
  <si>
    <t>Terminal de ventilacao, 50 mm, serie normal, esgoto predial - fornecimento e instalação.</t>
  </si>
  <si>
    <t>TÊ, PVC, Serie Normal, Esgoto Predial, DN 50 X 50mm, Junta Elástica, Fornecido e Instalado em Ramal de Descarga ou Ramal de Esgoto Sanitário.</t>
  </si>
  <si>
    <t>Solução limpadora para PVC</t>
  </si>
  <si>
    <t>Terminal de ventilação, 50 mm, serie normal, esgoto predial</t>
  </si>
  <si>
    <t>!EM PROCESSO DE DESATIVACAO! ADITIVO IMPERMEABILIZANTE DE PEGA NORMAL PARA ARGAMASSAS E CONCRETOS SEM ARMACAO</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</si>
  <si>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</si>
  <si>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</si>
  <si>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</si>
  <si>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</si>
  <si>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</si>
  <si>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</si>
  <si>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LUMINARIA TIPO TARTARUGA A PROVA DE TEMPO, GASES, VAPOR E PO, EM ALUMINIO, COM GRADE, BASE E27, POTENCIA MAXIMA 100 W - REF Y 25/1 (NAO INCLUI LAMPADA)</t>
  </si>
  <si>
    <t>PARAFUSO ZINCADO, AUTOBROCANTE, FLANGEADO, 4,2 MM X 19 MM</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</si>
  <si>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</si>
  <si>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</si>
  <si>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</si>
  <si>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</si>
  <si>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</si>
  <si>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</si>
  <si>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</si>
  <si>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</si>
  <si>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</si>
  <si>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</si>
  <si>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</si>
  <si>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</si>
  <si>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</si>
  <si>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</si>
  <si>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</si>
  <si>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</si>
  <si>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</si>
  <si>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</si>
  <si>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</si>
  <si>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</si>
  <si>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</si>
  <si>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</si>
  <si>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</si>
  <si>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</si>
  <si>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</si>
  <si>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</si>
  <si>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</si>
  <si>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</si>
  <si>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</si>
  <si>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</si>
  <si>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</si>
  <si>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</si>
  <si>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</si>
  <si>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</si>
  <si>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</si>
  <si>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</si>
  <si>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</si>
  <si>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</si>
  <si>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</si>
  <si>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</si>
  <si>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</si>
  <si>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</si>
  <si>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</si>
  <si>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</si>
  <si>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</si>
  <si>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</si>
  <si>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</si>
  <si>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</si>
  <si>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</si>
  <si>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</si>
  <si>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</si>
  <si>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</si>
  <si>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</si>
  <si>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</si>
  <si>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</si>
  <si>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</si>
  <si>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</si>
  <si>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</si>
  <si>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</si>
  <si>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</si>
  <si>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</si>
  <si>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</si>
  <si>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</si>
  <si>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</si>
  <si>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</si>
  <si>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</si>
  <si>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</si>
  <si>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</si>
  <si>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</si>
  <si>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</si>
  <si>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</si>
  <si>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</si>
  <si>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</si>
  <si>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</si>
  <si>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</si>
  <si>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</si>
  <si>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</si>
  <si>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</si>
  <si>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</si>
  <si>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</si>
  <si>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</si>
  <si>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</si>
  <si>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</si>
  <si>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</si>
  <si>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</si>
  <si>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</si>
  <si>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</si>
  <si>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</si>
  <si>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</si>
  <si>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</si>
  <si>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</si>
  <si>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</si>
  <si>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</si>
  <si>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</si>
  <si>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</si>
  <si>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</si>
  <si>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</si>
  <si>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</si>
  <si>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</si>
  <si>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</si>
  <si>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</si>
  <si>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</si>
  <si>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</si>
  <si>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</si>
  <si>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</si>
  <si>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</si>
  <si>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</si>
  <si>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</si>
  <si>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</si>
  <si>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</si>
  <si>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</si>
  <si>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</si>
  <si>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</si>
  <si>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</si>
  <si>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</si>
  <si>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</si>
  <si>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</si>
  <si>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</si>
  <si>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</si>
  <si>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</si>
  <si>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</si>
  <si>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</si>
  <si>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</si>
  <si>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</si>
  <si>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</si>
  <si>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</si>
  <si>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</si>
  <si>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</si>
  <si>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</si>
  <si>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</si>
  <si>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</si>
  <si>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</si>
  <si>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</si>
  <si>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</si>
  <si>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</si>
  <si>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</si>
  <si>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</si>
  <si>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</si>
  <si>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</si>
  <si>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</si>
  <si>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</si>
  <si>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</si>
  <si>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</si>
  <si>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</si>
  <si>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</si>
  <si>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</si>
  <si>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</si>
  <si>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</si>
  <si>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</si>
  <si>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</si>
  <si>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</si>
  <si>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</si>
  <si>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</si>
  <si>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</si>
  <si>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</si>
  <si>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</si>
  <si>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</si>
  <si>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</si>
  <si>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</si>
  <si>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</si>
  <si>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</si>
  <si>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</si>
  <si>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</si>
  <si>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</si>
  <si>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</si>
  <si>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</si>
  <si>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</si>
  <si>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</si>
  <si>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</si>
  <si>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</si>
  <si>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</si>
  <si>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</si>
  <si>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</si>
  <si>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</si>
  <si>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</si>
  <si>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</si>
  <si>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</si>
  <si>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</si>
  <si>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</si>
  <si>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</si>
  <si>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</si>
  <si>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</si>
  <si>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</si>
  <si>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</si>
  <si>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</si>
  <si>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</si>
  <si>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</si>
  <si>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</si>
  <si>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</si>
  <si>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</si>
  <si>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</si>
  <si>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</si>
  <si>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</si>
  <si>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</si>
  <si>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</si>
  <si>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</si>
  <si>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</si>
  <si>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</si>
  <si>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</si>
  <si>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</si>
  <si>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</si>
  <si>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</si>
  <si>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</si>
  <si>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</si>
  <si>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</si>
  <si>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</si>
  <si>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</si>
  <si>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</si>
  <si>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</si>
  <si>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</si>
  <si>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</si>
  <si>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</si>
  <si>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</si>
  <si>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</si>
  <si>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</si>
  <si>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</si>
  <si>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</si>
  <si>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</si>
  <si>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</si>
  <si>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</si>
  <si>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</si>
  <si>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</si>
  <si>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</si>
  <si>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</si>
  <si>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</si>
  <si>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</si>
  <si>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</si>
  <si>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</si>
  <si>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</si>
  <si>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</si>
  <si>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</si>
  <si>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</si>
  <si>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</si>
  <si>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</si>
  <si>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</si>
  <si>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</si>
  <si>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</si>
  <si>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</si>
  <si>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</si>
  <si>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</si>
  <si>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</si>
  <si>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</si>
  <si>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</si>
  <si>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</si>
  <si>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</si>
  <si>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</si>
  <si>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</si>
  <si>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</si>
  <si>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</si>
  <si>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</si>
  <si>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</si>
  <si>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</si>
  <si>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</si>
  <si>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</si>
  <si>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</si>
  <si>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</si>
  <si>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</si>
  <si>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</si>
  <si>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</si>
  <si>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</si>
  <si>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</si>
  <si>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</si>
  <si>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</si>
  <si>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</si>
  <si>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</si>
  <si>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</si>
  <si>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</si>
  <si>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</si>
  <si>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</si>
  <si>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</si>
  <si>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</si>
  <si>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</si>
  <si>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</si>
  <si>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</si>
  <si>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</si>
  <si>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</si>
  <si>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</si>
  <si>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</si>
  <si>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</si>
  <si>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</si>
  <si>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</si>
  <si>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</si>
  <si>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</si>
  <si>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</si>
  <si>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</si>
  <si>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</si>
  <si>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</si>
  <si>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</si>
  <si>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</si>
  <si>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</si>
  <si>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</si>
  <si>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</si>
  <si>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</si>
  <si>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</si>
  <si>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</si>
  <si>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</si>
  <si>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</si>
  <si>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</si>
  <si>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</si>
  <si>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</si>
  <si>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</si>
  <si>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</si>
  <si>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</si>
  <si>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</si>
  <si>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</si>
  <si>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</si>
  <si>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</si>
  <si>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</si>
  <si>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</si>
  <si>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</si>
  <si>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</si>
  <si>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</si>
  <si>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</si>
  <si>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</si>
  <si>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</si>
  <si>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</si>
  <si>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</si>
  <si>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</si>
  <si>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</si>
  <si>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</si>
  <si>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</si>
  <si>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</si>
  <si>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</si>
  <si>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</si>
  <si>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</si>
  <si>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</si>
  <si>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</si>
  <si>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</si>
  <si>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</si>
  <si>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</si>
  <si>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</si>
  <si>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</si>
  <si>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</si>
  <si>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</si>
  <si>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</si>
  <si>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</si>
  <si>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</si>
  <si>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</si>
  <si>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</si>
  <si>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</si>
  <si>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</si>
  <si>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</si>
  <si>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</si>
  <si>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</si>
  <si>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</si>
  <si>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</si>
  <si>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</si>
  <si>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</si>
  <si>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</si>
  <si>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</si>
  <si>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</si>
  <si>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</si>
  <si>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</si>
  <si>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</si>
  <si>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</si>
  <si>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</si>
  <si>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</si>
  <si>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</si>
  <si>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</si>
  <si>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</si>
  <si>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</si>
  <si>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</si>
  <si>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</si>
  <si>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</si>
  <si>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</si>
  <si>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</si>
  <si>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</si>
  <si>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</si>
  <si>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</si>
  <si>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</si>
  <si>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</si>
  <si>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</si>
  <si>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</si>
  <si>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</si>
  <si>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</si>
  <si>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</si>
  <si>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</si>
  <si>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</si>
  <si>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</si>
  <si>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</si>
  <si>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</si>
  <si>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</si>
  <si>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</si>
  <si>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</si>
  <si>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</si>
  <si>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</si>
  <si>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</si>
  <si>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</si>
  <si>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</si>
  <si>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</si>
  <si>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</si>
  <si>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</si>
  <si>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</si>
  <si>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</si>
  <si>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</si>
  <si>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</si>
  <si>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</si>
  <si>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</si>
  <si>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</si>
  <si>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</si>
  <si>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</si>
  <si>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</si>
  <si>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</si>
  <si>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</si>
  <si>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</si>
  <si>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</si>
  <si>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</si>
  <si>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</si>
  <si>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</si>
  <si>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</si>
  <si>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</si>
  <si>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</si>
  <si>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Encargos sociais sobre mão-de-obra:</t>
  </si>
  <si>
    <t>Data da referência Técnica:</t>
  </si>
  <si>
    <t>BR - 364 - km 17 - Hospital Santa Marcelina</t>
  </si>
  <si>
    <t>Reforma e Ampliação do Almoxarifado da Farmácia</t>
  </si>
  <si>
    <t>Registro de esfera em PVC soldável Ø 32 mm - Fornecimento e instalação</t>
  </si>
  <si>
    <t>CPU-29</t>
  </si>
  <si>
    <t>Registro de esfera em PVC soldável Ø 50 mm - Fornecimento e instalação</t>
  </si>
  <si>
    <t>CPU-30</t>
  </si>
  <si>
    <t>Caixa D'Agua em Polietileno, 1000 Litros, com Acessórios - fornecimento e instalação</t>
  </si>
  <si>
    <t>und.</t>
  </si>
  <si>
    <t xml:space="preserve">Torneira cromada longa, de parede, 1/2" ou 3/4", para pia de cozinha, padrão popular - fornecimento e instalação. </t>
  </si>
  <si>
    <t>CPU-31</t>
  </si>
  <si>
    <t>Auxiliar de encanador</t>
  </si>
  <si>
    <t xml:space="preserve">Ducha higiênica plástica com registro metálico 1/2 "      </t>
  </si>
  <si>
    <t>Rasgo em alvenaria para ramais/ distribuição com diâmetros menores ou iguais a 40 mm</t>
  </si>
  <si>
    <t xml:space="preserve">Rasgo em alvenaria para ramais/ distribuição com diâmetros maiores que 40 mm e menores ou iguais a 75 mm. </t>
  </si>
  <si>
    <t>Enchimento de rasgo em alvenaria com argamassa mista de cal hidratada e areia traço 1:4 com adição de 150 kg de cimento, para tubulação Ø 32 mm - 1 1/4" a 50 mm - 2"</t>
  </si>
  <si>
    <t>Argamassa traço 1:4, preparo manual</t>
  </si>
  <si>
    <t>Reaterro manual de valas com compactação mecanizada.</t>
  </si>
  <si>
    <t>Rasgo em alvenaria para eletroduto com diâmetros menores ou iguais a 40 mm</t>
  </si>
  <si>
    <t>Enchimento de rasgo em alvenaria com argamassa mista de cal hidratada e areia traço 1:4, para eletroduto Ø 32 mm - 1 1/4" a 50 mm - 2"</t>
  </si>
  <si>
    <t>Quebra em alvenaria para instalação de quadro distribuição</t>
  </si>
  <si>
    <t>CPU-34</t>
  </si>
  <si>
    <t>Argamassa traço 1:4</t>
  </si>
  <si>
    <t>CPU-35</t>
  </si>
  <si>
    <t>Limpeza final da obra</t>
  </si>
  <si>
    <t>Estopa</t>
  </si>
  <si>
    <t>Solvente diluente a base de aguarrás</t>
  </si>
  <si>
    <t>l</t>
  </si>
  <si>
    <t>PREPARO DE TERRENO</t>
  </si>
  <si>
    <t>15.1.2</t>
  </si>
  <si>
    <t>15.1.3</t>
  </si>
  <si>
    <t>15.1.4</t>
  </si>
  <si>
    <t>15.1.5</t>
  </si>
  <si>
    <t>15.3.3</t>
  </si>
  <si>
    <t>15.3.4</t>
  </si>
  <si>
    <t>15.3.5</t>
  </si>
  <si>
    <t>15.3.6</t>
  </si>
  <si>
    <t>15.3.7</t>
  </si>
  <si>
    <t>15.4</t>
  </si>
  <si>
    <t>15.4.1</t>
  </si>
  <si>
    <t>15.4.2</t>
  </si>
  <si>
    <t>MOVIMENTAÇÃO DE TERRAS</t>
  </si>
  <si>
    <t>90X90</t>
  </si>
  <si>
    <t>80X80</t>
  </si>
  <si>
    <t>Volume de escavação</t>
  </si>
  <si>
    <t>Desconto volume concreto das sapatas e pilares de arranque</t>
  </si>
  <si>
    <t>Desconto volume concreto magro das sapatas</t>
  </si>
  <si>
    <t>Volume total de reaterro com desconto</t>
  </si>
  <si>
    <t>20x40</t>
  </si>
  <si>
    <t>Desconto volume concreto das vigas baldrames</t>
  </si>
  <si>
    <t>Pilares de arranque</t>
  </si>
  <si>
    <t>Pilar de arranque 40x30</t>
  </si>
  <si>
    <t>Pilar de arranque 30x20</t>
  </si>
  <si>
    <t>Viga 20x40</t>
  </si>
  <si>
    <t>Volume de escavação das Sapatas</t>
  </si>
  <si>
    <t>S1 - 90X90</t>
  </si>
  <si>
    <t>S2 - 80X80</t>
  </si>
  <si>
    <t>(Quadro Resumo - Prancha 05/06)</t>
  </si>
  <si>
    <t>Área de manobras de caminhões coberta</t>
  </si>
  <si>
    <t>Superfície (m)</t>
  </si>
  <si>
    <t>4.2</t>
  </si>
  <si>
    <t>4.2.1</t>
  </si>
  <si>
    <t>4.2.2</t>
  </si>
  <si>
    <t>4.3</t>
  </si>
  <si>
    <t>4.3.1</t>
  </si>
  <si>
    <t>4.3.2</t>
  </si>
  <si>
    <t>4.3.3</t>
  </si>
  <si>
    <t>4.3.4</t>
  </si>
  <si>
    <t>(Quadro Resumo - Prancha 02/06)</t>
  </si>
  <si>
    <t>Vigas baldrames</t>
  </si>
  <si>
    <t>(Quadro Resumo - Prancha 03/06)</t>
  </si>
  <si>
    <t>4.4</t>
  </si>
  <si>
    <t>4.4.1</t>
  </si>
  <si>
    <t>4.4.2</t>
  </si>
  <si>
    <t>4.4.3</t>
  </si>
  <si>
    <t>4.4.4</t>
  </si>
  <si>
    <t>4.4.5</t>
  </si>
  <si>
    <t>4.4.6</t>
  </si>
  <si>
    <t>5.1</t>
  </si>
  <si>
    <t>5.1.1</t>
  </si>
  <si>
    <t>5.1.2</t>
  </si>
  <si>
    <t>5.1.3</t>
  </si>
  <si>
    <t>Almoxarifado - A1</t>
  </si>
  <si>
    <t>Almoxarifado - A2</t>
  </si>
  <si>
    <t>Almoxarifado - A3</t>
  </si>
  <si>
    <t>7.2.2</t>
  </si>
  <si>
    <t>Telhamento</t>
  </si>
  <si>
    <t>6.2.1</t>
  </si>
  <si>
    <t>7.3</t>
  </si>
  <si>
    <t>7.3.1</t>
  </si>
  <si>
    <t>7.3.2</t>
  </si>
  <si>
    <t>7.4</t>
  </si>
  <si>
    <t>7.4.1</t>
  </si>
  <si>
    <t>7.4.2</t>
  </si>
  <si>
    <t>8.5</t>
  </si>
  <si>
    <t>8.5.1</t>
  </si>
  <si>
    <t>8.5.2</t>
  </si>
  <si>
    <t>9.1.3</t>
  </si>
  <si>
    <t>4.3.5</t>
  </si>
  <si>
    <t>P15, P14, P13, P12, P9, P8, P7, P6, P5, P3, P4, P2, P18,
P17, P11, P19, P20 e P16</t>
  </si>
  <si>
    <t>P10</t>
  </si>
  <si>
    <t>Armação de Estruturas de Concreto Armado, Vigas, Pilares, Lajes e Fundações Profundas, Utilizando Aço AÇO CA-50 de 6,3 mm - Montagem e fornecimento</t>
  </si>
  <si>
    <t>(Prancha 03/06)</t>
  </si>
  <si>
    <t>DER-RO</t>
  </si>
  <si>
    <t>CR0032</t>
  </si>
  <si>
    <t>CR0033</t>
  </si>
  <si>
    <t>UND</t>
  </si>
  <si>
    <t xml:space="preserve">Transporte com caminhão basculante de 6 m³, em via urbana pavimentada, DMT acima de 30 km (unidade: m³xkm). </t>
  </si>
  <si>
    <t>m³xkm</t>
  </si>
  <si>
    <t>Carga manual de entulho em caminhão basculante 6 m³</t>
  </si>
  <si>
    <t>Locação de container 2,30 x 6,00 m, alt. 2,50 m, para escritório, sem divisórias internas e sem sanitário</t>
  </si>
  <si>
    <t>h prod</t>
  </si>
  <si>
    <t>Pilar em aço estrutural em Perfil "C".</t>
  </si>
  <si>
    <t>Vigas</t>
  </si>
  <si>
    <t xml:space="preserve">Pintura de anticorrosiva para estrutura metálica </t>
  </si>
  <si>
    <t>Viga em aço estrutural em Perfil "C".</t>
  </si>
  <si>
    <t>Cód.</t>
  </si>
  <si>
    <t>C150X60X20X1.9, Caixa dupla soldada</t>
  </si>
  <si>
    <t>C250X85X25X3.04, Caixa dupla soldada</t>
  </si>
  <si>
    <t>Peso (Kg)</t>
  </si>
  <si>
    <t>C250X85X25X3.35, Caixa dupla soldada</t>
  </si>
  <si>
    <t>C75X40X15X2.66, Caixa dupla soldada</t>
  </si>
  <si>
    <t>C150X60X20X2.66, Caixa dupla soldada</t>
  </si>
  <si>
    <t>C127X50X17X2.28</t>
  </si>
  <si>
    <t>(Quadro Resumo - Prancha 05/06 - Projeto Estrutural)</t>
  </si>
  <si>
    <t>Montador de estrutura metálica com encargos complementares</t>
  </si>
  <si>
    <t>Eletrodo revestido aws - e7018, diametro igual a 4,00 mm</t>
  </si>
  <si>
    <t>Parafuso de aço tipo chumbador parabolt, diametro 3/8", comprimento 75 mm</t>
  </si>
  <si>
    <t>un</t>
  </si>
  <si>
    <t>Perfil udc ("u" dobrado de chapa) simples de aco laminado, galvanizado, astm a36, 127 x 50 mm, e= 3 mm</t>
  </si>
  <si>
    <t>Cantoneira aco abas iguais (qualquer bitola), espessura entre 1/8" e 1/4"</t>
  </si>
  <si>
    <t xml:space="preserve">Guindaste hidráulico autopropelido, com lança telescópica 40 m, capacidade máxima 60 t, potência 260 kw - chp diurno. </t>
  </si>
  <si>
    <t>chp</t>
  </si>
  <si>
    <t>Guindaste hidráulico autopropelido, com lança telescópica 40 m, capacidade máxima 60 t, potência 260 kw - chi diurno.</t>
  </si>
  <si>
    <t>chi</t>
  </si>
  <si>
    <t>Cobertura - Almoxarifado</t>
  </si>
  <si>
    <t xml:space="preserve">Cumeeira de alumínio termoacústica, perfil trapezoidal - Fornecimento e instalação </t>
  </si>
  <si>
    <t>Argamassa colante tipo ACII</t>
  </si>
  <si>
    <t>Revestimento cerâmico para piso com placas tipo porcelanato de dimensões 60x60 cm aplicada em ambientes de área menor que 5 m², com rejunte epoxi. - Fornecimento e instalação</t>
  </si>
  <si>
    <t>Instalação de água fria predial</t>
  </si>
  <si>
    <t>Instalação de esgoto predial</t>
  </si>
  <si>
    <t>(Prancha 05/06 - Projeto Hidrossanitário)</t>
  </si>
  <si>
    <t>Fornecimento Hidrônico</t>
  </si>
  <si>
    <t>Bucha de redução, PVC, soldável, DN 40mm x 32mm, instalado em ramal ou sub-ramal de água - fornecimento e instalação.</t>
  </si>
  <si>
    <t>Bucha de redução, PVC, soldável, DN 32mm x 25mm, instalado em ramal ou sub-ramal de água - fornecimento e instalação.</t>
  </si>
  <si>
    <t>Bucha de redução, PVC, soldável, DN 50mm x 40mm, instalado em ramal ou sub-ramal de água - fornecimento e instalação.</t>
  </si>
  <si>
    <t>Auxiliar de encanador ou bombeiro hidráulico com encargos complementares</t>
  </si>
  <si>
    <t>Encanador ou bombeiro hidráulico com encargos complementares</t>
  </si>
  <si>
    <t>Adesivo plástico para PVC, frasco com 850 gr</t>
  </si>
  <si>
    <t>Solução limpadora para PVC, frasco com 1000 cm3</t>
  </si>
  <si>
    <t>Lixa d’água em folha, grão 100</t>
  </si>
  <si>
    <t>Bucha de redução de PVC, soldável, curta, com 32 x 25 mm, para agua fria predial</t>
  </si>
  <si>
    <t>Registro de pressão com canopla Ø 25 mm - 1".</t>
  </si>
  <si>
    <t>Fita veda rosca em rolos de 18 mm x 50 m (l x c)</t>
  </si>
  <si>
    <t xml:space="preserve">Registro de gaveta bruto, latão, roscável,Ø 25 mm - 1", com acabamento e canopla cromados. Fornecido e instalado em ramal de água. </t>
  </si>
  <si>
    <t>Torneira de boia, roscável, ½", fornecida e instalada em reservação de água.</t>
  </si>
  <si>
    <t>(Prancha 01/06 - Projeto Hidrossanitário)</t>
  </si>
  <si>
    <t>CPU-21</t>
  </si>
  <si>
    <t>Junção Simples 100 x 50mm, Esgoto Série Normal.</t>
  </si>
  <si>
    <t>Juncao simples, PVC, DN 100 x 50 mm, serie normal para esgoto predial</t>
  </si>
  <si>
    <t>Pasta lubrificante para tubos e conexões com junta elástica (uso em PVC, aço, polietileno e outros) ( de *400* g)</t>
  </si>
  <si>
    <t>Anel borracha para tubo esgoto predial, DN 100 mm (NBR 5688)</t>
  </si>
  <si>
    <t>Caixa PVC sifonada Ø 100 mm, altura 140 mm, entrada Ø 40 mm, saída Ø 50 mm, com corpo giratório, grelha redonda, 5 entradas, para esgoto sanitário</t>
  </si>
  <si>
    <t>Pasta lubrificante para tubos e conexoes com junta elastica (uso em PVC, aco, polietileno e outros) ( de *400* g)</t>
  </si>
  <si>
    <t>Solucao limpadora para PVC, frasco com 1000 cm³</t>
  </si>
  <si>
    <t>Anel borracha para tubo esgoto predial DN 50 mm (nbr 5688)</t>
  </si>
  <si>
    <t>Lixa dagua em folha, grao 100</t>
  </si>
  <si>
    <t>Prolongamento PVC para caixa sifonada 100 mm x 100 mm (NBR 5688)</t>
  </si>
  <si>
    <t>CPU-24</t>
  </si>
  <si>
    <t>Caixa PVC sifonada Ø 100 mm, altura 140 mm, entrada Ø 40 mm, saída Ø 50 mm, com corpo giratório, grelha redonda,  5 entradas, para esgoto sanitário - Fornecimento e instalação</t>
  </si>
  <si>
    <t>Prolongamento PVC para caixa sifonada 150 mm x 150 mm (NBR 5688)</t>
  </si>
  <si>
    <t>Caixa sifonada PVC, 150 x 150 x 50 mm, com grelha quadrada</t>
  </si>
  <si>
    <t>Caixa Sifonada Montada com Grelha e Porta Grelha Quadrados 150 x 150 x 50mm, para esgoto sanitário - Fornecimento e instalação.</t>
  </si>
  <si>
    <t>Ralo sifonado, PVC, DN 100 x 40 mm, junta soldável, fornecido e instalado em ramal de descarga ou em ramal de esgoto sanitário.</t>
  </si>
  <si>
    <t>(Prancha  01/06 e 05/06 - Projeto Hidrossanitário)</t>
  </si>
  <si>
    <t>Instalação de esgoto predial - 40mm</t>
  </si>
  <si>
    <t>Instalação de esgoto predial - 50mm</t>
  </si>
  <si>
    <t>Instalação de esgoto predial - 100mm</t>
  </si>
  <si>
    <t>Profundidade (m)</t>
  </si>
  <si>
    <t>Volume escavado</t>
  </si>
  <si>
    <t>Desconto de tubos</t>
  </si>
  <si>
    <t>Raio (m)</t>
  </si>
  <si>
    <t>Pi</t>
  </si>
  <si>
    <t xml:space="preserve">Caixa enterrada hidráulica retangular em alvenaria com tijolos cerâmicos maciços, dimensões internas: 0,6x0,6x0,6 m para rede de esgoto. </t>
  </si>
  <si>
    <t>Instalação de drenagem pluvial</t>
  </si>
  <si>
    <t>(Prancha 01/05 - Drenagem Pluvial)</t>
  </si>
  <si>
    <t>Instalação de dreno de ar condicionado</t>
  </si>
  <si>
    <t xml:space="preserve">Joelho 45 graus, PVC, serie R, água pluvial, DN 75 mm, junta elástica, fornecido e instalado em condutores verticais de águas pluviais. </t>
  </si>
  <si>
    <t xml:space="preserve">Joelho 45 graus, PVC, serie R, água pluvial, DN 100 mm, junta elástica, fornecido e instalado em condutores verticais de águas pluviais. </t>
  </si>
  <si>
    <t>Joelho 90 graus, PVC, serie R, água pluvial, DN 75 mm, junta elástica, fornecido e instalado em ramal de encaminhamento.</t>
  </si>
  <si>
    <t xml:space="preserve">Joelho 90 graus, PVC, serie R, água pluvial, DN 100 mm, junta elástica, fornecido e instalado em condutores verticais de águas pluviais. </t>
  </si>
  <si>
    <t>Descidas</t>
  </si>
  <si>
    <t>CUSTO REF. (R$)</t>
  </si>
  <si>
    <t>CUSTO UNIT. (R$)</t>
  </si>
  <si>
    <t>PREÇO UNIT. COM BDI (R$)</t>
  </si>
  <si>
    <t>ELETRODUTOS E ELETROCALHAS</t>
  </si>
  <si>
    <t>CABO, ELETRODUTO E ELETROCALHA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</si>
  <si>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</si>
  <si>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</si>
  <si>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</si>
  <si>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</si>
  <si>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</si>
  <si>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MES DE COLETA: 10/2019</t>
  </si>
  <si>
    <t>TOTAL DE INSUMOS : 5326</t>
  </si>
  <si>
    <t>Demolição de argamassas, de forma manual, sem reaproveitamento.</t>
  </si>
  <si>
    <t>Calçada lateral esquerda</t>
  </si>
  <si>
    <t>Luvas para eletrodutos</t>
  </si>
  <si>
    <t>Luva para eletroduto, PVC, roscável, DN 25 mm (3/4"), para circuitos terminais, instalada em parede - fornecimento e instalação.</t>
  </si>
  <si>
    <t>Luva para eletroduto, PVC, roscável, DN 32 mm (1"), para circuitos terminais, instalada em parede - fornecimento e instalação.</t>
  </si>
  <si>
    <t>Luva para eletroduto, PVC, roscável, DN (3"), para circuitos terminais, instalada em parede - fornecimento e instalação.</t>
  </si>
  <si>
    <t>Auxiliar de eletricista com encargos complementares</t>
  </si>
  <si>
    <t>Eletrodutos</t>
  </si>
  <si>
    <t>Luva de emenda para eletroduto, aço galvanizado, DN 40 mm (1 1/2''), aparente, instalada em parede - fornecimento e instalação.</t>
  </si>
  <si>
    <t>Luva de emenda para eletroduto, aço galvanizado, DN 50 mm (2''), aparente, instalada em parede - fornecimento e instalação.</t>
  </si>
  <si>
    <t>CPU-28</t>
  </si>
  <si>
    <t>Luva em PVC rígido roscável, de 3", para eletroduto</t>
  </si>
  <si>
    <t>Luva para eletroduto, em aço galvanizado eletrolítico, diâmetro de 50 mm (2")</t>
  </si>
  <si>
    <t>Eletroduto de PVC rígido roscável, com conexões Ø 25 mm (3/4") - fornecimento e instalação</t>
  </si>
  <si>
    <t>Eletroduto rígido roscável, PVC, DN 32 mm (1"), para circuitos terminais, instalado em laje - fornecimento e instalação. </t>
  </si>
  <si>
    <t>Eletroduto rígido roscável, PVC, DN 50 mm (1 1/2") - fornecimento e instalação.</t>
  </si>
  <si>
    <t>Eletroduto rígido roscável, PVC, DN 60 mm (2") - fornecimento e instalação.</t>
  </si>
  <si>
    <t>Eletroduto rígido roscável, PVC, DN 85 mm (3") - fornecimento e instalação.</t>
  </si>
  <si>
    <t>Eletrocalhas</t>
  </si>
  <si>
    <t>Eletrocalha perfurada em chapa de aço galvanizado, com tampa largura 100 mm x altura 50 mm, instalação superior com bucha, inclusive conexões</t>
  </si>
  <si>
    <t>Eletrocalha perfurada em chapa de aço galvanizado, com tampa largura 100 mm x altura 100 mm, instalação superior, inclusive conexões</t>
  </si>
  <si>
    <t>Instalações Elétricas</t>
  </si>
  <si>
    <t>(Prancha 02/03 - Instalações Elétricas)</t>
  </si>
  <si>
    <t>Cabo de cobre flexível isolado, 2,5 mm², antichama 450/750 V, para circuitos terminais - fornecimento e instalação.</t>
  </si>
  <si>
    <t>Cabo de cobre flexível isolado, 4 mm², antichama 450/750 V, para circuitos terminais - fornecimento e instalação.</t>
  </si>
  <si>
    <t>Cabo de cobre flexível isolado, 6 mm², antichama 450/750 V, para circuitos terminais - fornecimento e instalação.</t>
  </si>
  <si>
    <t>Cabo de cobre flexível isolado, 16 mm², antichama 450/750 V, para circuitos terminais - fornecimento e instalação.</t>
  </si>
  <si>
    <t>Cabo de cobre flexível isolado, 35 mm², antichama 450/750 V, para distribuição - fornecimento e instalação.</t>
  </si>
  <si>
    <t>Cabo de cobre flexível isolado, 70 mm², antichama 450/750 V, para distribuição - fornecimento e instalação.</t>
  </si>
  <si>
    <t>Cabo de cobre flexível isolado, 70 mm², antichama 0,6/1,0 KV, para distribuição - fornecimento e instalação.</t>
  </si>
  <si>
    <t>Cabo de cobre flexível isolado, 120 mm², antichama 0,6/1,0 KV, para distribuição - fornecimento e instalação.</t>
  </si>
  <si>
    <t xml:space="preserve">Caixas </t>
  </si>
  <si>
    <t>Caixa retangular 4" x 2" alta (2,20 m do piso), PVC, instalada em parede - fornecimento e instalação. </t>
  </si>
  <si>
    <t>unid.</t>
  </si>
  <si>
    <t>Caixa retangular 4" x 2" baixa (0,30 m do piso), PVC, instalada em parede - fornecimento e instalação. </t>
  </si>
  <si>
    <t>Caixa retangular 4" x 2" média (1,30 m do piso), PVC, instalada em parede - fornecimento e instalação. </t>
  </si>
  <si>
    <t>Interruptores</t>
  </si>
  <si>
    <t>Interruptor paralelo (3 módulos), 10a/250V, incluindo suporte e placa - fornecimento e instalação.</t>
  </si>
  <si>
    <t>Interruptor simples (1 módulo), 10A/250V, incluindo suporte e placa - fornecimento e instalação</t>
  </si>
  <si>
    <t>Interruptor simples (2 módulos), 10A/250V, incluindo suporte e placa - fornecimento e instalação</t>
  </si>
  <si>
    <t>Interruptor simples (3 módulos), 10A/250V, incluindo suporte e placa - fornecimento e instalação</t>
  </si>
  <si>
    <t>Tomada baixa</t>
  </si>
  <si>
    <t>Tomada alta</t>
  </si>
  <si>
    <t>Estoque de ácidos</t>
  </si>
  <si>
    <t>Estoque de materiais</t>
  </si>
  <si>
    <t>Tomada média</t>
  </si>
  <si>
    <t>Interruptor simples (1 módulo) com 1 tomada de embutir 2P+T 10 a, incluindo suporte e placa - fornecimento e instalação.</t>
  </si>
  <si>
    <t>Tomadas</t>
  </si>
  <si>
    <t>Tomada baixa de embutir (1 módulo), 2P+T 10 A, incluindo suporte e placa - fornecimento e instalação.</t>
  </si>
  <si>
    <t>Tomada alta de embutir (1 módulo), 2P+T 10 A, incluindo suporte e placa - fornecimento e instalação.</t>
  </si>
  <si>
    <t>Tomada baixa de embutir (2 módulos), 2P+T 10 A, incluindo suporte e placa - fornecimento e instalação.</t>
  </si>
  <si>
    <t>Tomada baixa de embutir (3 módulos), 2P+T 10 A, incluindo suporte e placa - fornecimento e instalação.</t>
  </si>
  <si>
    <t>Tomada Simples</t>
  </si>
  <si>
    <t>Tomada Dupla</t>
  </si>
  <si>
    <t>Tomada Tripla</t>
  </si>
  <si>
    <t xml:space="preserve">Área para recepção e distribuição </t>
  </si>
  <si>
    <t xml:space="preserve">Circulação </t>
  </si>
  <si>
    <t>Área para recepção e distribuição de alimentos</t>
  </si>
  <si>
    <t>Despensa de alimentos não perecíveis e utensílios</t>
  </si>
  <si>
    <t>Área de estoque de material administrativo e penso</t>
  </si>
  <si>
    <t>Adm. Administrativo</t>
  </si>
  <si>
    <t>Instalações Elétricas - Interruptores</t>
  </si>
  <si>
    <t>Instalações Elétricas - Tomadas e interruptor</t>
  </si>
  <si>
    <t>Caixa octogonal 3" x 3", PVC, instalada em laje - fornecimento e instalação.</t>
  </si>
  <si>
    <t>Tomada de sobrepor (1 módulo), 2P+T 10 A, incluindo suporte e placa - fornecimento e instalação.</t>
  </si>
  <si>
    <t>Suporte parafusado com placa de encaixe 4" x 2" médio (1,30 m do piso) para ponto elétrico - fornecimento e instalação.</t>
  </si>
  <si>
    <t>Tomada 2P+T 10A, 250V, conjunto montado para sobrepor 4" x 2" (caixa + modulo)</t>
  </si>
  <si>
    <t>Disjuntor monopolar tipo DIN, corrente nominal de 10A - fornecimento e instalação.</t>
  </si>
  <si>
    <t>Disjuntor monopolar tipo DIN, corrente nominal de 16A - fornecimento e instalação.</t>
  </si>
  <si>
    <t>Disjuntor bipolar tipo DIN, corrente nominal de 10A - fornecimento e instalação.</t>
  </si>
  <si>
    <t>Disjuntor bipolar tipo DIN, corrente nominal de 20A - fornecimento e instalação.</t>
  </si>
  <si>
    <t>Disjuntor bipolar tipo DIN, corrente nominal de 25A - fornecimento e instalação.</t>
  </si>
  <si>
    <t>Disjuntor tripolar tipo DIN, corrente nominal de 10A - fornecimento e instalação.</t>
  </si>
  <si>
    <t>COT-1.2</t>
  </si>
  <si>
    <t>Disjuntor DIN tripolar termomagnético de 70A</t>
  </si>
  <si>
    <t>Média de preços</t>
  </si>
  <si>
    <t>Marok Mat. Elétricos</t>
  </si>
  <si>
    <t>PVH-Petel</t>
  </si>
  <si>
    <t>Barbosa Mat. Elétrico e Hidráulico</t>
  </si>
  <si>
    <t>3222-0022</t>
  </si>
  <si>
    <t>(69) 3222-7575</t>
  </si>
  <si>
    <t>4009-8850</t>
  </si>
  <si>
    <t>COT-1.1</t>
  </si>
  <si>
    <t>Disjuntor DIN tripolar termomagnético de 70A - fornecimento e instalação</t>
  </si>
  <si>
    <t>CPU-32</t>
  </si>
  <si>
    <t>CPU-33</t>
  </si>
  <si>
    <t>Disjuntor DIN tripolar termomagnético de 150A - fornecimento e instalação</t>
  </si>
  <si>
    <t>COT-1.3</t>
  </si>
  <si>
    <t>Disjuntor DIN tripolar termomagnético de 150A</t>
  </si>
  <si>
    <t>Disjuntor DIN tripolar termomagnético de 200A</t>
  </si>
  <si>
    <t>Disjuntor DIN tripolar termomagnético de 200A - fornecimento e instalação</t>
  </si>
  <si>
    <t>Dispositivo DPS, classe II, 01 Pólo, 175V, 8kA - Fornecimento e Instalação</t>
  </si>
  <si>
    <t>Dispositivo DPS, classe II, 01 Pólo, 175V, 40kA - Fornecimento e Instalação</t>
  </si>
  <si>
    <t>Quadro de distribuição de energia de embutir, em chapa metálica, para 25 disjuntores termomagnéticos monopolares, com barramento trifásico e neutro, 250A - Fornecimento e instalação</t>
  </si>
  <si>
    <t>CPU-37</t>
  </si>
  <si>
    <t>COT-1.4</t>
  </si>
  <si>
    <t>COT-1.5</t>
  </si>
  <si>
    <t>COT-1.6</t>
  </si>
  <si>
    <t>Quadro de distribuição de energia de embutir, em chapa metálica, para 50 disjuntores - 150A - termomagnéticos monopolares, com barramento trifásico e neutro.</t>
  </si>
  <si>
    <t>Grampo paralelo em alumínio fundido ou estrudado de 2 parafusos, para cabo de 6 a 50 mm², pasta antioxidante. Fornecimento e instalação.</t>
  </si>
  <si>
    <t>Haste de aterramento 5/8 para spda - fornecimento e instalação.</t>
  </si>
  <si>
    <t>CPU-38</t>
  </si>
  <si>
    <t>Cabo de cobre nu 50 mm²</t>
  </si>
  <si>
    <t>Caixa de inspeção para aterramento, circular, em polietileno, diâmetro interno = 0,3 m.</t>
  </si>
  <si>
    <t>CPU-39</t>
  </si>
  <si>
    <t>CPU-40</t>
  </si>
  <si>
    <t>Instalações Elétricas - Tomada baixa</t>
  </si>
  <si>
    <t>Instalações Elétricas - Tomada média</t>
  </si>
  <si>
    <t>Instalações Elétricas - Tomada alta</t>
  </si>
  <si>
    <t>Instalações Elétricas - Quadros</t>
  </si>
  <si>
    <t>Instalações Elétricas - Eletroduto 85mm</t>
  </si>
  <si>
    <t>Instalações Elétricas - Aterramento</t>
  </si>
  <si>
    <t>Comrpimento (m)</t>
  </si>
  <si>
    <t>Volume do tubo (m³)</t>
  </si>
  <si>
    <t>Volume da escavação</t>
  </si>
  <si>
    <t>Volume total do reaterro com desconto</t>
  </si>
  <si>
    <t>Perfilado</t>
  </si>
  <si>
    <t>Perfilado perfurado em chapa de aço galvanizado, largura 38 mm x altura 38 mm, com tampa, instalação superior.</t>
  </si>
  <si>
    <t>Luvas e curvas para eletrodutos</t>
  </si>
  <si>
    <t>Curva 90 graus para eletroduto, PVC, roscável, DN 25 mm (3/4"), para circuitos terminais, instalada em forro - fornecimento e instalação.</t>
  </si>
  <si>
    <t>Instalações de cabeamento estruturado</t>
  </si>
  <si>
    <t>(Prancha 01/01 - Inst. de cabeamento estruturado)</t>
  </si>
  <si>
    <t>Cabos</t>
  </si>
  <si>
    <t>Cabo UTP 4P Categoria 6, Instalado em Edificação Institucional. Fornecimento e Instalação</t>
  </si>
  <si>
    <t>Caixas</t>
  </si>
  <si>
    <t>Tomada RJ45, CAT 6, com placa 2x4", 1 módulo - fornecimento e instalação.</t>
  </si>
  <si>
    <t>Tomada RJ45, CAT 6, com placa 2x4", 2 módulos - fornecimento e instalação.</t>
  </si>
  <si>
    <t>CPU-42</t>
  </si>
  <si>
    <t xml:space="preserve">Instalações de cabeamento estruturado - Tomada Alta </t>
  </si>
  <si>
    <t>Instalações de cabeamento estruturado - Tomada Baixa</t>
  </si>
  <si>
    <t>Cabo de cobre nu 50 mm² - fornecimento e instalação</t>
  </si>
  <si>
    <t>COT-2.1</t>
  </si>
  <si>
    <t>COT-2.2</t>
  </si>
  <si>
    <t>Tomada RJ45, CAT 6, 1 módulo</t>
  </si>
  <si>
    <t>Tomada RJ45, CAT 6, com placa 2x4", 2 módulos</t>
  </si>
  <si>
    <t>(69) 3222-0022</t>
  </si>
  <si>
    <t>(69) 4009-8850</t>
  </si>
  <si>
    <t xml:space="preserve">Barriga Verde </t>
  </si>
  <si>
    <t>(69) 3225-8477</t>
  </si>
  <si>
    <t>Luminária led industrial - 120 W - Fornecimento e instalação.</t>
  </si>
  <si>
    <t>Luminária tipo calha, de sobrepor, com 2 lâmpadas tubulares de 18 W - fornecimento e instalação.</t>
  </si>
  <si>
    <t>Placa Led 20x20 - Fornecimento e instalação.</t>
  </si>
  <si>
    <t>Placa Led 30x30 - Fornecimento e instalação.</t>
  </si>
  <si>
    <t>Refletor Led - 50W - Fornecimento e instalação.</t>
  </si>
  <si>
    <t>Lavatório louça branca com coluna, 45 x 55cm ou equivalente, padrão médio, incluso sifão tipo garrafa, válvula e engate flexível de 40cm em metal cromado, com torneira cromada de mesa, padrão médio – fornecimento e instalação.</t>
  </si>
  <si>
    <t xml:space="preserve">Tanque de louça branca com coluna, 30l ou equivalente, incluso sifão flexível em PVC, válvula metálica e torneira de metal cromado padrão médio - fornecimento e instalação. </t>
  </si>
  <si>
    <t>Vaso Sanitario Sinfonado com Caixa Acoplada Louça Branca - Padrão Medio, Incluso Engate Flexivel em Plastico Branco, 1/2" X 40 cm - Fornecimento e Insatalação.</t>
  </si>
  <si>
    <t>Chuveiro comum corpo plástico tipo ducha, fornecimento e instalação.</t>
  </si>
  <si>
    <t>CPU-43</t>
  </si>
  <si>
    <t>CPU-44</t>
  </si>
  <si>
    <t>CPU-45</t>
  </si>
  <si>
    <t>CPU-46</t>
  </si>
  <si>
    <t>CPU-47</t>
  </si>
  <si>
    <t>CPU-48</t>
  </si>
  <si>
    <t>CPU-49</t>
  </si>
  <si>
    <t>CPU-50</t>
  </si>
  <si>
    <t>CPU-51</t>
  </si>
  <si>
    <t>CPU-52</t>
  </si>
  <si>
    <t>CPU-53</t>
  </si>
  <si>
    <t>Ducha manual - fornecimento e instalação.</t>
  </si>
  <si>
    <t>Luminária led refletor retangular bivolt, luz branca, 50 W</t>
  </si>
  <si>
    <t>INSTALAÇÕES DE REDE LÓGICA E TELEFONIA</t>
  </si>
  <si>
    <t>DIVERSOS</t>
  </si>
  <si>
    <t>Rack de parede fechado, 19", 17U - fornecimento e instalação.</t>
  </si>
  <si>
    <t>Switch Poe 24 Portas - fornecimento e instalação. </t>
  </si>
  <si>
    <t>Régua para rack 19" - 9 tomadas</t>
  </si>
  <si>
    <t>Régua para rack 19" - 9 tomadas - fornecimento e instalação.</t>
  </si>
  <si>
    <t>Guia organizadora p/ Rack 19"</t>
  </si>
  <si>
    <t>Guia organizadora p/ Rack 19"  - fornecimento e instalação.</t>
  </si>
  <si>
    <t>Quadro de Telefonia 60x60 - embutir - fornecimento e instalação.</t>
  </si>
  <si>
    <t>Bloco de conexão rápida - fornecimento e instalação.</t>
  </si>
  <si>
    <t>CPU-54</t>
  </si>
  <si>
    <t>CPU-55</t>
  </si>
  <si>
    <t>CPU-56</t>
  </si>
  <si>
    <t>CPU-57</t>
  </si>
  <si>
    <t>Patch Panel 24 portas, categoria 6 - fornecimento e instalação.</t>
  </si>
  <si>
    <t>COT-2.3</t>
  </si>
  <si>
    <t>COT-2.4</t>
  </si>
  <si>
    <t>COT-2.5</t>
  </si>
  <si>
    <t>COT-2.6</t>
  </si>
  <si>
    <t>Rack de parede fechado, 19", 17U</t>
  </si>
  <si>
    <t>Switch Poe 24 Portas</t>
  </si>
  <si>
    <t>Bloco de conexão rápida - BER M10</t>
  </si>
  <si>
    <t>COT-2.7</t>
  </si>
  <si>
    <t>Placa Led 20x20</t>
  </si>
  <si>
    <t>Placa Led 30x30</t>
  </si>
  <si>
    <t>COT-1.7</t>
  </si>
  <si>
    <t>COT-1.8</t>
  </si>
  <si>
    <t>Luminária Led Industrial - Ledvance Highbay 120W ou SIMILAR</t>
  </si>
  <si>
    <t>COT-4.1</t>
  </si>
  <si>
    <t>COT-4.2</t>
  </si>
  <si>
    <t>COT-4.3</t>
  </si>
  <si>
    <t>COT-4.4</t>
  </si>
  <si>
    <t>COT-4.5</t>
  </si>
  <si>
    <t>Seax Esquadrias de alumínio</t>
  </si>
  <si>
    <t>Alumíart Alumínio</t>
  </si>
  <si>
    <t xml:space="preserve">(69) 3225-9894 </t>
  </si>
  <si>
    <t>Eletrotécnico com encargos complementares</t>
  </si>
  <si>
    <t>(Prancha 04/06 - Projeto Hidrossanitário)</t>
  </si>
  <si>
    <t>Área da edificação</t>
  </si>
  <si>
    <t>10.1</t>
  </si>
  <si>
    <t>10.1.1</t>
  </si>
  <si>
    <t>10.1.2</t>
  </si>
  <si>
    <t>10.2</t>
  </si>
  <si>
    <t>10.2.1</t>
  </si>
  <si>
    <t>10.2.2</t>
  </si>
  <si>
    <t>10.2.3</t>
  </si>
  <si>
    <t>10.2.4</t>
  </si>
  <si>
    <t>10.2.5</t>
  </si>
  <si>
    <t>10.2.6</t>
  </si>
  <si>
    <t>10.2.7</t>
  </si>
  <si>
    <t>10.2.8</t>
  </si>
  <si>
    <t>10.3</t>
  </si>
  <si>
    <t>10.3.1</t>
  </si>
  <si>
    <t>10.3.2</t>
  </si>
  <si>
    <t>10.3.3</t>
  </si>
  <si>
    <t>10.3.4</t>
  </si>
  <si>
    <t>10.3.5</t>
  </si>
  <si>
    <t>10.3.6</t>
  </si>
  <si>
    <t>11.1.3</t>
  </si>
  <si>
    <t>12.1.4</t>
  </si>
  <si>
    <t>12.1.5</t>
  </si>
  <si>
    <t>12.1.6</t>
  </si>
  <si>
    <t>12.1.7</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</si>
  <si>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</si>
  <si>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</si>
  <si>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</si>
  <si>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</si>
  <si>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</si>
  <si>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</si>
  <si>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</si>
  <si>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</si>
  <si>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</si>
  <si>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</si>
  <si>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</si>
  <si>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</si>
  <si>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</si>
  <si>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</si>
  <si>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</si>
  <si>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</si>
  <si>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</si>
  <si>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</si>
  <si>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</si>
  <si>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</si>
  <si>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</si>
  <si>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</si>
  <si>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12.2.24</t>
  </si>
  <si>
    <t>12.3.3</t>
  </si>
  <si>
    <t>12.3.4</t>
  </si>
  <si>
    <t>12.4</t>
  </si>
  <si>
    <t>12.4.1</t>
  </si>
  <si>
    <t>12.4.2</t>
  </si>
  <si>
    <t>12.4.3</t>
  </si>
  <si>
    <t>12.4.4</t>
  </si>
  <si>
    <t>12.4.5</t>
  </si>
  <si>
    <t>12.4.6</t>
  </si>
  <si>
    <t>12.5</t>
  </si>
  <si>
    <t>12.5.1</t>
  </si>
  <si>
    <t>12.5.2</t>
  </si>
  <si>
    <t>12.5.3</t>
  </si>
  <si>
    <t>12.5.4</t>
  </si>
  <si>
    <t>12.6</t>
  </si>
  <si>
    <t>12.6.1</t>
  </si>
  <si>
    <t>12.6.2</t>
  </si>
  <si>
    <t>12.7</t>
  </si>
  <si>
    <t>12.7.1</t>
  </si>
  <si>
    <t>12.7.2</t>
  </si>
  <si>
    <t>12.7.3</t>
  </si>
  <si>
    <t>12.7.4</t>
  </si>
  <si>
    <t>12.8</t>
  </si>
  <si>
    <t>12.8.1</t>
  </si>
  <si>
    <t>12.8.2</t>
  </si>
  <si>
    <t>14.1.5</t>
  </si>
  <si>
    <t>14.1.6</t>
  </si>
  <si>
    <t>14.1.7</t>
  </si>
  <si>
    <t>14.1.8</t>
  </si>
  <si>
    <t>14.1.9</t>
  </si>
  <si>
    <t>14.1.10</t>
  </si>
  <si>
    <t>14.1.11</t>
  </si>
  <si>
    <t>14.1.12</t>
  </si>
  <si>
    <t>14.1.13</t>
  </si>
  <si>
    <t>14.3.3</t>
  </si>
  <si>
    <t>14.3.4</t>
  </si>
  <si>
    <t>14.3.5</t>
  </si>
  <si>
    <t>14.3.6</t>
  </si>
  <si>
    <t>14.3.7</t>
  </si>
  <si>
    <t>14.3.8</t>
  </si>
  <si>
    <t>14.3.9</t>
  </si>
  <si>
    <t>14.3.10</t>
  </si>
  <si>
    <t>14.3.11</t>
  </si>
  <si>
    <t>14.3.12</t>
  </si>
  <si>
    <t>14.3.13</t>
  </si>
  <si>
    <t>14.3.14</t>
  </si>
  <si>
    <t>14.4.3</t>
  </si>
  <si>
    <t>14.4.4</t>
  </si>
  <si>
    <t>14.4.5</t>
  </si>
  <si>
    <t>14.4.6</t>
  </si>
  <si>
    <t>14.4.7</t>
  </si>
  <si>
    <t>14.4.8</t>
  </si>
  <si>
    <t>14.4.9</t>
  </si>
  <si>
    <t>14.4.10</t>
  </si>
  <si>
    <t>14.5</t>
  </si>
  <si>
    <t>14.5.1</t>
  </si>
  <si>
    <t>14.5.2</t>
  </si>
  <si>
    <t>14.5.3</t>
  </si>
  <si>
    <t>14.6</t>
  </si>
  <si>
    <t>14.6.1</t>
  </si>
  <si>
    <t>14.6.2</t>
  </si>
  <si>
    <t>14.6.3</t>
  </si>
  <si>
    <t>14.6.4</t>
  </si>
  <si>
    <t>14.6.5</t>
  </si>
  <si>
    <t>14.7</t>
  </si>
  <si>
    <t>14.7.1</t>
  </si>
  <si>
    <t>14.7.2</t>
  </si>
  <si>
    <t>14.7.3</t>
  </si>
  <si>
    <t>14.7.4</t>
  </si>
  <si>
    <t>14.8</t>
  </si>
  <si>
    <t>14.8.1</t>
  </si>
  <si>
    <t>14.8.2</t>
  </si>
  <si>
    <t>14.8.3</t>
  </si>
  <si>
    <t>14.8.4</t>
  </si>
  <si>
    <t>14.8.5</t>
  </si>
  <si>
    <t>14.9</t>
  </si>
  <si>
    <t>14.9.1</t>
  </si>
  <si>
    <t>14.9.2</t>
  </si>
  <si>
    <t>TOTAL COM BDI R$</t>
  </si>
  <si>
    <t>TOTAL ACUMULADO COM BDI R$</t>
  </si>
  <si>
    <t>PERCENTUAL  (%)</t>
  </si>
  <si>
    <t>PERCENTUAL ACUMULADO (%)</t>
  </si>
  <si>
    <t>out/2019</t>
  </si>
  <si>
    <t>CURVA ABC</t>
  </si>
  <si>
    <t>Nº</t>
  </si>
  <si>
    <t>TOTAL ITEM (R$)</t>
  </si>
  <si>
    <t>%ITEM</t>
  </si>
  <si>
    <t>% TOTAL ACUMULADA</t>
  </si>
  <si>
    <t>CLASS.</t>
  </si>
  <si>
    <t>Condições Curva ABC</t>
  </si>
  <si>
    <t>A</t>
  </si>
  <si>
    <t>B</t>
  </si>
  <si>
    <t>C</t>
  </si>
  <si>
    <t>0% - 80%</t>
  </si>
  <si>
    <t>80% - 95%</t>
  </si>
  <si>
    <t>95% - 100%</t>
  </si>
  <si>
    <t>MERKATHO</t>
  </si>
  <si>
    <t>(51) 3276-7635</t>
  </si>
  <si>
    <t xml:space="preserve">Point da Luz </t>
  </si>
  <si>
    <t>(32) 99158-0281</t>
  </si>
  <si>
    <t>View Tech</t>
  </si>
  <si>
    <t xml:space="preserve"> (14) 3301-8411</t>
  </si>
  <si>
    <t>Mercado Livre</t>
  </si>
  <si>
    <t>Americanas</t>
  </si>
  <si>
    <t>Iluminim Led</t>
  </si>
  <si>
    <t>(11) 4210-0494</t>
  </si>
  <si>
    <t>Faritel Telecomunicações Ltda</t>
  </si>
  <si>
    <t>(54) 3321-0955</t>
  </si>
  <si>
    <t>Az Metal Ltda</t>
  </si>
  <si>
    <t>(41) 30272165</t>
  </si>
  <si>
    <t>Central Cabos</t>
  </si>
  <si>
    <t>(11) 33343720</t>
  </si>
  <si>
    <t>Eletromac</t>
  </si>
  <si>
    <t>(34) 3292-4400</t>
  </si>
  <si>
    <t xml:space="preserve">Santil </t>
  </si>
  <si>
    <t>(11) 3998-3000</t>
  </si>
  <si>
    <t>Loja Elétrica</t>
  </si>
  <si>
    <t>Net Computadores</t>
  </si>
  <si>
    <t>(19) 3481-2667</t>
  </si>
  <si>
    <t>PCI Network</t>
  </si>
  <si>
    <t xml:space="preserve"> (11) 3331-3421</t>
  </si>
  <si>
    <t>2C 14 12 11 11 07</t>
  </si>
  <si>
    <t>Quadro elétrico em chapa de aço, de embutir, para disjuntores padrão europeu 675 x 360 x 100 mm</t>
  </si>
  <si>
    <t>2C 14 12 13 00 03</t>
  </si>
  <si>
    <t>Barramento neutro para quadro de luz padrão europeu</t>
  </si>
  <si>
    <t xml:space="preserve">2C 14 12 13 00 04	</t>
  </si>
  <si>
    <t>Barramento principal para quadro de luz padrão europeu</t>
  </si>
  <si>
    <t>2C 14 12 13 00 05</t>
  </si>
  <si>
    <t>Barramento terra para quadro de luz padrão europeu</t>
  </si>
  <si>
    <t>Quadro de distribuição de energia de embutir, em chapa metálica, para 12 disjuntores termomagnéticos monopolares, com barramento trifásico e neutro, 200A - Fornecimento e instalação</t>
  </si>
  <si>
    <t>Quadro de distribuição de energia de embutir, em chapa metálica, para 12 disjuntores - 200A - termomagnéticos monopolares, com barramento trifásico e neutro.</t>
  </si>
  <si>
    <t>CPU-04</t>
  </si>
  <si>
    <t>CPU-06</t>
  </si>
  <si>
    <t>ENCARGOS SOCIAIS (%) HORISTA 114,76  MENSALISTA  70,81</t>
  </si>
  <si>
    <t>SINAPI NÃO DESONERADO</t>
  </si>
  <si>
    <t>Tabela SINAPI NÃO DESONERADO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</si>
  <si>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</si>
  <si>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</si>
  <si>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</si>
  <si>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</si>
  <si>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</si>
  <si>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</si>
  <si>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</si>
  <si>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</si>
  <si>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</si>
  <si>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</si>
  <si>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</si>
  <si>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</si>
  <si>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</si>
  <si>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</si>
  <si>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</si>
  <si>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</si>
  <si>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</si>
  <si>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</si>
  <si>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</si>
  <si>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</si>
  <si>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</si>
  <si>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</si>
  <si>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</si>
  <si>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</si>
  <si>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</si>
  <si>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</si>
  <si>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</si>
  <si>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</si>
  <si>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</si>
  <si>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</si>
  <si>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</si>
  <si>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</si>
  <si>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</si>
  <si>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</si>
  <si>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</si>
  <si>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</si>
  <si>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</si>
  <si>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</si>
  <si>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</si>
  <si>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</si>
  <si>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</si>
  <si>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</si>
  <si>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</si>
  <si>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</si>
  <si>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</si>
  <si>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</si>
  <si>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</si>
  <si>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</si>
  <si>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</si>
  <si>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</si>
  <si>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</si>
  <si>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</si>
  <si>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</si>
  <si>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</si>
  <si>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</si>
  <si>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</si>
  <si>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</si>
  <si>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</si>
  <si>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</si>
  <si>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</si>
  <si>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</si>
  <si>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</si>
  <si>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</si>
  <si>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</si>
  <si>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</si>
  <si>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</si>
  <si>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</si>
  <si>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</si>
  <si>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</si>
  <si>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</si>
  <si>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</si>
  <si>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</si>
  <si>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</si>
  <si>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</si>
  <si>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</si>
  <si>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</si>
  <si>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</si>
  <si>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</si>
  <si>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</si>
  <si>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</si>
  <si>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</si>
  <si>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</si>
  <si>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</si>
  <si>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</si>
  <si>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</si>
  <si>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</si>
  <si>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</si>
  <si>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</si>
  <si>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</si>
  <si>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</si>
  <si>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</si>
  <si>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</si>
  <si>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</si>
  <si>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</si>
  <si>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</si>
  <si>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</si>
  <si>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</si>
  <si>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</si>
  <si>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</si>
  <si>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</si>
  <si>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</si>
  <si>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</si>
  <si>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</si>
  <si>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</si>
  <si>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</si>
  <si>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</si>
  <si>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</si>
  <si>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</si>
  <si>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</si>
  <si>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</si>
  <si>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</si>
  <si>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</si>
  <si>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</si>
  <si>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</si>
  <si>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</si>
  <si>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</si>
  <si>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</si>
  <si>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</si>
  <si>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</si>
  <si>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</si>
  <si>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</si>
  <si>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</si>
  <si>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</si>
  <si>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</si>
  <si>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</si>
  <si>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</si>
  <si>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</si>
  <si>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</si>
  <si>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</si>
  <si>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</si>
  <si>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</si>
  <si>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</si>
  <si>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</si>
  <si>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</si>
  <si>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</si>
  <si>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</si>
  <si>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</si>
  <si>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</si>
  <si>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</si>
  <si>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</si>
  <si>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</si>
  <si>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</si>
  <si>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</si>
  <si>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</si>
  <si>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</si>
  <si>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</si>
  <si>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</si>
  <si>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</si>
  <si>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</si>
  <si>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</si>
  <si>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</si>
  <si>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</si>
  <si>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</si>
  <si>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</si>
  <si>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</si>
  <si>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</si>
  <si>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</si>
  <si>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</si>
  <si>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</si>
  <si>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</si>
  <si>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</si>
  <si>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</si>
  <si>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</si>
  <si>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</si>
  <si>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</si>
  <si>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</si>
  <si>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</si>
  <si>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</si>
  <si>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</si>
  <si>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</si>
  <si>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</si>
  <si>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</si>
  <si>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</si>
  <si>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</si>
  <si>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</si>
  <si>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</si>
  <si>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</si>
  <si>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</si>
  <si>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</si>
  <si>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</si>
  <si>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</si>
  <si>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</si>
  <si>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</si>
  <si>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</si>
  <si>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</si>
  <si>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</si>
  <si>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</si>
  <si>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</si>
  <si>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</si>
  <si>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</si>
  <si>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</si>
  <si>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</si>
  <si>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</si>
  <si>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</si>
  <si>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</si>
  <si>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</si>
  <si>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</si>
  <si>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</si>
  <si>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</si>
  <si>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</si>
  <si>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</si>
  <si>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</si>
  <si>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</si>
  <si>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</si>
  <si>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</si>
  <si>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</si>
  <si>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</si>
  <si>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</si>
  <si>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</si>
  <si>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</si>
  <si>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</si>
  <si>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</si>
  <si>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</si>
  <si>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</si>
  <si>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</si>
  <si>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</si>
  <si>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</si>
  <si>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</si>
  <si>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</si>
  <si>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</si>
  <si>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</si>
  <si>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</si>
  <si>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</si>
  <si>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</si>
  <si>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</si>
  <si>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</si>
  <si>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</si>
  <si>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</si>
  <si>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</si>
  <si>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</si>
  <si>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</si>
  <si>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</si>
  <si>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</si>
  <si>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</si>
  <si>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</si>
  <si>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</si>
  <si>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</si>
  <si>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</si>
  <si>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</si>
  <si>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</si>
  <si>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</si>
  <si>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</si>
  <si>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</si>
  <si>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</si>
  <si>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</si>
  <si>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</si>
  <si>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</si>
  <si>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</si>
  <si>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</si>
  <si>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</si>
  <si>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</si>
  <si>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</si>
  <si>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</si>
  <si>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</si>
  <si>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</si>
  <si>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</si>
  <si>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</si>
  <si>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</si>
  <si>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</si>
  <si>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</si>
  <si>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</si>
  <si>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</si>
  <si>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</si>
  <si>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</si>
  <si>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</si>
  <si>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</si>
  <si>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</si>
  <si>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</si>
  <si>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</si>
  <si>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</si>
  <si>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</si>
  <si>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</si>
  <si>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</si>
  <si>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</si>
  <si>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</si>
  <si>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</si>
  <si>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</si>
  <si>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</si>
  <si>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</si>
  <si>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</si>
  <si>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</si>
  <si>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</si>
  <si>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</si>
  <si>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</si>
  <si>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</si>
  <si>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</si>
  <si>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</si>
  <si>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</si>
  <si>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</si>
  <si>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</si>
  <si>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</si>
  <si>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</si>
  <si>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</si>
  <si>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</si>
  <si>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</si>
  <si>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</si>
  <si>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</si>
  <si>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</si>
  <si>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</si>
  <si>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</si>
  <si>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</si>
  <si>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</si>
  <si>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</si>
  <si>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</si>
  <si>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</si>
  <si>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</si>
  <si>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</si>
  <si>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</si>
  <si>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</si>
  <si>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</si>
  <si>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</si>
  <si>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</si>
  <si>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</si>
  <si>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</si>
  <si>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</si>
  <si>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</si>
  <si>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</si>
  <si>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</si>
  <si>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</si>
  <si>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</si>
  <si>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</si>
  <si>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</si>
  <si>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</si>
  <si>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</si>
  <si>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</si>
  <si>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</si>
  <si>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</si>
  <si>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</si>
  <si>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</si>
  <si>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</si>
  <si>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</si>
  <si>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</si>
  <si>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</si>
  <si>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</si>
  <si>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</si>
  <si>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</si>
  <si>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</si>
  <si>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</si>
  <si>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</si>
  <si>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</si>
  <si>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</si>
  <si>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</si>
  <si>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</si>
  <si>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</si>
  <si>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</si>
  <si>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</si>
  <si>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</si>
  <si>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</si>
  <si>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</si>
  <si>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</si>
  <si>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</si>
  <si>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</si>
  <si>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</si>
  <si>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</si>
  <si>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</si>
  <si>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</si>
  <si>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</si>
  <si>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</si>
  <si>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</si>
  <si>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</si>
  <si>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</si>
  <si>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</si>
  <si>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</si>
  <si>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</si>
  <si>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</si>
  <si>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</si>
  <si>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</si>
  <si>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</si>
  <si>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</si>
  <si>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</si>
  <si>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</si>
  <si>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</si>
  <si>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</si>
  <si>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</si>
  <si>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</si>
  <si>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</si>
  <si>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</si>
  <si>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</si>
  <si>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</si>
  <si>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</si>
  <si>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</si>
  <si>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</si>
  <si>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</si>
  <si>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</si>
  <si>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</si>
  <si>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</si>
  <si>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</si>
  <si>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</si>
  <si>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</si>
  <si>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</si>
  <si>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</si>
  <si>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</si>
  <si>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</si>
  <si>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</si>
  <si>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</si>
  <si>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</si>
  <si>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</si>
  <si>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</si>
  <si>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</si>
  <si>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</si>
  <si>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</si>
  <si>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</si>
  <si>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</si>
  <si>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</si>
  <si>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</si>
  <si>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</si>
  <si>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</si>
  <si>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</si>
  <si>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</si>
  <si>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</si>
  <si>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</si>
  <si>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</si>
  <si>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</si>
  <si>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</si>
  <si>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</si>
  <si>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</si>
  <si>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</si>
  <si>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</si>
  <si>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</si>
  <si>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</si>
  <si>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</si>
  <si>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</si>
  <si>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</si>
  <si>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</si>
  <si>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</si>
  <si>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</si>
  <si>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</si>
  <si>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</si>
  <si>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</si>
  <si>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</si>
  <si>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</si>
  <si>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</si>
  <si>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</si>
  <si>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</si>
  <si>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</si>
  <si>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</si>
  <si>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</si>
  <si>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</si>
  <si>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</si>
  <si>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</si>
  <si>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</si>
  <si>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</si>
  <si>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</si>
  <si>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</si>
  <si>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</si>
  <si>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</si>
  <si>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</si>
  <si>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</si>
  <si>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</si>
  <si>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</si>
  <si>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</si>
  <si>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</si>
  <si>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</si>
  <si>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</si>
  <si>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</si>
  <si>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</si>
  <si>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</si>
  <si>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</si>
  <si>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</si>
  <si>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</si>
  <si>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</si>
  <si>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</si>
  <si>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</si>
  <si>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</si>
  <si>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</si>
  <si>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</si>
  <si>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</si>
  <si>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</si>
  <si>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</si>
  <si>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</si>
  <si>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</si>
  <si>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</si>
  <si>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</si>
  <si>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</si>
  <si>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</si>
  <si>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</si>
  <si>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</si>
  <si>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</si>
  <si>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</si>
  <si>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</si>
  <si>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</si>
  <si>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</si>
  <si>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</si>
  <si>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</si>
  <si>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</si>
  <si>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</si>
  <si>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</si>
  <si>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</si>
  <si>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</si>
  <si>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</si>
  <si>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</si>
  <si>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</si>
  <si>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</si>
  <si>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</si>
  <si>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</si>
  <si>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</si>
  <si>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</si>
  <si>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</si>
  <si>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</si>
  <si>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</si>
  <si>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</si>
  <si>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</si>
  <si>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</si>
  <si>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</si>
  <si>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</si>
  <si>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</si>
  <si>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</si>
  <si>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</si>
  <si>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</si>
  <si>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</si>
  <si>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</si>
  <si>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</si>
  <si>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</si>
  <si>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</si>
  <si>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</si>
  <si>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</si>
  <si>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</si>
  <si>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</si>
  <si>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</si>
  <si>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</si>
  <si>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</si>
  <si>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</si>
  <si>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</si>
  <si>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</si>
  <si>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</si>
  <si>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</si>
  <si>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</si>
  <si>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</si>
  <si>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</si>
  <si>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</si>
  <si>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</si>
  <si>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</si>
  <si>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</si>
  <si>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</si>
  <si>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</si>
  <si>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</si>
  <si>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</si>
  <si>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</si>
  <si>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</si>
  <si>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</si>
  <si>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</si>
  <si>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</si>
  <si>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</si>
  <si>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</si>
  <si>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</si>
  <si>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</si>
  <si>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</si>
  <si>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</si>
  <si>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</si>
  <si>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</si>
  <si>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</si>
  <si>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</si>
  <si>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</si>
  <si>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</si>
  <si>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</si>
  <si>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</si>
  <si>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</si>
  <si>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</si>
  <si>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</si>
  <si>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</si>
  <si>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</si>
  <si>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</si>
  <si>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</si>
  <si>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</si>
  <si>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</si>
  <si>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</si>
  <si>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</si>
  <si>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</si>
  <si>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</si>
  <si>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</si>
  <si>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</si>
  <si>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</si>
  <si>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</si>
  <si>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</si>
  <si>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</si>
  <si>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</si>
  <si>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</si>
  <si>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</si>
  <si>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</si>
  <si>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</si>
  <si>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</si>
  <si>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</si>
  <si>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</si>
  <si>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</si>
  <si>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</si>
  <si>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</si>
  <si>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</si>
  <si>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</si>
  <si>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</si>
  <si>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</si>
  <si>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</si>
  <si>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</si>
  <si>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</si>
  <si>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</si>
  <si>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</si>
  <si>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</si>
  <si>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</si>
  <si>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</si>
  <si>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</si>
  <si>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</si>
  <si>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</si>
  <si>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</si>
  <si>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</si>
  <si>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</si>
  <si>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</si>
  <si>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</si>
  <si>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</si>
  <si>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</si>
  <si>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</si>
  <si>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</si>
  <si>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</si>
  <si>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</si>
  <si>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</si>
  <si>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</si>
  <si>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</si>
  <si>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</si>
  <si>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</si>
  <si>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</si>
  <si>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</si>
  <si>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</si>
  <si>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</si>
  <si>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</si>
  <si>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</si>
  <si>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</si>
  <si>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</si>
  <si>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</si>
  <si>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</si>
  <si>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</si>
  <si>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</si>
  <si>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</si>
  <si>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</si>
  <si>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</si>
  <si>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</si>
  <si>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</si>
  <si>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</si>
  <si>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</si>
  <si>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</si>
  <si>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</si>
  <si>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</si>
  <si>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</si>
  <si>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</si>
  <si>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</si>
  <si>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</si>
  <si>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</si>
  <si>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</si>
  <si>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</si>
  <si>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</si>
  <si>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</si>
  <si>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</si>
  <si>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</si>
  <si>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</si>
  <si>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</si>
  <si>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</si>
  <si>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</si>
  <si>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</si>
  <si>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</si>
  <si>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</si>
  <si>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</si>
  <si>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</si>
  <si>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</si>
  <si>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</si>
  <si>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</si>
  <si>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</si>
  <si>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</si>
  <si>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</si>
  <si>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</si>
  <si>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</si>
  <si>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</si>
  <si>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</si>
  <si>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</si>
  <si>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</si>
  <si>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</si>
  <si>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</si>
  <si>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</si>
  <si>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</si>
  <si>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</si>
  <si>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</si>
  <si>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</si>
  <si>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</si>
  <si>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</si>
  <si>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</si>
  <si>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</si>
  <si>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</si>
  <si>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</si>
  <si>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</si>
  <si>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</si>
  <si>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</si>
  <si>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</si>
  <si>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</si>
  <si>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</si>
  <si>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</si>
  <si>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</si>
  <si>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</si>
  <si>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</si>
  <si>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</si>
  <si>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</si>
  <si>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</si>
  <si>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</si>
  <si>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</si>
  <si>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</si>
  <si>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</si>
  <si>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</si>
  <si>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</si>
  <si>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</si>
  <si>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</si>
  <si>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</si>
  <si>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</si>
  <si>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</si>
  <si>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</si>
  <si>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</si>
  <si>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</si>
  <si>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</si>
  <si>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</si>
  <si>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</si>
  <si>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</si>
  <si>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</si>
  <si>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</si>
  <si>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</si>
  <si>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</si>
  <si>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</si>
  <si>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</si>
  <si>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</si>
  <si>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</si>
  <si>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</si>
  <si>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</si>
  <si>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</si>
  <si>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</si>
  <si>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</si>
  <si>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</si>
  <si>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</si>
  <si>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</si>
  <si>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</si>
  <si>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</si>
  <si>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</si>
  <si>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</si>
  <si>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</si>
  <si>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</si>
  <si>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</si>
  <si>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</si>
  <si>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</si>
  <si>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</si>
  <si>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</si>
  <si>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</si>
  <si>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</si>
  <si>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</si>
  <si>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</si>
  <si>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</si>
  <si>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</si>
  <si>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</si>
  <si>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</si>
  <si>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</si>
  <si>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</si>
  <si>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</si>
  <si>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</si>
  <si>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</si>
  <si>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</si>
  <si>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</si>
  <si>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</si>
  <si>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</si>
  <si>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</si>
  <si>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</si>
  <si>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</si>
  <si>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</si>
  <si>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</si>
  <si>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</si>
  <si>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</si>
  <si>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</si>
  <si>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</si>
  <si>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</si>
  <si>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</si>
  <si>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</si>
  <si>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</si>
  <si>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</si>
  <si>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</si>
  <si>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</si>
  <si>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</si>
  <si>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</si>
  <si>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</si>
  <si>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</si>
  <si>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</si>
  <si>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</si>
  <si>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</si>
  <si>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</si>
  <si>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</si>
  <si>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</si>
  <si>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</si>
  <si>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</si>
  <si>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</si>
  <si>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</si>
  <si>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</si>
  <si>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</si>
  <si>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</si>
  <si>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</si>
  <si>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</si>
  <si>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</si>
  <si>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</si>
  <si>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</si>
  <si>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</si>
  <si>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</si>
  <si>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</si>
  <si>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</si>
  <si>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</si>
  <si>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</si>
  <si>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</si>
  <si>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</si>
  <si>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</si>
  <si>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</si>
  <si>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</si>
  <si>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</si>
  <si>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</si>
  <si>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</si>
  <si>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</si>
  <si>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</si>
  <si>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</si>
  <si>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</si>
  <si>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</si>
  <si>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</si>
  <si>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</si>
  <si>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</si>
  <si>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</si>
  <si>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</si>
  <si>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</si>
  <si>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</si>
  <si>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</si>
  <si>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</si>
  <si>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</si>
  <si>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</si>
  <si>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</si>
  <si>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</si>
  <si>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</si>
  <si>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</si>
  <si>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</si>
  <si>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</si>
  <si>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</si>
  <si>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</si>
  <si>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</si>
  <si>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</si>
  <si>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</si>
  <si>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</si>
  <si>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</si>
  <si>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</si>
  <si>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</si>
  <si>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</si>
  <si>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</si>
  <si>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</si>
  <si>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</si>
  <si>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</si>
  <si>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</si>
  <si>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</si>
  <si>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</si>
  <si>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</si>
  <si>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</si>
  <si>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</si>
  <si>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</si>
  <si>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</si>
  <si>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</si>
  <si>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</si>
  <si>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</si>
  <si>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</si>
  <si>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</si>
  <si>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</si>
  <si>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</si>
  <si>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</si>
  <si>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</si>
  <si>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</si>
  <si>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</si>
  <si>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</si>
  <si>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</si>
  <si>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</si>
  <si>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</si>
  <si>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</si>
  <si>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</si>
  <si>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</si>
  <si>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</si>
  <si>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</si>
  <si>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</si>
  <si>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</si>
  <si>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</si>
  <si>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</si>
  <si>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</si>
  <si>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</si>
  <si>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</si>
  <si>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</si>
  <si>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</si>
  <si>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</si>
  <si>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</si>
  <si>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</si>
  <si>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</si>
  <si>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</si>
  <si>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</si>
  <si>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</si>
  <si>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</si>
  <si>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</si>
  <si>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</si>
  <si>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</si>
  <si>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</si>
  <si>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</si>
  <si>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</si>
  <si>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</si>
  <si>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</si>
  <si>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</si>
  <si>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</si>
  <si>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</si>
  <si>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</si>
  <si>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</si>
  <si>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</si>
  <si>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</si>
  <si>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</si>
  <si>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</si>
  <si>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</si>
  <si>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</si>
  <si>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</si>
  <si>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</si>
  <si>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</si>
  <si>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</si>
  <si>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</si>
  <si>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</si>
  <si>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</si>
  <si>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</si>
  <si>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</si>
  <si>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</si>
  <si>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</si>
  <si>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</si>
  <si>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</si>
  <si>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</si>
  <si>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</si>
  <si>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</si>
  <si>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</si>
  <si>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</si>
  <si>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</si>
  <si>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</si>
  <si>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</si>
  <si>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</si>
  <si>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</si>
  <si>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</si>
  <si>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</si>
  <si>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</si>
  <si>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</si>
  <si>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</si>
  <si>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</si>
  <si>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</si>
  <si>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</si>
  <si>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</si>
  <si>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</si>
  <si>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</si>
  <si>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</si>
  <si>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</si>
  <si>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</si>
  <si>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</si>
  <si>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</si>
  <si>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</si>
  <si>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</si>
  <si>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</si>
  <si>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</si>
  <si>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</si>
  <si>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</si>
  <si>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</si>
  <si>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</si>
  <si>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</si>
  <si>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</si>
  <si>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</si>
  <si>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</si>
  <si>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</si>
  <si>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</si>
  <si>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</si>
  <si>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</si>
  <si>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</si>
  <si>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</si>
  <si>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</si>
  <si>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</si>
  <si>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</si>
  <si>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</si>
  <si>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</si>
  <si>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</si>
  <si>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</si>
  <si>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</si>
  <si>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</si>
  <si>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</si>
  <si>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</si>
  <si>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</si>
  <si>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</si>
  <si>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</si>
  <si>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</si>
  <si>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</si>
  <si>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</si>
  <si>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</si>
  <si>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</si>
  <si>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</si>
  <si>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</si>
  <si>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</si>
  <si>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</si>
  <si>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</si>
  <si>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</si>
  <si>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</si>
  <si>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</si>
  <si>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</si>
  <si>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</si>
  <si>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</si>
  <si>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</si>
  <si>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</si>
  <si>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</si>
  <si>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</si>
  <si>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</si>
  <si>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</si>
  <si>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</si>
  <si>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</si>
  <si>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</si>
  <si>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</si>
  <si>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</si>
  <si>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</si>
  <si>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</si>
  <si>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</si>
  <si>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</si>
  <si>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</si>
  <si>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</si>
  <si>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</si>
  <si>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</si>
  <si>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</si>
  <si>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</si>
  <si>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</si>
  <si>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</si>
  <si>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</si>
  <si>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</si>
  <si>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</si>
  <si>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</si>
  <si>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</si>
  <si>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</si>
  <si>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</si>
  <si>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</si>
  <si>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</si>
  <si>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</si>
  <si>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</si>
  <si>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</si>
  <si>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</si>
  <si>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</si>
  <si>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</si>
  <si>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</si>
  <si>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</si>
  <si>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</si>
  <si>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</si>
  <si>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</si>
  <si>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</si>
  <si>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</si>
  <si>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</si>
  <si>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</si>
  <si>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</si>
  <si>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</si>
  <si>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</si>
  <si>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</si>
  <si>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</si>
  <si>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</si>
  <si>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</si>
  <si>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</si>
  <si>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</si>
  <si>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</si>
  <si>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</si>
  <si>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</si>
  <si>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</si>
  <si>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</si>
  <si>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</si>
  <si>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</si>
  <si>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</si>
  <si>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</si>
  <si>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</si>
  <si>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</si>
  <si>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</si>
  <si>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</si>
  <si>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</si>
  <si>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</si>
  <si>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</si>
  <si>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</si>
  <si>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</si>
  <si>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</si>
  <si>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</si>
  <si>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</si>
  <si>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</si>
  <si>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</si>
  <si>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</si>
  <si>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</si>
  <si>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</si>
  <si>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</si>
  <si>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</si>
  <si>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</si>
  <si>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</si>
  <si>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</si>
  <si>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</si>
  <si>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</si>
  <si>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</si>
  <si>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</si>
  <si>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</si>
  <si>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</si>
  <si>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</si>
  <si>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</si>
  <si>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</si>
  <si>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</si>
  <si>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</si>
  <si>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</si>
  <si>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</si>
  <si>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</si>
  <si>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</si>
  <si>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</si>
  <si>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</si>
  <si>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</si>
  <si>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</si>
  <si>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</si>
  <si>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</si>
  <si>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</si>
  <si>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</si>
  <si>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</si>
  <si>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</si>
  <si>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</si>
  <si>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</si>
  <si>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</si>
  <si>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</si>
  <si>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</si>
  <si>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</si>
  <si>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</si>
  <si>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</si>
  <si>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</si>
  <si>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</si>
  <si>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</si>
  <si>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</si>
  <si>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</si>
  <si>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</si>
  <si>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</si>
  <si>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</si>
  <si>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</si>
  <si>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</si>
  <si>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</si>
  <si>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</si>
  <si>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</si>
  <si>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</si>
  <si>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</si>
  <si>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</si>
  <si>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</si>
  <si>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</si>
  <si>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</si>
  <si>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</si>
  <si>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</si>
  <si>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</si>
  <si>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</si>
  <si>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</si>
  <si>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</si>
  <si>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</si>
  <si>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</si>
  <si>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</si>
  <si>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</si>
  <si>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</si>
  <si>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</si>
  <si>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</si>
  <si>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</si>
  <si>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</si>
  <si>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</si>
  <si>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</si>
  <si>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</si>
  <si>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</si>
  <si>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</si>
  <si>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</si>
  <si>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</si>
  <si>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</si>
  <si>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</si>
  <si>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</si>
  <si>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</si>
  <si>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</si>
  <si>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</si>
  <si>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</si>
  <si>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</si>
  <si>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</si>
  <si>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</si>
  <si>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</si>
  <si>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</si>
  <si>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</si>
  <si>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</si>
  <si>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</si>
  <si>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</si>
  <si>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</si>
  <si>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</si>
  <si>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</si>
  <si>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</si>
  <si>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</si>
  <si>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</si>
  <si>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</si>
  <si>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</si>
  <si>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</si>
  <si>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</si>
  <si>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</si>
  <si>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</si>
  <si>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</si>
  <si>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</si>
  <si>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</si>
  <si>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</si>
  <si>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</si>
  <si>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</si>
  <si>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</si>
  <si>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</si>
  <si>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</si>
  <si>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</si>
  <si>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</si>
  <si>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</si>
  <si>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</si>
  <si>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</si>
  <si>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</si>
  <si>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</si>
  <si>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</si>
  <si>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</si>
  <si>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</si>
  <si>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</si>
  <si>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</si>
  <si>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</si>
  <si>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</si>
  <si>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</si>
  <si>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</si>
  <si>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</si>
  <si>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</si>
  <si>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</si>
  <si>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</si>
  <si>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</si>
  <si>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</si>
  <si>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</si>
  <si>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</si>
  <si>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</si>
  <si>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</si>
  <si>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</si>
  <si>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</si>
  <si>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</si>
  <si>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</si>
  <si>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</si>
  <si>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</si>
  <si>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</si>
  <si>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</si>
  <si>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</si>
  <si>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</si>
  <si>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</si>
  <si>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</si>
  <si>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</si>
  <si>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</si>
  <si>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</si>
  <si>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</si>
  <si>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</si>
  <si>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</si>
  <si>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</si>
  <si>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</si>
  <si>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</si>
  <si>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</si>
  <si>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</si>
  <si>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</si>
  <si>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</si>
  <si>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</si>
  <si>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</si>
  <si>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</si>
  <si>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</si>
  <si>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</si>
  <si>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</si>
  <si>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</si>
  <si>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</si>
  <si>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</si>
  <si>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</si>
  <si>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</si>
  <si>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</si>
  <si>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</si>
  <si>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</si>
  <si>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</si>
  <si>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</si>
  <si>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</si>
  <si>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</si>
  <si>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</si>
  <si>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</si>
  <si>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</si>
  <si>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</si>
  <si>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</si>
  <si>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</si>
  <si>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</si>
  <si>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</si>
  <si>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</si>
  <si>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</si>
  <si>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</si>
  <si>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</si>
  <si>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</si>
  <si>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</si>
  <si>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</si>
  <si>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</si>
  <si>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</si>
  <si>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</si>
  <si>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</si>
  <si>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</si>
  <si>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</si>
  <si>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</si>
  <si>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</si>
  <si>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</si>
  <si>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</si>
  <si>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</si>
  <si>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</si>
  <si>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</si>
  <si>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</si>
  <si>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</si>
  <si>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</si>
  <si>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</si>
  <si>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</si>
  <si>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</si>
  <si>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</si>
  <si>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</si>
  <si>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</si>
  <si>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</si>
  <si>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</si>
  <si>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</si>
  <si>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</si>
  <si>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</si>
  <si>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</si>
  <si>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</si>
  <si>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</si>
  <si>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</si>
  <si>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</si>
  <si>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</si>
  <si>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</si>
  <si>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</si>
  <si>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</si>
  <si>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</si>
  <si>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</si>
  <si>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</si>
  <si>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</si>
  <si>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</si>
  <si>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</si>
  <si>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</si>
  <si>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</si>
  <si>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</si>
  <si>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</si>
  <si>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</si>
  <si>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</si>
  <si>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</si>
  <si>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</si>
  <si>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</si>
  <si>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</si>
  <si>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</si>
  <si>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</si>
  <si>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</si>
  <si>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</si>
  <si>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</si>
  <si>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</si>
  <si>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</si>
  <si>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</si>
  <si>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</si>
  <si>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</si>
  <si>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</si>
  <si>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</si>
  <si>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</si>
  <si>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</si>
  <si>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</si>
  <si>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</si>
  <si>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</si>
  <si>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</si>
  <si>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</si>
  <si>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</si>
  <si>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</si>
  <si>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</si>
  <si>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</si>
  <si>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</si>
  <si>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</si>
  <si>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</si>
  <si>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</si>
  <si>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</si>
  <si>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</si>
  <si>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</si>
  <si>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</si>
  <si>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</si>
  <si>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</si>
  <si>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</si>
  <si>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</si>
  <si>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</si>
  <si>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</si>
  <si>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</si>
  <si>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</si>
  <si>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</si>
  <si>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</si>
  <si>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</si>
  <si>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</si>
  <si>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</si>
  <si>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</si>
  <si>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</si>
  <si>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</si>
  <si>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</si>
  <si>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</si>
  <si>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</si>
  <si>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</si>
  <si>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</si>
  <si>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</si>
  <si>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</si>
  <si>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</si>
  <si>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</si>
  <si>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</si>
  <si>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</si>
  <si>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</si>
  <si>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</si>
  <si>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</si>
  <si>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</si>
  <si>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</si>
  <si>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</si>
  <si>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</si>
  <si>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</si>
  <si>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</si>
  <si>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</si>
  <si>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</si>
  <si>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</si>
  <si>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</si>
  <si>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</si>
  <si>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</si>
  <si>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</si>
  <si>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</si>
  <si>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</si>
  <si>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</si>
  <si>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</si>
  <si>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</si>
  <si>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</si>
  <si>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</si>
  <si>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</si>
  <si>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</si>
  <si>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</si>
  <si>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</si>
  <si>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</si>
  <si>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</si>
  <si>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</si>
  <si>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</si>
  <si>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</si>
  <si>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</si>
  <si>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</si>
  <si>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</si>
  <si>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</si>
  <si>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</si>
  <si>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</si>
  <si>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</si>
  <si>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</si>
  <si>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</si>
  <si>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</si>
  <si>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</si>
  <si>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</si>
  <si>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</si>
  <si>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</si>
  <si>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</si>
  <si>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</si>
  <si>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</si>
  <si>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</si>
  <si>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</si>
  <si>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</si>
  <si>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</si>
  <si>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</si>
  <si>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</si>
  <si>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</si>
  <si>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</si>
  <si>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</si>
  <si>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</si>
  <si>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</si>
  <si>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</si>
  <si>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</si>
  <si>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</si>
  <si>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</si>
  <si>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</si>
  <si>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</si>
  <si>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</si>
  <si>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</si>
  <si>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</si>
  <si>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</si>
  <si>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</si>
  <si>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</si>
  <si>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</si>
  <si>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</si>
  <si>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</si>
  <si>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</si>
  <si>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</si>
  <si>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</si>
  <si>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</si>
  <si>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</si>
  <si>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</si>
  <si>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</si>
  <si>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</si>
  <si>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</si>
  <si>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</si>
  <si>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</si>
  <si>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</si>
  <si>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</si>
  <si>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</si>
  <si>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</si>
  <si>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</si>
  <si>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</si>
  <si>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</si>
  <si>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</si>
  <si>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</si>
  <si>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</si>
  <si>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</si>
  <si>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</si>
  <si>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</si>
  <si>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</si>
  <si>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</si>
  <si>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</si>
  <si>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</si>
  <si>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</si>
  <si>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</si>
  <si>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</si>
  <si>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</si>
  <si>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</si>
  <si>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</si>
  <si>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</si>
  <si>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</si>
  <si>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</si>
  <si>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</si>
  <si>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</si>
  <si>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</si>
  <si>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</si>
  <si>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</si>
  <si>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</si>
  <si>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</si>
  <si>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</si>
  <si>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</si>
  <si>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</si>
  <si>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</si>
  <si>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</si>
  <si>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</si>
  <si>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</si>
  <si>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</si>
  <si>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</si>
  <si>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</si>
  <si>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</si>
  <si>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</si>
  <si>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</si>
  <si>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</si>
  <si>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</si>
  <si>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</si>
  <si>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</si>
  <si>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</si>
  <si>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</si>
  <si>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</si>
  <si>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</si>
  <si>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</si>
  <si>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</si>
  <si>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</si>
  <si>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</si>
  <si>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</si>
  <si>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</si>
  <si>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</si>
  <si>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</si>
  <si>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</si>
  <si>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</si>
  <si>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</si>
  <si>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</si>
  <si>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</si>
  <si>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</si>
  <si>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</si>
  <si>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</si>
  <si>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</si>
  <si>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</si>
  <si>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</si>
  <si>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</si>
  <si>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</si>
  <si>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TOTAL DE INSUMOS : 5280</t>
  </si>
  <si>
    <t>SETOP 15155.3.4.2</t>
  </si>
  <si>
    <t>OESR 1836</t>
  </si>
  <si>
    <t>UM</t>
  </si>
  <si>
    <t>CONCRETO MAGRO PARA LASTRO, TRAÇO 1:4,5:4,5 (CIMENTO/ AREIA MÉDIA/ BRITA 1) - PREPARO MECÂNICO COM BETONEIRA 400 L. AF_07/2016</t>
  </si>
  <si>
    <t>M³</t>
  </si>
  <si>
    <t>M²</t>
  </si>
  <si>
    <t xml:space="preserve">	PINTOR COM ENCARGOS COMPLEMENTARES</t>
  </si>
  <si>
    <t xml:space="preserve">	SERRALHEIRO COM ENCARGOS COMPLEMENTARES</t>
  </si>
  <si>
    <t xml:space="preserve">	LIXA EM FOLHA PARA FERRO, NUMERO 150</t>
  </si>
  <si>
    <t>CPU-58</t>
  </si>
  <si>
    <t>CPU-59</t>
  </si>
  <si>
    <t>CPU-60</t>
  </si>
  <si>
    <t>CPU-61</t>
  </si>
  <si>
    <t>CPU-62</t>
  </si>
  <si>
    <t>CPU-63</t>
  </si>
  <si>
    <t>CPU-64</t>
  </si>
  <si>
    <t>CPU-65</t>
  </si>
  <si>
    <t>CPU-66</t>
  </si>
  <si>
    <t>CPU-67</t>
  </si>
  <si>
    <t>CPU-68</t>
  </si>
  <si>
    <t>CPU-69</t>
  </si>
  <si>
    <t>CPU-70</t>
  </si>
  <si>
    <t>CAIXA DE PASSAGEM/ LUZ / TELEFONIA, DE EMBUTIR, EM CHAPA DE ACO GALVANIZADO, DIMENSOES 60 X 60 X *12* CM (PADRAO CONCESSIONARIA LOCAL)</t>
  </si>
  <si>
    <t>CPU-71</t>
  </si>
  <si>
    <t>CPU-72</t>
  </si>
  <si>
    <t>Quadro de distribuição de energia de embutir, em chapa metálica, para 56 disjuntores termomagnéticos monopolares, com barramento trifásico e neutro, 225A - Fornecimento e instalação</t>
  </si>
  <si>
    <t>TOTAL</t>
  </si>
  <si>
    <t>+</t>
  </si>
  <si>
    <t>x</t>
  </si>
  <si>
    <t xml:space="preserve">Lastro de concreto magro, aplicado em blocos de coroamento ou sapatas, espessura de 5 cm. </t>
  </si>
  <si>
    <t>Bloco Anexo/</t>
  </si>
  <si>
    <t>(69) 3225 5197</t>
  </si>
  <si>
    <t>(69) 3222-7007</t>
  </si>
  <si>
    <t>Porta de correr em chapa de painel de alumínio composto ACM 3 mm, cor branco, acabamento brilhoso, de dimensões 1,50x2,50m, com visor em vidro temperado de 6 mm de dimensões de 20x60cm</t>
  </si>
  <si>
    <t>Porta de correr em chapa de painel de alumínio composto ACM 3 mm, cor branco, acabamento brilhoso, de dimensões 1,20x2,50m, com visor em vidro temperado de 6 mm de dimensões de 20x60cm</t>
  </si>
  <si>
    <t>Porta de abrir em chapa de painel de alumínio composto ACM 3 mm, cor branco, acabamento brilhoso, de dimensões 1,20x2,10m, com visor em vidro temperado de6 mm de dimensões de 20x60cm</t>
  </si>
  <si>
    <t>Placa de Obra em Chapa de aço Galvanizado (2,40m x 1,20m).</t>
  </si>
  <si>
    <t xml:space="preserve">Desnível dos platôs do galpão  -  PROJETO </t>
  </si>
  <si>
    <t>Soma dos Pilares (m)</t>
  </si>
  <si>
    <t>Comprimento sem pilar (m)</t>
  </si>
  <si>
    <t>V3</t>
  </si>
  <si>
    <t>V5</t>
  </si>
  <si>
    <t>V1</t>
  </si>
  <si>
    <t>V4</t>
  </si>
  <si>
    <t>V8</t>
  </si>
  <si>
    <t>V7</t>
  </si>
  <si>
    <t>V6</t>
  </si>
  <si>
    <t>V2</t>
  </si>
  <si>
    <t xml:space="preserve">Total geral </t>
  </si>
  <si>
    <t>VT1 e VT2- Vidro temperado incolor, espessura 8mm - Fornecimento e instalação</t>
  </si>
  <si>
    <t>Calçada lateral esquerda -  virando a direita</t>
  </si>
  <si>
    <t>Calçada lateral esquerda -  virando a esquerda</t>
  </si>
  <si>
    <t>Calçada lateral direira - trecho 01</t>
  </si>
  <si>
    <t>Calçada lateral direira - trecho 02</t>
  </si>
  <si>
    <t>Calçada lateral direira - trecho 03</t>
  </si>
  <si>
    <t>Calçada lateral direira - trecho 04</t>
  </si>
  <si>
    <t>ARQ. 08/08</t>
  </si>
  <si>
    <t>ARQ. 02/08</t>
  </si>
  <si>
    <t>ARQ. 07/08</t>
  </si>
  <si>
    <t>Area</t>
  </si>
  <si>
    <t>Faces</t>
  </si>
  <si>
    <t>DESCONTO</t>
  </si>
  <si>
    <t>(Obs - sem desconto dos pilares)</t>
  </si>
  <si>
    <t>Codigo</t>
  </si>
  <si>
    <t>Requadro de portas e janelas</t>
  </si>
  <si>
    <t>Perimetro</t>
  </si>
  <si>
    <t xml:space="preserve">Desconto de portas  e janelas </t>
  </si>
  <si>
    <t xml:space="preserve">Revestimento cerâmico para paredes com placas tipo porcelanato de dimensões 60x60 cm aplicadas em ambientes de área maior que 10 m², com rejunte epoxi. </t>
  </si>
  <si>
    <t>P15, P14, P13, P12, P9, P8, P7, P6, P5, P3, P4, P2, P18,P17, P11, P19, P20, P16 e P10</t>
  </si>
  <si>
    <t>Sapatas e pilares de arranque - Quadro 1</t>
  </si>
  <si>
    <t>Pilares de Arranque - Quadro : P15, P14, P13, P12, P9, P8, P7, P6, P5, P3, P4, P2, P18,P17, P11, P19, P20, P16 e P10</t>
  </si>
  <si>
    <t>CPU-73</t>
  </si>
  <si>
    <t>Placa base para ancoragem de pilares em aço A-36.</t>
  </si>
  <si>
    <t>5.1.4</t>
  </si>
  <si>
    <t>(Quadro Resumo - Prancha 02/06 - Projeto Estrutural)</t>
  </si>
  <si>
    <t>Placa Base - A-36
200X200X7mm</t>
  </si>
  <si>
    <t>Placa Base - A-36
300X400X7mm</t>
  </si>
  <si>
    <t>Parafuso francês zincado, diâmetro 1/2", comprimento 15", com porca e arruela lisa media</t>
  </si>
  <si>
    <t>TOTAL DE LASTRO DE CONCRETO</t>
  </si>
  <si>
    <t>DESCONTO DE VÃOS DE PORTAS</t>
  </si>
  <si>
    <t>TOTAL DE RODAPÉ</t>
  </si>
  <si>
    <t>Abertura de Circulação - Entre: Área para recepção e distribuição de medicamentos, saneantes, cosméticos e materiais inflamáveis e Circulação 01</t>
  </si>
  <si>
    <t>Escavação mecanizada de vala com prof. Até 1,5 m(média entre montante e jusante/uma composição por trecho), com escavadeira hidráulica (0,8 m3), larg. De 1,5m a 2,5 m, em solo de 1a categoria, locais com baixo nível de interferência. Af_01/2015</t>
  </si>
  <si>
    <t>Rufo externo/interno em chapa de aço galvanizado número 26, corte de 33 cm, incluso içamento. Af_07/2019</t>
  </si>
  <si>
    <t>Varanda - A3</t>
  </si>
  <si>
    <t>Varanda - A4</t>
  </si>
  <si>
    <t>Varanda Interna</t>
  </si>
  <si>
    <t>CPU-23</t>
  </si>
  <si>
    <t>3.1.4</t>
  </si>
  <si>
    <t>Moblização e Desmobilização de Containeres  - inicio e final da obra</t>
  </si>
  <si>
    <t>CPU-74</t>
  </si>
  <si>
    <t>CPU-75</t>
  </si>
  <si>
    <t>CPU-76</t>
  </si>
  <si>
    <t>ANEL DE BORRACHA PARA TUBO DE PVC ESGOTO PREDIAL - 40MM</t>
  </si>
  <si>
    <t>SIURB 72401</t>
  </si>
  <si>
    <t>CPU-77</t>
  </si>
  <si>
    <t>CPU-78</t>
  </si>
  <si>
    <t>ARRUELA EM ACO GALVANIZADO, DIAMETRO EXTERNO = 35MM, ESPESSURA = 3MM, DIAMETRO DO FURO= 18MM</t>
  </si>
  <si>
    <t>ELETROCALHA PERF. GALV. ELETR. CH14 - 100 X 50MM</t>
  </si>
  <si>
    <t>SIURB-SP 55033</t>
  </si>
  <si>
    <t>TAMPA P/ ELETROCALHA GALV. ELETR. - 100MM</t>
  </si>
  <si>
    <t>SIURB-SP 55025</t>
  </si>
  <si>
    <t>CPU-79</t>
  </si>
  <si>
    <t>ELETROCALHA PERF. GALV. ELETR. CH14 - 150X100MM</t>
  </si>
  <si>
    <t>SIURB-SP 55046</t>
  </si>
  <si>
    <t>CPU-80</t>
  </si>
  <si>
    <t xml:space="preserve">	CUMEEIRA DE ALUMÍNIO NORMAL E=0.8MM - P/ TELHA TRAPEZOIDAL ACABAMENTO NATURAL - COMPRIMENTO = 1056 MM / 1265 MM</t>
  </si>
  <si>
    <t>SIURB - SP 16531</t>
  </si>
  <si>
    <t>WC PCD 02</t>
  </si>
  <si>
    <t>07/2020</t>
  </si>
  <si>
    <t>JUL/2020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</si>
</sst>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0.0000"/>
    <numFmt numFmtId="166" formatCode="&quot;R$&quot;#,##0.00"/>
    <numFmt numFmtId="167" formatCode="_(* #,##0_);_(* \(#,##0\);_(* &quot;-&quot;??_);_(@_)"/>
    <numFmt numFmtId="168" formatCode="_(* #,##0.00_);_(* \(#,##0.00\);_(* \-??_);_(@_)"/>
    <numFmt numFmtId="169" formatCode="0.0000"/>
    <numFmt numFmtId="170" formatCode="&quot;R$ &quot;#,##0.00"/>
    <numFmt numFmtId="171" formatCode="0.000"/>
    <numFmt numFmtId="172" formatCode="dd\-mmm\-yy;@"/>
    <numFmt numFmtId="173" formatCode="00"/>
    <numFmt numFmtId="174" formatCode="0.00000%"/>
    <numFmt numFmtId="175" formatCode="0.00000"/>
    <numFmt numFmtId="176" formatCode="0.0000000"/>
    <numFmt numFmtId="177" formatCode="#,##0.000"/>
  </numFmts>
  <fonts count="63" x14ac:knownFonts="1">
    <font>
      <sz val="11"/>
      <color theme="1"/>
      <name val="Calibri"/>
      <family val="2"/>
      <scheme val="minor"/>
    </font>
    <font>
      <sz val="11"/>
      <color theme="1"/>
      <name val="Calibri"/>
      <family val="2"/>
      <scheme val="minor"/>
    </font>
    <font>
      <sz val="12"/>
      <color theme="1"/>
      <name val="Times New Roman"/>
      <family val="1"/>
    </font>
    <font>
      <sz val="11"/>
      <name val="Arial"/>
      <family val="2"/>
    </font>
    <font>
      <b/>
      <sz val="14"/>
      <name val="Arial"/>
      <family val="2"/>
    </font>
    <font>
      <b/>
      <sz val="11"/>
      <name val="Arial"/>
      <family val="2"/>
    </font>
    <font>
      <sz val="10"/>
      <color theme="1"/>
      <name val="Courier New"/>
      <family val="3"/>
    </font>
    <font>
      <sz val="10"/>
      <color theme="1"/>
      <name val="Calibri"/>
      <family val="2"/>
      <scheme val="minor"/>
    </font>
    <font>
      <b/>
      <sz val="11"/>
      <color theme="4" tint="-0.499984740745262"/>
      <name val="Arial"/>
      <family val="2"/>
    </font>
    <font>
      <b/>
      <sz val="12"/>
      <name val="Arial"/>
      <family val="2"/>
    </font>
    <font>
      <sz val="10"/>
      <name val="Arial"/>
      <family val="2"/>
    </font>
    <font>
      <i/>
      <sz val="11"/>
      <name val="Arial"/>
      <family val="2"/>
    </font>
    <font>
      <sz val="10"/>
      <color theme="1"/>
      <name val="Arial"/>
      <family val="2"/>
    </font>
    <font>
      <b/>
      <sz val="10"/>
      <name val="Arial"/>
      <family val="2"/>
    </font>
    <font>
      <b/>
      <sz val="14"/>
      <color theme="0"/>
      <name val="Arial"/>
      <family val="2"/>
    </font>
    <font>
      <b/>
      <sz val="12"/>
      <color theme="8" tint="-0.249977111117893"/>
      <name val="Arial"/>
      <family val="2"/>
    </font>
    <font>
      <b/>
      <sz val="10"/>
      <color theme="1"/>
      <name val="Times New Roman"/>
      <family val="1"/>
    </font>
    <font>
      <sz val="10"/>
      <color theme="1"/>
      <name val="Times New Roman"/>
      <family val="1"/>
    </font>
    <font>
      <sz val="11"/>
      <color theme="1"/>
      <name val="Times New Roman"/>
      <family val="1"/>
    </font>
    <font>
      <b/>
      <sz val="11"/>
      <color theme="0"/>
      <name val="Times New Roman"/>
      <family val="1"/>
    </font>
    <font>
      <b/>
      <sz val="11"/>
      <name val="Times New Roman"/>
      <family val="1"/>
    </font>
    <font>
      <sz val="11"/>
      <name val="Times New Roman"/>
      <family val="1"/>
    </font>
    <font>
      <b/>
      <sz val="11"/>
      <color theme="1"/>
      <name val="Times New Roman"/>
      <family val="1"/>
    </font>
    <font>
      <b/>
      <sz val="12"/>
      <color theme="1"/>
      <name val="Arial"/>
      <family val="2"/>
    </font>
    <font>
      <sz val="12"/>
      <color theme="1"/>
      <name val="Arial"/>
      <family val="2"/>
    </font>
    <font>
      <sz val="8"/>
      <name val="Arial"/>
      <family val="2"/>
    </font>
    <font>
      <b/>
      <sz val="8"/>
      <color indexed="9"/>
      <name val="Arial"/>
      <family val="2"/>
    </font>
    <font>
      <sz val="10"/>
      <name val="Courier"/>
      <family val="3"/>
    </font>
    <font>
      <b/>
      <sz val="8"/>
      <name val="Arial"/>
      <family val="2"/>
    </font>
    <font>
      <sz val="8"/>
      <color theme="1"/>
      <name val="Arial"/>
      <family val="2"/>
    </font>
    <font>
      <sz val="10"/>
      <name val="Courier"/>
    </font>
    <font>
      <b/>
      <sz val="10"/>
      <color theme="1"/>
      <name val="Arial"/>
      <family val="2"/>
    </font>
    <font>
      <b/>
      <sz val="8"/>
      <color theme="8" tint="-0.249977111117893"/>
      <name val="Arial"/>
      <family val="2"/>
    </font>
    <font>
      <b/>
      <sz val="12"/>
      <color theme="0"/>
      <name val="Arial"/>
      <family val="2"/>
    </font>
    <font>
      <sz val="8"/>
      <name val="Calibri"/>
      <family val="2"/>
      <scheme val="minor"/>
    </font>
    <font>
      <b/>
      <sz val="11"/>
      <color theme="0"/>
      <name val="Arial"/>
      <family val="2"/>
    </font>
    <font>
      <sz val="12"/>
      <name val="Arial"/>
      <family val="2"/>
    </font>
    <font>
      <b/>
      <u/>
      <sz val="12"/>
      <name val="Arial"/>
      <family val="2"/>
    </font>
    <font>
      <b/>
      <sz val="12"/>
      <color indexed="13"/>
      <name val="Arial"/>
      <family val="2"/>
    </font>
    <font>
      <b/>
      <sz val="12"/>
      <color rgb="FFFFFF00"/>
      <name val="Arial"/>
      <family val="2"/>
    </font>
    <font>
      <b/>
      <sz val="12"/>
      <name val="Times New Roman"/>
      <family val="1"/>
    </font>
    <font>
      <sz val="11"/>
      <color rgb="FFFF0000"/>
      <name val="Times New Roman"/>
      <family val="1"/>
    </font>
    <font>
      <u/>
      <sz val="11"/>
      <color theme="10"/>
      <name val="Calibri"/>
      <family val="2"/>
      <scheme val="minor"/>
    </font>
    <font>
      <b/>
      <sz val="12"/>
      <color rgb="FFFF0000"/>
      <name val="Times New Roman"/>
      <family val="1"/>
    </font>
    <font>
      <sz val="11"/>
      <name val="Calibri"/>
      <family val="2"/>
      <scheme val="minor"/>
    </font>
    <font>
      <sz val="10"/>
      <name val="Calibri"/>
      <family val="2"/>
      <scheme val="minor"/>
    </font>
    <font>
      <b/>
      <sz val="14"/>
      <name val="MS Serif"/>
      <family val="1"/>
    </font>
    <font>
      <sz val="11"/>
      <color theme="0"/>
      <name val="Arial"/>
      <family val="2"/>
    </font>
    <font>
      <sz val="10"/>
      <name val="Arial"/>
      <family val="2"/>
    </font>
    <font>
      <sz val="10"/>
      <name val="Courier New"/>
      <family val="3"/>
    </font>
    <font>
      <sz val="10"/>
      <name val="Times New Roman"/>
      <family val="1"/>
    </font>
    <font>
      <b/>
      <sz val="10"/>
      <name val="Times New Roman"/>
      <family val="1"/>
    </font>
    <font>
      <sz val="11"/>
      <color theme="1"/>
      <name val="Arial"/>
      <family val="2"/>
    </font>
    <font>
      <sz val="12"/>
      <color rgb="FF000000"/>
      <name val="Verdana"/>
      <family val="2"/>
    </font>
    <font>
      <sz val="10"/>
      <color rgb="FF000000"/>
      <name val="Arial"/>
      <family val="2"/>
    </font>
    <font>
      <b/>
      <sz val="10"/>
      <color rgb="FF000000"/>
      <name val="Arial"/>
      <family val="2"/>
    </font>
    <font>
      <b/>
      <sz val="11"/>
      <color rgb="FF000000"/>
      <name val="Calibri"/>
      <family val="2"/>
      <scheme val="minor"/>
    </font>
    <font>
      <b/>
      <sz val="10"/>
      <color theme="0"/>
      <name val="Arial"/>
      <family val="2"/>
    </font>
    <font>
      <b/>
      <sz val="14"/>
      <color rgb="FF000000"/>
      <name val="Arial"/>
      <family val="2"/>
    </font>
    <font>
      <sz val="9"/>
      <color rgb="FF333333"/>
      <name val="Arial"/>
      <family val="2"/>
    </font>
    <font>
      <b/>
      <sz val="9"/>
      <color theme="1"/>
      <name val="Times New Roman"/>
      <family val="1"/>
    </font>
    <font>
      <b/>
      <sz val="8"/>
      <color theme="1"/>
      <name val="Times New Roman"/>
      <family val="1"/>
    </font>
    <font>
      <b/>
      <sz val="9"/>
      <color indexed="81"/>
      <name val="Segoe UI"/>
      <family val="2"/>
    </font>
  </fonts>
  <fills count="22">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8"/>
        <bgColor indexed="64"/>
      </patternFill>
    </fill>
    <fill>
      <patternFill patternType="solid">
        <fgColor theme="0" tint="-0.499984740745262"/>
        <bgColor indexed="64"/>
      </patternFill>
    </fill>
    <fill>
      <patternFill patternType="solid">
        <fgColor indexed="22"/>
        <bgColor indexed="31"/>
      </patternFill>
    </fill>
    <fill>
      <patternFill patternType="solid">
        <fgColor indexed="8"/>
        <bgColor indexed="58"/>
      </patternFill>
    </fill>
    <fill>
      <patternFill patternType="solid">
        <fgColor theme="1"/>
        <bgColor indexed="64"/>
      </patternFill>
    </fill>
    <fill>
      <patternFill patternType="solid">
        <fgColor theme="0" tint="-0.34998626667073579"/>
        <bgColor indexed="9"/>
      </patternFill>
    </fill>
    <fill>
      <patternFill patternType="solid">
        <fgColor theme="0" tint="-0.34998626667073579"/>
        <bgColor indexed="64"/>
      </patternFill>
    </fill>
    <fill>
      <patternFill patternType="solid">
        <fgColor theme="0" tint="-0.34998626667073579"/>
        <bgColor indexed="31"/>
      </patternFill>
    </fill>
    <fill>
      <patternFill patternType="solid">
        <fgColor indexed="9"/>
        <bgColor indexed="9"/>
      </patternFill>
    </fill>
    <fill>
      <patternFill patternType="solid">
        <fgColor theme="3" tint="-0.249977111117893"/>
        <bgColor indexed="64"/>
      </patternFill>
    </fill>
    <fill>
      <patternFill patternType="solid">
        <fgColor theme="0" tint="-4.9989318521683403E-2"/>
        <bgColor indexed="9"/>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5" tint="0.79998168889431442"/>
        <bgColor indexed="64"/>
      </patternFill>
    </fill>
    <fill>
      <patternFill patternType="solid">
        <fgColor rgb="FF92D050"/>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bottom style="thin">
        <color indexed="8"/>
      </bottom>
      <diagonal/>
    </border>
    <border>
      <left style="medium">
        <color indexed="64"/>
      </left>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style="thin">
        <color indexed="64"/>
      </top>
      <bottom style="dotted">
        <color indexed="64"/>
      </bottom>
      <diagonal/>
    </border>
    <border>
      <left style="thin">
        <color indexed="64"/>
      </left>
      <right/>
      <top style="medium">
        <color indexed="64"/>
      </top>
      <bottom style="medium">
        <color indexed="64"/>
      </bottom>
      <diagonal/>
    </border>
    <border>
      <left style="hair">
        <color indexed="64"/>
      </left>
      <right/>
      <top/>
      <bottom style="hair">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indexed="64"/>
      </top>
      <bottom style="hair">
        <color indexed="64"/>
      </bottom>
      <diagonal/>
    </border>
    <border>
      <left/>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style="dotted">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4"/>
      </top>
      <bottom/>
      <diagonal/>
    </border>
    <border>
      <left style="thin">
        <color indexed="8"/>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s>
  <cellStyleXfs count="20">
    <xf numFmtId="0" fontId="0" fillId="0" borderId="0"/>
    <xf numFmtId="43" fontId="1" fillId="0" borderId="0" applyFont="0" applyFill="0" applyBorder="0" applyAlignment="0" applyProtection="0"/>
    <xf numFmtId="164" fontId="1" fillId="0" borderId="0" applyFont="0" applyFill="0" applyBorder="0" applyAlignment="0" applyProtection="0"/>
    <xf numFmtId="0" fontId="10" fillId="0" borderId="0"/>
    <xf numFmtId="0" fontId="10" fillId="0" borderId="0"/>
    <xf numFmtId="44" fontId="27" fillId="0" borderId="0" applyFont="0" applyFill="0" applyBorder="0" applyAlignment="0" applyProtection="0"/>
    <xf numFmtId="0" fontId="10" fillId="0" borderId="0"/>
    <xf numFmtId="168" fontId="10" fillId="0" borderId="0" applyFill="0" applyBorder="0" applyAlignment="0" applyProtection="0"/>
    <xf numFmtId="0" fontId="30" fillId="0" borderId="0"/>
    <xf numFmtId="9" fontId="1" fillId="0" borderId="0" applyFont="0" applyFill="0" applyBorder="0" applyAlignment="0" applyProtection="0"/>
    <xf numFmtId="0" fontId="1" fillId="0" borderId="0"/>
    <xf numFmtId="0" fontId="10" fillId="0" borderId="0"/>
    <xf numFmtId="168" fontId="10" fillId="0" borderId="0" applyFill="0" applyBorder="0" applyAlignment="0" applyProtection="0"/>
    <xf numFmtId="0" fontId="10" fillId="0" borderId="0"/>
    <xf numFmtId="0" fontId="42" fillId="0" borderId="0" applyNumberFormat="0" applyFill="0" applyBorder="0" applyAlignment="0" applyProtection="0"/>
    <xf numFmtId="0" fontId="46" fillId="0" borderId="0">
      <alignment horizontal="right"/>
    </xf>
    <xf numFmtId="0" fontId="48" fillId="0" borderId="0"/>
    <xf numFmtId="0" fontId="53" fillId="0" borderId="0"/>
    <xf numFmtId="9" fontId="53" fillId="0" borderId="0" applyFont="0" applyFill="0" applyBorder="0" applyAlignment="0" applyProtection="0"/>
    <xf numFmtId="44" fontId="53" fillId="0" borderId="0" applyFont="0" applyFill="0" applyBorder="0" applyAlignment="0" applyProtection="0"/>
  </cellStyleXfs>
  <cellXfs count="824">
    <xf numFmtId="0" fontId="0" fillId="0" borderId="0" xfId="0"/>
    <xf numFmtId="0" fontId="2" fillId="2" borderId="0" xfId="0" applyFont="1" applyFill="1"/>
    <xf numFmtId="0" fontId="2" fillId="0" borderId="0" xfId="0" applyFont="1"/>
    <xf numFmtId="0" fontId="3" fillId="2" borderId="0" xfId="0" applyFont="1" applyFill="1" applyAlignment="1">
      <alignment horizontal="left" vertical="center"/>
    </xf>
    <xf numFmtId="0" fontId="6" fillId="2" borderId="0" xfId="0" applyFont="1" applyFill="1" applyAlignment="1">
      <alignment vertical="center"/>
    </xf>
    <xf numFmtId="0" fontId="7" fillId="0" borderId="0" xfId="0" applyFont="1" applyAlignment="1">
      <alignment vertical="center"/>
    </xf>
    <xf numFmtId="0" fontId="8" fillId="2" borderId="0" xfId="0" applyFont="1" applyFill="1" applyAlignment="1">
      <alignment vertical="center" wrapText="1"/>
    </xf>
    <xf numFmtId="0" fontId="5" fillId="2" borderId="0" xfId="0" applyFont="1" applyFill="1" applyAlignment="1">
      <alignment horizontal="right" vertical="center"/>
    </xf>
    <xf numFmtId="14" fontId="9" fillId="2" borderId="0" xfId="0" applyNumberFormat="1" applyFont="1" applyFill="1" applyAlignment="1">
      <alignment vertical="center" wrapText="1"/>
    </xf>
    <xf numFmtId="4" fontId="11" fillId="2" borderId="0" xfId="3" applyNumberFormat="1" applyFont="1" applyFill="1" applyAlignment="1">
      <alignment horizontal="left" vertical="center"/>
    </xf>
    <xf numFmtId="0" fontId="7" fillId="2" borderId="0" xfId="0" applyFont="1" applyFill="1" applyAlignment="1">
      <alignment vertical="center"/>
    </xf>
    <xf numFmtId="14" fontId="3" fillId="2" borderId="0" xfId="0" applyNumberFormat="1" applyFont="1" applyFill="1" applyAlignment="1">
      <alignment horizontal="left" vertical="center"/>
    </xf>
    <xf numFmtId="0" fontId="5" fillId="2" borderId="0" xfId="0" applyFont="1" applyFill="1" applyAlignment="1">
      <alignment vertical="center" wrapText="1"/>
    </xf>
    <xf numFmtId="0" fontId="6" fillId="2" borderId="0" xfId="0" applyFont="1" applyFill="1" applyAlignment="1">
      <alignment vertical="center" wrapText="1"/>
    </xf>
    <xf numFmtId="0" fontId="7" fillId="0" borderId="0" xfId="0" applyFont="1" applyAlignment="1">
      <alignment vertical="center" wrapText="1"/>
    </xf>
    <xf numFmtId="0" fontId="4" fillId="2" borderId="0" xfId="0" applyFont="1" applyFill="1" applyAlignment="1">
      <alignment horizontal="center" vertical="center"/>
    </xf>
    <xf numFmtId="0" fontId="12" fillId="0" borderId="0" xfId="0" applyFont="1" applyAlignment="1">
      <alignment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vertical="center" wrapText="1"/>
    </xf>
    <xf numFmtId="0" fontId="12" fillId="0" borderId="0" xfId="0" applyFont="1" applyAlignment="1">
      <alignment vertical="center"/>
    </xf>
    <xf numFmtId="0" fontId="5" fillId="4" borderId="10" xfId="0" applyFont="1" applyFill="1" applyBorder="1" applyAlignment="1">
      <alignment horizontal="center" vertical="center" wrapText="1"/>
    </xf>
    <xf numFmtId="0" fontId="5" fillId="4" borderId="11" xfId="0" applyFont="1" applyFill="1" applyBorder="1" applyAlignment="1">
      <alignment vertical="center" wrapText="1"/>
    </xf>
    <xf numFmtId="0" fontId="12" fillId="0" borderId="0" xfId="0" applyFont="1" applyAlignment="1">
      <alignment horizontal="center" vertical="center"/>
    </xf>
    <xf numFmtId="0" fontId="15" fillId="2" borderId="10" xfId="0" applyFont="1" applyFill="1" applyBorder="1" applyAlignment="1">
      <alignment vertical="center" wrapText="1"/>
    </xf>
    <xf numFmtId="0" fontId="15" fillId="2" borderId="11" xfId="0" applyFont="1" applyFill="1" applyBorder="1" applyAlignment="1">
      <alignment vertical="center" wrapText="1"/>
    </xf>
    <xf numFmtId="43" fontId="15" fillId="2" borderId="11" xfId="1" applyFont="1" applyFill="1" applyBorder="1" applyAlignment="1">
      <alignment vertical="center" wrapText="1"/>
    </xf>
    <xf numFmtId="43" fontId="15" fillId="2" borderId="12" xfId="1" applyFont="1" applyFill="1" applyBorder="1" applyAlignment="1">
      <alignment horizontal="right" vertical="center" wrapText="1"/>
    </xf>
    <xf numFmtId="43" fontId="15" fillId="2" borderId="12" xfId="1" applyFont="1" applyFill="1" applyBorder="1" applyAlignment="1">
      <alignment vertical="center" wrapText="1"/>
    </xf>
    <xf numFmtId="43" fontId="10" fillId="0" borderId="0" xfId="1" applyFont="1" applyAlignment="1">
      <alignment horizontal="center" vertical="center"/>
    </xf>
    <xf numFmtId="43" fontId="12" fillId="0" borderId="0" xfId="1" applyFont="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vertical="center"/>
    </xf>
    <xf numFmtId="43" fontId="10" fillId="2" borderId="0" xfId="1" applyFont="1" applyFill="1" applyAlignment="1">
      <alignment horizontal="center" vertical="center"/>
    </xf>
    <xf numFmtId="43" fontId="12" fillId="2" borderId="0" xfId="1" applyFont="1" applyFill="1" applyAlignment="1">
      <alignment horizontal="center" vertical="center"/>
    </xf>
    <xf numFmtId="0" fontId="18" fillId="2" borderId="0" xfId="0" applyFont="1" applyFill="1"/>
    <xf numFmtId="0" fontId="18" fillId="0" borderId="0" xfId="0" applyFont="1"/>
    <xf numFmtId="0" fontId="19" fillId="3" borderId="10" xfId="0" applyFont="1" applyFill="1" applyBorder="1" applyAlignment="1">
      <alignment horizontal="center" vertical="center" wrapText="1"/>
    </xf>
    <xf numFmtId="0" fontId="19" fillId="3" borderId="11" xfId="0" applyFont="1" applyFill="1" applyBorder="1" applyAlignment="1">
      <alignment vertical="center"/>
    </xf>
    <xf numFmtId="0" fontId="19" fillId="3" borderId="11" xfId="0" applyFont="1" applyFill="1" applyBorder="1" applyAlignment="1">
      <alignment vertical="center" wrapText="1"/>
    </xf>
    <xf numFmtId="43" fontId="19" fillId="3" borderId="12" xfId="1" applyFont="1" applyFill="1" applyBorder="1" applyAlignment="1">
      <alignment vertical="center" wrapText="1"/>
    </xf>
    <xf numFmtId="0" fontId="18" fillId="0" borderId="0" xfId="0" applyFont="1" applyAlignment="1">
      <alignment vertical="center"/>
    </xf>
    <xf numFmtId="0" fontId="20" fillId="4" borderId="10" xfId="0" applyFont="1" applyFill="1" applyBorder="1" applyAlignment="1">
      <alignment horizontal="center" vertical="center" wrapText="1"/>
    </xf>
    <xf numFmtId="0" fontId="20" fillId="4" borderId="11" xfId="0" applyFont="1" applyFill="1" applyBorder="1" applyAlignment="1">
      <alignment vertical="center"/>
    </xf>
    <xf numFmtId="0" fontId="20" fillId="4" borderId="11" xfId="0" applyFont="1" applyFill="1" applyBorder="1" applyAlignment="1">
      <alignment vertical="center" wrapText="1"/>
    </xf>
    <xf numFmtId="43" fontId="20" fillId="4" borderId="12" xfId="1" applyFont="1" applyFill="1" applyBorder="1" applyAlignment="1">
      <alignment horizontal="right" vertical="center" wrapText="1"/>
    </xf>
    <xf numFmtId="0" fontId="18" fillId="2" borderId="0" xfId="0" applyFont="1" applyFill="1" applyAlignment="1">
      <alignment vertical="center"/>
    </xf>
    <xf numFmtId="0" fontId="21" fillId="2" borderId="10" xfId="0" applyFont="1" applyFill="1" applyBorder="1" applyAlignment="1">
      <alignment horizontal="center" vertical="center" wrapText="1"/>
    </xf>
    <xf numFmtId="0" fontId="21" fillId="2" borderId="11" xfId="0" applyFont="1" applyFill="1" applyBorder="1" applyAlignment="1">
      <alignment horizontal="center" vertical="center"/>
    </xf>
    <xf numFmtId="0" fontId="18" fillId="0" borderId="11" xfId="0" applyFont="1" applyBorder="1" applyAlignment="1">
      <alignment vertical="center"/>
    </xf>
    <xf numFmtId="43" fontId="21" fillId="2" borderId="11" xfId="1" applyFont="1" applyFill="1" applyBorder="1" applyAlignment="1">
      <alignment horizontal="center" vertical="center"/>
    </xf>
    <xf numFmtId="43" fontId="21" fillId="2" borderId="11" xfId="1" applyFont="1" applyFill="1" applyBorder="1" applyAlignment="1">
      <alignment vertical="center"/>
    </xf>
    <xf numFmtId="0" fontId="18" fillId="2" borderId="0" xfId="0" applyFont="1" applyFill="1" applyAlignment="1">
      <alignment horizontal="center" vertical="center"/>
    </xf>
    <xf numFmtId="0" fontId="17" fillId="0" borderId="0" xfId="0" applyFont="1" applyAlignment="1">
      <alignment horizontal="center" vertical="center"/>
    </xf>
    <xf numFmtId="43" fontId="17" fillId="0" borderId="0" xfId="1" applyFont="1" applyAlignment="1">
      <alignment horizontal="center" vertical="center"/>
    </xf>
    <xf numFmtId="0" fontId="7" fillId="2" borderId="0" xfId="0" applyFont="1" applyFill="1" applyAlignment="1">
      <alignment vertical="center" wrapText="1"/>
    </xf>
    <xf numFmtId="0" fontId="17" fillId="2" borderId="0" xfId="0" applyFont="1" applyFill="1" applyAlignment="1">
      <alignment horizontal="center" vertical="center"/>
    </xf>
    <xf numFmtId="43" fontId="17" fillId="2" borderId="0" xfId="1" applyFont="1" applyFill="1" applyAlignment="1">
      <alignment horizontal="center" vertical="center"/>
    </xf>
    <xf numFmtId="0" fontId="17" fillId="2" borderId="1" xfId="0" applyFont="1" applyFill="1" applyBorder="1" applyAlignment="1">
      <alignment horizontal="center" vertical="center"/>
    </xf>
    <xf numFmtId="43" fontId="17" fillId="2" borderId="1" xfId="1" applyFont="1" applyFill="1" applyBorder="1" applyAlignment="1">
      <alignment horizontal="center" vertical="center"/>
    </xf>
    <xf numFmtId="164" fontId="17" fillId="2" borderId="1" xfId="2" applyFont="1" applyFill="1" applyBorder="1" applyAlignment="1">
      <alignment horizontal="center" vertical="center"/>
    </xf>
    <xf numFmtId="43" fontId="21" fillId="2" borderId="11" xfId="1" applyFont="1" applyFill="1" applyBorder="1" applyAlignment="1">
      <alignment horizontal="left" vertical="center"/>
    </xf>
    <xf numFmtId="14" fontId="10" fillId="2" borderId="0" xfId="0" applyNumberFormat="1" applyFont="1" applyFill="1" applyAlignment="1">
      <alignment horizontal="left" vertical="center"/>
    </xf>
    <xf numFmtId="0" fontId="10" fillId="0" borderId="0" xfId="4"/>
    <xf numFmtId="0" fontId="24" fillId="2" borderId="18" xfId="4" applyFont="1" applyFill="1" applyBorder="1" applyAlignment="1">
      <alignment horizontal="center" vertical="center" wrapText="1"/>
    </xf>
    <xf numFmtId="49" fontId="25" fillId="0" borderId="1" xfId="4" applyNumberFormat="1" applyFont="1" applyBorder="1" applyAlignment="1">
      <alignment horizontal="center" vertical="center" wrapText="1"/>
    </xf>
    <xf numFmtId="0" fontId="25" fillId="0" borderId="24" xfId="4" applyFont="1" applyBorder="1" applyAlignment="1">
      <alignment horizontal="center" vertical="center"/>
    </xf>
    <xf numFmtId="49" fontId="25" fillId="0" borderId="14" xfId="4" applyNumberFormat="1" applyFont="1" applyBorder="1" applyAlignment="1">
      <alignment horizontal="left"/>
    </xf>
    <xf numFmtId="49" fontId="25" fillId="0" borderId="14" xfId="4" applyNumberFormat="1" applyFont="1" applyBorder="1" applyAlignment="1">
      <alignment horizontal="center"/>
    </xf>
    <xf numFmtId="4" fontId="25" fillId="2" borderId="23" xfId="4" applyNumberFormat="1" applyFont="1" applyFill="1" applyBorder="1" applyAlignment="1">
      <alignment horizontal="right" vertical="center"/>
    </xf>
    <xf numFmtId="4" fontId="25" fillId="0" borderId="25" xfId="4" applyNumberFormat="1" applyFont="1" applyBorder="1" applyAlignment="1">
      <alignment horizontal="right"/>
    </xf>
    <xf numFmtId="165" fontId="25" fillId="0" borderId="23" xfId="4" applyNumberFormat="1" applyFont="1" applyBorder="1" applyAlignment="1">
      <alignment horizontal="right"/>
    </xf>
    <xf numFmtId="0" fontId="10" fillId="0" borderId="18" xfId="4" applyBorder="1" applyAlignment="1">
      <alignment vertical="center"/>
    </xf>
    <xf numFmtId="0" fontId="10" fillId="0" borderId="0" xfId="4" applyAlignment="1">
      <alignment horizontal="center"/>
    </xf>
    <xf numFmtId="49" fontId="25" fillId="0" borderId="0" xfId="4" applyNumberFormat="1" applyFont="1" applyAlignment="1">
      <alignment horizontal="center"/>
    </xf>
    <xf numFmtId="0" fontId="10" fillId="0" borderId="0" xfId="4" applyAlignment="1">
      <alignment vertical="center"/>
    </xf>
    <xf numFmtId="166" fontId="25" fillId="0" borderId="19" xfId="5" applyNumberFormat="1" applyFont="1" applyBorder="1" applyAlignment="1">
      <alignment horizontal="right"/>
    </xf>
    <xf numFmtId="49" fontId="25" fillId="0" borderId="0" xfId="4" applyNumberFormat="1" applyFont="1" applyAlignment="1">
      <alignment horizontal="left"/>
    </xf>
    <xf numFmtId="10" fontId="25" fillId="0" borderId="0" xfId="4" applyNumberFormat="1" applyFont="1" applyAlignment="1">
      <alignment horizontal="center" vertical="center"/>
    </xf>
    <xf numFmtId="166" fontId="25" fillId="0" borderId="19" xfId="4" applyNumberFormat="1" applyFont="1" applyBorder="1" applyAlignment="1">
      <alignment horizontal="right"/>
    </xf>
    <xf numFmtId="49" fontId="25" fillId="0" borderId="18" xfId="4" applyNumberFormat="1" applyFont="1" applyBorder="1" applyAlignment="1">
      <alignment horizontal="center" vertical="center"/>
    </xf>
    <xf numFmtId="165" fontId="28" fillId="0" borderId="0" xfId="4" applyNumberFormat="1" applyFont="1" applyAlignment="1">
      <alignment horizontal="right"/>
    </xf>
    <xf numFmtId="4" fontId="25" fillId="0" borderId="21" xfId="4" applyNumberFormat="1" applyFont="1" applyBorder="1" applyAlignment="1">
      <alignment horizontal="right" vertical="center"/>
    </xf>
    <xf numFmtId="166" fontId="28" fillId="0" borderId="13" xfId="4" applyNumberFormat="1" applyFont="1" applyBorder="1" applyAlignment="1">
      <alignment horizontal="right"/>
    </xf>
    <xf numFmtId="165" fontId="25" fillId="0" borderId="0" xfId="4" applyNumberFormat="1" applyFont="1" applyAlignment="1">
      <alignment horizontal="right"/>
    </xf>
    <xf numFmtId="4" fontId="25" fillId="0" borderId="0" xfId="4" applyNumberFormat="1" applyFont="1" applyAlignment="1">
      <alignment horizontal="right" vertical="center"/>
    </xf>
    <xf numFmtId="4" fontId="25" fillId="0" borderId="19" xfId="4" applyNumberFormat="1" applyFont="1" applyBorder="1" applyAlignment="1">
      <alignment horizontal="right"/>
    </xf>
    <xf numFmtId="167" fontId="25" fillId="0" borderId="28" xfId="3" applyNumberFormat="1" applyFont="1" applyBorder="1" applyAlignment="1">
      <alignment horizontal="center" vertical="center"/>
    </xf>
    <xf numFmtId="0" fontId="25" fillId="0" borderId="14" xfId="6" applyFont="1" applyBorder="1" applyAlignment="1">
      <alignment horizontal="left" vertical="center" wrapText="1"/>
    </xf>
    <xf numFmtId="0" fontId="25" fillId="0" borderId="14" xfId="6" applyFont="1" applyBorder="1" applyAlignment="1">
      <alignment horizontal="center" vertical="center"/>
    </xf>
    <xf numFmtId="2" fontId="25" fillId="0" borderId="22" xfId="6" applyNumberFormat="1" applyFont="1" applyBorder="1" applyAlignment="1">
      <alignment horizontal="center" vertical="center"/>
    </xf>
    <xf numFmtId="4" fontId="29" fillId="0" borderId="14" xfId="4" applyNumberFormat="1" applyFont="1" applyBorder="1" applyAlignment="1">
      <alignment horizontal="right" vertical="center"/>
    </xf>
    <xf numFmtId="168" fontId="25" fillId="0" borderId="29" xfId="7" applyFont="1" applyBorder="1" applyAlignment="1">
      <alignment horizontal="center" vertical="center"/>
    </xf>
    <xf numFmtId="167" fontId="25" fillId="0" borderId="24" xfId="7" applyNumberFormat="1" applyFont="1" applyBorder="1" applyAlignment="1">
      <alignment horizontal="center" vertical="center"/>
    </xf>
    <xf numFmtId="169" fontId="25" fillId="0" borderId="14" xfId="6" applyNumberFormat="1" applyFont="1" applyBorder="1" applyAlignment="1">
      <alignment horizontal="center" vertical="center"/>
    </xf>
    <xf numFmtId="4" fontId="29" fillId="0" borderId="23" xfId="4" applyNumberFormat="1" applyFont="1" applyBorder="1" applyAlignment="1">
      <alignment horizontal="right" vertical="center"/>
    </xf>
    <xf numFmtId="167" fontId="25" fillId="2" borderId="24" xfId="7" applyNumberFormat="1" applyFont="1" applyFill="1" applyBorder="1" applyAlignment="1">
      <alignment horizontal="center" vertical="center"/>
    </xf>
    <xf numFmtId="0" fontId="25" fillId="2" borderId="14" xfId="6" applyFont="1" applyFill="1" applyBorder="1" applyAlignment="1">
      <alignment horizontal="left" vertical="center" wrapText="1"/>
    </xf>
    <xf numFmtId="0" fontId="25" fillId="2" borderId="14" xfId="6" applyFont="1" applyFill="1" applyBorder="1" applyAlignment="1">
      <alignment horizontal="center" vertical="center"/>
    </xf>
    <xf numFmtId="2" fontId="25" fillId="2" borderId="14" xfId="6" applyNumberFormat="1" applyFont="1" applyFill="1" applyBorder="1" applyAlignment="1">
      <alignment horizontal="center" vertical="center"/>
    </xf>
    <xf numFmtId="4" fontId="29" fillId="2" borderId="23" xfId="4" applyNumberFormat="1" applyFont="1" applyFill="1" applyBorder="1" applyAlignment="1">
      <alignment horizontal="right" vertical="center"/>
    </xf>
    <xf numFmtId="168" fontId="25" fillId="0" borderId="25" xfId="7" applyFont="1" applyBorder="1" applyAlignment="1">
      <alignment horizontal="center" vertical="center"/>
    </xf>
    <xf numFmtId="170" fontId="28" fillId="0" borderId="13" xfId="4" applyNumberFormat="1" applyFont="1" applyBorder="1" applyAlignment="1">
      <alignment horizontal="right"/>
    </xf>
    <xf numFmtId="49" fontId="25" fillId="0" borderId="14" xfId="6" applyNumberFormat="1" applyFont="1" applyBorder="1" applyAlignment="1">
      <alignment horizontal="left" vertical="center" wrapText="1"/>
    </xf>
    <xf numFmtId="2" fontId="25" fillId="0" borderId="14" xfId="6" applyNumberFormat="1" applyFont="1" applyBorder="1" applyAlignment="1">
      <alignment horizontal="center" vertical="center"/>
    </xf>
    <xf numFmtId="168" fontId="25" fillId="2" borderId="25" xfId="7" applyFont="1" applyFill="1" applyBorder="1" applyAlignment="1">
      <alignment horizontal="center" vertical="center"/>
    </xf>
    <xf numFmtId="170" fontId="28" fillId="0" borderId="1" xfId="4" applyNumberFormat="1" applyFont="1" applyBorder="1" applyAlignment="1">
      <alignment horizontal="right"/>
    </xf>
    <xf numFmtId="0" fontId="3" fillId="0" borderId="0" xfId="8" applyFont="1"/>
    <xf numFmtId="0" fontId="25" fillId="2" borderId="19" xfId="4" applyFont="1" applyFill="1" applyBorder="1" applyAlignment="1">
      <alignment horizontal="center" vertical="center" wrapText="1"/>
    </xf>
    <xf numFmtId="0" fontId="3" fillId="0" borderId="0" xfId="8" applyFont="1" applyAlignment="1">
      <alignment wrapText="1"/>
    </xf>
    <xf numFmtId="0" fontId="31" fillId="0" borderId="0" xfId="0" applyFont="1" applyAlignment="1">
      <alignment vertical="center"/>
    </xf>
    <xf numFmtId="0" fontId="3" fillId="2" borderId="5" xfId="0" applyFont="1" applyFill="1" applyBorder="1" applyAlignment="1">
      <alignment horizontal="left" vertical="center"/>
    </xf>
    <xf numFmtId="0" fontId="17" fillId="2" borderId="0" xfId="0" applyFont="1" applyFill="1"/>
    <xf numFmtId="49" fontId="25" fillId="0" borderId="14" xfId="4" applyNumberFormat="1" applyFont="1" applyBorder="1" applyAlignment="1">
      <alignment horizontal="left" vertical="center" wrapText="1"/>
    </xf>
    <xf numFmtId="49" fontId="25" fillId="0" borderId="14" xfId="4" applyNumberFormat="1" applyFont="1" applyBorder="1" applyAlignment="1">
      <alignment horizontal="center" vertical="center"/>
    </xf>
    <xf numFmtId="0" fontId="32" fillId="2" borderId="11" xfId="0" applyFont="1" applyFill="1" applyBorder="1" applyAlignment="1">
      <alignment vertical="center" wrapText="1"/>
    </xf>
    <xf numFmtId="0" fontId="28" fillId="4" borderId="11" xfId="0" applyFont="1" applyFill="1" applyBorder="1" applyAlignment="1">
      <alignment vertical="center" wrapText="1"/>
    </xf>
    <xf numFmtId="0" fontId="14" fillId="3" borderId="11" xfId="0" applyFont="1" applyFill="1" applyBorder="1" applyAlignment="1">
      <alignment horizontal="justify" vertical="center" wrapText="1"/>
    </xf>
    <xf numFmtId="0" fontId="15" fillId="2" borderId="11" xfId="0" applyFont="1" applyFill="1" applyBorder="1" applyAlignment="1">
      <alignment horizontal="justify" vertical="center" wrapText="1"/>
    </xf>
    <xf numFmtId="0" fontId="5" fillId="4" borderId="11" xfId="0" applyFont="1" applyFill="1" applyBorder="1" applyAlignment="1">
      <alignment horizontal="justify" vertical="center"/>
    </xf>
    <xf numFmtId="0" fontId="9" fillId="2" borderId="0" xfId="0" applyFont="1" applyFill="1" applyAlignment="1">
      <alignment vertical="center"/>
    </xf>
    <xf numFmtId="164" fontId="33" fillId="3" borderId="30" xfId="2" applyFont="1" applyFill="1" applyBorder="1" applyAlignment="1">
      <alignment vertical="center" wrapText="1"/>
    </xf>
    <xf numFmtId="164" fontId="5" fillId="4" borderId="30" xfId="2" applyFont="1" applyFill="1" applyBorder="1" applyAlignment="1">
      <alignment horizontal="right" vertical="center" wrapText="1"/>
    </xf>
    <xf numFmtId="0" fontId="8" fillId="2" borderId="2" xfId="0" applyFont="1" applyFill="1" applyBorder="1" applyAlignment="1">
      <alignment vertical="center" wrapText="1"/>
    </xf>
    <xf numFmtId="0" fontId="5" fillId="2" borderId="3" xfId="0" applyFont="1" applyFill="1" applyBorder="1" applyAlignment="1">
      <alignment horizontal="right" vertical="center"/>
    </xf>
    <xf numFmtId="0" fontId="5" fillId="2" borderId="0" xfId="0" applyFont="1" applyFill="1" applyBorder="1" applyAlignment="1">
      <alignment horizontal="right" vertical="center"/>
    </xf>
    <xf numFmtId="0" fontId="3" fillId="2" borderId="0" xfId="0" applyFont="1" applyFill="1" applyBorder="1" applyAlignment="1">
      <alignment horizontal="left" vertical="center"/>
    </xf>
    <xf numFmtId="0" fontId="8" fillId="2" borderId="0" xfId="0" applyFont="1" applyFill="1" applyBorder="1" applyAlignment="1">
      <alignment vertical="center" wrapText="1"/>
    </xf>
    <xf numFmtId="4" fontId="11" fillId="2" borderId="0" xfId="3" applyNumberFormat="1" applyFont="1" applyFill="1" applyBorder="1" applyAlignment="1">
      <alignment horizontal="left" vertical="center"/>
    </xf>
    <xf numFmtId="0" fontId="7" fillId="2" borderId="0" xfId="0" applyFont="1" applyFill="1" applyBorder="1" applyAlignment="1">
      <alignment vertical="center"/>
    </xf>
    <xf numFmtId="0" fontId="3" fillId="2" borderId="7" xfId="0" applyFont="1" applyFill="1" applyBorder="1" applyAlignment="1">
      <alignment horizontal="left" vertical="center"/>
    </xf>
    <xf numFmtId="0" fontId="5" fillId="2" borderId="8" xfId="0" applyFont="1" applyFill="1" applyBorder="1" applyAlignment="1">
      <alignment horizontal="right" vertical="center"/>
    </xf>
    <xf numFmtId="0" fontId="5" fillId="2" borderId="8" xfId="0" applyFont="1" applyFill="1" applyBorder="1" applyAlignment="1">
      <alignment vertical="center" wrapText="1"/>
    </xf>
    <xf numFmtId="4" fontId="11" fillId="2" borderId="8" xfId="3" applyNumberFormat="1" applyFont="1" applyFill="1" applyBorder="1" applyAlignment="1">
      <alignment horizontal="left" vertical="center"/>
    </xf>
    <xf numFmtId="0" fontId="2" fillId="2" borderId="0" xfId="0" applyFont="1" applyFill="1" applyBorder="1"/>
    <xf numFmtId="0" fontId="35" fillId="6" borderId="32" xfId="0" applyFont="1" applyFill="1" applyBorder="1" applyAlignment="1">
      <alignment horizontal="center" vertical="center" wrapText="1"/>
    </xf>
    <xf numFmtId="0" fontId="35" fillId="6" borderId="33" xfId="0" applyFont="1" applyFill="1" applyBorder="1" applyAlignment="1">
      <alignment horizontal="center" vertical="center" wrapText="1"/>
    </xf>
    <xf numFmtId="0" fontId="35" fillId="6" borderId="34" xfId="0" applyFont="1" applyFill="1" applyBorder="1" applyAlignment="1">
      <alignment horizontal="center" vertical="center" wrapText="1"/>
    </xf>
    <xf numFmtId="43" fontId="35" fillId="6" borderId="34" xfId="1" applyFont="1" applyFill="1" applyBorder="1" applyAlignment="1">
      <alignment horizontal="center" vertical="center" wrapText="1"/>
    </xf>
    <xf numFmtId="43" fontId="35" fillId="6" borderId="35" xfId="1" applyFont="1" applyFill="1" applyBorder="1" applyAlignment="1">
      <alignment horizontal="center" vertical="center" wrapText="1"/>
    </xf>
    <xf numFmtId="0" fontId="7" fillId="2" borderId="3" xfId="0" applyFont="1" applyFill="1" applyBorder="1" applyAlignment="1">
      <alignment vertical="center"/>
    </xf>
    <xf numFmtId="44" fontId="5" fillId="2" borderId="4" xfId="0" applyNumberFormat="1" applyFont="1" applyFill="1" applyBorder="1" applyAlignment="1">
      <alignment horizontal="right" vertical="center"/>
    </xf>
    <xf numFmtId="14" fontId="3" fillId="2" borderId="6" xfId="0" applyNumberFormat="1" applyFont="1" applyFill="1" applyBorder="1" applyAlignment="1">
      <alignment horizontal="center" vertical="center"/>
    </xf>
    <xf numFmtId="0" fontId="7" fillId="2" borderId="2" xfId="0" applyFont="1" applyFill="1" applyBorder="1" applyAlignment="1">
      <alignment vertical="center"/>
    </xf>
    <xf numFmtId="0" fontId="13" fillId="2" borderId="3" xfId="0" applyFont="1" applyFill="1" applyBorder="1" applyAlignment="1">
      <alignment horizontal="right" vertical="center"/>
    </xf>
    <xf numFmtId="0" fontId="7" fillId="2" borderId="5" xfId="0" applyFont="1" applyFill="1" applyBorder="1" applyAlignment="1">
      <alignment vertical="center"/>
    </xf>
    <xf numFmtId="0" fontId="13" fillId="2" borderId="0" xfId="0" applyFont="1" applyFill="1" applyBorder="1" applyAlignment="1">
      <alignment horizontal="right" vertical="center"/>
    </xf>
    <xf numFmtId="14" fontId="9" fillId="2" borderId="0" xfId="0" applyNumberFormat="1" applyFont="1" applyFill="1" applyBorder="1" applyAlignment="1">
      <alignment vertical="center" wrapText="1"/>
    </xf>
    <xf numFmtId="0" fontId="6" fillId="2" borderId="0"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vertical="center" wrapText="1"/>
    </xf>
    <xf numFmtId="0" fontId="13" fillId="2" borderId="8" xfId="0" applyFont="1" applyFill="1" applyBorder="1" applyAlignment="1">
      <alignment horizontal="right" vertical="center"/>
    </xf>
    <xf numFmtId="14" fontId="10" fillId="2" borderId="8" xfId="0" applyNumberFormat="1" applyFont="1" applyFill="1" applyBorder="1" applyAlignment="1">
      <alignment horizontal="left" vertical="center"/>
    </xf>
    <xf numFmtId="14" fontId="9" fillId="2" borderId="8" xfId="0" applyNumberFormat="1" applyFont="1" applyFill="1" applyBorder="1" applyAlignment="1">
      <alignment vertical="center" wrapText="1"/>
    </xf>
    <xf numFmtId="0" fontId="6" fillId="2" borderId="8" xfId="0" applyFont="1" applyFill="1" applyBorder="1" applyAlignment="1">
      <alignment vertical="center" wrapText="1"/>
    </xf>
    <xf numFmtId="0" fontId="7" fillId="2" borderId="9" xfId="0" applyFont="1" applyFill="1" applyBorder="1" applyAlignment="1">
      <alignment vertical="center" wrapText="1"/>
    </xf>
    <xf numFmtId="4" fontId="25" fillId="0" borderId="23" xfId="4" applyNumberFormat="1" applyFont="1" applyBorder="1" applyAlignment="1">
      <alignment horizontal="center"/>
    </xf>
    <xf numFmtId="171" fontId="25" fillId="0" borderId="22" xfId="6" applyNumberFormat="1" applyFont="1" applyBorder="1" applyAlignment="1">
      <alignment horizontal="center" vertical="center"/>
    </xf>
    <xf numFmtId="43" fontId="17" fillId="2" borderId="37" xfId="1" applyFont="1" applyFill="1" applyBorder="1" applyAlignment="1">
      <alignment horizontal="center" vertical="center"/>
    </xf>
    <xf numFmtId="0" fontId="17" fillId="2" borderId="37" xfId="0" applyFont="1" applyFill="1" applyBorder="1" applyAlignment="1">
      <alignment horizontal="center" vertical="center"/>
    </xf>
    <xf numFmtId="164" fontId="17" fillId="2" borderId="37" xfId="2" applyFont="1" applyFill="1" applyBorder="1" applyAlignment="1">
      <alignment horizontal="center" vertical="center"/>
    </xf>
    <xf numFmtId="0" fontId="10"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3" xfId="0" applyFont="1" applyBorder="1" applyAlignment="1">
      <alignment vertical="center" wrapText="1"/>
    </xf>
    <xf numFmtId="2" fontId="10" fillId="0" borderId="23" xfId="1" applyNumberFormat="1" applyFont="1" applyBorder="1" applyAlignment="1">
      <alignment horizontal="center" vertical="center" wrapText="1"/>
    </xf>
    <xf numFmtId="164" fontId="10" fillId="0" borderId="23" xfId="2" applyFont="1" applyBorder="1" applyAlignment="1">
      <alignment vertical="center" wrapText="1"/>
    </xf>
    <xf numFmtId="0" fontId="25" fillId="0" borderId="14" xfId="0" applyFont="1" applyBorder="1" applyAlignment="1">
      <alignment horizontal="center" vertical="center" wrapText="1"/>
    </xf>
    <xf numFmtId="0" fontId="10" fillId="0" borderId="14" xfId="0" applyFont="1" applyBorder="1" applyAlignment="1">
      <alignment horizontal="center" vertical="center" wrapText="1"/>
    </xf>
    <xf numFmtId="43" fontId="5" fillId="4" borderId="12" xfId="1" applyFont="1" applyFill="1" applyBorder="1" applyAlignment="1">
      <alignment horizontal="right" vertical="center" wrapText="1"/>
    </xf>
    <xf numFmtId="43" fontId="10" fillId="2" borderId="38" xfId="1" applyFont="1" applyFill="1" applyBorder="1" applyAlignment="1">
      <alignment horizontal="center" vertical="center"/>
    </xf>
    <xf numFmtId="0" fontId="10" fillId="2" borderId="23" xfId="0" applyFont="1" applyFill="1" applyBorder="1" applyAlignment="1">
      <alignment horizontal="center" vertical="center"/>
    </xf>
    <xf numFmtId="2" fontId="10" fillId="2" borderId="23" xfId="1" applyNumberFormat="1" applyFont="1" applyFill="1" applyBorder="1" applyAlignment="1">
      <alignment horizontal="center" vertical="center"/>
    </xf>
    <xf numFmtId="164" fontId="10" fillId="2" borderId="23" xfId="2" applyFont="1" applyFill="1" applyBorder="1" applyAlignment="1">
      <alignment horizontal="center" vertical="center"/>
    </xf>
    <xf numFmtId="0" fontId="25" fillId="2" borderId="23" xfId="0" applyFont="1" applyFill="1" applyBorder="1" applyAlignment="1">
      <alignment horizontal="center" vertical="center" wrapText="1"/>
    </xf>
    <xf numFmtId="164" fontId="29" fillId="0" borderId="14" xfId="2" applyFont="1" applyBorder="1" applyAlignment="1">
      <alignment horizontal="right" vertical="center"/>
    </xf>
    <xf numFmtId="164" fontId="25" fillId="0" borderId="29" xfId="2" applyFont="1" applyBorder="1" applyAlignment="1">
      <alignment horizontal="center" vertical="center"/>
    </xf>
    <xf numFmtId="0" fontId="18" fillId="0" borderId="0" xfId="0" applyFont="1" applyAlignment="1">
      <alignment horizontal="center"/>
    </xf>
    <xf numFmtId="164" fontId="10" fillId="0" borderId="39" xfId="2" applyFont="1" applyBorder="1" applyAlignment="1">
      <alignment horizontal="right" vertical="center"/>
    </xf>
    <xf numFmtId="0" fontId="36" fillId="0" borderId="0" xfId="11" applyFont="1"/>
    <xf numFmtId="0" fontId="36" fillId="2" borderId="0" xfId="3" applyFont="1" applyFill="1"/>
    <xf numFmtId="0" fontId="36" fillId="0" borderId="0" xfId="11" applyFont="1" applyAlignment="1">
      <alignment horizontal="center"/>
    </xf>
    <xf numFmtId="0" fontId="9" fillId="0" borderId="0" xfId="11" applyFont="1" applyAlignment="1">
      <alignment horizontal="center"/>
    </xf>
    <xf numFmtId="0" fontId="9" fillId="0" borderId="0" xfId="11" applyFont="1" applyAlignment="1">
      <alignment horizontal="right"/>
    </xf>
    <xf numFmtId="0" fontId="36" fillId="0" borderId="0" xfId="11" applyFont="1" applyAlignment="1">
      <alignment horizontal="left"/>
    </xf>
    <xf numFmtId="168" fontId="36" fillId="0" borderId="0" xfId="11" applyNumberFormat="1" applyFont="1"/>
    <xf numFmtId="0" fontId="36" fillId="0" borderId="0" xfId="3" applyFont="1"/>
    <xf numFmtId="0" fontId="36" fillId="0" borderId="0" xfId="11" applyFont="1" applyAlignment="1">
      <alignment horizontal="right"/>
    </xf>
    <xf numFmtId="0" fontId="9" fillId="0" borderId="0" xfId="11" applyFont="1"/>
    <xf numFmtId="0" fontId="9" fillId="0" borderId="0" xfId="3" applyFont="1"/>
    <xf numFmtId="0" fontId="9" fillId="2" borderId="0" xfId="3" applyFont="1" applyFill="1" applyAlignment="1">
      <alignment horizontal="right"/>
    </xf>
    <xf numFmtId="0" fontId="36" fillId="2" borderId="0" xfId="3" applyFont="1" applyFill="1" applyAlignment="1">
      <alignment horizontal="left"/>
    </xf>
    <xf numFmtId="0" fontId="36" fillId="7" borderId="40" xfId="3" applyFont="1" applyFill="1" applyBorder="1"/>
    <xf numFmtId="0" fontId="36" fillId="0" borderId="40" xfId="3" applyFont="1" applyBorder="1"/>
    <xf numFmtId="4" fontId="38" fillId="8" borderId="0" xfId="3" applyNumberFormat="1" applyFont="1" applyFill="1"/>
    <xf numFmtId="2" fontId="39" fillId="9" borderId="0" xfId="3" applyNumberFormat="1" applyFont="1" applyFill="1"/>
    <xf numFmtId="168" fontId="38" fillId="8" borderId="0" xfId="3" applyNumberFormat="1" applyFont="1" applyFill="1"/>
    <xf numFmtId="4" fontId="9" fillId="0" borderId="0" xfId="3" applyNumberFormat="1" applyFont="1"/>
    <xf numFmtId="0" fontId="10" fillId="0" borderId="0" xfId="0" applyFont="1" applyBorder="1" applyAlignment="1">
      <alignment vertical="center" wrapText="1"/>
    </xf>
    <xf numFmtId="0" fontId="5" fillId="4" borderId="11" xfId="0" applyFont="1" applyFill="1" applyBorder="1" applyAlignment="1">
      <alignment horizontal="center" vertical="center"/>
    </xf>
    <xf numFmtId="0" fontId="22" fillId="0" borderId="0" xfId="0" applyFont="1"/>
    <xf numFmtId="2" fontId="18" fillId="0" borderId="0" xfId="0" applyNumberFormat="1" applyFont="1" applyAlignment="1">
      <alignment horizontal="center"/>
    </xf>
    <xf numFmtId="43" fontId="18" fillId="0" borderId="0" xfId="0" applyNumberFormat="1" applyFont="1" applyAlignment="1">
      <alignment horizontal="center"/>
    </xf>
    <xf numFmtId="2" fontId="22" fillId="0" borderId="3" xfId="0" applyNumberFormat="1" applyFont="1" applyBorder="1" applyAlignment="1">
      <alignment vertical="center"/>
    </xf>
    <xf numFmtId="2" fontId="18" fillId="0" borderId="0" xfId="0" applyNumberFormat="1" applyFont="1" applyAlignment="1">
      <alignment horizontal="center" vertical="center"/>
    </xf>
    <xf numFmtId="2" fontId="22" fillId="0" borderId="3" xfId="0" applyNumberFormat="1" applyFont="1" applyBorder="1" applyAlignment="1">
      <alignment horizontal="left" vertical="center"/>
    </xf>
    <xf numFmtId="43" fontId="21" fillId="2" borderId="0" xfId="1" applyFont="1" applyFill="1" applyBorder="1" applyAlignment="1">
      <alignment horizontal="left" vertical="center"/>
    </xf>
    <xf numFmtId="0" fontId="21" fillId="2" borderId="0" xfId="0" applyFont="1" applyFill="1" applyBorder="1" applyAlignment="1">
      <alignment horizontal="center" vertical="center"/>
    </xf>
    <xf numFmtId="0" fontId="18" fillId="0" borderId="0" xfId="0" applyFont="1" applyBorder="1" applyAlignment="1">
      <alignment vertical="center"/>
    </xf>
    <xf numFmtId="43" fontId="21" fillId="2" borderId="3" xfId="1" applyFont="1" applyFill="1" applyBorder="1" applyAlignment="1">
      <alignment vertical="center"/>
    </xf>
    <xf numFmtId="43" fontId="21" fillId="2" borderId="0" xfId="1" applyFont="1" applyFill="1" applyBorder="1" applyAlignment="1">
      <alignment vertical="center"/>
    </xf>
    <xf numFmtId="0" fontId="18" fillId="0" borderId="0" xfId="0" applyFont="1" applyAlignment="1">
      <alignment horizontal="center" vertical="center"/>
    </xf>
    <xf numFmtId="2" fontId="22" fillId="0" borderId="0" xfId="0" applyNumberFormat="1" applyFont="1" applyBorder="1" applyAlignment="1">
      <alignment horizontal="center" vertical="center"/>
    </xf>
    <xf numFmtId="43" fontId="18" fillId="0" borderId="0" xfId="0" applyNumberFormat="1" applyFont="1" applyAlignment="1">
      <alignment horizontal="center" vertical="center"/>
    </xf>
    <xf numFmtId="43" fontId="21" fillId="2" borderId="3" xfId="1" applyFont="1" applyFill="1" applyBorder="1" applyAlignment="1">
      <alignment horizontal="center" vertical="center"/>
    </xf>
    <xf numFmtId="0" fontId="21" fillId="0" borderId="0" xfId="0" applyFont="1" applyAlignment="1">
      <alignment horizontal="center" vertical="center"/>
    </xf>
    <xf numFmtId="0" fontId="17" fillId="2" borderId="1" xfId="0" applyFont="1" applyFill="1" applyBorder="1" applyAlignment="1">
      <alignment horizontal="left" vertical="center" wrapText="1"/>
    </xf>
    <xf numFmtId="0" fontId="17" fillId="2" borderId="37" xfId="0" applyFont="1" applyFill="1" applyBorder="1" applyAlignment="1">
      <alignment horizontal="left" vertical="center" wrapText="1"/>
    </xf>
    <xf numFmtId="49" fontId="25" fillId="0" borderId="14" xfId="4" applyNumberFormat="1" applyFont="1" applyBorder="1" applyAlignment="1">
      <alignment horizontal="left" wrapText="1"/>
    </xf>
    <xf numFmtId="43" fontId="21" fillId="2" borderId="11" xfId="1" quotePrefix="1" applyFont="1" applyFill="1" applyBorder="1" applyAlignment="1">
      <alignment vertical="center"/>
    </xf>
    <xf numFmtId="0" fontId="18" fillId="0" borderId="0" xfId="0" applyFont="1" applyFill="1"/>
    <xf numFmtId="2" fontId="18" fillId="0" borderId="0" xfId="0" applyNumberFormat="1" applyFont="1" applyFill="1" applyAlignment="1">
      <alignment horizontal="center" vertical="center"/>
    </xf>
    <xf numFmtId="0" fontId="22" fillId="2" borderId="0" xfId="0" applyFont="1" applyFill="1" applyAlignment="1">
      <alignment horizontal="center"/>
    </xf>
    <xf numFmtId="43" fontId="21" fillId="0" borderId="11" xfId="1" applyFont="1" applyFill="1" applyBorder="1" applyAlignment="1">
      <alignment horizontal="left" vertical="center"/>
    </xf>
    <xf numFmtId="2" fontId="18" fillId="0" borderId="0" xfId="0" applyNumberFormat="1" applyFont="1" applyBorder="1" applyAlignment="1">
      <alignment horizontal="center" vertical="center"/>
    </xf>
    <xf numFmtId="0" fontId="41" fillId="0" borderId="0" xfId="0" applyFont="1"/>
    <xf numFmtId="0" fontId="41" fillId="2" borderId="0" xfId="0" applyFont="1" applyFill="1" applyAlignment="1">
      <alignment horizontal="center"/>
    </xf>
    <xf numFmtId="2" fontId="41" fillId="2" borderId="0" xfId="0" applyNumberFormat="1" applyFont="1" applyFill="1" applyAlignment="1">
      <alignment horizontal="center" vertical="center"/>
    </xf>
    <xf numFmtId="0" fontId="21" fillId="0" borderId="0" xfId="0" applyFont="1"/>
    <xf numFmtId="2" fontId="21" fillId="0" borderId="0" xfId="0" applyNumberFormat="1" applyFont="1" applyAlignment="1">
      <alignment horizontal="center" vertical="center"/>
    </xf>
    <xf numFmtId="0" fontId="22" fillId="0" borderId="0" xfId="0" applyFont="1" applyAlignment="1">
      <alignment horizontal="center"/>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xf>
    <xf numFmtId="0" fontId="18" fillId="0" borderId="11" xfId="0" applyFont="1" applyFill="1" applyBorder="1" applyAlignment="1">
      <alignment vertical="center"/>
    </xf>
    <xf numFmtId="43" fontId="21" fillId="0" borderId="11" xfId="1" applyFont="1" applyFill="1" applyBorder="1" applyAlignment="1">
      <alignment horizontal="center" vertical="center"/>
    </xf>
    <xf numFmtId="43" fontId="21" fillId="0" borderId="11" xfId="1" applyFont="1" applyFill="1" applyBorder="1" applyAlignment="1">
      <alignment vertical="center"/>
    </xf>
    <xf numFmtId="0" fontId="22" fillId="0" borderId="0" xfId="0" applyFont="1" applyAlignment="1">
      <alignment horizontal="center"/>
    </xf>
    <xf numFmtId="43" fontId="18" fillId="2" borderId="0" xfId="0" applyNumberFormat="1" applyFont="1" applyFill="1" applyAlignment="1">
      <alignment horizontal="center"/>
    </xf>
    <xf numFmtId="0" fontId="18" fillId="0" borderId="0" xfId="0" applyFont="1" applyAlignment="1">
      <alignment wrapText="1"/>
    </xf>
    <xf numFmtId="43" fontId="21" fillId="2" borderId="0" xfId="1" applyFont="1" applyFill="1" applyBorder="1" applyAlignment="1">
      <alignment horizontal="center" vertical="center"/>
    </xf>
    <xf numFmtId="165" fontId="25" fillId="0" borderId="23" xfId="4" applyNumberFormat="1" applyFont="1" applyBorder="1" applyAlignment="1">
      <alignment horizontal="center"/>
    </xf>
    <xf numFmtId="171" fontId="25" fillId="0" borderId="14" xfId="6" applyNumberFormat="1" applyFont="1" applyBorder="1" applyAlignment="1">
      <alignment horizontal="center" vertical="center"/>
    </xf>
    <xf numFmtId="0" fontId="42" fillId="0" borderId="0" xfId="14"/>
    <xf numFmtId="49" fontId="25" fillId="0" borderId="14" xfId="4" applyNumberFormat="1" applyFont="1" applyBorder="1" applyAlignment="1">
      <alignment horizontal="left" vertical="center"/>
    </xf>
    <xf numFmtId="0" fontId="18" fillId="0" borderId="0" xfId="0" applyFont="1" applyAlignment="1"/>
    <xf numFmtId="43" fontId="20" fillId="2" borderId="0" xfId="1" applyFont="1" applyFill="1" applyBorder="1" applyAlignment="1">
      <alignment horizontal="center" vertical="center"/>
    </xf>
    <xf numFmtId="43" fontId="20" fillId="2" borderId="0" xfId="1" applyFont="1" applyFill="1" applyBorder="1" applyAlignment="1">
      <alignment horizontal="left" vertical="center"/>
    </xf>
    <xf numFmtId="0" fontId="12" fillId="2" borderId="0" xfId="0" applyFont="1" applyFill="1" applyAlignment="1">
      <alignment vertical="center" wrapText="1"/>
    </xf>
    <xf numFmtId="0" fontId="31" fillId="2" borderId="0" xfId="0" applyFont="1" applyFill="1" applyAlignment="1">
      <alignment vertical="center"/>
    </xf>
    <xf numFmtId="0" fontId="0" fillId="2" borderId="0" xfId="0" applyFill="1"/>
    <xf numFmtId="0" fontId="13" fillId="2" borderId="23" xfId="0" applyFont="1" applyFill="1" applyBorder="1" applyAlignment="1">
      <alignment vertical="center" wrapText="1"/>
    </xf>
    <xf numFmtId="0" fontId="10" fillId="2" borderId="14" xfId="0" applyFont="1" applyFill="1" applyBorder="1" applyAlignment="1">
      <alignment horizontal="center" vertical="center" wrapText="1"/>
    </xf>
    <xf numFmtId="0" fontId="18" fillId="0" borderId="0" xfId="0" applyFont="1" applyFill="1" applyAlignment="1">
      <alignment vertical="center"/>
    </xf>
    <xf numFmtId="0" fontId="43" fillId="2" borderId="0" xfId="0" applyFont="1" applyFill="1" applyBorder="1" applyAlignment="1">
      <alignment horizontal="center" vertical="center" wrapText="1"/>
    </xf>
    <xf numFmtId="0" fontId="20" fillId="0" borderId="0" xfId="0" applyFont="1"/>
    <xf numFmtId="2" fontId="20" fillId="0" borderId="0" xfId="0" applyNumberFormat="1" applyFont="1" applyBorder="1" applyAlignment="1">
      <alignment horizontal="center" vertical="center"/>
    </xf>
    <xf numFmtId="0" fontId="10" fillId="0" borderId="0" xfId="0" applyFont="1" applyAlignment="1">
      <alignment vertical="center" wrapText="1"/>
    </xf>
    <xf numFmtId="0" fontId="13" fillId="0" borderId="0" xfId="0" applyFont="1" applyAlignment="1">
      <alignment vertical="center"/>
    </xf>
    <xf numFmtId="0" fontId="44" fillId="0" borderId="0" xfId="0" applyFont="1"/>
    <xf numFmtId="0" fontId="45" fillId="0" borderId="0" xfId="0" applyFont="1" applyAlignment="1">
      <alignment vertical="center"/>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1" fontId="25" fillId="0" borderId="43" xfId="4" applyNumberFormat="1" applyFont="1" applyBorder="1" applyAlignment="1">
      <alignment horizontal="center" vertical="center"/>
    </xf>
    <xf numFmtId="4" fontId="10" fillId="2" borderId="23" xfId="1" applyNumberFormat="1" applyFont="1" applyFill="1" applyBorder="1" applyAlignment="1">
      <alignment horizontal="center" vertical="center"/>
    </xf>
    <xf numFmtId="0" fontId="10" fillId="0" borderId="23" xfId="0" applyFont="1" applyFill="1" applyBorder="1" applyAlignment="1">
      <alignment vertical="center" wrapText="1"/>
    </xf>
    <xf numFmtId="4" fontId="25" fillId="0" borderId="23" xfId="4" applyNumberFormat="1" applyFont="1" applyBorder="1" applyAlignment="1">
      <alignment horizontal="center" vertical="center"/>
    </xf>
    <xf numFmtId="0" fontId="10" fillId="0" borderId="14" xfId="0" applyFont="1" applyFill="1" applyBorder="1" applyAlignment="1">
      <alignment horizontal="center" vertical="center" wrapText="1"/>
    </xf>
    <xf numFmtId="0" fontId="10" fillId="0" borderId="23" xfId="0" applyFont="1" applyFill="1" applyBorder="1" applyAlignment="1">
      <alignment horizontal="center" vertical="center"/>
    </xf>
    <xf numFmtId="0" fontId="9" fillId="2" borderId="3" xfId="0" applyFont="1" applyFill="1" applyBorder="1" applyAlignment="1">
      <alignment vertical="center" wrapText="1"/>
    </xf>
    <xf numFmtId="17" fontId="3" fillId="2" borderId="6" xfId="0" applyNumberFormat="1" applyFont="1" applyFill="1" applyBorder="1" applyAlignment="1">
      <alignment horizontal="center" vertical="center"/>
    </xf>
    <xf numFmtId="10" fontId="10" fillId="2" borderId="6" xfId="9" applyNumberFormat="1" applyFont="1" applyFill="1" applyBorder="1" applyAlignment="1">
      <alignment horizontal="center" vertical="center" wrapText="1"/>
    </xf>
    <xf numFmtId="10" fontId="10" fillId="2" borderId="0" xfId="9" applyNumberFormat="1" applyFont="1" applyFill="1" applyBorder="1" applyAlignment="1">
      <alignment horizontal="left" vertical="center" wrapText="1"/>
    </xf>
    <xf numFmtId="0" fontId="10" fillId="2" borderId="0" xfId="3" applyFont="1" applyFill="1"/>
    <xf numFmtId="0" fontId="13" fillId="2" borderId="0" xfId="3" applyFont="1" applyFill="1" applyAlignment="1">
      <alignment horizontal="right"/>
    </xf>
    <xf numFmtId="14" fontId="10" fillId="2" borderId="0" xfId="3" applyNumberFormat="1" applyFont="1" applyFill="1"/>
    <xf numFmtId="10" fontId="47" fillId="14" borderId="53" xfId="9" applyNumberFormat="1" applyFont="1" applyFill="1" applyBorder="1" applyAlignment="1">
      <alignment horizontal="center" vertical="center" wrapText="1"/>
    </xf>
    <xf numFmtId="44" fontId="3" fillId="0" borderId="56" xfId="2" applyNumberFormat="1" applyFont="1" applyFill="1" applyBorder="1" applyAlignment="1">
      <alignment horizontal="center" vertical="center" wrapText="1"/>
    </xf>
    <xf numFmtId="10" fontId="47" fillId="14" borderId="57" xfId="9" applyNumberFormat="1" applyFont="1" applyFill="1" applyBorder="1" applyAlignment="1">
      <alignment horizontal="center" vertical="center" wrapText="1"/>
    </xf>
    <xf numFmtId="10" fontId="3" fillId="16" borderId="57" xfId="9" applyNumberFormat="1" applyFont="1" applyFill="1" applyBorder="1" applyAlignment="1">
      <alignment horizontal="center" vertical="center" wrapText="1"/>
    </xf>
    <xf numFmtId="44" fontId="3" fillId="16" borderId="56" xfId="2" applyNumberFormat="1" applyFont="1" applyFill="1" applyBorder="1" applyAlignment="1">
      <alignment horizontal="center" vertical="center" wrapText="1"/>
    </xf>
    <xf numFmtId="0" fontId="36" fillId="0" borderId="0" xfId="3" applyFont="1" applyFill="1"/>
    <xf numFmtId="4" fontId="38" fillId="0" borderId="0" xfId="3" applyNumberFormat="1" applyFont="1" applyFill="1"/>
    <xf numFmtId="0" fontId="9" fillId="0" borderId="0" xfId="3" applyFont="1" applyFill="1"/>
    <xf numFmtId="0" fontId="36" fillId="0" borderId="40" xfId="3" applyFont="1" applyFill="1" applyBorder="1"/>
    <xf numFmtId="43" fontId="21" fillId="2" borderId="12" xfId="1" applyFont="1" applyFill="1" applyBorder="1" applyAlignment="1">
      <alignment horizontal="left" vertical="center"/>
    </xf>
    <xf numFmtId="43" fontId="18" fillId="0" borderId="0" xfId="0" applyNumberFormat="1" applyFont="1" applyAlignment="1">
      <alignment vertical="center"/>
    </xf>
    <xf numFmtId="44" fontId="12" fillId="0" borderId="0" xfId="0" applyNumberFormat="1" applyFont="1" applyAlignment="1">
      <alignment vertical="center" wrapText="1"/>
    </xf>
    <xf numFmtId="44" fontId="25" fillId="2" borderId="23" xfId="4" applyNumberFormat="1" applyFont="1" applyFill="1" applyBorder="1" applyAlignment="1">
      <alignment horizontal="right" vertical="center"/>
    </xf>
    <xf numFmtId="44" fontId="25" fillId="0" borderId="25" xfId="4" applyNumberFormat="1" applyFont="1" applyBorder="1" applyAlignment="1">
      <alignment horizontal="right"/>
    </xf>
    <xf numFmtId="0" fontId="3" fillId="2" borderId="0" xfId="8" applyFont="1" applyFill="1"/>
    <xf numFmtId="0" fontId="13" fillId="0" borderId="14" xfId="0" applyFont="1" applyBorder="1" applyAlignment="1">
      <alignment horizontal="left" vertical="center" wrapText="1"/>
    </xf>
    <xf numFmtId="43" fontId="18" fillId="0" borderId="0" xfId="0" applyNumberFormat="1" applyFont="1"/>
    <xf numFmtId="44" fontId="25" fillId="0" borderId="25" xfId="4" applyNumberFormat="1" applyFont="1" applyBorder="1" applyAlignment="1">
      <alignment horizontal="right" vertical="center"/>
    </xf>
    <xf numFmtId="169" fontId="25" fillId="0" borderId="22" xfId="6" applyNumberFormat="1" applyFont="1" applyBorder="1" applyAlignment="1">
      <alignment horizontal="center" vertical="center"/>
    </xf>
    <xf numFmtId="0" fontId="19" fillId="3" borderId="11" xfId="0" applyFont="1" applyFill="1" applyBorder="1" applyAlignment="1">
      <alignment horizontal="center" vertical="center" wrapText="1"/>
    </xf>
    <xf numFmtId="0" fontId="20" fillId="4" borderId="11" xfId="0" applyFont="1" applyFill="1" applyBorder="1" applyAlignment="1">
      <alignment horizontal="center" vertical="center" wrapText="1"/>
    </xf>
    <xf numFmtId="44" fontId="25" fillId="0" borderId="25" xfId="4" applyNumberFormat="1" applyFont="1" applyBorder="1" applyAlignment="1">
      <alignment horizontal="center" vertical="center"/>
    </xf>
    <xf numFmtId="0" fontId="25" fillId="0" borderId="0" xfId="6" applyFont="1" applyAlignment="1">
      <alignment horizontal="center" vertical="center"/>
    </xf>
    <xf numFmtId="43" fontId="35" fillId="6" borderId="58" xfId="1" applyFont="1" applyFill="1" applyBorder="1" applyAlignment="1">
      <alignment horizontal="center" vertical="center" wrapText="1"/>
    </xf>
    <xf numFmtId="164" fontId="10" fillId="2" borderId="59" xfId="2" applyFont="1" applyFill="1" applyBorder="1" applyAlignment="1">
      <alignment horizontal="center" vertical="center"/>
    </xf>
    <xf numFmtId="10" fontId="10" fillId="0" borderId="59" xfId="2" applyNumberFormat="1" applyFont="1" applyBorder="1" applyAlignment="1">
      <alignment horizontal="center" vertical="center" wrapText="1"/>
    </xf>
    <xf numFmtId="164" fontId="10" fillId="0" borderId="59" xfId="2" applyFont="1" applyBorder="1" applyAlignment="1">
      <alignment horizontal="center" vertical="center" wrapText="1"/>
    </xf>
    <xf numFmtId="164" fontId="10" fillId="0" borderId="39" xfId="2" applyFont="1" applyBorder="1" applyAlignment="1">
      <alignment horizontal="center" vertical="center"/>
    </xf>
    <xf numFmtId="2" fontId="25" fillId="0" borderId="23" xfId="4" applyNumberFormat="1" applyFont="1" applyBorder="1" applyAlignment="1">
      <alignment horizontal="center"/>
    </xf>
    <xf numFmtId="0" fontId="48" fillId="0" borderId="0" xfId="16"/>
    <xf numFmtId="0" fontId="49" fillId="0" borderId="0" xfId="16" applyFont="1" applyAlignment="1">
      <alignment horizontal="left"/>
    </xf>
    <xf numFmtId="0" fontId="49" fillId="0" borderId="0" xfId="16" applyNumberFormat="1" applyFont="1" applyAlignment="1">
      <alignment horizontal="left"/>
    </xf>
    <xf numFmtId="0" fontId="3" fillId="0" borderId="0" xfId="11" applyFont="1"/>
    <xf numFmtId="0" fontId="5" fillId="0" borderId="0" xfId="11" applyFont="1" applyAlignment="1">
      <alignment horizontal="right"/>
    </xf>
    <xf numFmtId="14" fontId="10" fillId="0" borderId="0" xfId="11" applyNumberFormat="1" applyAlignment="1">
      <alignment horizontal="left"/>
    </xf>
    <xf numFmtId="0" fontId="10" fillId="0" borderId="0" xfId="11" applyAlignment="1">
      <alignment horizontal="left"/>
    </xf>
    <xf numFmtId="17" fontId="10" fillId="2" borderId="0" xfId="0" applyNumberFormat="1" applyFont="1" applyFill="1" applyAlignment="1">
      <alignment horizontal="left" vertical="center"/>
    </xf>
    <xf numFmtId="0" fontId="5" fillId="0" borderId="0" xfId="11" applyFont="1"/>
    <xf numFmtId="0" fontId="5" fillId="0" borderId="0" xfId="11" applyFont="1" applyAlignment="1">
      <alignment horizontal="right" vertical="center"/>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6" fillId="2" borderId="15" xfId="0" applyFont="1" applyFill="1" applyBorder="1" applyAlignment="1">
      <alignment horizontal="center" vertical="center"/>
    </xf>
    <xf numFmtId="0" fontId="16" fillId="2" borderId="1" xfId="0" applyFont="1" applyFill="1" applyBorder="1" applyAlignment="1">
      <alignment horizontal="center" vertical="center"/>
    </xf>
    <xf numFmtId="0" fontId="51" fillId="2" borderId="15" xfId="0" applyFont="1" applyFill="1" applyBorder="1" applyAlignment="1">
      <alignment horizontal="center" vertical="center" wrapText="1"/>
    </xf>
    <xf numFmtId="0" fontId="51" fillId="2" borderId="1" xfId="0" applyFont="1" applyFill="1" applyBorder="1" applyAlignment="1">
      <alignment horizontal="center" vertical="center"/>
    </xf>
    <xf numFmtId="0" fontId="16" fillId="2" borderId="15" xfId="0" applyFont="1" applyFill="1" applyBorder="1" applyAlignment="1">
      <alignment horizontal="center" vertical="center" wrapText="1"/>
    </xf>
    <xf numFmtId="0" fontId="40" fillId="2" borderId="0" xfId="0" applyFont="1" applyFill="1" applyBorder="1" applyAlignment="1">
      <alignment horizontal="center" vertical="center" wrapText="1"/>
    </xf>
    <xf numFmtId="164" fontId="10" fillId="2" borderId="59" xfId="2" applyFont="1" applyFill="1" applyBorder="1" applyAlignment="1">
      <alignment horizontal="center" vertical="center" wrapText="1"/>
    </xf>
    <xf numFmtId="164" fontId="10" fillId="2" borderId="39" xfId="2" applyFont="1" applyFill="1" applyBorder="1" applyAlignment="1">
      <alignment horizontal="center" vertical="center"/>
    </xf>
    <xf numFmtId="0" fontId="18" fillId="2" borderId="11" xfId="0" applyFont="1" applyFill="1" applyBorder="1" applyAlignment="1">
      <alignment vertical="center"/>
    </xf>
    <xf numFmtId="164" fontId="50" fillId="2" borderId="1" xfId="2" applyFont="1" applyFill="1" applyBorder="1" applyAlignment="1">
      <alignment horizontal="center" vertical="center"/>
    </xf>
    <xf numFmtId="164" fontId="17" fillId="2" borderId="36" xfId="0" applyNumberFormat="1" applyFont="1" applyFill="1" applyBorder="1" applyAlignment="1">
      <alignment horizontal="center" vertical="center"/>
    </xf>
    <xf numFmtId="164" fontId="17" fillId="2" borderId="62" xfId="0" applyNumberFormat="1" applyFont="1" applyFill="1" applyBorder="1" applyAlignment="1">
      <alignment horizontal="center" vertical="center"/>
    </xf>
    <xf numFmtId="164" fontId="50" fillId="2" borderId="37" xfId="2" applyFont="1" applyFill="1" applyBorder="1" applyAlignment="1">
      <alignment horizontal="center" vertical="center"/>
    </xf>
    <xf numFmtId="164" fontId="17" fillId="2" borderId="16" xfId="0" applyNumberFormat="1" applyFont="1" applyFill="1" applyBorder="1" applyAlignment="1">
      <alignment horizontal="center" vertical="center"/>
    </xf>
    <xf numFmtId="44" fontId="52" fillId="16" borderId="56" xfId="2" applyNumberFormat="1" applyFont="1" applyFill="1" applyBorder="1" applyAlignment="1">
      <alignment horizontal="center" vertical="center" wrapText="1"/>
    </xf>
    <xf numFmtId="10" fontId="47" fillId="2" borderId="53" xfId="9" applyNumberFormat="1" applyFont="1" applyFill="1" applyBorder="1" applyAlignment="1">
      <alignment horizontal="center" vertical="center" wrapText="1"/>
    </xf>
    <xf numFmtId="44" fontId="3" fillId="16" borderId="57" xfId="9" applyNumberFormat="1" applyFont="1" applyFill="1" applyBorder="1" applyAlignment="1">
      <alignment horizontal="center" vertical="center" wrapText="1"/>
    </xf>
    <xf numFmtId="44" fontId="10" fillId="2" borderId="0" xfId="3" applyNumberFormat="1" applyFont="1" applyFill="1"/>
    <xf numFmtId="49" fontId="10" fillId="2" borderId="0" xfId="3" applyNumberFormat="1" applyFont="1" applyFill="1" applyAlignment="1">
      <alignment horizontal="right"/>
    </xf>
    <xf numFmtId="10" fontId="10" fillId="2" borderId="0" xfId="3" applyNumberFormat="1" applyFont="1" applyFill="1"/>
    <xf numFmtId="44" fontId="3" fillId="0" borderId="46" xfId="3" applyNumberFormat="1" applyFont="1" applyBorder="1" applyAlignment="1">
      <alignment horizontal="center" vertical="center"/>
    </xf>
    <xf numFmtId="0" fontId="36" fillId="2" borderId="18" xfId="4" applyFont="1" applyFill="1" applyBorder="1" applyAlignment="1">
      <alignment horizontal="center" vertical="center" wrapText="1"/>
    </xf>
    <xf numFmtId="43" fontId="21" fillId="2" borderId="12" xfId="1" applyFont="1" applyFill="1" applyBorder="1" applyAlignment="1">
      <alignment vertical="center"/>
    </xf>
    <xf numFmtId="0" fontId="10" fillId="2" borderId="5" xfId="4" applyFill="1" applyBorder="1"/>
    <xf numFmtId="49" fontId="23" fillId="2" borderId="0" xfId="4" applyNumberFormat="1" applyFont="1" applyFill="1" applyBorder="1" applyAlignment="1">
      <alignment vertical="top" wrapText="1"/>
    </xf>
    <xf numFmtId="49" fontId="23" fillId="2" borderId="0" xfId="4" applyNumberFormat="1" applyFont="1" applyFill="1" applyBorder="1" applyAlignment="1">
      <alignment horizontal="center" vertical="top"/>
    </xf>
    <xf numFmtId="0" fontId="10" fillId="2" borderId="0" xfId="4" applyFill="1" applyBorder="1"/>
    <xf numFmtId="0" fontId="10" fillId="2" borderId="6" xfId="4" applyFill="1" applyBorder="1"/>
    <xf numFmtId="0" fontId="18" fillId="2" borderId="5" xfId="0" applyFont="1" applyFill="1" applyBorder="1"/>
    <xf numFmtId="0" fontId="18" fillId="2" borderId="0" xfId="0" applyFont="1" applyFill="1" applyBorder="1"/>
    <xf numFmtId="0" fontId="18" fillId="2" borderId="6" xfId="0" applyFont="1" applyFill="1" applyBorder="1"/>
    <xf numFmtId="0" fontId="21" fillId="2" borderId="5" xfId="0" applyFont="1" applyFill="1" applyBorder="1" applyAlignment="1">
      <alignment horizontal="center" vertical="center" wrapText="1"/>
    </xf>
    <xf numFmtId="0" fontId="21" fillId="2" borderId="0" xfId="0" applyFont="1" applyFill="1" applyBorder="1" applyAlignment="1">
      <alignment vertical="center"/>
    </xf>
    <xf numFmtId="0" fontId="18" fillId="2" borderId="6" xfId="0" applyFont="1" applyFill="1" applyBorder="1" applyAlignment="1">
      <alignment vertical="center"/>
    </xf>
    <xf numFmtId="0" fontId="18" fillId="0" borderId="5" xfId="0" applyFont="1" applyBorder="1"/>
    <xf numFmtId="0" fontId="22" fillId="2" borderId="0" xfId="0" applyFont="1" applyFill="1" applyBorder="1" applyAlignment="1">
      <alignment horizontal="center" vertical="center"/>
    </xf>
    <xf numFmtId="0" fontId="18" fillId="0" borderId="0" xfId="0" applyFont="1" applyBorder="1"/>
    <xf numFmtId="2" fontId="18" fillId="2" borderId="5" xfId="0" applyNumberFormat="1" applyFont="1" applyFill="1" applyBorder="1" applyAlignment="1">
      <alignment vertical="center" wrapText="1"/>
    </xf>
    <xf numFmtId="2" fontId="18"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8" fillId="2" borderId="0" xfId="0" applyFont="1" applyFill="1" applyBorder="1" applyAlignment="1">
      <alignment horizontal="right"/>
    </xf>
    <xf numFmtId="0" fontId="18" fillId="0" borderId="0" xfId="0" applyFont="1" applyBorder="1" applyAlignment="1">
      <alignment horizontal="right"/>
    </xf>
    <xf numFmtId="0" fontId="22" fillId="0" borderId="5" xfId="0" applyFont="1" applyBorder="1" applyAlignment="1">
      <alignment horizontal="center"/>
    </xf>
    <xf numFmtId="0" fontId="22" fillId="0" borderId="0" xfId="0" applyFont="1" applyBorder="1"/>
    <xf numFmtId="0" fontId="22" fillId="0" borderId="0" xfId="0" applyFont="1" applyBorder="1" applyAlignment="1">
      <alignment horizontal="center"/>
    </xf>
    <xf numFmtId="0" fontId="22" fillId="0" borderId="6" xfId="0" applyFont="1" applyBorder="1" applyAlignment="1">
      <alignment horizontal="center"/>
    </xf>
    <xf numFmtId="0" fontId="22" fillId="0" borderId="5" xfId="0" applyFont="1" applyBorder="1"/>
    <xf numFmtId="0" fontId="22" fillId="0" borderId="0" xfId="0" applyFont="1" applyBorder="1" applyAlignment="1">
      <alignment horizontal="center" vertical="center"/>
    </xf>
    <xf numFmtId="0" fontId="22" fillId="0" borderId="6" xfId="0" applyFont="1" applyBorder="1"/>
    <xf numFmtId="0" fontId="18" fillId="2" borderId="0" xfId="0" applyFont="1" applyFill="1" applyBorder="1" applyAlignment="1">
      <alignment horizontal="center"/>
    </xf>
    <xf numFmtId="0" fontId="21" fillId="0" borderId="0" xfId="0" applyFont="1" applyBorder="1" applyAlignment="1">
      <alignment horizontal="center" vertical="center"/>
    </xf>
    <xf numFmtId="0" fontId="18" fillId="0" borderId="0" xfId="0" applyFont="1" applyBorder="1" applyAlignment="1">
      <alignment horizontal="center" vertical="center"/>
    </xf>
    <xf numFmtId="43" fontId="18" fillId="0" borderId="0" xfId="0" applyNumberFormat="1" applyFont="1" applyBorder="1" applyAlignment="1">
      <alignment horizontal="center" vertical="center"/>
    </xf>
    <xf numFmtId="0" fontId="18" fillId="0" borderId="6" xfId="0" applyFont="1" applyBorder="1"/>
    <xf numFmtId="0" fontId="18" fillId="0" borderId="0" xfId="0" applyFont="1" applyBorder="1" applyAlignment="1">
      <alignment horizontal="center"/>
    </xf>
    <xf numFmtId="0" fontId="18" fillId="0" borderId="6" xfId="0" applyFont="1" applyBorder="1" applyAlignment="1">
      <alignment horizontal="center"/>
    </xf>
    <xf numFmtId="43" fontId="21" fillId="2" borderId="6" xfId="1" applyFont="1" applyFill="1" applyBorder="1" applyAlignment="1">
      <alignment vertical="center"/>
    </xf>
    <xf numFmtId="2" fontId="18" fillId="0" borderId="0" xfId="0" applyNumberFormat="1" applyFont="1" applyBorder="1" applyAlignment="1">
      <alignment horizontal="right"/>
    </xf>
    <xf numFmtId="2" fontId="18" fillId="0" borderId="0" xfId="0" applyNumberFormat="1" applyFont="1" applyFill="1" applyBorder="1" applyAlignment="1">
      <alignment horizontal="center" vertical="center"/>
    </xf>
    <xf numFmtId="0" fontId="21" fillId="0" borderId="0" xfId="0" applyFont="1" applyBorder="1" applyAlignment="1">
      <alignment horizontal="center"/>
    </xf>
    <xf numFmtId="2" fontId="18" fillId="0" borderId="0" xfId="0" applyNumberFormat="1" applyFont="1" applyBorder="1" applyAlignment="1">
      <alignment horizontal="center"/>
    </xf>
    <xf numFmtId="43" fontId="18" fillId="0" borderId="0" xfId="0" applyNumberFormat="1" applyFont="1" applyBorder="1" applyAlignment="1">
      <alignment horizontal="center"/>
    </xf>
    <xf numFmtId="0" fontId="0" fillId="2" borderId="0" xfId="0" applyFill="1" applyBorder="1" applyAlignment="1">
      <alignment horizontal="center"/>
    </xf>
    <xf numFmtId="0" fontId="22" fillId="0" borderId="0" xfId="0" applyFont="1" applyBorder="1" applyAlignment="1">
      <alignment horizontal="right" vertical="center"/>
    </xf>
    <xf numFmtId="0" fontId="21" fillId="0" borderId="5" xfId="0" applyFont="1" applyBorder="1"/>
    <xf numFmtId="0" fontId="21" fillId="0" borderId="0" xfId="0" applyFont="1" applyBorder="1"/>
    <xf numFmtId="2" fontId="21" fillId="0" borderId="0" xfId="0" applyNumberFormat="1" applyFont="1" applyFill="1" applyBorder="1" applyAlignment="1">
      <alignment horizontal="center" vertical="center"/>
    </xf>
    <xf numFmtId="2" fontId="21" fillId="0" borderId="0" xfId="0" applyNumberFormat="1" applyFont="1" applyBorder="1" applyAlignment="1">
      <alignment horizontal="center" vertical="center"/>
    </xf>
    <xf numFmtId="43" fontId="21" fillId="0" borderId="0" xfId="0" applyNumberFormat="1" applyFont="1" applyBorder="1" applyAlignment="1">
      <alignment horizontal="center" vertical="center"/>
    </xf>
    <xf numFmtId="0" fontId="21" fillId="0" borderId="6" xfId="0" applyFont="1" applyBorder="1"/>
    <xf numFmtId="43" fontId="22" fillId="0" borderId="0" xfId="0" applyNumberFormat="1" applyFont="1" applyBorder="1" applyAlignment="1">
      <alignment horizontal="center" vertical="center"/>
    </xf>
    <xf numFmtId="0" fontId="20" fillId="0" borderId="5" xfId="0" applyFont="1" applyBorder="1"/>
    <xf numFmtId="0" fontId="20" fillId="0" borderId="0" xfId="0" applyFont="1" applyBorder="1" applyAlignment="1">
      <alignment horizontal="center" vertical="center"/>
    </xf>
    <xf numFmtId="0" fontId="20" fillId="0" borderId="0" xfId="0" applyFont="1" applyBorder="1"/>
    <xf numFmtId="0" fontId="20" fillId="0" borderId="6" xfId="0" applyFont="1" applyBorder="1"/>
    <xf numFmtId="0" fontId="21" fillId="2" borderId="0" xfId="0" applyFont="1" applyFill="1" applyBorder="1" applyAlignment="1">
      <alignment horizontal="center"/>
    </xf>
    <xf numFmtId="2" fontId="21" fillId="2" borderId="0" xfId="0" applyNumberFormat="1" applyFont="1" applyFill="1" applyBorder="1" applyAlignment="1">
      <alignment horizontal="center" vertical="center"/>
    </xf>
    <xf numFmtId="2" fontId="21" fillId="0" borderId="0" xfId="0" applyNumberFormat="1" applyFont="1" applyBorder="1" applyAlignment="1">
      <alignment horizontal="center"/>
    </xf>
    <xf numFmtId="43" fontId="20" fillId="0" borderId="0" xfId="0" applyNumberFormat="1" applyFont="1" applyBorder="1" applyAlignment="1">
      <alignment horizontal="center" vertical="center"/>
    </xf>
    <xf numFmtId="0" fontId="43" fillId="2" borderId="5" xfId="0" applyFont="1" applyFill="1" applyBorder="1" applyAlignment="1">
      <alignment horizontal="center" vertical="center" wrapText="1"/>
    </xf>
    <xf numFmtId="0" fontId="43" fillId="2" borderId="6" xfId="0" applyFont="1" applyFill="1" applyBorder="1" applyAlignment="1">
      <alignment horizontal="center" vertical="center" wrapText="1"/>
    </xf>
    <xf numFmtId="0" fontId="22" fillId="2" borderId="5" xfId="0" applyFont="1" applyFill="1" applyBorder="1" applyAlignment="1">
      <alignment horizontal="center"/>
    </xf>
    <xf numFmtId="2" fontId="22" fillId="2" borderId="0" xfId="0" applyNumberFormat="1" applyFont="1" applyFill="1" applyBorder="1" applyAlignment="1">
      <alignment horizontal="center" vertical="center"/>
    </xf>
    <xf numFmtId="0" fontId="18" fillId="2" borderId="5" xfId="0" applyFont="1" applyFill="1" applyBorder="1" applyAlignment="1">
      <alignment horizontal="center"/>
    </xf>
    <xf numFmtId="0" fontId="18" fillId="0" borderId="0" xfId="0" applyFont="1" applyFill="1" applyBorder="1" applyAlignment="1">
      <alignment horizontal="center"/>
    </xf>
    <xf numFmtId="0" fontId="40" fillId="2" borderId="5"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18" fillId="0" borderId="5" xfId="0" applyFont="1" applyFill="1" applyBorder="1"/>
    <xf numFmtId="0" fontId="18" fillId="0" borderId="0" xfId="0" applyFont="1" applyFill="1" applyBorder="1"/>
    <xf numFmtId="0" fontId="18" fillId="0" borderId="6" xfId="0" applyFont="1" applyFill="1" applyBorder="1"/>
    <xf numFmtId="2" fontId="22" fillId="0" borderId="0" xfId="0" applyNumberFormat="1" applyFont="1" applyBorder="1" applyAlignment="1">
      <alignment horizontal="center"/>
    </xf>
    <xf numFmtId="0" fontId="22" fillId="0" borderId="5" xfId="0" applyFont="1" applyBorder="1" applyAlignment="1">
      <alignment horizontal="center" vertical="center"/>
    </xf>
    <xf numFmtId="0" fontId="21" fillId="0" borderId="5" xfId="0" applyFont="1" applyBorder="1" applyAlignment="1">
      <alignment horizontal="center" vertical="center"/>
    </xf>
    <xf numFmtId="0" fontId="18" fillId="0" borderId="5" xfId="0" applyFont="1" applyBorder="1" applyAlignment="1">
      <alignment horizontal="center" vertical="center"/>
    </xf>
    <xf numFmtId="43" fontId="18" fillId="0" borderId="6" xfId="0" applyNumberFormat="1" applyFont="1" applyBorder="1" applyAlignment="1">
      <alignment horizontal="center" vertical="center"/>
    </xf>
    <xf numFmtId="0" fontId="22" fillId="0" borderId="5" xfId="0" applyFont="1" applyBorder="1" applyAlignment="1"/>
    <xf numFmtId="0" fontId="22" fillId="0" borderId="0" xfId="0" applyFont="1" applyBorder="1" applyAlignment="1"/>
    <xf numFmtId="43" fontId="22" fillId="0" borderId="0" xfId="0" applyNumberFormat="1" applyFont="1" applyBorder="1" applyAlignment="1">
      <alignment horizontal="center"/>
    </xf>
    <xf numFmtId="0" fontId="21" fillId="2" borderId="5" xfId="0" applyFont="1" applyFill="1" applyBorder="1" applyAlignment="1">
      <alignment horizontal="center" vertical="center"/>
    </xf>
    <xf numFmtId="43" fontId="18" fillId="2" borderId="0" xfId="0" applyNumberFormat="1" applyFont="1" applyFill="1" applyBorder="1" applyAlignment="1">
      <alignment horizontal="center" vertical="center"/>
    </xf>
    <xf numFmtId="43" fontId="21" fillId="0" borderId="12" xfId="1" applyFont="1" applyFill="1" applyBorder="1" applyAlignment="1">
      <alignment vertical="center"/>
    </xf>
    <xf numFmtId="0" fontId="18" fillId="0" borderId="5" xfId="0" applyFont="1" applyBorder="1" applyAlignment="1">
      <alignment horizontal="center"/>
    </xf>
    <xf numFmtId="0" fontId="18" fillId="0" borderId="5" xfId="0" applyFont="1" applyFill="1" applyBorder="1" applyAlignment="1">
      <alignment horizontal="center"/>
    </xf>
    <xf numFmtId="2" fontId="18" fillId="0" borderId="0" xfId="0" applyNumberFormat="1" applyFont="1" applyFill="1" applyBorder="1" applyAlignment="1">
      <alignment horizontal="center"/>
    </xf>
    <xf numFmtId="43" fontId="18" fillId="0" borderId="0" xfId="0" applyNumberFormat="1" applyFont="1" applyFill="1" applyBorder="1" applyAlignment="1">
      <alignment horizontal="center"/>
    </xf>
    <xf numFmtId="43" fontId="18" fillId="0" borderId="6" xfId="0" applyNumberFormat="1" applyFont="1" applyBorder="1" applyAlignment="1">
      <alignment horizontal="center"/>
    </xf>
    <xf numFmtId="0" fontId="21" fillId="0" borderId="5" xfId="0" applyFont="1" applyFill="1" applyBorder="1" applyAlignment="1">
      <alignment horizontal="center" vertical="center"/>
    </xf>
    <xf numFmtId="0" fontId="20" fillId="2" borderId="0" xfId="0" applyFont="1" applyFill="1" applyBorder="1" applyAlignment="1">
      <alignment horizontal="center" vertical="center"/>
    </xf>
    <xf numFmtId="43" fontId="22" fillId="0" borderId="6" xfId="0" applyNumberFormat="1" applyFont="1" applyBorder="1"/>
    <xf numFmtId="0" fontId="22" fillId="0" borderId="5" xfId="0" applyFont="1" applyBorder="1" applyAlignment="1">
      <alignment horizontal="right"/>
    </xf>
    <xf numFmtId="0" fontId="22" fillId="0" borderId="0" xfId="0" applyFont="1" applyBorder="1" applyAlignment="1">
      <alignment horizontal="right"/>
    </xf>
    <xf numFmtId="1" fontId="18" fillId="0" borderId="0" xfId="0" applyNumberFormat="1" applyFont="1" applyBorder="1" applyAlignment="1">
      <alignment horizontal="center"/>
    </xf>
    <xf numFmtId="0" fontId="18" fillId="0" borderId="0" xfId="0" applyFont="1" applyBorder="1" applyAlignment="1">
      <alignment horizontal="left"/>
    </xf>
    <xf numFmtId="171" fontId="18" fillId="0" borderId="0" xfId="0" applyNumberFormat="1" applyFont="1" applyBorder="1" applyAlignment="1">
      <alignment horizontal="center"/>
    </xf>
    <xf numFmtId="2" fontId="18" fillId="2" borderId="0" xfId="0" applyNumberFormat="1" applyFont="1" applyFill="1" applyBorder="1" applyAlignment="1">
      <alignment horizontal="center" vertical="center" wrapText="1"/>
    </xf>
    <xf numFmtId="0" fontId="22" fillId="2" borderId="0" xfId="0" applyFont="1" applyFill="1" applyBorder="1" applyAlignment="1">
      <alignment horizontal="center"/>
    </xf>
    <xf numFmtId="2" fontId="18" fillId="2" borderId="0" xfId="0" applyNumberFormat="1" applyFont="1" applyFill="1" applyBorder="1" applyAlignment="1">
      <alignment horizontal="center"/>
    </xf>
    <xf numFmtId="0" fontId="20" fillId="2" borderId="0" xfId="0" applyFont="1" applyFill="1" applyBorder="1" applyAlignment="1">
      <alignment horizontal="center"/>
    </xf>
    <xf numFmtId="0" fontId="20" fillId="0" borderId="0" xfId="0" applyFont="1" applyBorder="1" applyAlignment="1">
      <alignment horizontal="center"/>
    </xf>
    <xf numFmtId="0" fontId="21" fillId="2" borderId="6" xfId="0" applyFont="1" applyFill="1" applyBorder="1"/>
    <xf numFmtId="0" fontId="21" fillId="2" borderId="0" xfId="0" applyFont="1" applyFill="1" applyBorder="1" applyAlignment="1">
      <alignment vertical="center" wrapText="1"/>
    </xf>
    <xf numFmtId="2" fontId="21" fillId="2" borderId="0" xfId="0" applyNumberFormat="1" applyFont="1" applyFill="1" applyBorder="1" applyAlignment="1">
      <alignment horizontal="center"/>
    </xf>
    <xf numFmtId="43" fontId="21" fillId="2" borderId="0" xfId="0" applyNumberFormat="1" applyFont="1" applyFill="1" applyBorder="1" applyAlignment="1">
      <alignment horizontal="center"/>
    </xf>
    <xf numFmtId="0" fontId="18" fillId="2" borderId="0" xfId="0" applyFont="1" applyFill="1" applyBorder="1" applyAlignment="1">
      <alignment wrapText="1"/>
    </xf>
    <xf numFmtId="0" fontId="18" fillId="2" borderId="0" xfId="0" applyFont="1" applyFill="1" applyBorder="1" applyAlignment="1">
      <alignment horizontal="center" wrapText="1"/>
    </xf>
    <xf numFmtId="0" fontId="41" fillId="0" borderId="6" xfId="0" applyFont="1" applyBorder="1"/>
    <xf numFmtId="0" fontId="21" fillId="2" borderId="0" xfId="0" applyFont="1" applyFill="1" applyBorder="1" applyAlignment="1">
      <alignment horizontal="left" vertical="center" wrapText="1"/>
    </xf>
    <xf numFmtId="43" fontId="21" fillId="2" borderId="0" xfId="0" applyNumberFormat="1" applyFont="1" applyFill="1" applyBorder="1" applyAlignment="1">
      <alignment horizontal="center" vertical="center"/>
    </xf>
    <xf numFmtId="0" fontId="21" fillId="0" borderId="6" xfId="0" applyFont="1" applyBorder="1" applyAlignment="1">
      <alignment horizontal="center" vertical="center"/>
    </xf>
    <xf numFmtId="0" fontId="41" fillId="2" borderId="0" xfId="0" applyFont="1" applyFill="1" applyBorder="1" applyAlignment="1">
      <alignment vertical="center" wrapText="1"/>
    </xf>
    <xf numFmtId="0" fontId="41" fillId="0" borderId="0" xfId="0" applyFont="1" applyBorder="1"/>
    <xf numFmtId="0" fontId="41" fillId="2" borderId="0" xfId="0" applyFont="1" applyFill="1" applyBorder="1" applyAlignment="1">
      <alignment horizontal="center"/>
    </xf>
    <xf numFmtId="2" fontId="41" fillId="2" borderId="0" xfId="0" applyNumberFormat="1" applyFont="1" applyFill="1" applyBorder="1" applyAlignment="1">
      <alignment horizontal="center"/>
    </xf>
    <xf numFmtId="43" fontId="41" fillId="2" borderId="0" xfId="0" applyNumberFormat="1" applyFont="1" applyFill="1" applyBorder="1" applyAlignment="1">
      <alignment horizontal="center"/>
    </xf>
    <xf numFmtId="0" fontId="18" fillId="2" borderId="0" xfId="0" applyFont="1" applyFill="1" applyBorder="1" applyAlignment="1">
      <alignment horizontal="left" wrapText="1"/>
    </xf>
    <xf numFmtId="43" fontId="18" fillId="2" borderId="6" xfId="0" applyNumberFormat="1" applyFont="1" applyFill="1" applyBorder="1" applyAlignment="1">
      <alignment horizontal="center" vertical="center"/>
    </xf>
    <xf numFmtId="0" fontId="22" fillId="2" borderId="6" xfId="0" applyFont="1" applyFill="1" applyBorder="1" applyAlignment="1">
      <alignment horizontal="center"/>
    </xf>
    <xf numFmtId="0" fontId="18" fillId="0" borderId="0" xfId="0" applyFont="1" applyBorder="1" applyAlignment="1">
      <alignment horizontal="center" wrapText="1"/>
    </xf>
    <xf numFmtId="0" fontId="18" fillId="0" borderId="0" xfId="0" applyFont="1" applyBorder="1" applyAlignment="1">
      <alignment horizontal="left" wrapText="1"/>
    </xf>
    <xf numFmtId="0" fontId="22" fillId="0" borderId="0" xfId="0" applyFont="1" applyBorder="1" applyAlignment="1">
      <alignment horizontal="center" wrapText="1"/>
    </xf>
    <xf numFmtId="1" fontId="22" fillId="0" borderId="0" xfId="0" applyNumberFormat="1" applyFont="1" applyBorder="1" applyAlignment="1">
      <alignment horizontal="center"/>
    </xf>
    <xf numFmtId="43" fontId="22" fillId="0" borderId="6" xfId="0" applyNumberFormat="1" applyFont="1" applyBorder="1" applyAlignment="1">
      <alignment horizontal="center" vertical="center"/>
    </xf>
    <xf numFmtId="2" fontId="18" fillId="2" borderId="0" xfId="0" applyNumberFormat="1" applyFont="1" applyFill="1" applyBorder="1" applyAlignment="1">
      <alignment horizontal="center" wrapText="1"/>
    </xf>
    <xf numFmtId="0" fontId="18" fillId="0" borderId="5" xfId="0" applyFont="1" applyBorder="1" applyAlignment="1">
      <alignment horizontal="center" vertical="center" wrapText="1"/>
    </xf>
    <xf numFmtId="0" fontId="18" fillId="0" borderId="0" xfId="0" applyFont="1" applyBorder="1" applyAlignment="1">
      <alignment horizontal="center" vertical="center" wrapText="1"/>
    </xf>
    <xf numFmtId="2" fontId="17" fillId="0" borderId="0" xfId="0" applyNumberFormat="1" applyFont="1" applyBorder="1" applyAlignment="1">
      <alignment horizontal="center"/>
    </xf>
    <xf numFmtId="0" fontId="18" fillId="0" borderId="5" xfId="0" applyNumberFormat="1" applyFont="1" applyBorder="1" applyAlignment="1">
      <alignment horizontal="center" vertical="center" wrapText="1"/>
    </xf>
    <xf numFmtId="1" fontId="18" fillId="0" borderId="0" xfId="0" applyNumberFormat="1" applyFont="1" applyBorder="1" applyAlignment="1">
      <alignment horizontal="center" vertical="center"/>
    </xf>
    <xf numFmtId="2" fontId="18" fillId="0" borderId="0" xfId="0" applyNumberFormat="1" applyFont="1" applyBorder="1" applyAlignment="1">
      <alignment horizontal="center" vertical="center" wrapText="1"/>
    </xf>
    <xf numFmtId="0" fontId="18" fillId="0" borderId="0" xfId="0" applyFont="1" applyFill="1" applyBorder="1" applyAlignment="1">
      <alignment horizontal="center" vertical="center"/>
    </xf>
    <xf numFmtId="43" fontId="18" fillId="0" borderId="6" xfId="0" applyNumberFormat="1" applyFont="1" applyFill="1" applyBorder="1" applyAlignment="1">
      <alignment horizontal="center" vertical="center"/>
    </xf>
    <xf numFmtId="0" fontId="18" fillId="0" borderId="0" xfId="0" applyFont="1" applyBorder="1" applyAlignment="1">
      <alignment wrapText="1"/>
    </xf>
    <xf numFmtId="0" fontId="22" fillId="0" borderId="0" xfId="0" applyFont="1" applyBorder="1" applyAlignment="1">
      <alignment horizontal="left" wrapText="1"/>
    </xf>
    <xf numFmtId="0" fontId="18" fillId="0" borderId="0" xfId="0" applyFont="1" applyBorder="1" applyAlignment="1">
      <alignment horizontal="left" vertical="center" wrapText="1"/>
    </xf>
    <xf numFmtId="0" fontId="18" fillId="0" borderId="6" xfId="0" applyFont="1" applyBorder="1" applyAlignment="1">
      <alignment vertical="center"/>
    </xf>
    <xf numFmtId="43" fontId="18" fillId="2" borderId="0" xfId="0" applyNumberFormat="1" applyFont="1" applyFill="1" applyBorder="1" applyAlignment="1">
      <alignment horizontal="center"/>
    </xf>
    <xf numFmtId="0" fontId="18" fillId="0" borderId="0" xfId="0" applyFont="1" applyBorder="1" applyAlignment="1"/>
    <xf numFmtId="43" fontId="21" fillId="2" borderId="6" xfId="1" applyFont="1" applyFill="1" applyBorder="1" applyAlignment="1">
      <alignment horizontal="left" vertical="center"/>
    </xf>
    <xf numFmtId="43" fontId="18" fillId="2" borderId="6" xfId="0" applyNumberFormat="1" applyFont="1" applyFill="1" applyBorder="1" applyAlignment="1">
      <alignment horizontal="center"/>
    </xf>
    <xf numFmtId="2" fontId="18" fillId="0" borderId="0" xfId="0" applyNumberFormat="1" applyFont="1" applyBorder="1"/>
    <xf numFmtId="2" fontId="22" fillId="2" borderId="0" xfId="0" applyNumberFormat="1" applyFont="1" applyFill="1" applyBorder="1" applyAlignment="1">
      <alignment horizontal="center"/>
    </xf>
    <xf numFmtId="0" fontId="18" fillId="0" borderId="7" xfId="0" applyFont="1" applyBorder="1"/>
    <xf numFmtId="0" fontId="18" fillId="0" borderId="8" xfId="0" applyFont="1" applyBorder="1" applyAlignment="1">
      <alignment horizontal="center"/>
    </xf>
    <xf numFmtId="0" fontId="18" fillId="0" borderId="8" xfId="0" applyFont="1" applyBorder="1"/>
    <xf numFmtId="2" fontId="18" fillId="0" borderId="8" xfId="0" applyNumberFormat="1" applyFont="1" applyBorder="1" applyAlignment="1">
      <alignment horizontal="center"/>
    </xf>
    <xf numFmtId="43" fontId="18" fillId="0" borderId="8" xfId="0" applyNumberFormat="1" applyFont="1" applyBorder="1" applyAlignment="1">
      <alignment horizontal="center"/>
    </xf>
    <xf numFmtId="0" fontId="18" fillId="0" borderId="9" xfId="0" applyFont="1" applyBorder="1"/>
    <xf numFmtId="0" fontId="54" fillId="2" borderId="0" xfId="17" applyFont="1" applyFill="1" applyAlignment="1">
      <alignment horizontal="left" vertical="center"/>
    </xf>
    <xf numFmtId="0" fontId="54" fillId="0" borderId="0" xfId="17" applyFont="1" applyAlignment="1">
      <alignment horizontal="center" vertical="center" wrapText="1"/>
    </xf>
    <xf numFmtId="0" fontId="54" fillId="0" borderId="14" xfId="17" applyFont="1" applyBorder="1" applyAlignment="1">
      <alignment horizontal="left" vertical="center" wrapText="1"/>
    </xf>
    <xf numFmtId="4" fontId="54" fillId="0" borderId="14" xfId="17" applyNumberFormat="1" applyFont="1" applyBorder="1" applyAlignment="1">
      <alignment horizontal="right" vertical="center" wrapText="1"/>
    </xf>
    <xf numFmtId="174" fontId="54" fillId="0" borderId="14" xfId="18" applyNumberFormat="1" applyFont="1" applyFill="1" applyBorder="1" applyAlignment="1">
      <alignment horizontal="right" vertical="center" wrapText="1"/>
    </xf>
    <xf numFmtId="44" fontId="54" fillId="0" borderId="22" xfId="19" applyFont="1" applyFill="1" applyBorder="1" applyAlignment="1">
      <alignment horizontal="right" vertical="center" wrapText="1"/>
    </xf>
    <xf numFmtId="0" fontId="54" fillId="0" borderId="0" xfId="17" applyFont="1" applyAlignment="1">
      <alignment horizontal="left" vertical="center"/>
    </xf>
    <xf numFmtId="44" fontId="54" fillId="0" borderId="14" xfId="19" applyFont="1" applyFill="1" applyBorder="1" applyAlignment="1">
      <alignment horizontal="right" vertical="center" wrapText="1"/>
    </xf>
    <xf numFmtId="0" fontId="54" fillId="2" borderId="0" xfId="17" applyFont="1" applyFill="1" applyAlignment="1">
      <alignment horizontal="left" vertical="center" wrapText="1"/>
    </xf>
    <xf numFmtId="44" fontId="54" fillId="2" borderId="0" xfId="19" applyFont="1" applyFill="1" applyAlignment="1">
      <alignment horizontal="left" vertical="center"/>
    </xf>
    <xf numFmtId="0" fontId="12" fillId="17" borderId="14" xfId="17" applyFont="1" applyFill="1" applyBorder="1" applyAlignment="1">
      <alignment horizontal="center" vertical="center" wrapText="1"/>
    </xf>
    <xf numFmtId="0" fontId="12" fillId="17" borderId="14" xfId="17" applyFont="1" applyFill="1" applyBorder="1" applyAlignment="1">
      <alignment horizontal="center"/>
    </xf>
    <xf numFmtId="9" fontId="12" fillId="2" borderId="14" xfId="17" applyNumberFormat="1" applyFont="1" applyFill="1" applyBorder="1" applyAlignment="1">
      <alignment horizontal="center" vertical="center" wrapText="1"/>
    </xf>
    <xf numFmtId="9" fontId="12" fillId="2" borderId="14" xfId="17" applyNumberFormat="1" applyFont="1" applyFill="1" applyBorder="1" applyAlignment="1">
      <alignment horizontal="center"/>
    </xf>
    <xf numFmtId="0" fontId="12" fillId="2" borderId="14" xfId="17" applyFont="1" applyFill="1" applyBorder="1" applyAlignment="1">
      <alignment horizontal="center" vertical="center" wrapText="1"/>
    </xf>
    <xf numFmtId="0" fontId="12" fillId="2" borderId="14" xfId="17" applyFont="1" applyFill="1" applyBorder="1" applyAlignment="1">
      <alignment horizontal="center" vertical="center"/>
    </xf>
    <xf numFmtId="174" fontId="54" fillId="2" borderId="0" xfId="18" applyNumberFormat="1" applyFont="1" applyFill="1" applyAlignment="1">
      <alignment horizontal="left" vertical="center"/>
    </xf>
    <xf numFmtId="174" fontId="54" fillId="0" borderId="68" xfId="18" applyNumberFormat="1" applyFont="1" applyFill="1" applyBorder="1" applyAlignment="1">
      <alignment horizontal="right" vertical="center" wrapText="1"/>
    </xf>
    <xf numFmtId="44" fontId="54" fillId="0" borderId="69" xfId="19" applyFont="1" applyFill="1" applyBorder="1" applyAlignment="1">
      <alignment horizontal="right" vertical="center" wrapText="1"/>
    </xf>
    <xf numFmtId="0" fontId="54" fillId="0" borderId="68" xfId="0" applyNumberFormat="1" applyFont="1" applyFill="1" applyBorder="1" applyAlignment="1" applyProtection="1">
      <alignment horizontal="left" vertical="center" wrapText="1"/>
    </xf>
    <xf numFmtId="4" fontId="54" fillId="0" borderId="68" xfId="0" applyNumberFormat="1" applyFont="1" applyFill="1" applyBorder="1" applyAlignment="1" applyProtection="1">
      <alignment horizontal="right" vertical="center" wrapText="1"/>
    </xf>
    <xf numFmtId="0" fontId="54" fillId="0" borderId="68" xfId="0" applyNumberFormat="1" applyFont="1" applyFill="1" applyBorder="1" applyAlignment="1" applyProtection="1">
      <alignment horizontal="right" vertical="center" wrapText="1"/>
    </xf>
    <xf numFmtId="174" fontId="54" fillId="0" borderId="68" xfId="0" applyNumberFormat="1" applyFont="1" applyFill="1" applyBorder="1" applyAlignment="1" applyProtection="1">
      <alignment horizontal="right" vertical="center" wrapText="1"/>
    </xf>
    <xf numFmtId="44" fontId="54" fillId="0" borderId="69" xfId="0" applyNumberFormat="1" applyFont="1" applyFill="1" applyBorder="1" applyAlignment="1" applyProtection="1">
      <alignment horizontal="right" vertical="center" wrapText="1"/>
    </xf>
    <xf numFmtId="0" fontId="25" fillId="0" borderId="14" xfId="4" applyFont="1" applyBorder="1" applyAlignment="1">
      <alignment vertical="center" wrapText="1"/>
    </xf>
    <xf numFmtId="0" fontId="54" fillId="0" borderId="14" xfId="17" applyFont="1" applyBorder="1" applyAlignment="1">
      <alignment horizontal="center" vertical="center" wrapText="1"/>
    </xf>
    <xf numFmtId="0" fontId="54" fillId="0" borderId="68" xfId="0" applyNumberFormat="1" applyFont="1" applyFill="1" applyBorder="1" applyAlignment="1" applyProtection="1">
      <alignment horizontal="center" vertical="center" wrapText="1"/>
    </xf>
    <xf numFmtId="0" fontId="54" fillId="2" borderId="0" xfId="17" applyFont="1" applyFill="1" applyAlignment="1">
      <alignment horizontal="center" vertical="center"/>
    </xf>
    <xf numFmtId="0" fontId="54" fillId="0" borderId="66" xfId="17" applyFont="1" applyBorder="1" applyAlignment="1">
      <alignment horizontal="center" vertical="center"/>
    </xf>
    <xf numFmtId="43" fontId="54" fillId="0" borderId="66" xfId="17" applyNumberFormat="1" applyFont="1" applyBorder="1" applyAlignment="1">
      <alignment horizontal="center" vertical="center"/>
    </xf>
    <xf numFmtId="43" fontId="54" fillId="0" borderId="67" xfId="17" applyNumberFormat="1" applyFont="1" applyBorder="1" applyAlignment="1">
      <alignment horizontal="center" vertical="center"/>
    </xf>
    <xf numFmtId="0" fontId="54" fillId="0" borderId="67" xfId="0" applyNumberFormat="1" applyFont="1" applyFill="1" applyBorder="1" applyAlignment="1" applyProtection="1">
      <alignment horizontal="center" vertical="center"/>
    </xf>
    <xf numFmtId="0" fontId="54" fillId="0" borderId="67" xfId="17" applyFont="1" applyBorder="1" applyAlignment="1">
      <alignment horizontal="center" vertical="center"/>
    </xf>
    <xf numFmtId="0" fontId="57" fillId="6" borderId="65" xfId="17" applyFont="1" applyFill="1" applyBorder="1" applyAlignment="1">
      <alignment horizontal="center" vertical="center" wrapText="1"/>
    </xf>
    <xf numFmtId="0" fontId="57" fillId="6" borderId="23" xfId="17" applyFont="1" applyFill="1" applyBorder="1" applyAlignment="1">
      <alignment horizontal="center" vertical="center" wrapText="1"/>
    </xf>
    <xf numFmtId="174" fontId="57" fillId="6" borderId="23" xfId="18" applyNumberFormat="1" applyFont="1" applyFill="1" applyBorder="1" applyAlignment="1">
      <alignment horizontal="center" vertical="center" wrapText="1"/>
    </xf>
    <xf numFmtId="44" fontId="57" fillId="6" borderId="59" xfId="19" applyFont="1" applyFill="1" applyBorder="1" applyAlignment="1">
      <alignment horizontal="center" vertical="center" wrapText="1"/>
    </xf>
    <xf numFmtId="14" fontId="54" fillId="2" borderId="0" xfId="17" applyNumberFormat="1" applyFont="1" applyFill="1" applyAlignment="1">
      <alignment horizontal="left" vertical="center" wrapText="1"/>
    </xf>
    <xf numFmtId="0" fontId="55" fillId="2" borderId="0" xfId="17" applyFont="1" applyFill="1" applyAlignment="1">
      <alignment horizontal="center" vertical="center"/>
    </xf>
    <xf numFmtId="0" fontId="55" fillId="2" borderId="0" xfId="17" applyFont="1" applyFill="1" applyAlignment="1">
      <alignment horizontal="left" vertical="center" wrapText="1"/>
    </xf>
    <xf numFmtId="174" fontId="55" fillId="2" borderId="0" xfId="18" applyNumberFormat="1" applyFont="1" applyFill="1" applyAlignment="1">
      <alignment horizontal="left" vertical="center"/>
    </xf>
    <xf numFmtId="44" fontId="55" fillId="2" borderId="0" xfId="19" applyFont="1" applyFill="1" applyAlignment="1">
      <alignment horizontal="right" vertical="center"/>
    </xf>
    <xf numFmtId="14" fontId="54" fillId="2" borderId="0" xfId="18" applyNumberFormat="1" applyFont="1" applyFill="1" applyAlignment="1">
      <alignment horizontal="left" vertical="center"/>
    </xf>
    <xf numFmtId="49" fontId="54" fillId="2" borderId="0" xfId="18" applyNumberFormat="1" applyFont="1" applyFill="1" applyAlignment="1">
      <alignment horizontal="left" vertical="center"/>
    </xf>
    <xf numFmtId="0" fontId="55" fillId="2" borderId="0" xfId="17" applyFont="1" applyFill="1" applyAlignment="1">
      <alignment horizontal="left" vertical="center"/>
    </xf>
    <xf numFmtId="174" fontId="55" fillId="2" borderId="0" xfId="18" applyNumberFormat="1" applyFont="1" applyFill="1" applyAlignment="1">
      <alignment horizontal="right" vertical="center"/>
    </xf>
    <xf numFmtId="14" fontId="36" fillId="2" borderId="0" xfId="3" applyNumberFormat="1" applyFont="1" applyFill="1" applyAlignment="1">
      <alignment horizontal="left"/>
    </xf>
    <xf numFmtId="0" fontId="16" fillId="2" borderId="15" xfId="0" applyFont="1" applyFill="1" applyBorder="1" applyAlignment="1">
      <alignment horizontal="center" vertical="center"/>
    </xf>
    <xf numFmtId="0" fontId="16" fillId="2" borderId="1" xfId="0" applyFont="1" applyFill="1" applyBorder="1" applyAlignment="1">
      <alignment horizontal="center" vertical="center"/>
    </xf>
    <xf numFmtId="0" fontId="17" fillId="18" borderId="0" xfId="0" applyFont="1" applyFill="1" applyAlignment="1">
      <alignment horizontal="center" vertical="center"/>
    </xf>
    <xf numFmtId="0" fontId="17" fillId="19" borderId="0" xfId="0" applyFont="1" applyFill="1" applyAlignment="1">
      <alignment horizontal="center" vertical="center"/>
    </xf>
    <xf numFmtId="44" fontId="17" fillId="2" borderId="1" xfId="0" applyNumberFormat="1" applyFont="1" applyFill="1" applyBorder="1" applyAlignment="1">
      <alignment horizontal="center" vertical="center"/>
    </xf>
    <xf numFmtId="44" fontId="17" fillId="2" borderId="1" xfId="2" applyNumberFormat="1" applyFont="1" applyFill="1" applyBorder="1" applyAlignment="1">
      <alignment horizontal="center" vertical="center"/>
    </xf>
    <xf numFmtId="0" fontId="16" fillId="2" borderId="1" xfId="0" applyFont="1" applyFill="1" applyBorder="1" applyAlignment="1">
      <alignment horizontal="center" vertical="center" wrapText="1"/>
    </xf>
    <xf numFmtId="44" fontId="17" fillId="2" borderId="37" xfId="0" applyNumberFormat="1" applyFont="1" applyFill="1" applyBorder="1" applyAlignment="1">
      <alignment horizontal="center" vertical="center"/>
    </xf>
    <xf numFmtId="0" fontId="17" fillId="2" borderId="31" xfId="0" applyFont="1" applyFill="1" applyBorder="1" applyAlignment="1">
      <alignment horizontal="center" vertical="center"/>
    </xf>
    <xf numFmtId="0" fontId="17" fillId="2" borderId="42" xfId="0" applyFont="1" applyFill="1" applyBorder="1" applyAlignment="1">
      <alignment horizontal="center" vertical="center"/>
    </xf>
    <xf numFmtId="0" fontId="0" fillId="0" borderId="0" xfId="0" applyAlignment="1">
      <alignment horizontal="right"/>
    </xf>
    <xf numFmtId="4" fontId="0" fillId="0" borderId="0" xfId="0" applyNumberFormat="1" applyAlignment="1">
      <alignment horizontal="right"/>
    </xf>
    <xf numFmtId="14" fontId="36" fillId="0" borderId="0" xfId="11" applyNumberFormat="1" applyFont="1" applyAlignment="1">
      <alignment horizontal="left"/>
    </xf>
    <xf numFmtId="0" fontId="36" fillId="0" borderId="71" xfId="11" applyFont="1" applyBorder="1"/>
    <xf numFmtId="10" fontId="36" fillId="0" borderId="0" xfId="12" applyNumberFormat="1" applyFont="1"/>
    <xf numFmtId="10" fontId="36" fillId="0" borderId="0" xfId="9" applyNumberFormat="1" applyFont="1"/>
    <xf numFmtId="168" fontId="36" fillId="0" borderId="0" xfId="12" applyFont="1"/>
    <xf numFmtId="10" fontId="9" fillId="0" borderId="0" xfId="12" applyNumberFormat="1" applyFont="1"/>
    <xf numFmtId="0" fontId="16" fillId="2" borderId="15" xfId="0" applyFont="1" applyFill="1" applyBorder="1" applyAlignment="1">
      <alignment horizontal="center" vertical="center"/>
    </xf>
    <xf numFmtId="0" fontId="16" fillId="2" borderId="1" xfId="0" applyFont="1" applyFill="1" applyBorder="1" applyAlignment="1">
      <alignment horizontal="center" vertical="center"/>
    </xf>
    <xf numFmtId="0" fontId="9" fillId="11" borderId="72" xfId="3" applyFont="1" applyFill="1" applyBorder="1" applyAlignment="1">
      <alignment horizontal="center"/>
    </xf>
    <xf numFmtId="0" fontId="9" fillId="11" borderId="73" xfId="3" applyFont="1" applyFill="1" applyBorder="1" applyAlignment="1">
      <alignment horizontal="center"/>
    </xf>
    <xf numFmtId="0" fontId="9" fillId="11" borderId="74" xfId="3" applyFont="1" applyFill="1" applyBorder="1" applyAlignment="1">
      <alignment horizontal="center"/>
    </xf>
    <xf numFmtId="10" fontId="3" fillId="0" borderId="75" xfId="3" applyNumberFormat="1" applyFont="1" applyBorder="1" applyAlignment="1">
      <alignment horizontal="center" vertical="center"/>
    </xf>
    <xf numFmtId="0" fontId="3" fillId="0" borderId="76" xfId="3" applyFont="1" applyBorder="1" applyAlignment="1">
      <alignment horizontal="center" vertical="center"/>
    </xf>
    <xf numFmtId="10" fontId="3" fillId="0" borderId="77" xfId="3" applyNumberFormat="1" applyFont="1" applyBorder="1" applyAlignment="1">
      <alignment horizontal="center" vertical="center"/>
    </xf>
    <xf numFmtId="10" fontId="3" fillId="16" borderId="80" xfId="9" applyNumberFormat="1" applyFont="1" applyFill="1" applyBorder="1" applyAlignment="1">
      <alignment horizontal="center" vertical="center" wrapText="1"/>
    </xf>
    <xf numFmtId="44" fontId="3" fillId="16" borderId="60" xfId="2" applyNumberFormat="1" applyFont="1" applyFill="1" applyBorder="1" applyAlignment="1">
      <alignment horizontal="center" vertical="center" wrapText="1"/>
    </xf>
    <xf numFmtId="0" fontId="3" fillId="0" borderId="81" xfId="3" applyFont="1" applyBorder="1" applyAlignment="1">
      <alignment horizontal="center" vertical="center"/>
    </xf>
    <xf numFmtId="10" fontId="3" fillId="0" borderId="82" xfId="3" applyNumberFormat="1" applyFont="1" applyBorder="1" applyAlignment="1">
      <alignment horizontal="center" vertical="center"/>
    </xf>
    <xf numFmtId="0" fontId="3" fillId="0" borderId="85" xfId="3" applyFont="1" applyBorder="1" applyAlignment="1">
      <alignment horizontal="center" vertical="center"/>
    </xf>
    <xf numFmtId="10" fontId="3" fillId="0" borderId="86" xfId="3" applyNumberFormat="1" applyFont="1" applyBorder="1" applyAlignment="1">
      <alignment horizontal="center" vertical="center"/>
    </xf>
    <xf numFmtId="0" fontId="3" fillId="0" borderId="89" xfId="3" applyFont="1" applyBorder="1" applyAlignment="1">
      <alignment horizontal="center" vertical="center"/>
    </xf>
    <xf numFmtId="10" fontId="3" fillId="0" borderId="90" xfId="3" applyNumberFormat="1" applyFont="1" applyBorder="1" applyAlignment="1">
      <alignment horizontal="center" vertical="center"/>
    </xf>
    <xf numFmtId="0" fontId="3" fillId="0" borderId="93" xfId="3" applyFont="1" applyBorder="1" applyAlignment="1">
      <alignment horizontal="center" vertical="center"/>
    </xf>
    <xf numFmtId="10" fontId="3" fillId="0" borderId="94" xfId="3" applyNumberFormat="1" applyFont="1" applyBorder="1" applyAlignment="1">
      <alignment horizontal="center" vertical="center"/>
    </xf>
    <xf numFmtId="0" fontId="3" fillId="0" borderId="97" xfId="3" applyFont="1" applyBorder="1" applyAlignment="1">
      <alignment horizontal="center" vertical="center"/>
    </xf>
    <xf numFmtId="10" fontId="3" fillId="0" borderId="98" xfId="3" applyNumberFormat="1" applyFont="1" applyBorder="1" applyAlignment="1">
      <alignment horizontal="center" vertical="center"/>
    </xf>
    <xf numFmtId="0" fontId="3" fillId="0" borderId="101" xfId="3" applyFont="1" applyBorder="1" applyAlignment="1">
      <alignment horizontal="center" vertical="center"/>
    </xf>
    <xf numFmtId="10" fontId="3" fillId="0" borderId="102" xfId="3" applyNumberFormat="1" applyFont="1" applyBorder="1" applyAlignment="1">
      <alignment horizontal="center" vertical="center"/>
    </xf>
    <xf numFmtId="4" fontId="36" fillId="0" borderId="105" xfId="3" applyNumberFormat="1" applyFont="1" applyFill="1" applyBorder="1"/>
    <xf numFmtId="10" fontId="36" fillId="0" borderId="105" xfId="3" applyNumberFormat="1" applyFont="1" applyFill="1" applyBorder="1"/>
    <xf numFmtId="10" fontId="36" fillId="0" borderId="110" xfId="3" applyNumberFormat="1" applyFont="1" applyFill="1" applyBorder="1"/>
    <xf numFmtId="164" fontId="17" fillId="2" borderId="64" xfId="0" applyNumberFormat="1" applyFont="1" applyFill="1" applyBorder="1" applyAlignment="1">
      <alignment horizontal="center" vertical="center"/>
    </xf>
    <xf numFmtId="0" fontId="48" fillId="0" borderId="0" xfId="16"/>
    <xf numFmtId="0" fontId="49" fillId="0" borderId="0" xfId="16" applyNumberFormat="1" applyFont="1" applyAlignment="1">
      <alignment horizontal="right"/>
    </xf>
    <xf numFmtId="4" fontId="49" fillId="0" borderId="0" xfId="16" applyNumberFormat="1" applyFont="1" applyAlignment="1">
      <alignment horizontal="right"/>
    </xf>
    <xf numFmtId="164" fontId="10" fillId="0" borderId="23" xfId="2" applyFont="1" applyFill="1" applyBorder="1" applyAlignment="1">
      <alignment horizontal="center" vertical="center"/>
    </xf>
    <xf numFmtId="0" fontId="12" fillId="20" borderId="0" xfId="0" applyFont="1" applyFill="1" applyAlignment="1">
      <alignment vertical="center" wrapText="1"/>
    </xf>
    <xf numFmtId="0" fontId="31" fillId="20" borderId="0" xfId="0" applyFont="1" applyFill="1" applyAlignment="1">
      <alignment vertical="center"/>
    </xf>
    <xf numFmtId="0" fontId="7" fillId="20" borderId="0" xfId="0" applyFont="1" applyFill="1" applyAlignment="1">
      <alignment vertical="center"/>
    </xf>
    <xf numFmtId="164" fontId="10" fillId="0" borderId="59" xfId="2" applyFont="1" applyFill="1" applyBorder="1" applyAlignment="1">
      <alignment horizontal="center" vertical="center"/>
    </xf>
    <xf numFmtId="0" fontId="48" fillId="0" borderId="0" xfId="16" applyNumberFormat="1" applyAlignment="1">
      <alignment horizontal="right"/>
    </xf>
    <xf numFmtId="4" fontId="48" fillId="0" borderId="0" xfId="16" applyNumberFormat="1" applyAlignment="1">
      <alignment horizontal="right"/>
    </xf>
    <xf numFmtId="0" fontId="22" fillId="0" borderId="0" xfId="0" applyFont="1" applyBorder="1" applyAlignment="1">
      <alignment horizontal="center"/>
    </xf>
    <xf numFmtId="0" fontId="18" fillId="0" borderId="0" xfId="0" applyFont="1" applyAlignment="1">
      <alignment horizontal="left" wrapText="1"/>
    </xf>
    <xf numFmtId="0" fontId="18" fillId="0" borderId="0" xfId="0" applyFont="1" applyBorder="1" applyAlignment="1">
      <alignment horizontal="center" vertical="center" wrapText="1"/>
    </xf>
    <xf numFmtId="49" fontId="23" fillId="2" borderId="113" xfId="4" applyNumberFormat="1" applyFont="1" applyFill="1" applyBorder="1" applyAlignment="1">
      <alignment horizontal="center" vertical="center" wrapText="1"/>
    </xf>
    <xf numFmtId="49" fontId="23" fillId="2" borderId="115" xfId="4" applyNumberFormat="1" applyFont="1" applyFill="1" applyBorder="1" applyAlignment="1">
      <alignment horizontal="center" vertical="top" wrapText="1"/>
    </xf>
    <xf numFmtId="0" fontId="25" fillId="0" borderId="23" xfId="4" applyFont="1" applyBorder="1" applyAlignment="1">
      <alignment horizontal="center"/>
    </xf>
    <xf numFmtId="171" fontId="25" fillId="2" borderId="14" xfId="6" applyNumberFormat="1" applyFont="1" applyFill="1" applyBorder="1" applyAlignment="1">
      <alignment horizontal="center" vertical="center"/>
    </xf>
    <xf numFmtId="0" fontId="25" fillId="0" borderId="14" xfId="4" applyFont="1" applyBorder="1" applyAlignment="1">
      <alignment horizontal="left" vertical="center" wrapText="1"/>
    </xf>
    <xf numFmtId="0" fontId="25" fillId="0" borderId="14" xfId="4" applyFont="1" applyBorder="1" applyAlignment="1">
      <alignment horizontal="left"/>
    </xf>
    <xf numFmtId="43" fontId="10" fillId="0" borderId="38" xfId="1" applyFont="1" applyFill="1" applyBorder="1" applyAlignment="1">
      <alignment horizontal="center" vertical="center"/>
    </xf>
    <xf numFmtId="2" fontId="10" fillId="0" borderId="23" xfId="1" applyNumberFormat="1" applyFont="1" applyFill="1" applyBorder="1" applyAlignment="1">
      <alignment horizontal="center" vertical="center"/>
    </xf>
    <xf numFmtId="164" fontId="10" fillId="0" borderId="14" xfId="2" applyFont="1" applyFill="1" applyBorder="1" applyAlignment="1">
      <alignment vertical="center" wrapText="1"/>
    </xf>
    <xf numFmtId="10" fontId="10" fillId="0" borderId="59" xfId="2" applyNumberFormat="1" applyFont="1" applyFill="1" applyBorder="1" applyAlignment="1">
      <alignment horizontal="center" vertical="center" wrapText="1"/>
    </xf>
    <xf numFmtId="164" fontId="10" fillId="0" borderId="59" xfId="2" applyFont="1" applyFill="1" applyBorder="1" applyAlignment="1">
      <alignment horizontal="center" vertical="center" wrapText="1"/>
    </xf>
    <xf numFmtId="164" fontId="10" fillId="0" borderId="39" xfId="2" applyFont="1" applyFill="1" applyBorder="1" applyAlignment="1">
      <alignment horizontal="center" vertical="center"/>
    </xf>
    <xf numFmtId="0" fontId="12" fillId="0" borderId="0" xfId="0" applyFont="1" applyFill="1" applyAlignment="1">
      <alignment vertical="center" wrapText="1"/>
    </xf>
    <xf numFmtId="0" fontId="31" fillId="0" borderId="0" xfId="0" applyFont="1" applyFill="1" applyAlignment="1">
      <alignment vertical="center"/>
    </xf>
    <xf numFmtId="0" fontId="0" fillId="0" borderId="0" xfId="0" applyFill="1"/>
    <xf numFmtId="0" fontId="7" fillId="0" borderId="0" xfId="0" applyFont="1" applyFill="1" applyAlignment="1">
      <alignment vertical="center"/>
    </xf>
    <xf numFmtId="0" fontId="44" fillId="0" borderId="0" xfId="0" applyFont="1" applyFill="1"/>
    <xf numFmtId="0" fontId="45" fillId="0" borderId="0" xfId="0" applyFont="1" applyFill="1" applyAlignment="1">
      <alignment vertical="center"/>
    </xf>
    <xf numFmtId="0" fontId="10" fillId="0" borderId="0" xfId="0" applyFont="1" applyFill="1" applyAlignment="1">
      <alignment vertical="center" wrapText="1"/>
    </xf>
    <xf numFmtId="0" fontId="13" fillId="0" borderId="0" xfId="0" applyFont="1" applyFill="1" applyAlignment="1">
      <alignment vertical="center"/>
    </xf>
    <xf numFmtId="0" fontId="10" fillId="0" borderId="23" xfId="0" applyFont="1" applyFill="1" applyBorder="1" applyAlignment="1">
      <alignment horizontal="center" vertical="center" wrapText="1"/>
    </xf>
    <xf numFmtId="0" fontId="10" fillId="0" borderId="14" xfId="0" applyFont="1" applyFill="1" applyBorder="1" applyAlignment="1">
      <alignment horizontal="left" vertical="center" wrapText="1"/>
    </xf>
    <xf numFmtId="0" fontId="10" fillId="0" borderId="38" xfId="0" applyFont="1" applyFill="1" applyBorder="1" applyAlignment="1">
      <alignment horizontal="center" vertical="center" wrapText="1"/>
    </xf>
    <xf numFmtId="2" fontId="10" fillId="0" borderId="23" xfId="1" applyNumberFormat="1" applyFont="1" applyFill="1" applyBorder="1" applyAlignment="1">
      <alignment horizontal="center" vertical="center" wrapText="1"/>
    </xf>
    <xf numFmtId="164" fontId="10" fillId="0" borderId="23" xfId="2" applyFont="1" applyFill="1" applyBorder="1" applyAlignment="1">
      <alignment vertical="center" wrapText="1"/>
    </xf>
    <xf numFmtId="164" fontId="10" fillId="0" borderId="59" xfId="2" applyFont="1" applyFill="1" applyBorder="1" applyAlignment="1">
      <alignment vertical="center" wrapText="1"/>
    </xf>
    <xf numFmtId="176" fontId="25" fillId="2" borderId="14" xfId="6" applyNumberFormat="1" applyFont="1" applyFill="1" applyBorder="1" applyAlignment="1">
      <alignment horizontal="center" vertical="center"/>
    </xf>
    <xf numFmtId="175" fontId="25" fillId="0" borderId="22" xfId="6" applyNumberFormat="1" applyFont="1" applyBorder="1" applyAlignment="1">
      <alignment horizontal="center" vertical="center"/>
    </xf>
    <xf numFmtId="164" fontId="25" fillId="0" borderId="70" xfId="2" applyFont="1" applyBorder="1" applyAlignment="1">
      <alignment horizontal="center" vertical="center"/>
    </xf>
    <xf numFmtId="164" fontId="25" fillId="0" borderId="25" xfId="2" applyFont="1" applyBorder="1" applyAlignment="1">
      <alignment horizontal="center" vertical="center"/>
    </xf>
    <xf numFmtId="164" fontId="25" fillId="0" borderId="116" xfId="2" applyFont="1" applyBorder="1" applyAlignment="1">
      <alignment horizontal="center" vertical="center"/>
    </xf>
    <xf numFmtId="44" fontId="25" fillId="0" borderId="117" xfId="4" applyNumberFormat="1" applyFont="1" applyBorder="1" applyAlignment="1">
      <alignment horizontal="right"/>
    </xf>
    <xf numFmtId="175" fontId="25" fillId="2" borderId="22" xfId="6" applyNumberFormat="1" applyFont="1" applyFill="1" applyBorder="1" applyAlignment="1">
      <alignment horizontal="center" vertical="center"/>
    </xf>
    <xf numFmtId="164" fontId="25" fillId="0" borderId="14" xfId="2" applyFont="1" applyBorder="1" applyAlignment="1">
      <alignment horizontal="center" vertical="center"/>
    </xf>
    <xf numFmtId="164" fontId="25" fillId="0" borderId="23" xfId="2" applyFont="1" applyBorder="1" applyAlignment="1">
      <alignment horizontal="center" vertical="center"/>
    </xf>
    <xf numFmtId="164" fontId="25" fillId="0" borderId="117" xfId="2" applyFont="1" applyBorder="1" applyAlignment="1">
      <alignment horizontal="center" vertical="center"/>
    </xf>
    <xf numFmtId="44" fontId="25" fillId="0" borderId="29" xfId="4" applyNumberFormat="1" applyFont="1" applyBorder="1" applyAlignment="1">
      <alignment horizontal="right"/>
    </xf>
    <xf numFmtId="0" fontId="25" fillId="0" borderId="24" xfId="4" applyFont="1" applyFill="1" applyBorder="1" applyAlignment="1">
      <alignment horizontal="center" vertical="center"/>
    </xf>
    <xf numFmtId="0" fontId="25" fillId="0" borderId="14" xfId="4" applyFont="1" applyFill="1" applyBorder="1" applyAlignment="1">
      <alignment horizontal="left" vertical="center" wrapText="1"/>
    </xf>
    <xf numFmtId="49" fontId="25" fillId="0" borderId="14" xfId="4" applyNumberFormat="1" applyFont="1" applyFill="1" applyBorder="1" applyAlignment="1">
      <alignment horizontal="center" vertical="center"/>
    </xf>
    <xf numFmtId="4" fontId="25" fillId="0" borderId="23" xfId="4" applyNumberFormat="1" applyFont="1" applyFill="1" applyBorder="1" applyAlignment="1">
      <alignment horizontal="center" vertical="center"/>
    </xf>
    <xf numFmtId="49" fontId="25" fillId="0" borderId="14" xfId="4" applyNumberFormat="1" applyFont="1" applyFill="1" applyBorder="1" applyAlignment="1">
      <alignment horizontal="left" wrapText="1"/>
    </xf>
    <xf numFmtId="49" fontId="25" fillId="0" borderId="14" xfId="4" applyNumberFormat="1" applyFont="1" applyFill="1" applyBorder="1" applyAlignment="1">
      <alignment horizontal="left"/>
    </xf>
    <xf numFmtId="177" fontId="25" fillId="0" borderId="23" xfId="4" applyNumberFormat="1" applyFont="1" applyBorder="1" applyAlignment="1">
      <alignment horizontal="center"/>
    </xf>
    <xf numFmtId="0" fontId="59" fillId="0" borderId="0" xfId="0" applyFont="1" applyAlignment="1">
      <alignment wrapText="1"/>
    </xf>
    <xf numFmtId="0" fontId="25" fillId="0" borderId="14" xfId="6" applyFont="1" applyFill="1" applyBorder="1" applyAlignment="1">
      <alignment horizontal="left" vertical="center" wrapText="1"/>
    </xf>
    <xf numFmtId="0" fontId="25" fillId="0" borderId="14" xfId="6" applyFont="1" applyFill="1" applyBorder="1" applyAlignment="1">
      <alignment horizontal="center" vertical="center"/>
    </xf>
    <xf numFmtId="171" fontId="25" fillId="0" borderId="22" xfId="6" applyNumberFormat="1" applyFont="1" applyFill="1" applyBorder="1" applyAlignment="1">
      <alignment horizontal="center" vertical="center"/>
    </xf>
    <xf numFmtId="164" fontId="25" fillId="0" borderId="25" xfId="2" applyFont="1" applyFill="1" applyBorder="1" applyAlignment="1">
      <alignment horizontal="center" vertical="center"/>
    </xf>
    <xf numFmtId="164" fontId="25" fillId="0" borderId="22" xfId="2" applyFont="1" applyBorder="1" applyAlignment="1">
      <alignment horizontal="center" vertical="center"/>
    </xf>
    <xf numFmtId="2" fontId="25" fillId="2" borderId="19" xfId="4" applyNumberFormat="1" applyFont="1" applyFill="1" applyBorder="1" applyAlignment="1">
      <alignment horizontal="center" vertical="center" wrapText="1"/>
    </xf>
    <xf numFmtId="0" fontId="13" fillId="0" borderId="23" xfId="0" applyFont="1" applyFill="1" applyBorder="1" applyAlignment="1">
      <alignment vertical="center" wrapText="1"/>
    </xf>
    <xf numFmtId="2" fontId="25" fillId="0" borderId="22" xfId="6" applyNumberFormat="1" applyFont="1" applyFill="1" applyBorder="1" applyAlignment="1">
      <alignment horizontal="center" vertical="center"/>
    </xf>
    <xf numFmtId="164" fontId="29" fillId="0" borderId="14" xfId="2" applyFont="1" applyFill="1" applyBorder="1" applyAlignment="1">
      <alignment horizontal="right" vertical="center"/>
    </xf>
    <xf numFmtId="0" fontId="51" fillId="21" borderId="15" xfId="0" applyFont="1" applyFill="1" applyBorder="1" applyAlignment="1">
      <alignment horizontal="center" vertical="center" wrapText="1"/>
    </xf>
    <xf numFmtId="0" fontId="18" fillId="0" borderId="5" xfId="0" applyFont="1" applyBorder="1" applyAlignment="1">
      <alignment wrapText="1"/>
    </xf>
    <xf numFmtId="0" fontId="16" fillId="21" borderId="15" xfId="0" applyFont="1" applyFill="1" applyBorder="1" applyAlignment="1">
      <alignment horizontal="center" vertical="center"/>
    </xf>
    <xf numFmtId="0" fontId="16" fillId="21" borderId="1" xfId="0" applyFont="1" applyFill="1" applyBorder="1" applyAlignment="1">
      <alignment horizontal="center" vertical="center"/>
    </xf>
    <xf numFmtId="0" fontId="16" fillId="21" borderId="15" xfId="0" applyFont="1" applyFill="1" applyBorder="1" applyAlignment="1">
      <alignment horizontal="center" vertical="center" wrapText="1"/>
    </xf>
    <xf numFmtId="43" fontId="21" fillId="0" borderId="12" xfId="1" applyFont="1" applyFill="1" applyBorder="1" applyAlignment="1">
      <alignment horizontal="left" vertical="center"/>
    </xf>
    <xf numFmtId="0" fontId="22" fillId="0" borderId="0" xfId="0" applyFont="1" applyAlignment="1">
      <alignment horizontal="center" vertical="center"/>
    </xf>
    <xf numFmtId="0" fontId="18" fillId="0" borderId="0" xfId="0" applyFont="1" applyAlignment="1">
      <alignment horizontal="center" wrapText="1"/>
    </xf>
    <xf numFmtId="1" fontId="18" fillId="0" borderId="0" xfId="0" applyNumberFormat="1" applyFont="1" applyAlignment="1">
      <alignment horizontal="center"/>
    </xf>
    <xf numFmtId="0" fontId="22" fillId="0" borderId="0" xfId="0" applyFont="1" applyAlignment="1">
      <alignment horizontal="center" wrapText="1"/>
    </xf>
    <xf numFmtId="2" fontId="22" fillId="0" borderId="0" xfId="0" applyNumberFormat="1" applyFont="1" applyAlignment="1">
      <alignment horizontal="center" vertical="center"/>
    </xf>
    <xf numFmtId="2" fontId="22" fillId="0" borderId="0" xfId="0" applyNumberFormat="1" applyFont="1" applyAlignment="1">
      <alignment horizontal="center"/>
    </xf>
    <xf numFmtId="0" fontId="61" fillId="0" borderId="0" xfId="0" applyFont="1" applyAlignment="1">
      <alignment horizontal="center" wrapText="1"/>
    </xf>
    <xf numFmtId="0" fontId="60" fillId="0" borderId="0" xfId="0" applyFont="1" applyAlignment="1">
      <alignment horizontal="center" vertical="center"/>
    </xf>
    <xf numFmtId="2" fontId="22" fillId="2" borderId="0" xfId="0" applyNumberFormat="1" applyFont="1" applyFill="1" applyBorder="1" applyAlignment="1">
      <alignment horizontal="center" vertical="center"/>
    </xf>
    <xf numFmtId="0" fontId="22" fillId="0" borderId="5" xfId="0" applyFont="1" applyBorder="1" applyAlignment="1">
      <alignment horizontal="center"/>
    </xf>
    <xf numFmtId="0" fontId="22" fillId="0" borderId="0" xfId="0" applyFont="1" applyBorder="1" applyAlignment="1">
      <alignment horizontal="center"/>
    </xf>
    <xf numFmtId="0" fontId="18" fillId="0" borderId="0" xfId="0" applyFont="1" applyBorder="1" applyAlignment="1">
      <alignment horizontal="left" wrapText="1"/>
    </xf>
    <xf numFmtId="0" fontId="22" fillId="0" borderId="0" xfId="0" applyFont="1" applyBorder="1" applyAlignment="1">
      <alignment horizontal="left" wrapText="1"/>
    </xf>
    <xf numFmtId="0" fontId="18" fillId="0" borderId="0" xfId="0" applyFont="1" applyBorder="1" applyAlignment="1">
      <alignment horizontal="center" wrapText="1"/>
    </xf>
    <xf numFmtId="43" fontId="22" fillId="2" borderId="6" xfId="0" applyNumberFormat="1" applyFont="1" applyFill="1" applyBorder="1" applyAlignment="1">
      <alignment horizontal="center"/>
    </xf>
    <xf numFmtId="43" fontId="18" fillId="0" borderId="0" xfId="0" applyNumberFormat="1" applyFont="1" applyBorder="1" applyAlignment="1">
      <alignment horizontal="left" vertical="top" wrapText="1"/>
    </xf>
    <xf numFmtId="0" fontId="18" fillId="0" borderId="0" xfId="0" applyFont="1" applyBorder="1" applyAlignment="1">
      <alignment horizontal="left" vertical="center"/>
    </xf>
    <xf numFmtId="2" fontId="22" fillId="0" borderId="0" xfId="1" applyNumberFormat="1" applyFont="1" applyBorder="1" applyAlignment="1">
      <alignment horizontal="center" vertical="center"/>
    </xf>
    <xf numFmtId="43" fontId="22" fillId="2" borderId="6" xfId="0" applyNumberFormat="1" applyFont="1" applyFill="1" applyBorder="1" applyAlignment="1">
      <alignment horizontal="center" vertical="center"/>
    </xf>
    <xf numFmtId="0" fontId="22" fillId="0" borderId="5" xfId="0" applyFont="1" applyBorder="1" applyAlignment="1">
      <alignment horizontal="center"/>
    </xf>
    <xf numFmtId="0" fontId="22" fillId="0" borderId="0" xfId="0" applyFont="1" applyBorder="1" applyAlignment="1">
      <alignment horizontal="center"/>
    </xf>
    <xf numFmtId="0" fontId="18" fillId="0" borderId="0" xfId="0" applyFont="1" applyBorder="1" applyAlignment="1">
      <alignment horizontal="center" wrapText="1"/>
    </xf>
    <xf numFmtId="0" fontId="22" fillId="0" borderId="0" xfId="0" applyFont="1" applyBorder="1" applyAlignment="1">
      <alignment horizontal="center" wrapText="1"/>
    </xf>
    <xf numFmtId="0" fontId="18" fillId="0" borderId="0" xfId="0" applyFont="1" applyBorder="1" applyAlignment="1">
      <alignment horizontal="left" wrapText="1"/>
    </xf>
    <xf numFmtId="0" fontId="18" fillId="0" borderId="0" xfId="0" applyFont="1" applyBorder="1" applyAlignment="1">
      <alignment horizontal="center" vertical="center" wrapText="1"/>
    </xf>
    <xf numFmtId="0" fontId="18" fillId="2" borderId="0" xfId="0" applyFont="1" applyFill="1" applyBorder="1" applyAlignment="1">
      <alignment horizontal="left" wrapText="1"/>
    </xf>
    <xf numFmtId="0" fontId="22" fillId="0" borderId="0" xfId="0" applyFont="1" applyBorder="1" applyAlignment="1">
      <alignment horizontal="left" wrapText="1"/>
    </xf>
    <xf numFmtId="44" fontId="3" fillId="0" borderId="0" xfId="8" applyNumberFormat="1" applyFont="1"/>
    <xf numFmtId="1" fontId="18" fillId="2" borderId="0" xfId="0" applyNumberFormat="1" applyFont="1" applyFill="1" applyBorder="1" applyAlignment="1">
      <alignment horizontal="center"/>
    </xf>
    <xf numFmtId="1" fontId="18" fillId="2" borderId="0" xfId="0" applyNumberFormat="1" applyFont="1" applyFill="1" applyBorder="1" applyAlignment="1">
      <alignment horizontal="center" vertical="center"/>
    </xf>
    <xf numFmtId="2" fontId="18" fillId="0" borderId="0" xfId="0" applyNumberFormat="1" applyFont="1"/>
    <xf numFmtId="0" fontId="21" fillId="2" borderId="0" xfId="0" applyFont="1" applyFill="1" applyBorder="1" applyAlignment="1">
      <alignment horizontal="left"/>
    </xf>
    <xf numFmtId="0" fontId="18" fillId="2" borderId="0" xfId="0" applyFont="1" applyFill="1" applyBorder="1" applyAlignment="1">
      <alignment horizontal="left"/>
    </xf>
    <xf numFmtId="43" fontId="21" fillId="2" borderId="10" xfId="0" applyNumberFormat="1" applyFont="1" applyFill="1" applyBorder="1" applyAlignment="1">
      <alignment horizontal="center" vertical="center" wrapText="1"/>
    </xf>
    <xf numFmtId="164" fontId="25" fillId="0" borderId="29" xfId="2" applyFont="1" applyFill="1" applyBorder="1" applyAlignment="1">
      <alignment horizontal="center" vertical="center"/>
    </xf>
    <xf numFmtId="0" fontId="25" fillId="0" borderId="14" xfId="4" applyFont="1" applyFill="1" applyBorder="1" applyAlignment="1">
      <alignment horizontal="left" wrapText="1"/>
    </xf>
    <xf numFmtId="49" fontId="25" fillId="0" borderId="14" xfId="4" applyNumberFormat="1" applyFont="1" applyFill="1" applyBorder="1" applyAlignment="1">
      <alignment horizontal="center"/>
    </xf>
    <xf numFmtId="4" fontId="25" fillId="0" borderId="23" xfId="4" applyNumberFormat="1" applyFont="1" applyFill="1" applyBorder="1" applyAlignment="1">
      <alignment horizontal="center"/>
    </xf>
    <xf numFmtId="164" fontId="25" fillId="0" borderId="70" xfId="2" applyFont="1" applyFill="1" applyBorder="1" applyAlignment="1">
      <alignment horizontal="center" vertical="center"/>
    </xf>
    <xf numFmtId="0" fontId="25" fillId="0" borderId="14" xfId="4" applyFont="1" applyFill="1" applyBorder="1" applyAlignment="1">
      <alignment horizontal="left"/>
    </xf>
    <xf numFmtId="164" fontId="25" fillId="0" borderId="14" xfId="2" applyFont="1" applyFill="1" applyBorder="1" applyAlignment="1">
      <alignment horizontal="center" vertical="center"/>
    </xf>
    <xf numFmtId="164" fontId="25" fillId="0" borderId="118" xfId="2" applyFont="1" applyBorder="1" applyAlignment="1">
      <alignment horizontal="center" vertical="center"/>
    </xf>
    <xf numFmtId="165" fontId="25" fillId="0" borderId="23" xfId="4" applyNumberFormat="1" applyFont="1" applyBorder="1" applyAlignment="1">
      <alignment horizontal="center" vertical="center"/>
    </xf>
    <xf numFmtId="164" fontId="25" fillId="0" borderId="29" xfId="2" applyFont="1" applyBorder="1" applyAlignment="1">
      <alignment horizontal="center"/>
    </xf>
    <xf numFmtId="164" fontId="25" fillId="0" borderId="14" xfId="2" applyFont="1" applyBorder="1" applyAlignment="1">
      <alignment horizontal="center"/>
    </xf>
    <xf numFmtId="1" fontId="25" fillId="0" borderId="66" xfId="4" applyNumberFormat="1" applyFont="1" applyBorder="1" applyAlignment="1">
      <alignment horizontal="center" vertical="center"/>
    </xf>
    <xf numFmtId="0" fontId="10" fillId="0" borderId="0" xfId="0" applyFont="1" applyFill="1" applyBorder="1" applyAlignment="1">
      <alignment horizontal="center" vertical="center" wrapText="1"/>
    </xf>
    <xf numFmtId="44" fontId="12" fillId="0" borderId="0" xfId="0" applyNumberFormat="1" applyFont="1" applyAlignment="1">
      <alignment vertical="center"/>
    </xf>
    <xf numFmtId="49" fontId="3" fillId="2" borderId="8" xfId="0" applyNumberFormat="1" applyFont="1" applyFill="1" applyBorder="1" applyAlignment="1">
      <alignment horizontal="left" vertical="center"/>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9" fillId="2" borderId="10" xfId="0" applyFont="1" applyFill="1" applyBorder="1" applyAlignment="1">
      <alignment horizontal="right" vertical="center" wrapText="1"/>
    </xf>
    <xf numFmtId="0" fontId="9" fillId="2" borderId="11" xfId="0" applyFont="1" applyFill="1" applyBorder="1" applyAlignment="1">
      <alignment horizontal="right" vertical="center" wrapText="1"/>
    </xf>
    <xf numFmtId="43" fontId="9" fillId="2" borderId="10" xfId="1" applyFont="1" applyFill="1" applyBorder="1" applyAlignment="1">
      <alignment horizontal="center" vertical="center" wrapText="1"/>
    </xf>
    <xf numFmtId="43" fontId="9" fillId="2" borderId="11" xfId="1" applyFont="1" applyFill="1" applyBorder="1" applyAlignment="1">
      <alignment horizontal="center" vertical="center" wrapText="1"/>
    </xf>
    <xf numFmtId="43" fontId="9" fillId="2" borderId="12" xfId="1"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9" fillId="2" borderId="3" xfId="0" applyFont="1" applyFill="1" applyBorder="1" applyAlignment="1">
      <alignment horizontal="left" vertical="center" wrapText="1"/>
    </xf>
    <xf numFmtId="0" fontId="22" fillId="0" borderId="5" xfId="0" applyFont="1" applyBorder="1" applyAlignment="1">
      <alignment horizontal="center"/>
    </xf>
    <xf numFmtId="0" fontId="22" fillId="0" borderId="0" xfId="0" applyFont="1" applyBorder="1" applyAlignment="1">
      <alignment horizontal="center"/>
    </xf>
    <xf numFmtId="0" fontId="22" fillId="0" borderId="6" xfId="0" applyFont="1" applyBorder="1" applyAlignment="1">
      <alignment horizontal="center"/>
    </xf>
    <xf numFmtId="0" fontId="18" fillId="0" borderId="0" xfId="0" applyFont="1" applyBorder="1" applyAlignment="1">
      <alignment horizontal="left" wrapText="1"/>
    </xf>
    <xf numFmtId="0" fontId="22" fillId="0" borderId="0" xfId="0" applyFont="1" applyBorder="1" applyAlignment="1">
      <alignment horizontal="left" wrapText="1"/>
    </xf>
    <xf numFmtId="0" fontId="18" fillId="0" borderId="0" xfId="0" applyFont="1" applyBorder="1" applyAlignment="1">
      <alignment horizontal="left" vertical="center" wrapText="1"/>
    </xf>
    <xf numFmtId="0" fontId="18" fillId="2" borderId="0" xfId="0" applyFont="1" applyFill="1" applyBorder="1" applyAlignment="1">
      <alignment horizontal="left" vertical="center" wrapText="1"/>
    </xf>
    <xf numFmtId="0" fontId="18" fillId="2" borderId="0" xfId="0" applyFont="1" applyFill="1" applyBorder="1" applyAlignment="1">
      <alignment horizontal="left" wrapText="1"/>
    </xf>
    <xf numFmtId="43" fontId="18" fillId="0" borderId="0" xfId="0" applyNumberFormat="1" applyFont="1" applyBorder="1" applyAlignment="1">
      <alignment horizontal="center" vertical="center" wrapText="1"/>
    </xf>
    <xf numFmtId="0" fontId="18" fillId="0" borderId="0" xfId="0" applyFont="1" applyAlignment="1">
      <alignment horizontal="left" wrapText="1"/>
    </xf>
    <xf numFmtId="0" fontId="22" fillId="0" borderId="5" xfId="0" applyFont="1" applyBorder="1" applyAlignment="1">
      <alignment horizontal="center" wrapText="1"/>
    </xf>
    <xf numFmtId="0" fontId="22" fillId="0" borderId="0" xfId="0" applyFont="1" applyBorder="1" applyAlignment="1">
      <alignment horizontal="center" wrapText="1"/>
    </xf>
    <xf numFmtId="0" fontId="22" fillId="0" borderId="6" xfId="0" applyFont="1" applyBorder="1" applyAlignment="1">
      <alignment horizont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40" fillId="2" borderId="5"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6" xfId="0" applyFont="1" applyFill="1" applyBorder="1" applyAlignment="1">
      <alignment horizontal="center" vertical="center" wrapText="1"/>
    </xf>
    <xf numFmtId="0" fontId="22" fillId="0" borderId="5" xfId="0" applyFont="1" applyBorder="1" applyAlignment="1">
      <alignment horizontal="right"/>
    </xf>
    <xf numFmtId="0" fontId="22" fillId="0" borderId="0" xfId="0" applyFont="1" applyBorder="1" applyAlignment="1">
      <alignment horizontal="right"/>
    </xf>
    <xf numFmtId="0" fontId="20" fillId="0" borderId="5" xfId="0" applyFont="1" applyBorder="1" applyAlignment="1">
      <alignment horizontal="right"/>
    </xf>
    <xf numFmtId="0" fontId="20" fillId="0" borderId="0" xfId="0" applyFont="1" applyBorder="1" applyAlignment="1">
      <alignment horizontal="right"/>
    </xf>
    <xf numFmtId="0" fontId="18" fillId="2"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applyFill="1" applyBorder="1" applyAlignment="1">
      <alignment horizontal="left" wrapText="1"/>
    </xf>
    <xf numFmtId="0" fontId="18" fillId="0" borderId="5" xfId="0" applyFont="1" applyBorder="1" applyAlignment="1">
      <alignment horizontal="center"/>
    </xf>
    <xf numFmtId="0" fontId="18" fillId="0" borderId="0" xfId="0" applyFont="1" applyBorder="1" applyAlignment="1">
      <alignment horizontal="center"/>
    </xf>
    <xf numFmtId="0" fontId="18" fillId="0" borderId="6" xfId="0" applyFont="1" applyBorder="1" applyAlignment="1">
      <alignment horizontal="center"/>
    </xf>
    <xf numFmtId="2" fontId="22" fillId="2" borderId="5" xfId="0" applyNumberFormat="1" applyFont="1" applyFill="1" applyBorder="1" applyAlignment="1">
      <alignment horizontal="center" vertical="center"/>
    </xf>
    <xf numFmtId="2" fontId="22" fillId="2" borderId="0" xfId="0" applyNumberFormat="1" applyFont="1" applyFill="1" applyBorder="1" applyAlignment="1">
      <alignment horizontal="center" vertical="center"/>
    </xf>
    <xf numFmtId="2" fontId="22" fillId="2" borderId="6" xfId="0" applyNumberFormat="1" applyFont="1" applyFill="1" applyBorder="1" applyAlignment="1">
      <alignment horizontal="center" vertical="center"/>
    </xf>
    <xf numFmtId="43" fontId="21" fillId="0" borderId="11" xfId="1" applyFont="1" applyFill="1" applyBorder="1" applyAlignment="1">
      <alignment horizontal="left" vertical="center" wrapText="1"/>
    </xf>
    <xf numFmtId="0" fontId="22" fillId="0" borderId="0" xfId="0" applyFont="1" applyAlignment="1">
      <alignment horizontal="center"/>
    </xf>
    <xf numFmtId="0" fontId="18" fillId="0" borderId="0" xfId="0" applyFont="1" applyBorder="1" applyAlignment="1">
      <alignment horizontal="center" wrapText="1"/>
    </xf>
    <xf numFmtId="43" fontId="21" fillId="2" borderId="11" xfId="1" applyFont="1" applyFill="1" applyBorder="1" applyAlignment="1">
      <alignment horizontal="left" vertical="center" wrapText="1"/>
    </xf>
    <xf numFmtId="0" fontId="18" fillId="0" borderId="5" xfId="0" applyFont="1" applyBorder="1" applyAlignment="1">
      <alignment horizontal="center" vertical="center" wrapText="1"/>
    </xf>
    <xf numFmtId="49" fontId="23" fillId="2" borderId="114" xfId="4" applyNumberFormat="1" applyFont="1" applyFill="1" applyBorder="1" applyAlignment="1">
      <alignment horizontal="left" vertical="center" wrapText="1"/>
    </xf>
    <xf numFmtId="0" fontId="24" fillId="2" borderId="0" xfId="4" applyFont="1" applyFill="1" applyAlignment="1">
      <alignment horizontal="left" vertical="center" wrapText="1"/>
    </xf>
    <xf numFmtId="0" fontId="26" fillId="5" borderId="1" xfId="4" applyFont="1" applyFill="1" applyBorder="1" applyAlignment="1">
      <alignment horizontal="center" vertical="center"/>
    </xf>
    <xf numFmtId="0" fontId="26" fillId="5" borderId="17" xfId="4" applyFont="1" applyFill="1" applyBorder="1" applyAlignment="1">
      <alignment horizontal="center" vertical="center"/>
    </xf>
    <xf numFmtId="0" fontId="26" fillId="5" borderId="26" xfId="4" applyFont="1" applyFill="1" applyBorder="1" applyAlignment="1">
      <alignment horizontal="center" vertical="center"/>
    </xf>
    <xf numFmtId="0" fontId="26" fillId="5" borderId="27" xfId="4" applyFont="1" applyFill="1" applyBorder="1" applyAlignment="1">
      <alignment horizontal="center" vertical="center"/>
    </xf>
    <xf numFmtId="170" fontId="26" fillId="5" borderId="20" xfId="4" applyNumberFormat="1" applyFont="1" applyFill="1" applyBorder="1" applyAlignment="1">
      <alignment horizontal="right"/>
    </xf>
    <xf numFmtId="170" fontId="26" fillId="5" borderId="21" xfId="4" applyNumberFormat="1" applyFont="1" applyFill="1" applyBorder="1" applyAlignment="1">
      <alignment horizontal="right"/>
    </xf>
    <xf numFmtId="170" fontId="26" fillId="5" borderId="13" xfId="4" applyNumberFormat="1" applyFont="1" applyFill="1" applyBorder="1" applyAlignment="1">
      <alignment horizontal="right"/>
    </xf>
    <xf numFmtId="0" fontId="9" fillId="2" borderId="0" xfId="0" applyFont="1" applyFill="1" applyAlignment="1">
      <alignment horizontal="left" vertical="center" wrapText="1"/>
    </xf>
    <xf numFmtId="49" fontId="23" fillId="2" borderId="0" xfId="4" applyNumberFormat="1" applyFont="1" applyFill="1" applyAlignment="1">
      <alignment horizontal="center" vertical="top" wrapText="1"/>
    </xf>
    <xf numFmtId="0" fontId="37" fillId="0" borderId="0" xfId="11" applyFont="1" applyAlignment="1">
      <alignment horizontal="center"/>
    </xf>
    <xf numFmtId="172" fontId="10" fillId="0" borderId="0" xfId="11" applyNumberFormat="1" applyAlignment="1">
      <alignment horizontal="left" vertical="center" wrapText="1"/>
    </xf>
    <xf numFmtId="0" fontId="5" fillId="2" borderId="0" xfId="0" applyFont="1" applyFill="1" applyAlignment="1">
      <alignment horizontal="right" vertical="center" wrapText="1"/>
    </xf>
    <xf numFmtId="173" fontId="5" fillId="13" borderId="51" xfId="15" applyNumberFormat="1" applyFont="1" applyFill="1" applyBorder="1" applyAlignment="1" applyProtection="1">
      <alignment horizontal="center" vertical="center" wrapText="1"/>
      <protection hidden="1"/>
    </xf>
    <xf numFmtId="173" fontId="5" fillId="13" borderId="54" xfId="15" applyNumberFormat="1" applyFont="1" applyFill="1" applyBorder="1" applyAlignment="1" applyProtection="1">
      <alignment horizontal="center" vertical="center" wrapText="1"/>
      <protection hidden="1"/>
    </xf>
    <xf numFmtId="4" fontId="5" fillId="0" borderId="52" xfId="15" applyNumberFormat="1" applyFont="1" applyBorder="1" applyAlignment="1" applyProtection="1">
      <alignment horizontal="left" vertical="center" wrapText="1"/>
      <protection hidden="1"/>
    </xf>
    <xf numFmtId="4" fontId="5" fillId="0" borderId="55" xfId="15" applyNumberFormat="1" applyFont="1" applyBorder="1" applyAlignment="1" applyProtection="1">
      <alignment horizontal="left" vertical="center" wrapText="1"/>
      <protection hidden="1"/>
    </xf>
    <xf numFmtId="173" fontId="5" fillId="15" borderId="103" xfId="15" applyNumberFormat="1" applyFont="1" applyFill="1" applyBorder="1" applyAlignment="1" applyProtection="1">
      <alignment horizontal="center" vertical="center" wrapText="1"/>
      <protection hidden="1"/>
    </xf>
    <xf numFmtId="173" fontId="5" fillId="15" borderId="54" xfId="15" applyNumberFormat="1" applyFont="1" applyFill="1" applyBorder="1" applyAlignment="1" applyProtection="1">
      <alignment horizontal="center" vertical="center" wrapText="1"/>
      <protection hidden="1"/>
    </xf>
    <xf numFmtId="4" fontId="5" fillId="16" borderId="104" xfId="15" applyNumberFormat="1" applyFont="1" applyFill="1" applyBorder="1" applyAlignment="1" applyProtection="1">
      <alignment horizontal="left" vertical="center" wrapText="1"/>
      <protection hidden="1"/>
    </xf>
    <xf numFmtId="4" fontId="5" fillId="16" borderId="55" xfId="15" applyNumberFormat="1" applyFont="1" applyFill="1" applyBorder="1" applyAlignment="1" applyProtection="1">
      <alignment horizontal="left" vertical="center" wrapText="1"/>
      <protection hidden="1"/>
    </xf>
    <xf numFmtId="173" fontId="5" fillId="15" borderId="95" xfId="15" applyNumberFormat="1" applyFont="1" applyFill="1" applyBorder="1" applyAlignment="1" applyProtection="1">
      <alignment horizontal="center" vertical="center" wrapText="1"/>
      <protection hidden="1"/>
    </xf>
    <xf numFmtId="4" fontId="5" fillId="16" borderId="96" xfId="15" applyNumberFormat="1" applyFont="1" applyFill="1" applyBorder="1" applyAlignment="1" applyProtection="1">
      <alignment horizontal="left" vertical="center" wrapText="1"/>
      <protection hidden="1"/>
    </xf>
    <xf numFmtId="173" fontId="5" fillId="15" borderId="99" xfId="15" applyNumberFormat="1" applyFont="1" applyFill="1" applyBorder="1" applyAlignment="1" applyProtection="1">
      <alignment horizontal="center" vertical="center" wrapText="1"/>
      <protection hidden="1"/>
    </xf>
    <xf numFmtId="4" fontId="5" fillId="16" borderId="100" xfId="15" applyNumberFormat="1" applyFont="1" applyFill="1" applyBorder="1" applyAlignment="1" applyProtection="1">
      <alignment horizontal="left" vertical="center" wrapText="1"/>
      <protection hidden="1"/>
    </xf>
    <xf numFmtId="173" fontId="5" fillId="15" borderId="91" xfId="15" applyNumberFormat="1" applyFont="1" applyFill="1" applyBorder="1" applyAlignment="1" applyProtection="1">
      <alignment horizontal="center" vertical="center" wrapText="1"/>
      <protection hidden="1"/>
    </xf>
    <xf numFmtId="4" fontId="5" fillId="16" borderId="92" xfId="15" applyNumberFormat="1" applyFont="1" applyFill="1" applyBorder="1" applyAlignment="1" applyProtection="1">
      <alignment horizontal="left" vertical="center" wrapText="1"/>
      <protection hidden="1"/>
    </xf>
    <xf numFmtId="173" fontId="5" fillId="15" borderId="83" xfId="15" applyNumberFormat="1" applyFont="1" applyFill="1" applyBorder="1" applyAlignment="1" applyProtection="1">
      <alignment horizontal="center" vertical="center" wrapText="1"/>
      <protection hidden="1"/>
    </xf>
    <xf numFmtId="4" fontId="5" fillId="16" borderId="84" xfId="15" applyNumberFormat="1" applyFont="1" applyFill="1" applyBorder="1" applyAlignment="1" applyProtection="1">
      <alignment horizontal="left" vertical="center" wrapText="1"/>
      <protection hidden="1"/>
    </xf>
    <xf numFmtId="173" fontId="5" fillId="15" borderId="87" xfId="15" applyNumberFormat="1" applyFont="1" applyFill="1" applyBorder="1" applyAlignment="1" applyProtection="1">
      <alignment horizontal="center" vertical="center" wrapText="1"/>
      <protection hidden="1"/>
    </xf>
    <xf numFmtId="4" fontId="5" fillId="16" borderId="88" xfId="15" applyNumberFormat="1" applyFont="1" applyFill="1" applyBorder="1" applyAlignment="1" applyProtection="1">
      <alignment horizontal="left" vertical="center" wrapText="1"/>
      <protection hidden="1"/>
    </xf>
    <xf numFmtId="173" fontId="5" fillId="15" borderId="78" xfId="15" applyNumberFormat="1" applyFont="1" applyFill="1" applyBorder="1" applyAlignment="1" applyProtection="1">
      <alignment horizontal="center" vertical="center" wrapText="1"/>
      <protection hidden="1"/>
    </xf>
    <xf numFmtId="4" fontId="5" fillId="16" borderId="79" xfId="15" applyNumberFormat="1" applyFont="1" applyFill="1" applyBorder="1" applyAlignment="1" applyProtection="1">
      <alignment horizontal="left" vertical="center" wrapText="1"/>
      <protection hidden="1"/>
    </xf>
    <xf numFmtId="0" fontId="9" fillId="0" borderId="0" xfId="3" applyFont="1" applyAlignment="1">
      <alignment horizontal="center"/>
    </xf>
    <xf numFmtId="0" fontId="9" fillId="12" borderId="47" xfId="3" applyFont="1" applyFill="1" applyBorder="1" applyAlignment="1">
      <alignment horizontal="center"/>
    </xf>
    <xf numFmtId="0" fontId="9" fillId="12" borderId="48" xfId="3" applyFont="1" applyFill="1" applyBorder="1" applyAlignment="1">
      <alignment horizontal="center"/>
    </xf>
    <xf numFmtId="0" fontId="9" fillId="12" borderId="49" xfId="3" applyFont="1" applyFill="1" applyBorder="1" applyAlignment="1">
      <alignment horizontal="center"/>
    </xf>
    <xf numFmtId="0" fontId="9" fillId="7" borderId="50" xfId="3" applyFont="1" applyFill="1" applyBorder="1" applyAlignment="1">
      <alignment horizontal="center"/>
    </xf>
    <xf numFmtId="0" fontId="9" fillId="7" borderId="49" xfId="3" applyFont="1" applyFill="1" applyBorder="1" applyAlignment="1">
      <alignment horizontal="center"/>
    </xf>
    <xf numFmtId="0" fontId="5" fillId="10" borderId="44" xfId="15" applyFont="1" applyFill="1" applyBorder="1" applyAlignment="1" applyProtection="1">
      <alignment horizontal="center" vertical="center" wrapText="1"/>
      <protection hidden="1"/>
    </xf>
    <xf numFmtId="0" fontId="10" fillId="11" borderId="45" xfId="0" applyFont="1" applyFill="1" applyBorder="1" applyAlignment="1" applyProtection="1">
      <alignment horizontal="center" vertical="center" wrapText="1"/>
      <protection hidden="1"/>
    </xf>
    <xf numFmtId="10" fontId="9" fillId="0" borderId="107" xfId="3" applyNumberFormat="1" applyFont="1" applyFill="1" applyBorder="1" applyAlignment="1">
      <alignment horizontal="center" vertical="center"/>
    </xf>
    <xf numFmtId="10" fontId="9" fillId="0" borderId="75" xfId="3" applyNumberFormat="1" applyFont="1" applyFill="1" applyBorder="1" applyAlignment="1">
      <alignment horizontal="center" vertical="center"/>
    </xf>
    <xf numFmtId="10" fontId="9" fillId="0" borderId="109" xfId="3" applyNumberFormat="1" applyFont="1" applyFill="1" applyBorder="1" applyAlignment="1">
      <alignment horizontal="center" vertical="center"/>
    </xf>
    <xf numFmtId="10" fontId="9" fillId="0" borderId="112" xfId="3" applyNumberFormat="1" applyFont="1" applyFill="1" applyBorder="1" applyAlignment="1">
      <alignment horizontal="center" vertical="center"/>
    </xf>
    <xf numFmtId="0" fontId="5" fillId="13" borderId="45" xfId="15" applyFont="1" applyFill="1" applyBorder="1" applyAlignment="1" applyProtection="1">
      <alignment horizontal="left" vertical="center"/>
      <protection hidden="1"/>
    </xf>
    <xf numFmtId="0" fontId="5" fillId="13" borderId="64" xfId="15" applyFont="1" applyFill="1" applyBorder="1" applyAlignment="1" applyProtection="1">
      <alignment horizontal="left" vertical="center"/>
      <protection hidden="1"/>
    </xf>
    <xf numFmtId="4" fontId="9" fillId="0" borderId="106" xfId="3" applyNumberFormat="1" applyFont="1" applyFill="1" applyBorder="1" applyAlignment="1">
      <alignment horizontal="center" vertical="center"/>
    </xf>
    <xf numFmtId="4" fontId="9" fillId="0" borderId="46" xfId="3" applyNumberFormat="1" applyFont="1" applyFill="1" applyBorder="1" applyAlignment="1">
      <alignment horizontal="center" vertical="center"/>
    </xf>
    <xf numFmtId="10" fontId="9" fillId="0" borderId="108" xfId="3" applyNumberFormat="1" applyFont="1" applyFill="1" applyBorder="1" applyAlignment="1">
      <alignment horizontal="center" vertical="center"/>
    </xf>
    <xf numFmtId="10" fontId="9" fillId="0" borderId="111" xfId="3" applyNumberFormat="1" applyFont="1" applyFill="1" applyBorder="1" applyAlignment="1">
      <alignment horizontal="center" vertical="center"/>
    </xf>
    <xf numFmtId="0" fontId="5" fillId="13" borderId="63" xfId="15" applyFont="1" applyFill="1" applyBorder="1" applyAlignment="1" applyProtection="1">
      <alignment horizontal="left" vertical="center"/>
      <protection hidden="1"/>
    </xf>
    <xf numFmtId="0" fontId="5" fillId="13" borderId="62" xfId="15" applyFont="1" applyFill="1" applyBorder="1" applyAlignment="1" applyProtection="1">
      <alignment horizontal="left" vertical="center"/>
      <protection hidden="1"/>
    </xf>
    <xf numFmtId="0" fontId="58" fillId="2" borderId="10" xfId="17" applyFont="1" applyFill="1" applyBorder="1" applyAlignment="1">
      <alignment horizontal="center" vertical="center" wrapText="1"/>
    </xf>
    <xf numFmtId="0" fontId="58" fillId="2" borderId="11" xfId="17" applyFont="1" applyFill="1" applyBorder="1" applyAlignment="1">
      <alignment horizontal="center" vertical="center" wrapText="1"/>
    </xf>
    <xf numFmtId="0" fontId="58" fillId="2" borderId="12" xfId="17" applyFont="1" applyFill="1" applyBorder="1" applyAlignment="1">
      <alignment horizontal="center" vertical="center" wrapText="1"/>
    </xf>
    <xf numFmtId="4" fontId="56" fillId="0" borderId="22" xfId="17" applyNumberFormat="1" applyFont="1" applyBorder="1" applyAlignment="1">
      <alignment horizontal="center" vertical="center"/>
    </xf>
    <xf numFmtId="4" fontId="56" fillId="0" borderId="70" xfId="17" applyNumberFormat="1" applyFont="1" applyBorder="1" applyAlignment="1">
      <alignment horizontal="center" vertical="center"/>
    </xf>
    <xf numFmtId="4" fontId="56" fillId="0" borderId="66" xfId="17" applyNumberFormat="1" applyFont="1" applyBorder="1" applyAlignment="1">
      <alignment horizontal="center" vertical="center"/>
    </xf>
    <xf numFmtId="174" fontId="55" fillId="2" borderId="0" xfId="18" applyNumberFormat="1" applyFont="1" applyFill="1" applyAlignment="1">
      <alignment horizontal="right" vertical="center" wrapText="1"/>
    </xf>
    <xf numFmtId="174" fontId="55" fillId="2" borderId="8" xfId="18" applyNumberFormat="1" applyFont="1" applyFill="1" applyBorder="1" applyAlignment="1">
      <alignment horizontal="right" vertical="center" wrapText="1"/>
    </xf>
    <xf numFmtId="174" fontId="54" fillId="2" borderId="0" xfId="18" applyNumberFormat="1" applyFont="1" applyFill="1" applyAlignment="1">
      <alignment horizontal="left" vertical="center" wrapText="1"/>
    </xf>
    <xf numFmtId="174" fontId="54" fillId="2" borderId="8" xfId="18" applyNumberFormat="1" applyFont="1" applyFill="1" applyBorder="1" applyAlignment="1">
      <alignment horizontal="left" vertical="center" wrapText="1"/>
    </xf>
    <xf numFmtId="0" fontId="16" fillId="2" borderId="41" xfId="0" applyFont="1" applyFill="1" applyBorder="1" applyAlignment="1">
      <alignment horizontal="center" vertical="center"/>
    </xf>
    <xf numFmtId="0" fontId="16" fillId="2" borderId="31" xfId="0" applyFont="1" applyFill="1" applyBorder="1" applyAlignment="1">
      <alignment horizontal="center" vertical="center"/>
    </xf>
    <xf numFmtId="0" fontId="16" fillId="2" borderId="15" xfId="0" applyFont="1" applyFill="1" applyBorder="1" applyAlignment="1">
      <alignment horizontal="center" vertical="center"/>
    </xf>
    <xf numFmtId="0" fontId="16" fillId="2" borderId="1" xfId="0" applyFont="1" applyFill="1" applyBorder="1" applyAlignment="1">
      <alignment horizontal="center" vertical="center"/>
    </xf>
    <xf numFmtId="43" fontId="16" fillId="2" borderId="15" xfId="1" applyFont="1" applyFill="1" applyBorder="1" applyAlignment="1">
      <alignment horizontal="center" vertical="center"/>
    </xf>
    <xf numFmtId="43" fontId="16" fillId="2" borderId="1" xfId="1" applyFont="1" applyFill="1" applyBorder="1" applyAlignment="1">
      <alignment horizontal="center" vertical="center"/>
    </xf>
    <xf numFmtId="0" fontId="16" fillId="2" borderId="61" xfId="0"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2" borderId="0"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60" xfId="0" applyFont="1" applyFill="1" applyBorder="1" applyAlignment="1">
      <alignment horizontal="center" vertical="center"/>
    </xf>
    <xf numFmtId="43" fontId="10" fillId="2" borderId="23" xfId="1" applyFont="1" applyFill="1" applyBorder="1" applyAlignment="1">
      <alignment horizontal="center" vertical="center"/>
    </xf>
    <xf numFmtId="0" fontId="10" fillId="0" borderId="23" xfId="0" applyFont="1" applyFill="1" applyBorder="1" applyAlignment="1">
      <alignment horizontal="left"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vertical="center" wrapText="1"/>
    </xf>
  </cellXfs>
  <cellStyles count="20">
    <cellStyle name="Hiperlink" xfId="14" builtinId="8"/>
    <cellStyle name="Moeda" xfId="2" builtinId="4"/>
    <cellStyle name="Moeda 2" xfId="5" xr:uid="{00000000-0005-0000-0000-000002000000}"/>
    <cellStyle name="Moeda 3" xfId="19" xr:uid="{00000000-0005-0000-0000-000003000000}"/>
    <cellStyle name="Normal" xfId="0" builtinId="0"/>
    <cellStyle name="Normal 10 2 2 2" xfId="3" xr:uid="{00000000-0005-0000-0000-000005000000}"/>
    <cellStyle name="Normal 103 2" xfId="10" xr:uid="{00000000-0005-0000-0000-000006000000}"/>
    <cellStyle name="Normal 2" xfId="8" xr:uid="{00000000-0005-0000-0000-000007000000}"/>
    <cellStyle name="Normal 2 10 4" xfId="6" xr:uid="{00000000-0005-0000-0000-000008000000}"/>
    <cellStyle name="Normal 2 2" xfId="11" xr:uid="{00000000-0005-0000-0000-000009000000}"/>
    <cellStyle name="Normal 3" xfId="16" xr:uid="{00000000-0005-0000-0000-00000A000000}"/>
    <cellStyle name="Normal 3 2" xfId="13" xr:uid="{00000000-0005-0000-0000-00000B000000}"/>
    <cellStyle name="Normal 4" xfId="17" xr:uid="{00000000-0005-0000-0000-00000C000000}"/>
    <cellStyle name="Normal 91 2" xfId="4" xr:uid="{00000000-0005-0000-0000-00000D000000}"/>
    <cellStyle name="Normal_C_modelo 4 meses" xfId="15" xr:uid="{00000000-0005-0000-0000-00000E000000}"/>
    <cellStyle name="Porcentagem" xfId="9" builtinId="5"/>
    <cellStyle name="Porcentagem 2" xfId="18" xr:uid="{00000000-0005-0000-0000-000010000000}"/>
    <cellStyle name="Vírgula" xfId="1" builtinId="3"/>
    <cellStyle name="Vírgula 2 7" xfId="7" xr:uid="{00000000-0005-0000-0000-000012000000}"/>
    <cellStyle name="Vírgula 3 2" xfId="12" xr:uid="{00000000-0005-0000-0000-000013000000}"/>
  </cellStyles>
  <dxfs count="73">
    <dxf>
      <font>
        <b val="0"/>
        <i val="0"/>
        <strike val="0"/>
        <condense val="0"/>
        <extend val="0"/>
        <outline val="0"/>
        <shadow val="0"/>
        <u val="none"/>
        <vertAlign val="baseline"/>
        <sz val="10"/>
        <color rgb="FF000000"/>
        <name val="Arial"/>
        <scheme val="none"/>
      </font>
      <numFmt numFmtId="34" formatCode="_-&quot;R$&quot;\ * #,##0.00_-;\-&quot;R$&quot;\ * #,##0.00_-;_-&quot;R$&quot;\ * &quot;-&quot;??_-;_-@_-"/>
      <fill>
        <patternFill patternType="none">
          <fgColor indexed="64"/>
          <bgColor indexed="65"/>
        </patternFill>
      </fill>
      <alignment horizontal="right" vertical="center" textRotation="0" wrapText="1" indent="0" justifyLastLine="0" shrinkToFit="0" readingOrder="0"/>
      <border diagonalUp="0" diagonalDown="0" outline="0">
        <left style="hair">
          <color auto="1"/>
        </left>
        <right/>
        <top style="hair">
          <color auto="1"/>
        </top>
        <bottom/>
      </border>
      <protection locked="1" hidden="0"/>
    </dxf>
    <dxf>
      <font>
        <b val="0"/>
        <i val="0"/>
        <strike val="0"/>
        <condense val="0"/>
        <extend val="0"/>
        <outline val="0"/>
        <shadow val="0"/>
        <u val="none"/>
        <vertAlign val="baseline"/>
        <sz val="10"/>
        <color rgb="FF000000"/>
        <name val="Arial"/>
        <scheme val="none"/>
      </font>
      <numFmt numFmtId="34" formatCode="_-&quot;R$&quot;\ * #,##0.00_-;\-&quot;R$&quot;\ * #,##0.00_-;_-&quot;R$&quot;\ * &quot;-&quot;??_-;_-@_-"/>
      <fill>
        <patternFill patternType="none">
          <fgColor indexed="64"/>
          <bgColor auto="1"/>
        </patternFill>
      </fill>
      <alignment horizontal="right" vertical="center" textRotation="0" wrapText="1" indent="0" justifyLastLine="0" shrinkToFit="0" readingOrder="0"/>
      <border diagonalUp="0" diagonalDown="0">
        <left style="hair">
          <color auto="1"/>
        </left>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rgb="FF000000"/>
        <name val="Arial"/>
        <scheme val="none"/>
      </font>
      <numFmt numFmtId="174" formatCode="0.00000%"/>
      <fill>
        <patternFill patternType="none">
          <fgColor indexed="64"/>
          <bgColor indexed="65"/>
        </patternFill>
      </fill>
      <alignment horizontal="right" vertical="center" textRotation="0" wrapText="1" indent="0" justifyLastLine="0" shrinkToFit="0" readingOrder="0"/>
      <border diagonalUp="0" diagonalDown="0" outline="0">
        <left style="hair">
          <color auto="1"/>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numFmt numFmtId="174" formatCode="0.00000%"/>
      <fill>
        <patternFill patternType="none">
          <fgColor indexed="64"/>
          <bgColor auto="1"/>
        </patternFill>
      </fill>
      <alignment horizontal="right"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style="hair">
          <color auto="1"/>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numFmt numFmtId="174" formatCode="0.00000%"/>
      <fill>
        <patternFill patternType="none">
          <fgColor indexed="64"/>
          <bgColor auto="1"/>
        </patternFill>
      </fill>
      <alignment horizontal="right"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rgb="FF000000"/>
        <name val="Arial"/>
        <scheme val="none"/>
      </font>
      <numFmt numFmtId="4" formatCode="#,##0.00"/>
      <fill>
        <patternFill patternType="none">
          <fgColor indexed="64"/>
          <bgColor indexed="65"/>
        </patternFill>
      </fill>
      <alignment horizontal="right" vertical="center" textRotation="0" wrapText="1" indent="0" justifyLastLine="0" shrinkToFit="0" readingOrder="0"/>
      <border diagonalUp="0" diagonalDown="0" outline="0">
        <left style="hair">
          <color auto="1"/>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numFmt numFmtId="4" formatCode="#,##0.00"/>
      <fill>
        <patternFill patternType="none">
          <fgColor indexed="64"/>
          <bgColor auto="1"/>
        </patternFill>
      </fill>
      <alignment horizontal="right"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hair">
          <color auto="1"/>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left"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hair">
          <color auto="1"/>
        </right>
        <top style="hair">
          <color auto="1"/>
        </top>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style="hair">
          <color auto="1"/>
        </right>
        <top style="hair">
          <color auto="1"/>
        </top>
        <bottom style="hair">
          <color auto="1"/>
        </bottom>
      </border>
    </dxf>
    <dxf>
      <border>
        <top style="hair">
          <color auto="1"/>
        </top>
      </border>
    </dxf>
    <dxf>
      <border diagonalUp="0" diagonalDown="0">
        <left style="hair">
          <color auto="1"/>
        </left>
        <right style="hair">
          <color auto="1"/>
        </right>
        <top/>
        <bottom/>
        <vertical style="hair">
          <color auto="1"/>
        </vertical>
        <horizontal style="hair">
          <color auto="1"/>
        </horizontal>
      </border>
    </dxf>
    <dxf>
      <border diagonalUp="0" diagonalDown="0">
        <left style="hair">
          <color auto="1"/>
        </left>
        <right style="hair">
          <color auto="1"/>
        </right>
        <top style="hair">
          <color auto="1"/>
        </top>
        <bottom style="hair">
          <color auto="1"/>
        </bottom>
      </border>
    </dxf>
    <dxf>
      <fill>
        <patternFill patternType="none">
          <fgColor indexed="64"/>
          <bgColor auto="1"/>
        </patternFill>
      </fill>
    </dxf>
    <dxf>
      <border>
        <bottom style="hair">
          <color auto="1"/>
        </bottom>
      </border>
    </dxf>
    <dxf>
      <font>
        <b/>
        <i val="0"/>
        <strike val="0"/>
        <condense val="0"/>
        <extend val="0"/>
        <outline val="0"/>
        <shadow val="0"/>
        <u val="none"/>
        <vertAlign val="baseline"/>
        <sz val="10"/>
        <color theme="0"/>
        <name val="Arial"/>
        <scheme val="none"/>
      </font>
      <fill>
        <patternFill patternType="solid">
          <fgColor indexed="64"/>
          <bgColor theme="0" tint="-0.499984740745262"/>
        </patternFill>
      </fill>
      <alignment horizontal="center" vertical="center" textRotation="0" wrapText="1" indent="0" justifyLastLine="0" shrinkToFit="0" readingOrder="0"/>
      <border diagonalUp="0" diagonalDown="0" outline="0">
        <left style="hair">
          <color auto="1"/>
        </left>
        <right style="hair">
          <color auto="1"/>
        </right>
        <top/>
        <bottom/>
      </border>
    </dxf>
    <dxf>
      <fill>
        <patternFill>
          <bgColor rgb="FF00B0F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pt-BR" b="1">
                <a:solidFill>
                  <a:schemeClr val="tx1"/>
                </a:solidFill>
              </a:rPr>
              <a:t>CURVA ABC DOS SERVIÇOS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6.9270847380185963E-2"/>
          <c:y val="9.6631213366248581E-2"/>
          <c:w val="0.90419656497935208"/>
          <c:h val="0.85733372814267517"/>
        </c:manualLayout>
      </c:layout>
      <c:lineChart>
        <c:grouping val="standard"/>
        <c:varyColors val="0"/>
        <c:ser>
          <c:idx val="0"/>
          <c:order val="0"/>
          <c:spPr>
            <a:ln w="28575" cap="rnd">
              <a:solidFill>
                <a:schemeClr val="accent1"/>
              </a:solidFill>
              <a:round/>
            </a:ln>
            <a:effectLst/>
          </c:spPr>
          <c:marker>
            <c:symbol val="none"/>
          </c:marker>
          <c:val>
            <c:numRef>
              <c:f>'Curva ABC'!$F$8:$F$262</c:f>
              <c:numCache>
                <c:formatCode>0.00000%</c:formatCode>
                <c:ptCount val="2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numCache>
            </c:numRef>
          </c:val>
          <c:smooth val="0"/>
          <c:extLst>
            <c:ext xmlns:c16="http://schemas.microsoft.com/office/drawing/2014/chart" uri="{C3380CC4-5D6E-409C-BE32-E72D297353CC}">
              <c16:uniqueId val="{00000000-D821-4DD8-B43C-65D1A3D6B8A9}"/>
            </c:ext>
          </c:extLst>
        </c:ser>
        <c:dLbls>
          <c:showLegendKey val="0"/>
          <c:showVal val="0"/>
          <c:showCatName val="0"/>
          <c:showSerName val="0"/>
          <c:showPercent val="0"/>
          <c:showBubbleSize val="0"/>
        </c:dLbls>
        <c:smooth val="0"/>
        <c:axId val="222442992"/>
        <c:axId val="222443552"/>
      </c:lineChart>
      <c:catAx>
        <c:axId val="22244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222443552"/>
        <c:crosses val="autoZero"/>
        <c:auto val="1"/>
        <c:lblAlgn val="ctr"/>
        <c:lblOffset val="100"/>
        <c:noMultiLvlLbl val="0"/>
      </c:catAx>
      <c:valAx>
        <c:axId val="222443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2442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3552265</xdr:colOff>
      <xdr:row>425</xdr:row>
      <xdr:rowOff>11206</xdr:rowOff>
    </xdr:from>
    <xdr:to>
      <xdr:col>3</xdr:col>
      <xdr:colOff>5388050</xdr:colOff>
      <xdr:row>433</xdr:row>
      <xdr:rowOff>30590</xdr:rowOff>
    </xdr:to>
    <xdr:pic>
      <xdr:nvPicPr>
        <xdr:cNvPr id="3" name="Imagem 2">
          <a:extLst>
            <a:ext uri="{FF2B5EF4-FFF2-40B4-BE49-F238E27FC236}">
              <a16:creationId xmlns:a16="http://schemas.microsoft.com/office/drawing/2014/main" id="{58B007A5-330F-42EE-BD52-632A2166B7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95147" y="97087765"/>
          <a:ext cx="1835785" cy="12744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1781175</xdr:colOff>
      <xdr:row>2252</xdr:row>
      <xdr:rowOff>85725</xdr:rowOff>
    </xdr:from>
    <xdr:to>
      <xdr:col>2</xdr:col>
      <xdr:colOff>121285</xdr:colOff>
      <xdr:row>2259</xdr:row>
      <xdr:rowOff>93346</xdr:rowOff>
    </xdr:to>
    <xdr:pic>
      <xdr:nvPicPr>
        <xdr:cNvPr id="2" name="Imagem 1">
          <a:extLst>
            <a:ext uri="{FF2B5EF4-FFF2-40B4-BE49-F238E27FC236}">
              <a16:creationId xmlns:a16="http://schemas.microsoft.com/office/drawing/2014/main" id="{402A9EA7-F8AC-4DAF-8A7A-44B245913E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0" y="427520100"/>
          <a:ext cx="1835785" cy="12744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1905</xdr:colOff>
      <xdr:row>17</xdr:row>
      <xdr:rowOff>64770</xdr:rowOff>
    </xdr:from>
    <xdr:to>
      <xdr:col>13</xdr:col>
      <xdr:colOff>276257</xdr:colOff>
      <xdr:row>32</xdr:row>
      <xdr:rowOff>112458</xdr:rowOff>
    </xdr:to>
    <xdr:sp macro="" textlink="" fLocksText="0">
      <xdr:nvSpPr>
        <xdr:cNvPr id="2" name="CaixaDeTexto 2">
          <a:extLst>
            <a:ext uri="{FF2B5EF4-FFF2-40B4-BE49-F238E27FC236}">
              <a16:creationId xmlns:a16="http://schemas.microsoft.com/office/drawing/2014/main" id="{A15A077D-B8CB-4A4C-9EA4-762E28690C31}"/>
            </a:ext>
          </a:extLst>
        </xdr:cNvPr>
        <xdr:cNvSpPr txBox="1">
          <a:spLocks noChangeArrowheads="1"/>
        </xdr:cNvSpPr>
      </xdr:nvSpPr>
      <xdr:spPr bwMode="auto">
        <a:xfrm>
          <a:off x="6183630" y="3465195"/>
          <a:ext cx="4674902" cy="2924238"/>
        </a:xfrm>
        <a:prstGeom prst="rect">
          <a:avLst/>
        </a:prstGeom>
        <a:solidFill>
          <a:srgbClr val="FFFFFF"/>
        </a:solidFill>
        <a:ln w="9360" cap="sq">
          <a:solidFill>
            <a:srgbClr val="BCBCBC"/>
          </a:solidFill>
          <a:miter lim="800000"/>
          <a:headEnd/>
          <a:tailEnd/>
        </a:ln>
        <a:effectLst/>
      </xdr:spPr>
      <xdr:txBody>
        <a:bodyPr vertOverflow="clip" wrap="square" lIns="20160" tIns="20160" rIns="20160" bIns="20160" anchor="t"/>
        <a:lstStyle/>
        <a:p>
          <a:pPr algn="l" rtl="0">
            <a:defRPr sz="1000"/>
          </a:pPr>
          <a:r>
            <a:rPr lang="pt-BR" sz="1100" b="1" i="0" u="none" strike="noStrike" baseline="0">
              <a:solidFill>
                <a:srgbClr val="000000"/>
              </a:solidFill>
              <a:latin typeface="Calibri"/>
            </a:rPr>
            <a:t>*</a:t>
          </a:r>
          <a:r>
            <a:rPr lang="pt-BR" sz="1100" b="0" i="0" u="none" strike="noStrike" baseline="0">
              <a:solidFill>
                <a:srgbClr val="000000"/>
              </a:solidFill>
              <a:latin typeface="Calibri"/>
            </a:rPr>
            <a:t>Fonte da composição, valores  de  referência  e  fórmula  do  BDI:   Acórdão 2622/2013 - TCU - Plenário </a:t>
          </a:r>
        </a:p>
        <a:p>
          <a:pPr algn="l" rtl="0">
            <a:defRPr sz="1000"/>
          </a:pPr>
          <a:endParaRPr lang="pt-BR" sz="1100" b="0"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a:t>
          </a:r>
          <a:r>
            <a:rPr lang="pt-BR" sz="1100" b="1" i="0" u="sng" strike="noStrike" baseline="0">
              <a:solidFill>
                <a:srgbClr val="000000"/>
              </a:solidFill>
              <a:latin typeface="Calibri"/>
            </a:rPr>
            <a:t>(1 + AC + S + G + R) x (1 + DF)  x (1 + L)</a:t>
          </a:r>
          <a:r>
            <a:rPr lang="pt-BR" sz="1100" b="1" i="0" u="none" strike="noStrike" baseline="0">
              <a:solidFill>
                <a:srgbClr val="000000"/>
              </a:solidFill>
              <a:latin typeface="Calibri"/>
            </a:rPr>
            <a:t> - 1</a:t>
          </a:r>
        </a:p>
        <a:p>
          <a:pPr algn="l" rtl="0">
            <a:defRPr sz="1000"/>
          </a:pPr>
          <a:r>
            <a:rPr lang="pt-BR" sz="1100" b="1" i="0" u="none" strike="noStrike" baseline="0">
              <a:solidFill>
                <a:srgbClr val="000000"/>
              </a:solidFill>
              <a:latin typeface="Calibri"/>
            </a:rPr>
            <a:t>	          (1 - I)</a:t>
          </a:r>
        </a:p>
        <a:p>
          <a:pPr algn="l" rtl="0">
            <a:defRPr sz="1000"/>
          </a:pPr>
          <a:endParaRPr lang="pt-BR" sz="1100" b="1"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Conforme Acordão TCU 2622/2013.</a:t>
          </a:r>
        </a:p>
        <a:p>
          <a:pPr algn="l" rtl="0">
            <a:defRPr sz="1000"/>
          </a:pPr>
          <a:r>
            <a:rPr lang="pt-BR" sz="1100" b="0" i="0" u="none" strike="noStrike" baseline="0">
              <a:solidFill>
                <a:srgbClr val="000000"/>
              </a:solidFill>
              <a:latin typeface="Calibri"/>
            </a:rPr>
            <a:t>Desta forma, após o enquadramento do BDI  nos  critérios  abordados  acima e sendo utilizado no orçamento os  custos  dos  serviços  </a:t>
          </a:r>
          <a:r>
            <a:rPr lang="pt-BR" sz="1100" b="1" i="0" u="none" strike="noStrike" baseline="0">
              <a:solidFill>
                <a:srgbClr val="000000"/>
              </a:solidFill>
              <a:latin typeface="Calibri"/>
            </a:rPr>
            <a:t>com  desoneração</a:t>
          </a:r>
          <a:r>
            <a:rPr lang="pt-BR" sz="1100" b="0" i="0" u="none" strike="noStrike" baseline="0">
              <a:solidFill>
                <a:srgbClr val="000000"/>
              </a:solidFill>
              <a:latin typeface="Calibri"/>
            </a:rPr>
            <a:t>, deverá ser incluído no item taxa de tributos o percentual de </a:t>
          </a:r>
          <a:r>
            <a:rPr lang="pt-BR" sz="1100" b="1" i="0" u="none" strike="noStrike" baseline="0">
              <a:solidFill>
                <a:srgbClr val="000000"/>
              </a:solidFill>
              <a:latin typeface="Calibri"/>
            </a:rPr>
            <a:t>4,5%</a:t>
          </a:r>
          <a:r>
            <a:rPr lang="pt-BR" sz="1100" b="0" i="0" u="none" strike="noStrike" baseline="0">
              <a:solidFill>
                <a:srgbClr val="000000"/>
              </a:solidFill>
              <a:latin typeface="Calibri"/>
            </a:rPr>
            <a:t>  referente  à </a:t>
          </a:r>
          <a:r>
            <a:rPr lang="pt-BR" sz="1100" b="1" i="0" u="none" strike="noStrike" baseline="0">
              <a:solidFill>
                <a:srgbClr val="000000"/>
              </a:solidFill>
              <a:latin typeface="Calibri"/>
            </a:rPr>
            <a:t>Contribuição Previdenciária  Sobre a Renda  Bruta  - CPRB</a:t>
          </a:r>
          <a:r>
            <a:rPr lang="pt-BR" sz="1100" b="0" i="0" u="none" strike="noStrike" baseline="0">
              <a:solidFill>
                <a:srgbClr val="000000"/>
              </a:solidFill>
              <a:latin typeface="Calibri"/>
            </a:rPr>
            <a:t> (INSS)  e  recalculado  o  BDI.  </a:t>
          </a:r>
        </a:p>
        <a:p>
          <a:pPr algn="l" rtl="0">
            <a:defRPr sz="1000"/>
          </a:pPr>
          <a:r>
            <a:rPr lang="pt-BR" sz="1100" b="1" i="0" u="none" strike="noStrike" baseline="0">
              <a:solidFill>
                <a:srgbClr val="000000"/>
              </a:solidFill>
              <a:latin typeface="Calibri"/>
            </a:rPr>
            <a:t>Lei Municipal </a:t>
          </a:r>
          <a:r>
            <a:rPr lang="pt-BR" sz="1100" b="0" i="0" u="none" strike="noStrike" baseline="0">
              <a:solidFill>
                <a:srgbClr val="000000"/>
              </a:solidFill>
              <a:latin typeface="Calibri"/>
            </a:rPr>
            <a:t>- ISS - Imposto Sobre Serviço - 5%</a:t>
          </a:r>
        </a:p>
      </xdr:txBody>
    </xdr:sp>
    <xdr:clientData/>
  </xdr:twoCellAnchor>
  <xdr:twoCellAnchor editAs="oneCell">
    <xdr:from>
      <xdr:col>6</xdr:col>
      <xdr:colOff>526676</xdr:colOff>
      <xdr:row>32</xdr:row>
      <xdr:rowOff>33618</xdr:rowOff>
    </xdr:from>
    <xdr:to>
      <xdr:col>9</xdr:col>
      <xdr:colOff>468667</xdr:colOff>
      <xdr:row>38</xdr:row>
      <xdr:rowOff>165064</xdr:rowOff>
    </xdr:to>
    <xdr:pic>
      <xdr:nvPicPr>
        <xdr:cNvPr id="3" name="Imagem 2">
          <a:extLst>
            <a:ext uri="{FF2B5EF4-FFF2-40B4-BE49-F238E27FC236}">
              <a16:creationId xmlns:a16="http://schemas.microsoft.com/office/drawing/2014/main" id="{24F8A3DC-C041-4A4B-BFB3-93088527E1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6117" y="6320118"/>
          <a:ext cx="1835785" cy="12744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1905</xdr:colOff>
      <xdr:row>17</xdr:row>
      <xdr:rowOff>64770</xdr:rowOff>
    </xdr:from>
    <xdr:to>
      <xdr:col>13</xdr:col>
      <xdr:colOff>276257</xdr:colOff>
      <xdr:row>32</xdr:row>
      <xdr:rowOff>112458</xdr:rowOff>
    </xdr:to>
    <xdr:sp macro="" textlink="" fLocksText="0">
      <xdr:nvSpPr>
        <xdr:cNvPr id="2" name="CaixaDeTexto 2">
          <a:extLst>
            <a:ext uri="{FF2B5EF4-FFF2-40B4-BE49-F238E27FC236}">
              <a16:creationId xmlns:a16="http://schemas.microsoft.com/office/drawing/2014/main" id="{5C44D919-B1A9-4F0A-BE25-5EE70E8C5AD9}"/>
            </a:ext>
          </a:extLst>
        </xdr:cNvPr>
        <xdr:cNvSpPr txBox="1">
          <a:spLocks noChangeArrowheads="1"/>
        </xdr:cNvSpPr>
      </xdr:nvSpPr>
      <xdr:spPr bwMode="auto">
        <a:xfrm>
          <a:off x="6183630" y="3465195"/>
          <a:ext cx="4674902" cy="2924238"/>
        </a:xfrm>
        <a:prstGeom prst="rect">
          <a:avLst/>
        </a:prstGeom>
        <a:solidFill>
          <a:srgbClr val="FFFFFF"/>
        </a:solidFill>
        <a:ln w="9360" cap="sq">
          <a:solidFill>
            <a:srgbClr val="BCBCBC"/>
          </a:solidFill>
          <a:miter lim="800000"/>
          <a:headEnd/>
          <a:tailEnd/>
        </a:ln>
        <a:effectLst/>
      </xdr:spPr>
      <xdr:txBody>
        <a:bodyPr vertOverflow="clip" wrap="square" lIns="20160" tIns="20160" rIns="20160" bIns="20160" anchor="t"/>
        <a:lstStyle/>
        <a:p>
          <a:pPr algn="l" rtl="0">
            <a:defRPr sz="1000"/>
          </a:pPr>
          <a:r>
            <a:rPr lang="pt-BR" sz="1100" b="1" i="0" u="none" strike="noStrike" baseline="0">
              <a:solidFill>
                <a:srgbClr val="000000"/>
              </a:solidFill>
              <a:latin typeface="Calibri"/>
            </a:rPr>
            <a:t>*</a:t>
          </a:r>
          <a:r>
            <a:rPr lang="pt-BR" sz="1100" b="0" i="0" u="none" strike="noStrike" baseline="0">
              <a:solidFill>
                <a:srgbClr val="000000"/>
              </a:solidFill>
              <a:latin typeface="Calibri"/>
            </a:rPr>
            <a:t>Fonte da composição, valores  de  referência  e  fórmula  do  BDI:   Acórdão 2622/2013 - TCU - Plenário </a:t>
          </a:r>
        </a:p>
        <a:p>
          <a:pPr algn="l" rtl="0">
            <a:defRPr sz="1000"/>
          </a:pPr>
          <a:endParaRPr lang="pt-BR" sz="1100" b="0"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a:t>
          </a:r>
          <a:r>
            <a:rPr lang="pt-BR" sz="1100" b="1" i="0" u="sng" strike="noStrike" baseline="0">
              <a:solidFill>
                <a:srgbClr val="000000"/>
              </a:solidFill>
              <a:latin typeface="Calibri"/>
            </a:rPr>
            <a:t>(1 + AC + S + G + R) x (1 + DF)  x (1 + L)</a:t>
          </a:r>
          <a:r>
            <a:rPr lang="pt-BR" sz="1100" b="1" i="0" u="none" strike="noStrike" baseline="0">
              <a:solidFill>
                <a:srgbClr val="000000"/>
              </a:solidFill>
              <a:latin typeface="Calibri"/>
            </a:rPr>
            <a:t> - 1</a:t>
          </a:r>
        </a:p>
        <a:p>
          <a:pPr algn="l" rtl="0">
            <a:defRPr sz="1000"/>
          </a:pPr>
          <a:r>
            <a:rPr lang="pt-BR" sz="1100" b="1" i="0" u="none" strike="noStrike" baseline="0">
              <a:solidFill>
                <a:srgbClr val="000000"/>
              </a:solidFill>
              <a:latin typeface="Calibri"/>
            </a:rPr>
            <a:t>	          (1 - I)</a:t>
          </a:r>
        </a:p>
        <a:p>
          <a:pPr algn="l" rtl="0">
            <a:defRPr sz="1000"/>
          </a:pPr>
          <a:endParaRPr lang="pt-BR" sz="1100" b="1"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BDI - Conforme Acordão TCU 2622/2013.</a:t>
          </a:r>
        </a:p>
        <a:p>
          <a:pPr algn="l" rtl="0">
            <a:defRPr sz="1000"/>
          </a:pPr>
          <a:endParaRPr lang="pt-BR" sz="1100" b="1" i="0" u="none" strike="noStrike" baseline="0">
            <a:solidFill>
              <a:srgbClr val="000000"/>
            </a:solidFill>
            <a:latin typeface="Calibri"/>
          </a:endParaRPr>
        </a:p>
        <a:p>
          <a:pPr algn="l" rtl="0">
            <a:defRPr sz="1000"/>
          </a:pPr>
          <a:r>
            <a:rPr lang="pt-BR" sz="1100" b="1" i="0" u="none" strike="noStrike" baseline="0">
              <a:solidFill>
                <a:srgbClr val="000000"/>
              </a:solidFill>
              <a:latin typeface="Calibri"/>
            </a:rPr>
            <a:t>Lei Municipal </a:t>
          </a:r>
          <a:r>
            <a:rPr lang="pt-BR" sz="1100" b="0" i="0" u="none" strike="noStrike" baseline="0">
              <a:solidFill>
                <a:srgbClr val="000000"/>
              </a:solidFill>
              <a:latin typeface="Calibri"/>
            </a:rPr>
            <a:t>- ISS - Imposto Sobre Serviço - 5%</a:t>
          </a:r>
        </a:p>
      </xdr:txBody>
    </xdr:sp>
    <xdr:clientData/>
  </xdr:twoCellAnchor>
  <xdr:twoCellAnchor editAs="oneCell">
    <xdr:from>
      <xdr:col>6</xdr:col>
      <xdr:colOff>526676</xdr:colOff>
      <xdr:row>32</xdr:row>
      <xdr:rowOff>33618</xdr:rowOff>
    </xdr:from>
    <xdr:to>
      <xdr:col>9</xdr:col>
      <xdr:colOff>468667</xdr:colOff>
      <xdr:row>38</xdr:row>
      <xdr:rowOff>165064</xdr:rowOff>
    </xdr:to>
    <xdr:pic>
      <xdr:nvPicPr>
        <xdr:cNvPr id="3" name="Imagem 2">
          <a:extLst>
            <a:ext uri="{FF2B5EF4-FFF2-40B4-BE49-F238E27FC236}">
              <a16:creationId xmlns:a16="http://schemas.microsoft.com/office/drawing/2014/main" id="{3B981298-FC54-4FF8-8CF1-7E62E00648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3401" y="6310593"/>
          <a:ext cx="1846991" cy="12744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81642</xdr:colOff>
      <xdr:row>44</xdr:row>
      <xdr:rowOff>122465</xdr:rowOff>
    </xdr:from>
    <xdr:to>
      <xdr:col>3</xdr:col>
      <xdr:colOff>910499</xdr:colOff>
      <xdr:row>50</xdr:row>
      <xdr:rowOff>172268</xdr:rowOff>
    </xdr:to>
    <xdr:pic>
      <xdr:nvPicPr>
        <xdr:cNvPr id="2" name="Imagem 1">
          <a:extLst>
            <a:ext uri="{FF2B5EF4-FFF2-40B4-BE49-F238E27FC236}">
              <a16:creationId xmlns:a16="http://schemas.microsoft.com/office/drawing/2014/main" id="{1C2078F7-EB33-49A0-B476-C029B8104A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9928" y="9103179"/>
          <a:ext cx="1835785" cy="12744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271741</xdr:colOff>
      <xdr:row>273</xdr:row>
      <xdr:rowOff>40341</xdr:rowOff>
    </xdr:from>
    <xdr:to>
      <xdr:col>6</xdr:col>
      <xdr:colOff>228600</xdr:colOff>
      <xdr:row>313</xdr:row>
      <xdr:rowOff>9525</xdr:rowOff>
    </xdr:to>
    <xdr:graphicFrame macro="">
      <xdr:nvGraphicFramePr>
        <xdr:cNvPr id="2" name="Gráfico 1">
          <a:extLst>
            <a:ext uri="{FF2B5EF4-FFF2-40B4-BE49-F238E27FC236}">
              <a16:creationId xmlns:a16="http://schemas.microsoft.com/office/drawing/2014/main" id="{D4ADC501-EEC7-4555-AE17-C107D13AF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2950980</xdr:colOff>
      <xdr:row>281</xdr:row>
      <xdr:rowOff>88526</xdr:rowOff>
    </xdr:from>
    <xdr:to>
      <xdr:col>2</xdr:col>
      <xdr:colOff>2950980</xdr:colOff>
      <xdr:row>304</xdr:row>
      <xdr:rowOff>107595</xdr:rowOff>
    </xdr:to>
    <xdr:sp macro="" textlink="">
      <xdr:nvSpPr>
        <xdr:cNvPr id="3" name="Conector reto 2">
          <a:extLst>
            <a:ext uri="{FF2B5EF4-FFF2-40B4-BE49-F238E27FC236}">
              <a16:creationId xmlns:a16="http://schemas.microsoft.com/office/drawing/2014/main" id="{0E999CC1-E31E-45B8-B78D-993BF78A52C3}"/>
            </a:ext>
          </a:extLst>
        </xdr:cNvPr>
        <xdr:cNvSpPr/>
      </xdr:nvSpPr>
      <xdr:spPr>
        <a:xfrm flipH="1" flipV="1">
          <a:off x="4179705" y="10670801"/>
          <a:ext cx="0" cy="3743344"/>
        </a:xfrm>
        <a:prstGeom prst="line">
          <a:avLst/>
        </a:prstGeom>
        <a:noFill/>
        <a:ln w="38100" cap="flat" cmpd="sng" algn="ctr">
          <a:solidFill>
            <a:sysClr val="windowText" lastClr="000000"/>
          </a:solidFill>
          <a:prstDash val="solid"/>
        </a:ln>
        <a:effectLst>
          <a:outerShdw blurRad="40000" dist="23000" dir="5400000" rotWithShape="0">
            <a:srgbClr val="000000">
              <a:alpha val="35000"/>
            </a:srgbClr>
          </a:outerShdw>
        </a:effectLst>
      </xdr:spPr>
      <xdr:style>
        <a:lnRef idx="3">
          <a:schemeClr val="dk1"/>
        </a:lnRef>
        <a:fillRef idx="0">
          <a:schemeClr val="dk1"/>
        </a:fillRef>
        <a:effectRef idx="2">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pt-BR"/>
        </a:p>
      </xdr:txBody>
    </xdr:sp>
    <xdr:clientData/>
  </xdr:twoCellAnchor>
  <xdr:twoCellAnchor>
    <xdr:from>
      <xdr:col>2</xdr:col>
      <xdr:colOff>5620782</xdr:colOff>
      <xdr:row>277</xdr:row>
      <xdr:rowOff>42022</xdr:rowOff>
    </xdr:from>
    <xdr:to>
      <xdr:col>2</xdr:col>
      <xdr:colOff>5620782</xdr:colOff>
      <xdr:row>304</xdr:row>
      <xdr:rowOff>107595</xdr:rowOff>
    </xdr:to>
    <xdr:sp macro="" textlink="">
      <xdr:nvSpPr>
        <xdr:cNvPr id="4" name="Conector reto 3">
          <a:extLst>
            <a:ext uri="{FF2B5EF4-FFF2-40B4-BE49-F238E27FC236}">
              <a16:creationId xmlns:a16="http://schemas.microsoft.com/office/drawing/2014/main" id="{89691CED-26F9-41C2-A26E-09AFB3A34267}"/>
            </a:ext>
          </a:extLst>
        </xdr:cNvPr>
        <xdr:cNvSpPr/>
      </xdr:nvSpPr>
      <xdr:spPr>
        <a:xfrm flipH="1" flipV="1">
          <a:off x="6849507" y="9976597"/>
          <a:ext cx="0" cy="4437548"/>
        </a:xfrm>
        <a:prstGeom prst="line">
          <a:avLst/>
        </a:prstGeom>
        <a:noFill/>
        <a:ln w="38100" cap="flat" cmpd="sng" algn="ctr">
          <a:solidFill>
            <a:sysClr val="windowText" lastClr="000000"/>
          </a:solidFill>
          <a:prstDash val="solid"/>
        </a:ln>
        <a:effectLst>
          <a:outerShdw blurRad="40000" dist="23000" dir="5400000" rotWithShape="0">
            <a:srgbClr val="000000">
              <a:alpha val="35000"/>
            </a:srgbClr>
          </a:outerShdw>
        </a:effectLst>
      </xdr:spPr>
      <xdr:style>
        <a:lnRef idx="3">
          <a:schemeClr val="dk1"/>
        </a:lnRef>
        <a:fillRef idx="0">
          <a:schemeClr val="dk1"/>
        </a:fillRef>
        <a:effectRef idx="2">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pt-BR"/>
        </a:p>
      </xdr:txBody>
    </xdr:sp>
    <xdr:clientData/>
  </xdr:twoCellAnchor>
  <xdr:twoCellAnchor>
    <xdr:from>
      <xdr:col>2</xdr:col>
      <xdr:colOff>1320054</xdr:colOff>
      <xdr:row>294</xdr:row>
      <xdr:rowOff>73398</xdr:rowOff>
    </xdr:from>
    <xdr:to>
      <xdr:col>2</xdr:col>
      <xdr:colOff>2028488</xdr:colOff>
      <xdr:row>299</xdr:row>
      <xdr:rowOff>14947</xdr:rowOff>
    </xdr:to>
    <xdr:sp macro="" textlink="">
      <xdr:nvSpPr>
        <xdr:cNvPr id="5" name="CaixaDeTexto 1">
          <a:extLst>
            <a:ext uri="{FF2B5EF4-FFF2-40B4-BE49-F238E27FC236}">
              <a16:creationId xmlns:a16="http://schemas.microsoft.com/office/drawing/2014/main" id="{2D518280-9F1F-4C12-8CD8-69A998EAADC1}"/>
            </a:ext>
          </a:extLst>
        </xdr:cNvPr>
        <xdr:cNvSpPr txBox="1"/>
      </xdr:nvSpPr>
      <xdr:spPr>
        <a:xfrm>
          <a:off x="2548779" y="12760698"/>
          <a:ext cx="708434" cy="751174"/>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pt-BR" sz="8000" b="1"/>
            <a:t>A</a:t>
          </a:r>
        </a:p>
      </xdr:txBody>
    </xdr:sp>
    <xdr:clientData/>
  </xdr:twoCellAnchor>
  <xdr:twoCellAnchor>
    <xdr:from>
      <xdr:col>2</xdr:col>
      <xdr:colOff>3872753</xdr:colOff>
      <xdr:row>294</xdr:row>
      <xdr:rowOff>58830</xdr:rowOff>
    </xdr:from>
    <xdr:to>
      <xdr:col>2</xdr:col>
      <xdr:colOff>4579402</xdr:colOff>
      <xdr:row>299</xdr:row>
      <xdr:rowOff>446</xdr:rowOff>
    </xdr:to>
    <xdr:sp macro="" textlink="">
      <xdr:nvSpPr>
        <xdr:cNvPr id="6" name="CaixaDeTexto 1">
          <a:extLst>
            <a:ext uri="{FF2B5EF4-FFF2-40B4-BE49-F238E27FC236}">
              <a16:creationId xmlns:a16="http://schemas.microsoft.com/office/drawing/2014/main" id="{E00AFEF5-E833-48F6-A08C-BD3C7F1F5F6E}"/>
            </a:ext>
          </a:extLst>
        </xdr:cNvPr>
        <xdr:cNvSpPr txBox="1"/>
      </xdr:nvSpPr>
      <xdr:spPr>
        <a:xfrm>
          <a:off x="5101478" y="12746130"/>
          <a:ext cx="706649" cy="75124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pt-BR" sz="8000" b="1"/>
            <a:t>B</a:t>
          </a:r>
        </a:p>
      </xdr:txBody>
    </xdr:sp>
    <xdr:clientData/>
  </xdr:twoCellAnchor>
  <xdr:twoCellAnchor>
    <xdr:from>
      <xdr:col>3</xdr:col>
      <xdr:colOff>506506</xdr:colOff>
      <xdr:row>294</xdr:row>
      <xdr:rowOff>59951</xdr:rowOff>
    </xdr:from>
    <xdr:to>
      <xdr:col>4</xdr:col>
      <xdr:colOff>557716</xdr:colOff>
      <xdr:row>299</xdr:row>
      <xdr:rowOff>6610</xdr:rowOff>
    </xdr:to>
    <xdr:sp macro="" textlink="">
      <xdr:nvSpPr>
        <xdr:cNvPr id="7" name="CaixaDeTexto 1">
          <a:extLst>
            <a:ext uri="{FF2B5EF4-FFF2-40B4-BE49-F238E27FC236}">
              <a16:creationId xmlns:a16="http://schemas.microsoft.com/office/drawing/2014/main" id="{F1B7C79E-0190-426D-8859-CB1549DD4135}"/>
            </a:ext>
          </a:extLst>
        </xdr:cNvPr>
        <xdr:cNvSpPr txBox="1"/>
      </xdr:nvSpPr>
      <xdr:spPr>
        <a:xfrm>
          <a:off x="8259856" y="12747251"/>
          <a:ext cx="641760" cy="756284"/>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pt-BR" sz="8000" b="1"/>
            <a:t>C</a:t>
          </a:r>
        </a:p>
      </xdr:txBody>
    </xdr:sp>
    <xdr:clientData/>
  </xdr:twoCellAnchor>
  <xdr:twoCellAnchor editAs="oneCell">
    <xdr:from>
      <xdr:col>2</xdr:col>
      <xdr:colOff>3086100</xdr:colOff>
      <xdr:row>315</xdr:row>
      <xdr:rowOff>28575</xdr:rowOff>
    </xdr:from>
    <xdr:to>
      <xdr:col>2</xdr:col>
      <xdr:colOff>4921885</xdr:colOff>
      <xdr:row>323</xdr:row>
      <xdr:rowOff>7621</xdr:rowOff>
    </xdr:to>
    <xdr:pic>
      <xdr:nvPicPr>
        <xdr:cNvPr id="8" name="Imagem 7">
          <a:extLst>
            <a:ext uri="{FF2B5EF4-FFF2-40B4-BE49-F238E27FC236}">
              <a16:creationId xmlns:a16="http://schemas.microsoft.com/office/drawing/2014/main" id="{09F7E974-E8BF-4C98-BBA2-A4C05643B1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14825" y="67265550"/>
          <a:ext cx="1835785" cy="1274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rpvh\1%20Processos%20por%20Regiao\6%20PVH\Porto%20Velho\PVH031%20Inst.%20de%20Criminal&#237;stica\3.%20Planilha%20Or&#231;ament&#225;ria\Revisao\PO_IC_PVH_201706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vhsdc05\dados-ceron\Documents%20and%20Settings\jose.abilio\Meus%20documentos\LISTA%20DE%20EQUIPAMENTO%20SE%20CORUMBIARA%2018_02_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audio-not\d\A1\Porto%20Veho-%20Unidade%20Mista%20-%20Jo&#227;o%20Leandro%20Barbosa%20-%20distrito%20extre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samuel\Documents\Marilia\A:\TABELA%20CONSULTORIA%20PROJETOS-BAS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RPVH\3%20Fiscalizacao\Claudio\Editais\2008\INCRA\Planilha%20Antonio%20Conselhei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PVH\3%20Fiscalizacao\Claudio\Propostas\Propostas%202012\PM%20Rolim%20de%20Moura\Reforma%20e%20Amplia&#231;&#227;o%20de%20Escola%20DINA%20SFAT_TP_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udio-not\d\Claudio\Editais\2008\INCRA\Planilha%20Antonio%20Conselhei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genharia/Meus%20documentos/DEVOP/COMPOSI&#199;&#195;O%20DEVOP%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RVIDORES\MARCELO\Ouro%20Preto\Planilha%20Or&#231;amentaria%20Cacoal%20-%20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laudio\Propostas\Propostas%202012\PM%20Ministro%20Andreazza\Sistema%20de%20esgotamento%20sanit&#225;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ge-14\Arquivos%20diversos\C&#243;pia%20de%20Planilha%20or&#231;ament&#225;ria%20F&#243;rum%20de%20Ariquem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onsultoria"/>
      <sheetName val="INCCTOT"/>
      <sheetName val="Composições"/>
      <sheetName val="comp. custos1"/>
      <sheetName val="PLANILHA"/>
      <sheetName val="CRONOGRAMA"/>
      <sheetName val="COTAÇÕES"/>
      <sheetName val="COMPOSIÇÕES "/>
      <sheetName val="comp__custos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IN."/>
      <sheetName val="MemóriaCálculo SST"/>
      <sheetName val="PARETO"/>
      <sheetName val="CURVA ABC"/>
      <sheetName val="PLANILHA"/>
      <sheetName val="MEMÓRIA DE CÁLCULO (2)"/>
      <sheetName val="MEMÓRIA DE CÁLCULO"/>
      <sheetName val="COMPOSIÇÕES"/>
      <sheetName val="COTAÇÃO"/>
      <sheetName val="CRONOGRAMA"/>
      <sheetName val="CRO.EQUIP"/>
      <sheetName val="CRO.GERAL"/>
      <sheetName val="BDI_Edificações"/>
      <sheetName val="BDI_Equipamentos "/>
      <sheetName val="Plan1"/>
      <sheetName val="Relatório de Compatibilidade"/>
      <sheetName val="Tabela Deosp"/>
    </sheetNames>
    <sheetDataSet>
      <sheetData sheetId="0"/>
      <sheetData sheetId="1"/>
      <sheetData sheetId="2">
        <row r="64">
          <cell r="C64" t="str">
            <v>15.3.10</v>
          </cell>
          <cell r="D64" t="str">
            <v>16120.8.1.40</v>
          </cell>
          <cell r="E64" t="str">
            <v>CABO ISOLADO em PVC seção 6 mm² - 750 V - 70°C - flexível</v>
          </cell>
          <cell r="F64" t="str">
            <v>m</v>
          </cell>
          <cell r="G64">
            <v>2511.9</v>
          </cell>
          <cell r="H64">
            <v>5</v>
          </cell>
          <cell r="I64">
            <v>12559.5</v>
          </cell>
          <cell r="J64">
            <v>2059618.5</v>
          </cell>
          <cell r="K64">
            <v>4.7260000000000002E-3</v>
          </cell>
          <cell r="L64">
            <v>0.77502000000000004</v>
          </cell>
          <cell r="M64" t="str">
            <v>B</v>
          </cell>
        </row>
        <row r="65">
          <cell r="C65" t="str">
            <v>6.1.1</v>
          </cell>
          <cell r="D65" t="str">
            <v>07.01.15</v>
          </cell>
          <cell r="E65" t="str">
            <v>Porta de madeira lisa - (0,80x2,10) m  - Dobradiças/fechadura - ref.: LaFonte, fame, pado, aliança ou equivalente</v>
          </cell>
          <cell r="F65" t="str">
            <v>unid</v>
          </cell>
          <cell r="G65">
            <v>41</v>
          </cell>
          <cell r="H65">
            <v>305.27999999999997</v>
          </cell>
          <cell r="I65">
            <v>12516.48</v>
          </cell>
          <cell r="J65">
            <v>2072134.98</v>
          </cell>
          <cell r="K65">
            <v>4.7099999999999998E-3</v>
          </cell>
          <cell r="L65">
            <v>0.77973000000000003</v>
          </cell>
          <cell r="M65" t="str">
            <v>B</v>
          </cell>
        </row>
        <row r="66">
          <cell r="C66" t="str">
            <v>15.3.3</v>
          </cell>
          <cell r="D66" t="str">
            <v>16120.8.1.59</v>
          </cell>
          <cell r="E66" t="str">
            <v>CABO ISOLADO em PVC seção 35 mm² - 0,6/1kV - 70°C - flexível</v>
          </cell>
          <cell r="F66" t="str">
            <v>m</v>
          </cell>
          <cell r="G66">
            <v>683.7</v>
          </cell>
          <cell r="H66">
            <v>18.09</v>
          </cell>
          <cell r="I66">
            <v>12368.13</v>
          </cell>
          <cell r="J66">
            <v>2084503.11</v>
          </cell>
          <cell r="K66">
            <v>4.6540000000000002E-3</v>
          </cell>
          <cell r="L66">
            <v>0.78438399999999997</v>
          </cell>
          <cell r="M66" t="str">
            <v>B</v>
          </cell>
        </row>
        <row r="67">
          <cell r="C67" t="str">
            <v>7.3.1</v>
          </cell>
          <cell r="D67">
            <v>79627</v>
          </cell>
          <cell r="E67" t="str">
            <v>DIVISORIA EM GRANITO BRANCO POLIDO, ESP = 3CM, ASSENTADO COM ARGAMASSA TRACO 1:4, ARREMATE EM CIMENTO BRANCO</v>
          </cell>
          <cell r="F67" t="str">
            <v>m²</v>
          </cell>
          <cell r="G67">
            <v>17.739999999999998</v>
          </cell>
          <cell r="H67">
            <v>678.38</v>
          </cell>
          <cell r="I67">
            <v>12034.46</v>
          </cell>
          <cell r="J67">
            <v>2096537.57</v>
          </cell>
          <cell r="K67">
            <v>4.5279999999999999E-3</v>
          </cell>
          <cell r="L67">
            <v>0.78891299999999998</v>
          </cell>
          <cell r="M67" t="str">
            <v>B</v>
          </cell>
        </row>
        <row r="68">
          <cell r="C68" t="str">
            <v>15.3.14</v>
          </cell>
          <cell r="D68">
            <v>72254</v>
          </cell>
          <cell r="E68" t="str">
            <v>CABO DE COBRE NU 50MM2 - FORNECIMENTO E INSTALACAO</v>
          </cell>
          <cell r="F68" t="str">
            <v>m</v>
          </cell>
          <cell r="G68">
            <v>430.2</v>
          </cell>
          <cell r="H68">
            <v>25.96</v>
          </cell>
          <cell r="I68">
            <v>11167.99</v>
          </cell>
          <cell r="J68">
            <v>2107705.56</v>
          </cell>
          <cell r="K68">
            <v>4.202E-3</v>
          </cell>
          <cell r="L68">
            <v>0.79311500000000001</v>
          </cell>
          <cell r="M68" t="str">
            <v>B</v>
          </cell>
        </row>
        <row r="69">
          <cell r="C69" t="str">
            <v>15.17.1</v>
          </cell>
          <cell r="D69" t="str">
            <v>COMP-26</v>
          </cell>
          <cell r="E69" t="str">
            <v>ELETRODUTO metalico,rigido pesado,com conexões Ø 32 mm (1")</v>
          </cell>
          <cell r="F69" t="str">
            <v>m</v>
          </cell>
          <cell r="G69">
            <v>128.1</v>
          </cell>
          <cell r="H69">
            <v>83.39</v>
          </cell>
          <cell r="I69">
            <v>10682.26</v>
          </cell>
          <cell r="J69">
            <v>2118387.8199999998</v>
          </cell>
          <cell r="K69">
            <v>4.0200000000000001E-3</v>
          </cell>
          <cell r="L69">
            <v>0.79713500000000004</v>
          </cell>
          <cell r="M69" t="str">
            <v>B</v>
          </cell>
        </row>
        <row r="70">
          <cell r="C70" t="str">
            <v>17.1.1</v>
          </cell>
          <cell r="D70" t="str">
            <v>74236/001</v>
          </cell>
          <cell r="E70" t="str">
            <v>GRAMA BATATAIS EM PLACAS</v>
          </cell>
          <cell r="F70" t="str">
            <v>m²</v>
          </cell>
          <cell r="G70">
            <v>761.28</v>
          </cell>
          <cell r="H70">
            <v>13.81</v>
          </cell>
          <cell r="I70">
            <v>10513.28</v>
          </cell>
          <cell r="J70">
            <v>2128901.1</v>
          </cell>
          <cell r="K70">
            <v>3.9560000000000003E-3</v>
          </cell>
          <cell r="L70">
            <v>0.801091</v>
          </cell>
          <cell r="M70" t="str">
            <v>B</v>
          </cell>
        </row>
        <row r="71">
          <cell r="C71" t="str">
            <v>1.1.4</v>
          </cell>
          <cell r="D71" t="str">
            <v>01.01.07.05</v>
          </cell>
          <cell r="E71" t="str">
            <v>Despesas com refeição - almoço</v>
          </cell>
          <cell r="F71" t="str">
            <v>und</v>
          </cell>
          <cell r="G71">
            <v>2469</v>
          </cell>
          <cell r="H71">
            <v>4.2</v>
          </cell>
          <cell r="I71">
            <v>10369.799999999999</v>
          </cell>
          <cell r="J71">
            <v>2139270.9</v>
          </cell>
          <cell r="K71">
            <v>3.9020000000000001E-3</v>
          </cell>
          <cell r="L71">
            <v>0.80499299999999996</v>
          </cell>
          <cell r="M71" t="str">
            <v>B</v>
          </cell>
        </row>
        <row r="72">
          <cell r="C72" t="str">
            <v>7.1.1</v>
          </cell>
          <cell r="D72" t="str">
            <v>13.05.03</v>
          </cell>
          <cell r="E72" t="str">
            <v>Peitoril de granito, L=15,00cm, e=2,00cm</v>
          </cell>
          <cell r="F72" t="str">
            <v>m</v>
          </cell>
          <cell r="G72">
            <v>173.22</v>
          </cell>
          <cell r="H72">
            <v>59.56</v>
          </cell>
          <cell r="I72">
            <v>10316.98</v>
          </cell>
          <cell r="J72">
            <v>2149587.88</v>
          </cell>
          <cell r="K72">
            <v>3.882E-3</v>
          </cell>
          <cell r="L72">
            <v>0.80887500000000001</v>
          </cell>
          <cell r="M72" t="str">
            <v>B</v>
          </cell>
        </row>
        <row r="73">
          <cell r="C73" t="str">
            <v>17.3.1</v>
          </cell>
          <cell r="D73" t="str">
            <v>01740.8.1.1</v>
          </cell>
          <cell r="E73" t="str">
            <v>LIMPEZA geral da edificação</v>
          </cell>
          <cell r="F73" t="str">
            <v>m²</v>
          </cell>
          <cell r="G73">
            <v>1876.41</v>
          </cell>
          <cell r="H73">
            <v>5.43</v>
          </cell>
          <cell r="I73">
            <v>10188.91</v>
          </cell>
          <cell r="J73">
            <v>2159776.79</v>
          </cell>
          <cell r="K73">
            <v>3.8340000000000002E-3</v>
          </cell>
          <cell r="L73">
            <v>0.81270900000000001</v>
          </cell>
          <cell r="M73" t="str">
            <v>B</v>
          </cell>
        </row>
        <row r="74">
          <cell r="C74" t="str">
            <v>15.8.1</v>
          </cell>
          <cell r="D74" t="str">
            <v>18.02.01</v>
          </cell>
          <cell r="E74" t="str">
            <v>Eletrocalha perfurada tipo U com tampa (50x50)mm, com conexões</v>
          </cell>
          <cell r="F74" t="str">
            <v>m</v>
          </cell>
          <cell r="G74">
            <v>353.9</v>
          </cell>
          <cell r="H74">
            <v>28.59</v>
          </cell>
          <cell r="I74">
            <v>10118</v>
          </cell>
          <cell r="J74">
            <v>2169894.79</v>
          </cell>
          <cell r="K74">
            <v>3.8070000000000001E-3</v>
          </cell>
          <cell r="L74">
            <v>0.81651600000000002</v>
          </cell>
          <cell r="M74" t="str">
            <v>B</v>
          </cell>
        </row>
        <row r="75">
          <cell r="C75" t="str">
            <v>1.3.2</v>
          </cell>
          <cell r="D75" t="str">
            <v>01520.8.1.1</v>
          </cell>
          <cell r="E75" t="str">
            <v>ABRIGO PROVISÓRIO de madeira executado na obra para alojamento e depósito de materiais e ferramentas</v>
          </cell>
          <cell r="F75" t="str">
            <v>m²</v>
          </cell>
          <cell r="G75">
            <v>35</v>
          </cell>
          <cell r="H75">
            <v>274.16000000000003</v>
          </cell>
          <cell r="I75">
            <v>9595.6</v>
          </cell>
          <cell r="J75">
            <v>2179490.39</v>
          </cell>
          <cell r="K75">
            <v>3.6110000000000001E-3</v>
          </cell>
          <cell r="L75">
            <v>0.82012700000000005</v>
          </cell>
          <cell r="M75" t="str">
            <v>B</v>
          </cell>
        </row>
        <row r="76">
          <cell r="C76" t="str">
            <v>3.3.2</v>
          </cell>
          <cell r="D76" t="str">
            <v>03210.8.1.3</v>
          </cell>
          <cell r="E76" t="str">
            <v>ARMADURA de aço para estruturas em geral, CA-50, diâmetro 8,0 mm, corte e dobra na obra</v>
          </cell>
          <cell r="F76" t="str">
            <v>kg</v>
          </cell>
          <cell r="G76">
            <v>1257.9000000000001</v>
          </cell>
          <cell r="H76">
            <v>7.55</v>
          </cell>
          <cell r="I76">
            <v>9497.15</v>
          </cell>
          <cell r="J76">
            <v>2188987.54</v>
          </cell>
          <cell r="K76">
            <v>3.5739999999999999E-3</v>
          </cell>
          <cell r="L76">
            <v>0.82370100000000002</v>
          </cell>
          <cell r="M76" t="str">
            <v>B</v>
          </cell>
        </row>
        <row r="77">
          <cell r="C77" t="str">
            <v>2.3.1</v>
          </cell>
          <cell r="D77" t="str">
            <v>02315.8.7.1</v>
          </cell>
          <cell r="E77" t="str">
            <v>Reaterro manual de vala apiloado</v>
          </cell>
          <cell r="F77" t="str">
            <v>m³</v>
          </cell>
          <cell r="G77">
            <v>309.67</v>
          </cell>
          <cell r="H77">
            <v>30.54</v>
          </cell>
          <cell r="I77">
            <v>9457.32</v>
          </cell>
          <cell r="J77">
            <v>2198444.86</v>
          </cell>
          <cell r="K77">
            <v>3.5590000000000001E-3</v>
          </cell>
          <cell r="L77">
            <v>0.82726</v>
          </cell>
          <cell r="M77" t="str">
            <v>B</v>
          </cell>
        </row>
        <row r="78">
          <cell r="C78" t="str">
            <v>16.1.6</v>
          </cell>
          <cell r="D78" t="str">
            <v>09115.8.11.1</v>
          </cell>
          <cell r="E78" t="str">
            <v>PINTURA com tinta acrilica em parede externa, com duas demãos, sem massa corrida</v>
          </cell>
          <cell r="F78" t="str">
            <v>m²</v>
          </cell>
          <cell r="G78">
            <v>895.56</v>
          </cell>
          <cell r="H78">
            <v>10.42</v>
          </cell>
          <cell r="I78">
            <v>9331.74</v>
          </cell>
          <cell r="J78">
            <v>2207776.6</v>
          </cell>
          <cell r="K78">
            <v>3.5109999999999998E-3</v>
          </cell>
          <cell r="L78">
            <v>0.83077100000000004</v>
          </cell>
          <cell r="M78" t="str">
            <v>B</v>
          </cell>
        </row>
        <row r="79">
          <cell r="C79" t="str">
            <v>14.1.1</v>
          </cell>
          <cell r="D79" t="str">
            <v>15410.8.12.1</v>
          </cell>
          <cell r="E79" t="str">
            <v>LAVATÓRIO de louça de embutir (cuba) , com torneira de pressão e acessórios</v>
          </cell>
          <cell r="F79" t="str">
            <v>unid</v>
          </cell>
          <cell r="G79">
            <v>31</v>
          </cell>
          <cell r="H79">
            <v>298.20999999999998</v>
          </cell>
          <cell r="I79">
            <v>9244.51</v>
          </cell>
          <cell r="J79">
            <v>2217021.11</v>
          </cell>
          <cell r="K79">
            <v>3.4789999999999999E-3</v>
          </cell>
          <cell r="L79">
            <v>0.83425000000000005</v>
          </cell>
          <cell r="M79" t="str">
            <v>B</v>
          </cell>
        </row>
        <row r="80">
          <cell r="C80" t="str">
            <v>9.1.2</v>
          </cell>
          <cell r="D80" t="str">
            <v>12.01.05</v>
          </cell>
          <cell r="E80" t="str">
            <v>Emboço para parede interna ou externa, argamassa traço 1:4, e=20,00mm - peneirada</v>
          </cell>
          <cell r="F80" t="str">
            <v>m²</v>
          </cell>
          <cell r="G80">
            <v>530.78</v>
          </cell>
          <cell r="H80">
            <v>17.39</v>
          </cell>
          <cell r="I80">
            <v>9230.26</v>
          </cell>
          <cell r="J80">
            <v>2226251.37</v>
          </cell>
          <cell r="K80">
            <v>3.473E-3</v>
          </cell>
          <cell r="L80">
            <v>0.837723</v>
          </cell>
          <cell r="M80" t="str">
            <v>B</v>
          </cell>
        </row>
        <row r="81">
          <cell r="C81" t="str">
            <v>15.8.2</v>
          </cell>
          <cell r="D81" t="str">
            <v>18.02.14</v>
          </cell>
          <cell r="E81" t="str">
            <v xml:space="preserve">Eletrocalha perfurada tipo U com tampa (100x100)mm, com conexões  </v>
          </cell>
          <cell r="F81" t="str">
            <v>m</v>
          </cell>
          <cell r="G81">
            <v>190.8</v>
          </cell>
          <cell r="H81">
            <v>47.48</v>
          </cell>
          <cell r="I81">
            <v>9059.18</v>
          </cell>
          <cell r="J81">
            <v>2235310.5499999998</v>
          </cell>
          <cell r="K81">
            <v>3.4090000000000001E-3</v>
          </cell>
          <cell r="L81">
            <v>0.84113199999999999</v>
          </cell>
          <cell r="M81" t="str">
            <v>B</v>
          </cell>
        </row>
        <row r="82">
          <cell r="C82" t="str">
            <v>15.3.13</v>
          </cell>
          <cell r="D82">
            <v>72253</v>
          </cell>
          <cell r="E82" t="str">
            <v>CABO DE COBRE NU 35MM2 - FORNECIMENTO E INSTALACAO</v>
          </cell>
          <cell r="F82" t="str">
            <v>m</v>
          </cell>
          <cell r="G82">
            <v>446.7</v>
          </cell>
          <cell r="H82">
            <v>19.399999999999999</v>
          </cell>
          <cell r="I82">
            <v>8665.98</v>
          </cell>
          <cell r="J82">
            <v>2243976.5299999998</v>
          </cell>
          <cell r="K82">
            <v>3.261E-3</v>
          </cell>
          <cell r="L82">
            <v>0.84439299999999995</v>
          </cell>
          <cell r="M82" t="str">
            <v>B</v>
          </cell>
        </row>
        <row r="83">
          <cell r="C83" t="str">
            <v>12.6.2</v>
          </cell>
          <cell r="D83" t="str">
            <v>DERDREN078</v>
          </cell>
          <cell r="E83" t="str">
            <v xml:space="preserve">Caixa coletora de sarjeta - CCS 01 com grelha de concreto </v>
          </cell>
          <cell r="F83" t="str">
            <v>unid</v>
          </cell>
          <cell r="G83">
            <v>5</v>
          </cell>
          <cell r="H83">
            <v>1699.29</v>
          </cell>
          <cell r="I83">
            <v>8496.4500000000007</v>
          </cell>
          <cell r="J83">
            <v>2252472.98</v>
          </cell>
          <cell r="K83">
            <v>3.1970000000000002E-3</v>
          </cell>
          <cell r="L83">
            <v>0.84758999999999995</v>
          </cell>
          <cell r="M83" t="str">
            <v>B</v>
          </cell>
        </row>
        <row r="84">
          <cell r="C84" t="str">
            <v>8.2.3</v>
          </cell>
          <cell r="D84" t="str">
            <v>07320.8.12.4</v>
          </cell>
          <cell r="E84" t="str">
            <v>CUMEEIRA normal ou articulada de fibrocimento para telha perfil ondulado e=6 ou 8 mm</v>
          </cell>
          <cell r="F84" t="str">
            <v>m</v>
          </cell>
          <cell r="G84">
            <v>141.71</v>
          </cell>
          <cell r="H84">
            <v>58.63</v>
          </cell>
          <cell r="I84">
            <v>8308.4599999999991</v>
          </cell>
          <cell r="J84">
            <v>2260781.44</v>
          </cell>
          <cell r="K84">
            <v>3.1259999999999999E-3</v>
          </cell>
          <cell r="L84">
            <v>0.85071600000000003</v>
          </cell>
          <cell r="M84" t="str">
            <v>B</v>
          </cell>
        </row>
        <row r="85">
          <cell r="C85" t="str">
            <v>4.2.5</v>
          </cell>
          <cell r="D85" t="str">
            <v>03.01.09</v>
          </cell>
          <cell r="E85" t="str">
            <v>Ferragem CA-50A - 5/8" - 16,00mm</v>
          </cell>
          <cell r="F85" t="str">
            <v>kg</v>
          </cell>
          <cell r="G85">
            <v>1108.8</v>
          </cell>
          <cell r="H85">
            <v>7.46</v>
          </cell>
          <cell r="I85">
            <v>8271.65</v>
          </cell>
          <cell r="J85">
            <v>2269053.09</v>
          </cell>
          <cell r="K85">
            <v>3.1129999999999999E-3</v>
          </cell>
          <cell r="L85">
            <v>0.85382899999999995</v>
          </cell>
          <cell r="M85" t="str">
            <v>B</v>
          </cell>
        </row>
        <row r="86">
          <cell r="C86" t="str">
            <v>15.19.5</v>
          </cell>
          <cell r="D86">
            <v>83391</v>
          </cell>
          <cell r="E86" t="str">
            <v>Reator eletrônico p/ fluorescente tubular 2x40W</v>
          </cell>
          <cell r="F86" t="str">
            <v>unid</v>
          </cell>
          <cell r="G86">
            <v>249</v>
          </cell>
          <cell r="H86">
            <v>32.729999999999997</v>
          </cell>
          <cell r="I86">
            <v>8149.77</v>
          </cell>
          <cell r="J86">
            <v>2277202.86</v>
          </cell>
          <cell r="K86">
            <v>3.0669999999999998E-3</v>
          </cell>
          <cell r="L86">
            <v>0.85689599999999999</v>
          </cell>
          <cell r="M86" t="str">
            <v>B</v>
          </cell>
        </row>
        <row r="87">
          <cell r="C87" t="str">
            <v>6.1.15</v>
          </cell>
          <cell r="D87" t="str">
            <v>08110.8.2.2</v>
          </cell>
          <cell r="E87" t="str">
            <v>GRADIL DE FERRO, colocação e acabamento malha=65x132mm, barras verticais, largura=25mm, espessura=3mm (7,00 x 2,10)m</v>
          </cell>
          <cell r="F87" t="str">
            <v>m²</v>
          </cell>
          <cell r="G87">
            <v>29.4</v>
          </cell>
          <cell r="H87">
            <v>271.14</v>
          </cell>
          <cell r="I87">
            <v>7971.52</v>
          </cell>
          <cell r="J87">
            <v>2285174.38</v>
          </cell>
          <cell r="K87">
            <v>3.0000000000000001E-3</v>
          </cell>
          <cell r="L87">
            <v>0.85989499999999996</v>
          </cell>
          <cell r="M87" t="str">
            <v>B</v>
          </cell>
        </row>
        <row r="88">
          <cell r="C88" t="str">
            <v>1.2.2</v>
          </cell>
          <cell r="D88" t="str">
            <v>02595.8.1.1</v>
          </cell>
          <cell r="E88" t="str">
            <v>LOCAÇÃO da obra, execução de gabarito</v>
          </cell>
          <cell r="F88" t="str">
            <v>m²</v>
          </cell>
          <cell r="G88">
            <v>1876.41</v>
          </cell>
          <cell r="H88">
            <v>4.16</v>
          </cell>
          <cell r="I88">
            <v>7805.87</v>
          </cell>
          <cell r="J88">
            <v>2292980.25</v>
          </cell>
          <cell r="K88">
            <v>2.9369999999999999E-3</v>
          </cell>
          <cell r="L88">
            <v>0.86283299999999996</v>
          </cell>
          <cell r="M88" t="str">
            <v>B</v>
          </cell>
        </row>
        <row r="89">
          <cell r="C89" t="str">
            <v>3.3.6</v>
          </cell>
          <cell r="D89" t="str">
            <v>03.01.03</v>
          </cell>
          <cell r="E89" t="str">
            <v>Ferragem CA-60 fina - 3,40 a 6,00mm</v>
          </cell>
          <cell r="F89" t="str">
            <v>kg</v>
          </cell>
          <cell r="G89">
            <v>882.8</v>
          </cell>
          <cell r="H89">
            <v>8.65</v>
          </cell>
          <cell r="I89">
            <v>7636.22</v>
          </cell>
          <cell r="J89">
            <v>2300616.4700000002</v>
          </cell>
          <cell r="K89">
            <v>2.8730000000000001E-3</v>
          </cell>
          <cell r="L89">
            <v>0.86570599999999998</v>
          </cell>
          <cell r="M89" t="str">
            <v>B</v>
          </cell>
        </row>
        <row r="90">
          <cell r="C90" t="str">
            <v>12.6.5</v>
          </cell>
          <cell r="D90">
            <v>9820</v>
          </cell>
          <cell r="E90" t="str">
            <v>TUBO PVC EB-644 P/ REDE COLET ESG JE DN 250MM</v>
          </cell>
          <cell r="F90" t="str">
            <v>m</v>
          </cell>
          <cell r="G90">
            <v>105</v>
          </cell>
          <cell r="H90">
            <v>72.28</v>
          </cell>
          <cell r="I90">
            <v>7589.4</v>
          </cell>
          <cell r="J90">
            <v>2308205.87</v>
          </cell>
          <cell r="K90">
            <v>2.856E-3</v>
          </cell>
          <cell r="L90">
            <v>0.86856199999999995</v>
          </cell>
          <cell r="M90" t="str">
            <v>B</v>
          </cell>
        </row>
        <row r="91">
          <cell r="C91" t="str">
            <v>3.1.1</v>
          </cell>
          <cell r="D91" t="str">
            <v>02710.8.6.2</v>
          </cell>
          <cell r="E91" t="str">
            <v>Lastro de concreto (contra-piso) , incluindo preparo de caixa, e = 5 cm</v>
          </cell>
          <cell r="F91" t="str">
            <v>m²</v>
          </cell>
          <cell r="G91">
            <v>287.12</v>
          </cell>
          <cell r="H91">
            <v>26.19</v>
          </cell>
          <cell r="I91">
            <v>7519.67</v>
          </cell>
          <cell r="J91">
            <v>2315725.54</v>
          </cell>
          <cell r="K91">
            <v>2.8300000000000001E-3</v>
          </cell>
          <cell r="L91">
            <v>0.87139200000000006</v>
          </cell>
          <cell r="M91" t="str">
            <v>B</v>
          </cell>
        </row>
        <row r="92">
          <cell r="C92" t="str">
            <v>15.22.1</v>
          </cell>
          <cell r="D92">
            <v>91195</v>
          </cell>
          <cell r="E92" t="str">
            <v>Barra Chata em Aluminio - Com furos 7/8'' x 1/8''</v>
          </cell>
          <cell r="F92" t="str">
            <v>m</v>
          </cell>
          <cell r="G92">
            <v>554.5</v>
          </cell>
          <cell r="H92">
            <v>13.56</v>
          </cell>
          <cell r="I92">
            <v>7519.02</v>
          </cell>
          <cell r="J92">
            <v>2323244.56</v>
          </cell>
          <cell r="K92">
            <v>2.8289999999999999E-3</v>
          </cell>
          <cell r="L92">
            <v>0.87422100000000003</v>
          </cell>
          <cell r="M92" t="str">
            <v>B</v>
          </cell>
        </row>
        <row r="93">
          <cell r="C93" t="str">
            <v>15.4.5</v>
          </cell>
          <cell r="D93" t="str">
            <v>COMP-22</v>
          </cell>
          <cell r="E93" t="str">
            <v>Interruptor bipolar DR (fase/fase - In 30mA) - DIN 25A</v>
          </cell>
          <cell r="F93" t="str">
            <v>unid</v>
          </cell>
          <cell r="G93">
            <v>106</v>
          </cell>
          <cell r="H93">
            <v>70.650000000000006</v>
          </cell>
          <cell r="I93">
            <v>7488.9</v>
          </cell>
          <cell r="J93">
            <v>2330733.46</v>
          </cell>
          <cell r="K93">
            <v>2.8180000000000002E-3</v>
          </cell>
          <cell r="L93">
            <v>0.87703900000000001</v>
          </cell>
          <cell r="M93" t="str">
            <v>B</v>
          </cell>
        </row>
        <row r="94">
          <cell r="C94" t="str">
            <v>1.2.3</v>
          </cell>
          <cell r="D94" t="str">
            <v>DERSEGT004</v>
          </cell>
          <cell r="E94" t="str">
            <v>Área de Vivência</v>
          </cell>
          <cell r="F94" t="str">
            <v>m²</v>
          </cell>
          <cell r="G94">
            <v>57</v>
          </cell>
          <cell r="H94">
            <v>130.08000000000001</v>
          </cell>
          <cell r="I94">
            <v>7414.56</v>
          </cell>
          <cell r="J94">
            <v>2338148.02</v>
          </cell>
          <cell r="K94">
            <v>2.7899999999999999E-3</v>
          </cell>
          <cell r="L94">
            <v>0.87982899999999997</v>
          </cell>
          <cell r="M94" t="str">
            <v>B</v>
          </cell>
        </row>
        <row r="95">
          <cell r="C95" t="str">
            <v>6.1.12</v>
          </cell>
          <cell r="D95" t="str">
            <v>08110.8.2.2</v>
          </cell>
          <cell r="E95" t="str">
            <v>GRADIL DE FERRO, colocação e acabamento malha=65x132mm, barras verticais, largura=25mm, espessura=3mm (6,50 x 2,10)m</v>
          </cell>
          <cell r="F95" t="str">
            <v>m²</v>
          </cell>
          <cell r="G95">
            <v>27.3</v>
          </cell>
          <cell r="H95">
            <v>271.14</v>
          </cell>
          <cell r="I95">
            <v>7402.12</v>
          </cell>
          <cell r="J95">
            <v>2345550.14</v>
          </cell>
          <cell r="K95">
            <v>2.7850000000000001E-3</v>
          </cell>
          <cell r="L95">
            <v>0.88261400000000001</v>
          </cell>
          <cell r="M95" t="str">
            <v>B</v>
          </cell>
        </row>
        <row r="96">
          <cell r="C96" t="str">
            <v>15.17.2</v>
          </cell>
          <cell r="D96" t="str">
            <v>COMP-27</v>
          </cell>
          <cell r="E96" t="str">
            <v>ELETRODUTO metalico,rigido pesado,com conexões Ø 40 mm (1.1/4")</v>
          </cell>
          <cell r="F96" t="str">
            <v>m</v>
          </cell>
          <cell r="G96">
            <v>58.2</v>
          </cell>
          <cell r="H96">
            <v>125.39</v>
          </cell>
          <cell r="I96">
            <v>7297.7</v>
          </cell>
          <cell r="J96">
            <v>2352847.84</v>
          </cell>
          <cell r="K96">
            <v>2.7460000000000002E-3</v>
          </cell>
          <cell r="L96">
            <v>0.88536000000000004</v>
          </cell>
          <cell r="M96" t="str">
            <v>B</v>
          </cell>
        </row>
        <row r="97">
          <cell r="C97" t="str">
            <v>14.1.5</v>
          </cell>
          <cell r="D97" t="str">
            <v>15410.8.3.3</v>
          </cell>
          <cell r="E97" t="str">
            <v>BACIA de louça com caixa acoplada, com tampa e acessórios</v>
          </cell>
          <cell r="F97" t="str">
            <v>unid</v>
          </cell>
          <cell r="G97">
            <v>30</v>
          </cell>
          <cell r="H97">
            <v>234.67</v>
          </cell>
          <cell r="I97">
            <v>7040.1</v>
          </cell>
          <cell r="J97">
            <v>2359887.94</v>
          </cell>
          <cell r="K97">
            <v>2.6489999999999999E-3</v>
          </cell>
          <cell r="L97">
            <v>0.88800999999999997</v>
          </cell>
          <cell r="M97" t="str">
            <v>B</v>
          </cell>
        </row>
        <row r="98">
          <cell r="C98" t="str">
            <v>15.11.2</v>
          </cell>
          <cell r="D98">
            <v>68069</v>
          </cell>
          <cell r="E98" t="str">
            <v>Haste copperwerld 5/8 x 3,0 com conector</v>
          </cell>
          <cell r="F98" t="str">
            <v>unid</v>
          </cell>
          <cell r="G98">
            <v>170</v>
          </cell>
          <cell r="H98">
            <v>39.42</v>
          </cell>
          <cell r="I98">
            <v>6701.4</v>
          </cell>
          <cell r="J98">
            <v>2366589.34</v>
          </cell>
          <cell r="K98">
            <v>2.5219999999999999E-3</v>
          </cell>
          <cell r="L98">
            <v>0.89053099999999996</v>
          </cell>
          <cell r="M98" t="str">
            <v>B</v>
          </cell>
        </row>
        <row r="99">
          <cell r="C99" t="str">
            <v>9.2.1</v>
          </cell>
          <cell r="D99" t="str">
            <v>09500.8.6.2</v>
          </cell>
          <cell r="E99" t="str">
            <v>FORRO de PVC em painéis lineares encaixados entre si e fixados em estrutura de madeira (dimensão: 200 x 6000 mm)</v>
          </cell>
          <cell r="F99" t="str">
            <v>m²</v>
          </cell>
          <cell r="G99">
            <v>182.97</v>
          </cell>
          <cell r="H99">
            <v>36.520000000000003</v>
          </cell>
          <cell r="I99">
            <v>6682.06</v>
          </cell>
          <cell r="J99">
            <v>2373271.4</v>
          </cell>
          <cell r="K99">
            <v>2.5140000000000002E-3</v>
          </cell>
          <cell r="L99">
            <v>0.89304600000000001</v>
          </cell>
          <cell r="M99" t="str">
            <v>B</v>
          </cell>
        </row>
        <row r="100">
          <cell r="C100" t="str">
            <v>15.3.2</v>
          </cell>
          <cell r="D100" t="str">
            <v>16120.8.1.58</v>
          </cell>
          <cell r="E100" t="str">
            <v>CABO ISOLADO em PVC seção 25 mm² - 0,6/1kV - 70°C - flexível</v>
          </cell>
          <cell r="F100" t="str">
            <v>m</v>
          </cell>
          <cell r="G100">
            <v>452.7</v>
          </cell>
          <cell r="H100">
            <v>14.33</v>
          </cell>
          <cell r="I100">
            <v>6487.19</v>
          </cell>
          <cell r="J100">
            <v>2379758.59</v>
          </cell>
          <cell r="K100">
            <v>2.441E-3</v>
          </cell>
          <cell r="L100">
            <v>0.89548700000000003</v>
          </cell>
          <cell r="M100" t="str">
            <v>B</v>
          </cell>
        </row>
        <row r="101">
          <cell r="C101" t="str">
            <v>12.6.1</v>
          </cell>
          <cell r="D101" t="str">
            <v>comp-07</v>
          </cell>
          <cell r="E101" t="str">
            <v>Caixa de passagem em alvenaria 1/2 vez tij. 6 furos, com tampa em concreto armado - (70,00x70,00x70,00)cm</v>
          </cell>
          <cell r="F101" t="str">
            <v>unid</v>
          </cell>
          <cell r="G101">
            <v>20</v>
          </cell>
          <cell r="H101">
            <v>321.3</v>
          </cell>
          <cell r="I101">
            <v>6426</v>
          </cell>
          <cell r="J101">
            <v>2386184.59</v>
          </cell>
          <cell r="K101">
            <v>2.418E-3</v>
          </cell>
          <cell r="L101">
            <v>0.89790499999999995</v>
          </cell>
          <cell r="M101" t="str">
            <v>B</v>
          </cell>
        </row>
        <row r="102">
          <cell r="C102" t="str">
            <v>9.2.4</v>
          </cell>
          <cell r="D102" t="str">
            <v>12.02.04</v>
          </cell>
          <cell r="E102" t="str">
            <v>Reboco paulista (emboço traço 1:4 + reboco traço 1:5) para forros, e=25,00mm</v>
          </cell>
          <cell r="F102" t="str">
            <v>m²</v>
          </cell>
          <cell r="G102">
            <v>180</v>
          </cell>
          <cell r="H102">
            <v>35.479999999999997</v>
          </cell>
          <cell r="I102">
            <v>6386.4</v>
          </cell>
          <cell r="J102">
            <v>2392570.9900000002</v>
          </cell>
          <cell r="K102">
            <v>2.4030000000000002E-3</v>
          </cell>
          <cell r="L102">
            <v>0.900308</v>
          </cell>
          <cell r="M102" t="str">
            <v>B</v>
          </cell>
        </row>
        <row r="103">
          <cell r="C103" t="str">
            <v>14.3.2</v>
          </cell>
          <cell r="D103" t="str">
            <v>07110.8.4.1</v>
          </cell>
          <cell r="E103" t="str">
            <v>IMPERMEABILIZAÇÃO de piso com três demãos de emulsão asfáltica</v>
          </cell>
          <cell r="F103" t="str">
            <v>m²</v>
          </cell>
          <cell r="G103">
            <v>311.92</v>
          </cell>
          <cell r="H103">
            <v>19.2</v>
          </cell>
          <cell r="I103">
            <v>5988.86</v>
          </cell>
          <cell r="J103">
            <v>2398559.85</v>
          </cell>
          <cell r="K103">
            <v>2.2539999999999999E-3</v>
          </cell>
          <cell r="L103">
            <v>0.90256199999999998</v>
          </cell>
          <cell r="M103" t="str">
            <v>B</v>
          </cell>
        </row>
        <row r="104">
          <cell r="C104" t="str">
            <v>8.2.2</v>
          </cell>
          <cell r="D104" t="str">
            <v>09.02.39</v>
          </cell>
          <cell r="E104" t="str">
            <v>Telha ondulada aluzinco/galvalume, e=0,43mm</v>
          </cell>
          <cell r="F104" t="str">
            <v>m²</v>
          </cell>
          <cell r="G104">
            <v>190.15</v>
          </cell>
          <cell r="H104">
            <v>30.32</v>
          </cell>
          <cell r="I104">
            <v>5765.35</v>
          </cell>
          <cell r="J104">
            <v>2404325.2000000002</v>
          </cell>
          <cell r="K104">
            <v>2.1689999999999999E-3</v>
          </cell>
          <cell r="L104">
            <v>0.90473099999999995</v>
          </cell>
          <cell r="M104" t="str">
            <v>B</v>
          </cell>
        </row>
        <row r="105">
          <cell r="C105" t="str">
            <v>12.3.3</v>
          </cell>
          <cell r="D105" t="str">
            <v>15.01.04</v>
          </cell>
          <cell r="E105" t="str">
            <v>Tubo de PVC rígido para esgoto, Ø=100mm  - ref.: tigre ou equivalente</v>
          </cell>
          <cell r="F105" t="str">
            <v>m</v>
          </cell>
          <cell r="G105">
            <v>187.46</v>
          </cell>
          <cell r="H105">
            <v>30.43</v>
          </cell>
          <cell r="I105">
            <v>5704.41</v>
          </cell>
          <cell r="J105">
            <v>2410029.61</v>
          </cell>
          <cell r="K105">
            <v>2.147E-3</v>
          </cell>
          <cell r="L105">
            <v>0.90687799999999996</v>
          </cell>
          <cell r="M105" t="str">
            <v>B</v>
          </cell>
        </row>
        <row r="106">
          <cell r="C106" t="str">
            <v>1.1.5</v>
          </cell>
          <cell r="D106" t="str">
            <v>01.01.07.06</v>
          </cell>
          <cell r="E106" t="str">
            <v>Despesas com Equipamentos de Proteção Indiviual - EPI</v>
          </cell>
          <cell r="F106" t="str">
            <v>und</v>
          </cell>
          <cell r="G106">
            <v>114</v>
          </cell>
          <cell r="H106">
            <v>49.66</v>
          </cell>
          <cell r="I106">
            <v>5661.24</v>
          </cell>
          <cell r="J106">
            <v>2415690.85</v>
          </cell>
          <cell r="K106">
            <v>2.1299999999999999E-3</v>
          </cell>
          <cell r="L106">
            <v>0.90900800000000004</v>
          </cell>
          <cell r="M106" t="str">
            <v>B</v>
          </cell>
        </row>
        <row r="107">
          <cell r="C107" t="str">
            <v>8.4.1</v>
          </cell>
          <cell r="D107" t="str">
            <v>74106/001</v>
          </cell>
          <cell r="E107" t="str">
            <v>Impermeabilização de viga baldrame com tinta betuminosa , duas demãos</v>
          </cell>
          <cell r="F107" t="str">
            <v>m²</v>
          </cell>
          <cell r="G107">
            <v>961.24</v>
          </cell>
          <cell r="H107">
            <v>5.37</v>
          </cell>
          <cell r="I107">
            <v>5161.8599999999997</v>
          </cell>
          <cell r="J107">
            <v>2420852.71</v>
          </cell>
          <cell r="K107">
            <v>1.9419999999999999E-3</v>
          </cell>
          <cell r="L107">
            <v>0.91095000000000004</v>
          </cell>
          <cell r="M107" t="str">
            <v>B</v>
          </cell>
        </row>
        <row r="108">
          <cell r="C108" t="str">
            <v>12.6.8</v>
          </cell>
          <cell r="D108" t="str">
            <v>DERDREN065</v>
          </cell>
          <cell r="E108" t="str">
            <v>Sarjeta trapezoidal de concreto - SZC 02</v>
          </cell>
          <cell r="F108" t="str">
            <v>m</v>
          </cell>
          <cell r="G108">
            <v>150</v>
          </cell>
          <cell r="H108">
            <v>33.590000000000003</v>
          </cell>
          <cell r="I108">
            <v>5038.5</v>
          </cell>
          <cell r="J108">
            <v>2425891.21</v>
          </cell>
          <cell r="K108">
            <v>1.8959999999999999E-3</v>
          </cell>
          <cell r="L108">
            <v>0.91284600000000005</v>
          </cell>
          <cell r="M108" t="str">
            <v>B</v>
          </cell>
        </row>
        <row r="109">
          <cell r="C109" t="str">
            <v>6.1.7</v>
          </cell>
          <cell r="D109" t="str">
            <v>07.07.01</v>
          </cell>
          <cell r="E109" t="str">
            <v>Porta de aluminio com 01 ou 02 folhas simples com batentes (0,60 x 1,60)m</v>
          </cell>
          <cell r="F109" t="str">
            <v>m²</v>
          </cell>
          <cell r="G109">
            <v>12.48</v>
          </cell>
          <cell r="H109">
            <v>384.74</v>
          </cell>
          <cell r="I109">
            <v>4801.5600000000004</v>
          </cell>
          <cell r="J109">
            <v>2430692.77</v>
          </cell>
          <cell r="K109">
            <v>1.807E-3</v>
          </cell>
          <cell r="L109">
            <v>0.91465300000000005</v>
          </cell>
          <cell r="M109" t="str">
            <v>B</v>
          </cell>
        </row>
        <row r="110">
          <cell r="C110" t="str">
            <v>1.7.1</v>
          </cell>
          <cell r="D110" t="str">
            <v>02220.8.21.1</v>
          </cell>
          <cell r="E110" t="str">
            <v>Demolição mecanizada com transporte de bota fora</v>
          </cell>
          <cell r="F110" t="str">
            <v>m³</v>
          </cell>
          <cell r="G110">
            <v>302.06</v>
          </cell>
          <cell r="H110">
            <v>15.86</v>
          </cell>
          <cell r="I110">
            <v>4790.67</v>
          </cell>
          <cell r="J110">
            <v>2435483.44</v>
          </cell>
          <cell r="K110">
            <v>1.8029999999999999E-3</v>
          </cell>
          <cell r="L110">
            <v>0.91645600000000005</v>
          </cell>
          <cell r="M110" t="str">
            <v>B</v>
          </cell>
        </row>
        <row r="111">
          <cell r="C111" t="str">
            <v>6.2.2</v>
          </cell>
          <cell r="D111" t="str">
            <v>COMP-12</v>
          </cell>
          <cell r="E111" t="str">
            <v>PORTA de vidro temperado , com bandeira, com ferragem e mola hidráulica (espessura: 10 mm / vão: 2000 x 2850 mm) </v>
          </cell>
          <cell r="F111" t="str">
            <v>unid</v>
          </cell>
          <cell r="G111">
            <v>1</v>
          </cell>
          <cell r="H111">
            <v>4739.88</v>
          </cell>
          <cell r="I111">
            <v>4739.88</v>
          </cell>
          <cell r="J111">
            <v>2440223.3199999998</v>
          </cell>
          <cell r="K111">
            <v>1.784E-3</v>
          </cell>
          <cell r="L111">
            <v>0.91823900000000003</v>
          </cell>
          <cell r="M111" t="str">
            <v>B</v>
          </cell>
        </row>
        <row r="112">
          <cell r="C112" t="str">
            <v>15.9.2</v>
          </cell>
          <cell r="D112" t="str">
            <v>18.13.05</v>
          </cell>
          <cell r="E112" t="str">
            <v>Quadro de distribuição para disjuntor geral  tripolar, 225A, até 40 saídas com barramento  - ref.: cemar, general eletric, moratori ou equivalente</v>
          </cell>
          <cell r="F112" t="str">
            <v>unid</v>
          </cell>
          <cell r="G112">
            <v>8</v>
          </cell>
          <cell r="H112">
            <v>582.85</v>
          </cell>
          <cell r="I112">
            <v>4662.8</v>
          </cell>
          <cell r="J112">
            <v>2444886.12</v>
          </cell>
          <cell r="K112">
            <v>1.755E-3</v>
          </cell>
          <cell r="L112">
            <v>0.91999399999999998</v>
          </cell>
          <cell r="M112" t="str">
            <v>B</v>
          </cell>
        </row>
        <row r="113">
          <cell r="C113" t="str">
            <v>6.1.13</v>
          </cell>
          <cell r="D113" t="str">
            <v>08110.8.2.2</v>
          </cell>
          <cell r="E113" t="str">
            <v>GRADIL DE FERRO, colocação e acabamento malha=65x132mm, barras verticais, largura=25mm, espessura=3mm (8,00 x 2,10)m</v>
          </cell>
          <cell r="F113" t="str">
            <v>m²</v>
          </cell>
          <cell r="G113">
            <v>16.8</v>
          </cell>
          <cell r="H113">
            <v>271.14</v>
          </cell>
          <cell r="I113">
            <v>4555.1499999999996</v>
          </cell>
          <cell r="J113">
            <v>2449441.27</v>
          </cell>
          <cell r="K113">
            <v>1.714E-3</v>
          </cell>
          <cell r="L113">
            <v>0.92170799999999997</v>
          </cell>
          <cell r="M113" t="str">
            <v>B</v>
          </cell>
        </row>
        <row r="114">
          <cell r="C114" t="str">
            <v>1.1.3</v>
          </cell>
          <cell r="D114" t="str">
            <v>01.01.07.04</v>
          </cell>
          <cell r="E114" t="str">
            <v>Despesas com Vale Transporte</v>
          </cell>
          <cell r="F114" t="str">
            <v>und</v>
          </cell>
          <cell r="G114">
            <v>2469</v>
          </cell>
          <cell r="H114">
            <v>1.84</v>
          </cell>
          <cell r="I114">
            <v>4542.96</v>
          </cell>
          <cell r="J114">
            <v>2453984.23</v>
          </cell>
          <cell r="K114">
            <v>1.709E-3</v>
          </cell>
          <cell r="L114">
            <v>0.92341700000000004</v>
          </cell>
          <cell r="M114" t="str">
            <v>B</v>
          </cell>
        </row>
        <row r="115">
          <cell r="C115" t="str">
            <v>14.2.3</v>
          </cell>
          <cell r="D115" t="str">
            <v>15007.8.1.1</v>
          </cell>
          <cell r="E115" t="str">
            <v>BARRA DE APOIO para lavatório de louça, para portadores de deficiência física, comprimento 60 cm, largura 45 cm (Barra de apoio Bacia)</v>
          </cell>
          <cell r="F115" t="str">
            <v>unid</v>
          </cell>
          <cell r="G115">
            <v>20</v>
          </cell>
          <cell r="H115">
            <v>214.82</v>
          </cell>
          <cell r="I115">
            <v>4296.3999999999996</v>
          </cell>
          <cell r="J115">
            <v>2458280.63</v>
          </cell>
          <cell r="K115">
            <v>1.6169999999999999E-3</v>
          </cell>
          <cell r="L115">
            <v>0.92503400000000002</v>
          </cell>
          <cell r="M115" t="str">
            <v>B</v>
          </cell>
        </row>
        <row r="116">
          <cell r="C116" t="str">
            <v>15.5.4</v>
          </cell>
          <cell r="D116" t="str">
            <v>COMP-18</v>
          </cell>
          <cell r="E116" t="str">
            <v>Dispositivo Contra surto - 175 V - 40 KA</v>
          </cell>
          <cell r="F116" t="str">
            <v>unid</v>
          </cell>
          <cell r="G116">
            <v>56</v>
          </cell>
          <cell r="H116">
            <v>73.03</v>
          </cell>
          <cell r="I116">
            <v>4089.68</v>
          </cell>
          <cell r="J116">
            <v>2462370.31</v>
          </cell>
          <cell r="K116">
            <v>1.539E-3</v>
          </cell>
          <cell r="L116">
            <v>0.92657299999999998</v>
          </cell>
          <cell r="M116" t="str">
            <v>B</v>
          </cell>
        </row>
        <row r="117">
          <cell r="C117" t="str">
            <v>1.1.6</v>
          </cell>
          <cell r="D117" t="str">
            <v>01.01.07.07</v>
          </cell>
          <cell r="E117" t="str">
            <v xml:space="preserve">Despesas com exames médicos </v>
          </cell>
          <cell r="F117" t="str">
            <v>und</v>
          </cell>
          <cell r="G117">
            <v>114</v>
          </cell>
          <cell r="H117">
            <v>35</v>
          </cell>
          <cell r="I117">
            <v>3990</v>
          </cell>
          <cell r="J117">
            <v>2466360.31</v>
          </cell>
          <cell r="K117">
            <v>1.5009999999999999E-3</v>
          </cell>
          <cell r="L117">
            <v>0.92807399999999995</v>
          </cell>
          <cell r="M117" t="str">
            <v>B</v>
          </cell>
        </row>
        <row r="118">
          <cell r="C118" t="str">
            <v>10.5.2</v>
          </cell>
          <cell r="D118" t="str">
            <v>09609.8.1.1</v>
          </cell>
          <cell r="E118" t="str">
            <v>Piso tátil alerta/direcional 25x25 cm, ladrilho hidráulico - Área Interna</v>
          </cell>
          <cell r="F118" t="str">
            <v>m²</v>
          </cell>
          <cell r="G118">
            <v>58.04</v>
          </cell>
          <cell r="H118">
            <v>67.290000000000006</v>
          </cell>
          <cell r="I118">
            <v>3905.51</v>
          </cell>
          <cell r="J118">
            <v>2470265.8199999998</v>
          </cell>
          <cell r="K118">
            <v>1.47E-3</v>
          </cell>
          <cell r="L118">
            <v>0.92954400000000004</v>
          </cell>
          <cell r="M118" t="str">
            <v>B</v>
          </cell>
        </row>
        <row r="119">
          <cell r="C119" t="str">
            <v>12.6.4</v>
          </cell>
          <cell r="D119" t="str">
            <v>15.01.06</v>
          </cell>
          <cell r="E119" t="str">
            <v>Tubo de PVC rígido para esgoto, Ø=200mm  - ref.: tigre ou equivalente</v>
          </cell>
          <cell r="F119" t="str">
            <v>m</v>
          </cell>
          <cell r="G119">
            <v>50</v>
          </cell>
          <cell r="H119">
            <v>77.11</v>
          </cell>
          <cell r="I119">
            <v>3855.5</v>
          </cell>
          <cell r="J119">
            <v>2474121.3199999998</v>
          </cell>
          <cell r="K119">
            <v>1.451E-3</v>
          </cell>
          <cell r="L119">
            <v>0.93099500000000002</v>
          </cell>
          <cell r="M119" t="str">
            <v>B</v>
          </cell>
        </row>
        <row r="120">
          <cell r="C120" t="str">
            <v>15.14.1</v>
          </cell>
          <cell r="D120" t="str">
            <v>15.03.01</v>
          </cell>
          <cell r="E120" t="str">
            <v>Caixa de passagem em alvenaria 1/2 vez tij. 6 furos, com tampa em concreto armado - (30,00x30,00x30,00)cm</v>
          </cell>
          <cell r="F120" t="str">
            <v>unid</v>
          </cell>
          <cell r="G120">
            <v>61</v>
          </cell>
          <cell r="H120">
            <v>62.72</v>
          </cell>
          <cell r="I120">
            <v>3825.92</v>
          </cell>
          <cell r="J120">
            <v>2477947.2400000002</v>
          </cell>
          <cell r="K120">
            <v>1.4400000000000001E-3</v>
          </cell>
          <cell r="L120">
            <v>0.93243399999999999</v>
          </cell>
          <cell r="M120" t="str">
            <v>B</v>
          </cell>
        </row>
        <row r="121">
          <cell r="C121" t="str">
            <v>3.4.3</v>
          </cell>
          <cell r="D121" t="str">
            <v>03310.8.1.21</v>
          </cell>
          <cell r="E121" t="str">
            <v>CONCRETO estrutural virado em obra , controle "A", consistência para vibração, brita 1 e 2, fck 25 MPa</v>
          </cell>
          <cell r="F121" t="str">
            <v>m³</v>
          </cell>
          <cell r="G121">
            <v>9.35</v>
          </cell>
          <cell r="H121">
            <v>398.81</v>
          </cell>
          <cell r="I121">
            <v>3728.87</v>
          </cell>
          <cell r="J121">
            <v>2481676.11</v>
          </cell>
          <cell r="K121">
            <v>1.403E-3</v>
          </cell>
          <cell r="L121">
            <v>0.93383799999999995</v>
          </cell>
          <cell r="M121" t="str">
            <v>B</v>
          </cell>
        </row>
        <row r="122">
          <cell r="C122" t="str">
            <v>13.1.5</v>
          </cell>
          <cell r="D122" t="str">
            <v>13975.8.1.1</v>
          </cell>
          <cell r="E122" t="str">
            <v>ABRIGO para hidrante em chapa de aço carbono , com mangueira de Ø 65 mm (2 1/2") x 30 m</v>
          </cell>
          <cell r="F122" t="str">
            <v>unid</v>
          </cell>
          <cell r="G122">
            <v>3</v>
          </cell>
          <cell r="H122">
            <v>1238.8399999999999</v>
          </cell>
          <cell r="I122">
            <v>3716.52</v>
          </cell>
          <cell r="J122">
            <v>2485392.63</v>
          </cell>
          <cell r="K122">
            <v>1.3990000000000001E-3</v>
          </cell>
          <cell r="L122">
            <v>0.93523599999999996</v>
          </cell>
          <cell r="M122" t="str">
            <v>B</v>
          </cell>
        </row>
        <row r="123">
          <cell r="C123" t="str">
            <v>8.3.1</v>
          </cell>
          <cell r="D123" t="str">
            <v>07712.8.1.1</v>
          </cell>
          <cell r="E123" t="str">
            <v>CALHA de chapa galvanizada nº 24 desenvolvimento 25 cm</v>
          </cell>
          <cell r="F123" t="str">
            <v>m</v>
          </cell>
          <cell r="G123">
            <v>113.48</v>
          </cell>
          <cell r="H123">
            <v>30.87</v>
          </cell>
          <cell r="I123">
            <v>3503.13</v>
          </cell>
          <cell r="J123">
            <v>2488895.7599999998</v>
          </cell>
          <cell r="K123">
            <v>1.3179999999999999E-3</v>
          </cell>
          <cell r="L123">
            <v>0.936554</v>
          </cell>
          <cell r="M123" t="str">
            <v>B</v>
          </cell>
        </row>
        <row r="124">
          <cell r="C124" t="str">
            <v>15.19.3</v>
          </cell>
          <cell r="D124">
            <v>90976</v>
          </cell>
          <cell r="E124" t="str">
            <v>LUMINÁRIA TIPO PLAFONIER BRANCA PARA LÂMPADA FLUORESCENTE 2X32W, COM DIFUSOR EM POLIESTIRENO TRANSPARENTE E SOQUETES (REF. COVISA)</v>
          </cell>
          <cell r="F124" t="str">
            <v>unid</v>
          </cell>
          <cell r="G124">
            <v>23</v>
          </cell>
          <cell r="H124">
            <v>146.75</v>
          </cell>
          <cell r="I124">
            <v>3375.25</v>
          </cell>
          <cell r="J124">
            <v>2492271.0099999998</v>
          </cell>
          <cell r="K124">
            <v>1.2700000000000001E-3</v>
          </cell>
          <cell r="L124">
            <v>0.93782399999999999</v>
          </cell>
          <cell r="M124" t="str">
            <v>B</v>
          </cell>
        </row>
        <row r="125">
          <cell r="C125" t="str">
            <v>2.2.1</v>
          </cell>
          <cell r="D125" t="str">
            <v>02315.8.8.2</v>
          </cell>
          <cell r="E125" t="str">
            <v>Apiloamento de fundo de vala com maço de 30 kg</v>
          </cell>
          <cell r="F125" t="str">
            <v>m²</v>
          </cell>
          <cell r="G125">
            <v>287.12</v>
          </cell>
          <cell r="H125">
            <v>11.63</v>
          </cell>
          <cell r="I125">
            <v>3339.21</v>
          </cell>
          <cell r="J125">
            <v>2495610.2200000002</v>
          </cell>
          <cell r="K125">
            <v>1.2570000000000001E-3</v>
          </cell>
          <cell r="L125">
            <v>0.93908100000000005</v>
          </cell>
          <cell r="M125" t="str">
            <v>B</v>
          </cell>
        </row>
        <row r="126">
          <cell r="C126" t="str">
            <v>2.1.1</v>
          </cell>
          <cell r="D126" t="str">
            <v>02315.8.1.9</v>
          </cell>
          <cell r="E126" t="str">
            <v>Escavação manual de vala em solo de 1ª categoria (profundidade: até 2 m)</v>
          </cell>
          <cell r="F126" t="str">
            <v>m³</v>
          </cell>
          <cell r="G126">
            <v>104.85</v>
          </cell>
          <cell r="H126">
            <v>31.02</v>
          </cell>
          <cell r="I126">
            <v>3252.45</v>
          </cell>
          <cell r="J126">
            <v>2498862.67</v>
          </cell>
          <cell r="K126">
            <v>1.224E-3</v>
          </cell>
          <cell r="L126">
            <v>0.94030499999999995</v>
          </cell>
          <cell r="M126" t="str">
            <v>B</v>
          </cell>
        </row>
        <row r="127">
          <cell r="C127" t="str">
            <v>16.2.2</v>
          </cell>
          <cell r="D127" t="str">
            <v>19.01.16</v>
          </cell>
          <cell r="E127" t="str">
            <v>Pintura esmalte sintético em portas de madeira, 02 demãos sem massa -  (semi-birlho) - Madeira</v>
          </cell>
          <cell r="F127" t="str">
            <v>m²</v>
          </cell>
          <cell r="G127">
            <v>250.08</v>
          </cell>
          <cell r="H127">
            <v>12.98</v>
          </cell>
          <cell r="I127">
            <v>3246.04</v>
          </cell>
          <cell r="J127">
            <v>2502108.71</v>
          </cell>
          <cell r="K127">
            <v>1.2210000000000001E-3</v>
          </cell>
          <cell r="L127">
            <v>0.94152599999999997</v>
          </cell>
          <cell r="M127" t="str">
            <v>B</v>
          </cell>
        </row>
        <row r="128">
          <cell r="C128" t="str">
            <v>15.19.4</v>
          </cell>
          <cell r="D128" t="str">
            <v>18.18.03</v>
          </cell>
          <cell r="E128" t="str">
            <v>Reator eletromagnético p/ vapor de mercúrio 250 W</v>
          </cell>
          <cell r="F128" t="str">
            <v>unid</v>
          </cell>
          <cell r="G128">
            <v>46</v>
          </cell>
          <cell r="H128">
            <v>69.819999999999993</v>
          </cell>
          <cell r="I128">
            <v>3211.72</v>
          </cell>
          <cell r="J128">
            <v>2505320.4300000002</v>
          </cell>
          <cell r="K128">
            <v>1.209E-3</v>
          </cell>
          <cell r="L128">
            <v>0.94273499999999999</v>
          </cell>
          <cell r="M128" t="str">
            <v>B</v>
          </cell>
        </row>
        <row r="129">
          <cell r="C129" t="str">
            <v>16.1.7</v>
          </cell>
          <cell r="D129" t="str">
            <v>09115.8.9.8</v>
          </cell>
          <cell r="E129" t="str">
            <v>PINTURA com tinta esmalte em esquadria de madeira, com duas demãos, sem massa corrida</v>
          </cell>
          <cell r="F129" t="str">
            <v>m²</v>
          </cell>
          <cell r="G129">
            <v>250.08</v>
          </cell>
          <cell r="H129">
            <v>12.83</v>
          </cell>
          <cell r="I129">
            <v>3208.53</v>
          </cell>
          <cell r="J129">
            <v>2508528.96</v>
          </cell>
          <cell r="K129">
            <v>1.207E-3</v>
          </cell>
          <cell r="L129">
            <v>0.94394199999999995</v>
          </cell>
          <cell r="M129" t="str">
            <v>B</v>
          </cell>
        </row>
        <row r="130">
          <cell r="C130" t="str">
            <v>14.1.7</v>
          </cell>
          <cell r="D130" t="str">
            <v>15410.8.9.1</v>
          </cell>
          <cell r="E130" t="str">
            <v>CAIXA de descarga suspensa, de plástico</v>
          </cell>
          <cell r="F130" t="str">
            <v>unid</v>
          </cell>
          <cell r="G130">
            <v>35</v>
          </cell>
          <cell r="H130">
            <v>83.21</v>
          </cell>
          <cell r="I130">
            <v>2912.35</v>
          </cell>
          <cell r="J130">
            <v>2511441.31</v>
          </cell>
          <cell r="K130">
            <v>1.096E-3</v>
          </cell>
          <cell r="L130">
            <v>0.94503800000000004</v>
          </cell>
          <cell r="M130" t="str">
            <v>B</v>
          </cell>
        </row>
        <row r="131">
          <cell r="C131" t="str">
            <v>6.1.2</v>
          </cell>
          <cell r="D131" t="str">
            <v>07.01.14</v>
          </cell>
          <cell r="E131" t="str">
            <v>Porta de madeira lisa - (0,70x2,10) m  - Dobradiças/fechadura - ref.: LaFonte, fame, pado, aliança ou equivalente</v>
          </cell>
          <cell r="F131" t="str">
            <v>unid</v>
          </cell>
          <cell r="G131">
            <v>9</v>
          </cell>
          <cell r="H131">
            <v>304.89</v>
          </cell>
          <cell r="I131">
            <v>2744.01</v>
          </cell>
          <cell r="J131">
            <v>2514185.3199999998</v>
          </cell>
          <cell r="K131">
            <v>1.0330000000000001E-3</v>
          </cell>
          <cell r="L131">
            <v>0.946071</v>
          </cell>
          <cell r="M131" t="str">
            <v>B</v>
          </cell>
        </row>
        <row r="132">
          <cell r="C132" t="str">
            <v>7.2.1</v>
          </cell>
          <cell r="D132" t="str">
            <v>09627.8.5.1</v>
          </cell>
          <cell r="E132" t="str">
            <v>SOLEIRA de granilite pré-moldada , 15 cm de largura, assentada com argamassa mista de cimento, cal hidratada e areia sem peneirar traço 1:1:4</v>
          </cell>
          <cell r="F132" t="str">
            <v>m</v>
          </cell>
          <cell r="G132">
            <v>70.3</v>
          </cell>
          <cell r="H132">
            <v>39.020000000000003</v>
          </cell>
          <cell r="I132">
            <v>2743.11</v>
          </cell>
          <cell r="J132">
            <v>2516928.4300000002</v>
          </cell>
          <cell r="K132">
            <v>1.0319999999999999E-3</v>
          </cell>
          <cell r="L132">
            <v>0.94710300000000003</v>
          </cell>
          <cell r="M132" t="str">
            <v>B</v>
          </cell>
        </row>
        <row r="133">
          <cell r="C133" t="str">
            <v>2.3.2</v>
          </cell>
          <cell r="D133" t="str">
            <v>02.02.06</v>
          </cell>
          <cell r="E133" t="str">
            <v>Transporte a 30,00m em direção horizontal de material escavado</v>
          </cell>
          <cell r="F133" t="str">
            <v>m³</v>
          </cell>
          <cell r="G133">
            <v>168.86</v>
          </cell>
          <cell r="H133">
            <v>15.51</v>
          </cell>
          <cell r="I133">
            <v>2619.02</v>
          </cell>
          <cell r="J133">
            <v>2519547.4500000002</v>
          </cell>
          <cell r="K133">
            <v>9.859999999999999E-4</v>
          </cell>
          <cell r="L133">
            <v>0.94808800000000004</v>
          </cell>
          <cell r="M133" t="str">
            <v>B</v>
          </cell>
        </row>
        <row r="134">
          <cell r="C134" t="str">
            <v>15.7.11</v>
          </cell>
          <cell r="D134" t="str">
            <v>74130/009</v>
          </cell>
          <cell r="E134" t="str">
            <v>DISJUNTOR TRIPOLAR termomagnético de 450 A em quadro de distribuição</v>
          </cell>
          <cell r="F134" t="str">
            <v>unid</v>
          </cell>
          <cell r="G134">
            <v>1</v>
          </cell>
          <cell r="H134">
            <v>2614.35</v>
          </cell>
          <cell r="I134">
            <v>2614.35</v>
          </cell>
          <cell r="J134">
            <v>2522161.7999999998</v>
          </cell>
          <cell r="K134">
            <v>9.8400000000000007E-4</v>
          </cell>
          <cell r="L134">
            <v>0.94907200000000003</v>
          </cell>
          <cell r="M134" t="str">
            <v>B</v>
          </cell>
        </row>
        <row r="135">
          <cell r="C135" t="str">
            <v>15.4.6</v>
          </cell>
          <cell r="D135" t="str">
            <v>COMP-16</v>
          </cell>
          <cell r="E135" t="str">
            <v>Tomada hexagonal (NBR 14136) 2P+T 10A</v>
          </cell>
          <cell r="F135" t="str">
            <v>unid</v>
          </cell>
          <cell r="G135">
            <v>171</v>
          </cell>
          <cell r="H135">
            <v>14.47</v>
          </cell>
          <cell r="I135">
            <v>2474.37</v>
          </cell>
          <cell r="J135">
            <v>2524636.17</v>
          </cell>
          <cell r="K135">
            <v>9.3099999999999997E-4</v>
          </cell>
          <cell r="L135">
            <v>0.95000300000000004</v>
          </cell>
          <cell r="M135" t="str">
            <v>B</v>
          </cell>
        </row>
        <row r="136">
          <cell r="C136" t="str">
            <v>1.4.1</v>
          </cell>
          <cell r="D136">
            <v>73672</v>
          </cell>
          <cell r="E136" t="str">
            <v>Limpeza mecanizada de terreno, inclusive retirada de árvore entre 0,05m e 0,15m de diametro</v>
          </cell>
          <cell r="F136" t="str">
            <v>m²</v>
          </cell>
          <cell r="G136">
            <v>6452.83</v>
          </cell>
          <cell r="H136">
            <v>0.38</v>
          </cell>
          <cell r="I136">
            <v>2452.08</v>
          </cell>
          <cell r="J136">
            <v>2527088.25</v>
          </cell>
          <cell r="K136">
            <v>9.2299999999999999E-4</v>
          </cell>
          <cell r="L136">
            <v>0.95092600000000005</v>
          </cell>
          <cell r="M136" t="str">
            <v>B</v>
          </cell>
        </row>
        <row r="137">
          <cell r="C137" t="str">
            <v>9.1.5</v>
          </cell>
          <cell r="D137" t="str">
            <v>09706.8.5.1</v>
          </cell>
          <cell r="E137" t="str">
            <v>REJUNTAMENTO de azulejo 15 x 15 cm, com cimento branco, para juntas até 3 mm</v>
          </cell>
          <cell r="F137" t="str">
            <v>m²</v>
          </cell>
          <cell r="G137">
            <v>530.78</v>
          </cell>
          <cell r="H137">
            <v>4.59</v>
          </cell>
          <cell r="I137">
            <v>2436.2800000000002</v>
          </cell>
          <cell r="J137">
            <v>2529524.5299999998</v>
          </cell>
          <cell r="K137">
            <v>9.1699999999999995E-4</v>
          </cell>
          <cell r="L137">
            <v>0.95184299999999999</v>
          </cell>
          <cell r="M137" t="str">
            <v>B</v>
          </cell>
        </row>
        <row r="138">
          <cell r="C138" t="str">
            <v>15.14.2</v>
          </cell>
          <cell r="D138" t="str">
            <v>15.03.04</v>
          </cell>
          <cell r="E138" t="str">
            <v>Caixa de passagem em alvenaria 1/2 vez tij. 6 furos, com tampa em concreto armado - (60,00x60,00x60,00)cm</v>
          </cell>
          <cell r="F138" t="str">
            <v>unid</v>
          </cell>
          <cell r="G138">
            <v>12</v>
          </cell>
          <cell r="H138">
            <v>197.72</v>
          </cell>
          <cell r="I138">
            <v>2372.64</v>
          </cell>
          <cell r="J138">
            <v>2531897.17</v>
          </cell>
          <cell r="K138">
            <v>8.9300000000000002E-4</v>
          </cell>
          <cell r="L138">
            <v>0.952735</v>
          </cell>
          <cell r="M138" t="str">
            <v>B</v>
          </cell>
        </row>
        <row r="139">
          <cell r="C139" t="str">
            <v>11.3.2</v>
          </cell>
          <cell r="D139" t="str">
            <v>15142.8.22.2</v>
          </cell>
          <cell r="E139" t="str">
            <v>TUBO de PVC soldável, com conexões Ø 25 mm</v>
          </cell>
          <cell r="F139" t="str">
            <v>m</v>
          </cell>
          <cell r="G139">
            <v>214.07</v>
          </cell>
          <cell r="H139">
            <v>11.05</v>
          </cell>
          <cell r="I139">
            <v>2365.4699999999998</v>
          </cell>
          <cell r="J139">
            <v>2534262.64</v>
          </cell>
          <cell r="K139">
            <v>8.8999999999999995E-4</v>
          </cell>
          <cell r="L139">
            <v>0.95362599999999997</v>
          </cell>
          <cell r="M139" t="str">
            <v>B</v>
          </cell>
        </row>
      </sheetData>
      <sheetData sheetId="3"/>
      <sheetData sheetId="4">
        <row r="7">
          <cell r="A7" t="str">
            <v>OBJETO: INSTITUTO DE CRIMINALISTICA</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354002 Fut"/>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ORIGINAL"/>
      <sheetName val="João Leandro Barbosa"/>
      <sheetName val="Cronograma"/>
    </sheetNames>
    <sheetDataSet>
      <sheetData sheetId="0"/>
      <sheetData sheetId="1">
        <row r="3">
          <cell r="D3" t="str">
            <v xml:space="preserve">                     GOVERNO DO ESTADO DE RONDÔNIA</v>
          </cell>
        </row>
        <row r="4">
          <cell r="D4" t="str">
            <v>DEPARTAMENTO  DE VIAÇÃO E OBRAS PÚBLICAS</v>
          </cell>
        </row>
        <row r="6">
          <cell r="B6" t="str">
            <v>OBRA:</v>
          </cell>
          <cell r="D6" t="str">
            <v>Reforma da Unidade Mista "João Leandro Barbosa"</v>
          </cell>
        </row>
        <row r="7">
          <cell r="B7" t="str">
            <v>LOCAL:</v>
          </cell>
          <cell r="D7" t="str">
            <v>Distrito de Extrema/RO</v>
          </cell>
        </row>
        <row r="9">
          <cell r="K9" t="str">
            <v>PREÇOS</v>
          </cell>
        </row>
        <row r="10">
          <cell r="A10" t="str">
            <v>ITEM</v>
          </cell>
          <cell r="B10" t="str">
            <v>Discriminação</v>
          </cell>
          <cell r="H10" t="str">
            <v>Unid.</v>
          </cell>
          <cell r="I10" t="str">
            <v>Quant.</v>
          </cell>
          <cell r="J10" t="str">
            <v>Unitário</v>
          </cell>
          <cell r="K10" t="str">
            <v>subtotais</v>
          </cell>
          <cell r="L10" t="str">
            <v>Totais</v>
          </cell>
        </row>
        <row r="13">
          <cell r="A13" t="str">
            <v>1.0</v>
          </cell>
          <cell r="B13" t="str">
            <v>SERVIÇOS PRELIMINARES:</v>
          </cell>
        </row>
        <row r="14">
          <cell r="B14" t="str">
            <v>1.1</v>
          </cell>
          <cell r="C14" t="str">
            <v>Administração e Controle</v>
          </cell>
          <cell r="H14" t="str">
            <v>mês</v>
          </cell>
          <cell r="I14">
            <v>4</v>
          </cell>
          <cell r="J14">
            <v>1476.38</v>
          </cell>
          <cell r="K14">
            <v>5905.52</v>
          </cell>
        </row>
        <row r="15">
          <cell r="B15" t="str">
            <v>1.2</v>
          </cell>
          <cell r="C15" t="str">
            <v>Placa da Obra</v>
          </cell>
          <cell r="H15" t="str">
            <v>un</v>
          </cell>
          <cell r="I15">
            <v>1</v>
          </cell>
          <cell r="J15">
            <v>371.56</v>
          </cell>
          <cell r="K15">
            <v>371.56</v>
          </cell>
        </row>
        <row r="16">
          <cell r="B16" t="str">
            <v>1.3</v>
          </cell>
          <cell r="C16" t="str">
            <v>Tanque e masseira  (ate 500 m2 de obra)</v>
          </cell>
          <cell r="H16" t="str">
            <v>cj</v>
          </cell>
          <cell r="I16">
            <v>1</v>
          </cell>
          <cell r="J16">
            <v>562.5</v>
          </cell>
          <cell r="K16">
            <v>562.5</v>
          </cell>
        </row>
        <row r="17">
          <cell r="B17" t="str">
            <v>1.4</v>
          </cell>
          <cell r="C17" t="str">
            <v xml:space="preserve">Equipamentos e Ferramentas </v>
          </cell>
          <cell r="H17" t="str">
            <v>cj</v>
          </cell>
          <cell r="I17">
            <v>1</v>
          </cell>
          <cell r="J17">
            <v>1550.5</v>
          </cell>
          <cell r="K17">
            <v>1550.5</v>
          </cell>
        </row>
        <row r="18">
          <cell r="B18" t="str">
            <v>1.5</v>
          </cell>
          <cell r="C18" t="str">
            <v>Barracão da obra</v>
          </cell>
          <cell r="H18" t="str">
            <v>m2</v>
          </cell>
          <cell r="I18">
            <v>20</v>
          </cell>
          <cell r="J18">
            <v>92.19</v>
          </cell>
          <cell r="K18">
            <v>1843.8</v>
          </cell>
        </row>
        <row r="19">
          <cell r="B19" t="str">
            <v>1.6</v>
          </cell>
          <cell r="C19" t="str">
            <v>Taxas e Emolumentos</v>
          </cell>
          <cell r="H19" t="str">
            <v>tx</v>
          </cell>
          <cell r="I19">
            <v>1</v>
          </cell>
          <cell r="J19">
            <v>1476.38</v>
          </cell>
          <cell r="K19">
            <v>1476.38</v>
          </cell>
          <cell r="L19">
            <v>11710.26</v>
          </cell>
        </row>
        <row r="20">
          <cell r="K20">
            <v>0</v>
          </cell>
        </row>
        <row r="21">
          <cell r="A21" t="str">
            <v>2.0</v>
          </cell>
          <cell r="B21" t="str">
            <v>DEMOLIÇÕES E RETIRADAS:</v>
          </cell>
          <cell r="K21">
            <v>0</v>
          </cell>
        </row>
        <row r="22">
          <cell r="B22" t="str">
            <v>2.1</v>
          </cell>
          <cell r="C22" t="str">
            <v>Demolição  da estrutura de concreto armado do</v>
          </cell>
          <cell r="K22">
            <v>0</v>
          </cell>
        </row>
        <row r="23">
          <cell r="C23" t="str">
            <v>reservatório elevado</v>
          </cell>
          <cell r="H23" t="str">
            <v>m3</v>
          </cell>
          <cell r="I23">
            <v>5</v>
          </cell>
          <cell r="J23">
            <v>46.14</v>
          </cell>
          <cell r="K23">
            <v>230.7</v>
          </cell>
        </row>
        <row r="24">
          <cell r="B24" t="str">
            <v>2.2</v>
          </cell>
          <cell r="C24" t="str">
            <v>Demolição de calçada de proteção (área externa)</v>
          </cell>
          <cell r="H24" t="str">
            <v>m2</v>
          </cell>
          <cell r="I24">
            <v>140</v>
          </cell>
          <cell r="J24">
            <v>6.46</v>
          </cell>
          <cell r="K24">
            <v>904.4</v>
          </cell>
        </row>
        <row r="25">
          <cell r="B25" t="str">
            <v>2.3</v>
          </cell>
          <cell r="C25" t="str">
            <v>Demolição de calçada parte do estacionamento</v>
          </cell>
          <cell r="H25" t="str">
            <v>m2</v>
          </cell>
          <cell r="I25">
            <v>300</v>
          </cell>
          <cell r="J25">
            <v>6.46</v>
          </cell>
          <cell r="K25">
            <v>1938</v>
          </cell>
        </row>
        <row r="26">
          <cell r="B26" t="str">
            <v>2.4</v>
          </cell>
          <cell r="C26" t="str">
            <v>Retirada de portas e caxilhos</v>
          </cell>
          <cell r="H26" t="str">
            <v>m2</v>
          </cell>
          <cell r="I26">
            <v>4</v>
          </cell>
          <cell r="J26">
            <v>2.2200000000000002</v>
          </cell>
          <cell r="K26">
            <v>8.8800000000000008</v>
          </cell>
        </row>
        <row r="27">
          <cell r="B27" t="str">
            <v>2.5</v>
          </cell>
          <cell r="C27" t="str">
            <v>Demolição de revestimento com azulejo</v>
          </cell>
          <cell r="H27" t="str">
            <v>m2</v>
          </cell>
          <cell r="I27">
            <v>127.97</v>
          </cell>
          <cell r="J27">
            <v>6.95</v>
          </cell>
          <cell r="K27">
            <v>889.39</v>
          </cell>
        </row>
        <row r="28">
          <cell r="B28" t="str">
            <v>2.6</v>
          </cell>
          <cell r="C28" t="str">
            <v>Demolição de estrutura de madeira para telhado</v>
          </cell>
          <cell r="H28" t="str">
            <v>un</v>
          </cell>
          <cell r="I28">
            <v>45</v>
          </cell>
          <cell r="J28">
            <v>3.61</v>
          </cell>
          <cell r="K28">
            <v>162.44999999999999</v>
          </cell>
        </row>
        <row r="29">
          <cell r="B29" t="str">
            <v>2.7</v>
          </cell>
          <cell r="C29" t="str">
            <v>Retirada de aparelho de iluminação incandescente</v>
          </cell>
          <cell r="H29" t="str">
            <v>un</v>
          </cell>
          <cell r="I29">
            <v>50</v>
          </cell>
          <cell r="J29">
            <v>1.47</v>
          </cell>
          <cell r="K29">
            <v>73.5</v>
          </cell>
        </row>
        <row r="30">
          <cell r="B30" t="str">
            <v>2.8</v>
          </cell>
          <cell r="C30" t="str">
            <v>Retirada de aparelho de iluminação fluorescente</v>
          </cell>
          <cell r="H30" t="str">
            <v>un</v>
          </cell>
          <cell r="I30">
            <v>9</v>
          </cell>
          <cell r="J30">
            <v>2.44</v>
          </cell>
          <cell r="K30">
            <v>21.96</v>
          </cell>
        </row>
        <row r="31">
          <cell r="B31" t="str">
            <v>2.9</v>
          </cell>
          <cell r="C31" t="str">
            <v>Demolição de piso cerâmico</v>
          </cell>
          <cell r="H31" t="str">
            <v>m2</v>
          </cell>
          <cell r="I31">
            <v>310</v>
          </cell>
          <cell r="J31">
            <v>3.61</v>
          </cell>
          <cell r="K31">
            <v>1119.0999999999999</v>
          </cell>
        </row>
        <row r="32">
          <cell r="B32" t="str">
            <v>2.10</v>
          </cell>
          <cell r="C32" t="str">
            <v>Demolição de cerca de balaustre</v>
          </cell>
          <cell r="H32" t="str">
            <v>m2</v>
          </cell>
          <cell r="I32">
            <v>120</v>
          </cell>
          <cell r="J32">
            <v>1.5</v>
          </cell>
          <cell r="K32">
            <v>180</v>
          </cell>
        </row>
        <row r="33">
          <cell r="B33" t="str">
            <v>2.11</v>
          </cell>
          <cell r="C33" t="str">
            <v>Retirada de telhas de fibrocimento 5mm</v>
          </cell>
          <cell r="H33" t="str">
            <v>m2</v>
          </cell>
          <cell r="I33">
            <v>45</v>
          </cell>
          <cell r="J33">
            <v>0.7</v>
          </cell>
          <cell r="K33">
            <v>31.5</v>
          </cell>
        </row>
        <row r="34">
          <cell r="B34" t="str">
            <v>2.12</v>
          </cell>
          <cell r="C34" t="str">
            <v>Demolição de necrotério</v>
          </cell>
          <cell r="H34" t="str">
            <v>m3</v>
          </cell>
          <cell r="I34">
            <v>15</v>
          </cell>
          <cell r="J34">
            <v>46.14</v>
          </cell>
          <cell r="K34">
            <v>692.1</v>
          </cell>
        </row>
        <row r="35">
          <cell r="B35" t="str">
            <v>2.13</v>
          </cell>
          <cell r="C35" t="str">
            <v>Retirada de forro</v>
          </cell>
          <cell r="H35" t="str">
            <v>m2</v>
          </cell>
          <cell r="I35">
            <v>120</v>
          </cell>
          <cell r="J35">
            <v>0.83</v>
          </cell>
          <cell r="K35">
            <v>99.6</v>
          </cell>
        </row>
        <row r="36">
          <cell r="B36" t="str">
            <v>2.14</v>
          </cell>
          <cell r="C36" t="str">
            <v>Construção e demolição de andaime p/1m2 de forro</v>
          </cell>
          <cell r="H36" t="str">
            <v>m2</v>
          </cell>
          <cell r="I36">
            <v>170</v>
          </cell>
          <cell r="J36">
            <v>1.69</v>
          </cell>
          <cell r="K36">
            <v>287.3</v>
          </cell>
          <cell r="L36">
            <v>6638.88</v>
          </cell>
        </row>
        <row r="37">
          <cell r="K37">
            <v>0</v>
          </cell>
        </row>
        <row r="38">
          <cell r="A38" t="str">
            <v>3.0</v>
          </cell>
          <cell r="B38" t="str">
            <v>COBERTURA E FORRO:</v>
          </cell>
          <cell r="K38">
            <v>0</v>
          </cell>
        </row>
        <row r="39">
          <cell r="B39" t="str">
            <v>3.1</v>
          </cell>
          <cell r="C39" t="str">
            <v>Substituição de madeira para telha ondulada fibrocimento</v>
          </cell>
          <cell r="H39" t="str">
            <v>m2</v>
          </cell>
          <cell r="I39">
            <v>45</v>
          </cell>
          <cell r="J39">
            <v>15.45</v>
          </cell>
          <cell r="K39">
            <v>695.25</v>
          </cell>
        </row>
        <row r="40">
          <cell r="B40" t="str">
            <v>3.2</v>
          </cell>
          <cell r="C40" t="str">
            <v>Telha ondulada fibrocimento e=5mm</v>
          </cell>
          <cell r="H40" t="str">
            <v>m2</v>
          </cell>
          <cell r="I40">
            <v>45</v>
          </cell>
          <cell r="J40">
            <v>10.96</v>
          </cell>
          <cell r="K40">
            <v>493.2</v>
          </cell>
        </row>
        <row r="41">
          <cell r="B41" t="str">
            <v>3.3</v>
          </cell>
          <cell r="C41" t="str">
            <v>Forro em angelin de madeira com entarugamento</v>
          </cell>
          <cell r="H41" t="str">
            <v>m2</v>
          </cell>
          <cell r="I41">
            <v>120</v>
          </cell>
          <cell r="J41">
            <v>20.88</v>
          </cell>
          <cell r="K41">
            <v>2505.6</v>
          </cell>
        </row>
        <row r="42">
          <cell r="B42" t="str">
            <v>3.4</v>
          </cell>
          <cell r="C42" t="str">
            <v>Cimalha simples</v>
          </cell>
          <cell r="H42" t="str">
            <v>m2</v>
          </cell>
          <cell r="I42">
            <v>60</v>
          </cell>
          <cell r="J42">
            <v>1.53</v>
          </cell>
          <cell r="K42">
            <v>91.8</v>
          </cell>
          <cell r="L42">
            <v>3785.85</v>
          </cell>
        </row>
        <row r="43">
          <cell r="K43">
            <v>0</v>
          </cell>
        </row>
        <row r="44">
          <cell r="A44" t="str">
            <v>4.0</v>
          </cell>
          <cell r="B44" t="str">
            <v>REVESTIMENTO DE PISO E PAREDES:</v>
          </cell>
          <cell r="K44">
            <v>0</v>
          </cell>
        </row>
        <row r="45">
          <cell r="B45" t="str">
            <v>4.1</v>
          </cell>
          <cell r="C45" t="str">
            <v>Chapisco fino</v>
          </cell>
          <cell r="H45" t="str">
            <v>m2</v>
          </cell>
          <cell r="I45">
            <v>127.97</v>
          </cell>
          <cell r="J45">
            <v>1.56</v>
          </cell>
          <cell r="K45">
            <v>199.63</v>
          </cell>
        </row>
        <row r="46">
          <cell r="B46" t="str">
            <v>4.2</v>
          </cell>
          <cell r="C46" t="str">
            <v>Emboço impermeab. para assentamento de azulejo</v>
          </cell>
          <cell r="H46" t="str">
            <v>m2</v>
          </cell>
          <cell r="I46">
            <v>127.97</v>
          </cell>
          <cell r="J46">
            <v>7.78</v>
          </cell>
          <cell r="K46">
            <v>995.61</v>
          </cell>
        </row>
        <row r="47">
          <cell r="B47" t="str">
            <v>4.3</v>
          </cell>
          <cell r="C47" t="str">
            <v>Azulejo branco de (15x15)cm</v>
          </cell>
          <cell r="H47" t="str">
            <v>m2</v>
          </cell>
          <cell r="I47">
            <v>127.97</v>
          </cell>
          <cell r="J47">
            <v>26.75</v>
          </cell>
          <cell r="K47">
            <v>3423.2</v>
          </cell>
        </row>
        <row r="48">
          <cell r="B48" t="str">
            <v>4.4</v>
          </cell>
          <cell r="C48" t="str">
            <v>Regularização  de base para piso cerâmico</v>
          </cell>
          <cell r="H48" t="str">
            <v>m2</v>
          </cell>
          <cell r="I48">
            <v>310</v>
          </cell>
          <cell r="J48">
            <v>7.34</v>
          </cell>
          <cell r="K48">
            <v>2275.4</v>
          </cell>
        </row>
        <row r="49">
          <cell r="B49" t="str">
            <v>4.5</v>
          </cell>
          <cell r="C49" t="str">
            <v>Cerâmica 30 x 30cm</v>
          </cell>
          <cell r="H49" t="str">
            <v>m2</v>
          </cell>
          <cell r="I49">
            <v>310</v>
          </cell>
          <cell r="J49">
            <v>22.42</v>
          </cell>
          <cell r="K49">
            <v>6950.2</v>
          </cell>
        </row>
        <row r="50">
          <cell r="B50" t="str">
            <v>4.6</v>
          </cell>
          <cell r="C50" t="str">
            <v>Reboco Paulista</v>
          </cell>
          <cell r="H50" t="str">
            <v>m2</v>
          </cell>
          <cell r="I50">
            <v>400</v>
          </cell>
          <cell r="J50">
            <v>11.56</v>
          </cell>
          <cell r="K50">
            <v>4624</v>
          </cell>
          <cell r="L50">
            <v>18468.04</v>
          </cell>
        </row>
        <row r="51">
          <cell r="K51">
            <v>0</v>
          </cell>
        </row>
        <row r="52">
          <cell r="A52" t="str">
            <v>5.0</v>
          </cell>
          <cell r="B52" t="str">
            <v>PINTURA:</v>
          </cell>
          <cell r="K52">
            <v>0</v>
          </cell>
        </row>
        <row r="53">
          <cell r="B53" t="str">
            <v>5.1</v>
          </cell>
          <cell r="C53" t="str">
            <v>Retoque em paredes p/ receber pinturas (argamassa e massa )</v>
          </cell>
          <cell r="H53" t="str">
            <v>m2</v>
          </cell>
          <cell r="I53">
            <v>3510</v>
          </cell>
          <cell r="J53">
            <v>1.36</v>
          </cell>
          <cell r="K53">
            <v>4773.6000000000004</v>
          </cell>
        </row>
        <row r="54">
          <cell r="B54" t="str">
            <v>5.2</v>
          </cell>
          <cell r="C54" t="str">
            <v>Tinta pva em paredes internas, 02 demãos</v>
          </cell>
          <cell r="H54" t="str">
            <v>m2</v>
          </cell>
          <cell r="I54">
            <v>1898</v>
          </cell>
          <cell r="J54">
            <v>3.79</v>
          </cell>
          <cell r="K54">
            <v>7193.42</v>
          </cell>
        </row>
        <row r="55">
          <cell r="B55" t="str">
            <v>5.3</v>
          </cell>
          <cell r="C55" t="str">
            <v>Tinta pva em paredes externas, 02 demãos</v>
          </cell>
          <cell r="H55" t="str">
            <v>m2</v>
          </cell>
          <cell r="I55">
            <v>1612</v>
          </cell>
          <cell r="J55">
            <v>4.4800000000000004</v>
          </cell>
          <cell r="K55">
            <v>7221.76</v>
          </cell>
        </row>
        <row r="56">
          <cell r="B56" t="str">
            <v>5.4</v>
          </cell>
          <cell r="C56" t="str">
            <v>Verniz no forro de madeira interno, 02 demãos</v>
          </cell>
          <cell r="H56" t="str">
            <v>m2</v>
          </cell>
          <cell r="I56">
            <v>689.35</v>
          </cell>
          <cell r="J56">
            <v>3.41</v>
          </cell>
          <cell r="K56">
            <v>2350.6799999999998</v>
          </cell>
        </row>
        <row r="57">
          <cell r="B57" t="str">
            <v>5.5</v>
          </cell>
          <cell r="C57" t="str">
            <v>Verniz no forro de madeira externo, 02 demãos</v>
          </cell>
          <cell r="H57" t="str">
            <v>m2</v>
          </cell>
          <cell r="I57">
            <v>162</v>
          </cell>
          <cell r="J57">
            <v>3.41</v>
          </cell>
          <cell r="K57">
            <v>552.41999999999996</v>
          </cell>
        </row>
        <row r="58">
          <cell r="B58" t="str">
            <v>5.6</v>
          </cell>
          <cell r="C58" t="str">
            <v>Esmalte sintético portas de madeira, 02 demãos</v>
          </cell>
          <cell r="H58" t="str">
            <v>m2</v>
          </cell>
          <cell r="I58">
            <v>141.75</v>
          </cell>
          <cell r="J58">
            <v>5.27</v>
          </cell>
          <cell r="K58">
            <v>747.02</v>
          </cell>
        </row>
        <row r="59">
          <cell r="B59" t="str">
            <v>5.7</v>
          </cell>
          <cell r="C59" t="str">
            <v>Esmalte sintético nas esquadrias metálicas, 02 demãos</v>
          </cell>
          <cell r="H59" t="str">
            <v>m2</v>
          </cell>
          <cell r="I59">
            <v>116.6</v>
          </cell>
          <cell r="J59">
            <v>7.61</v>
          </cell>
          <cell r="K59">
            <v>887.33</v>
          </cell>
        </row>
        <row r="60">
          <cell r="B60" t="str">
            <v>5.8</v>
          </cell>
          <cell r="C60" t="str">
            <v>Emas. de paredes com massa acrilica p/ correção de parede</v>
          </cell>
          <cell r="H60" t="str">
            <v>m2</v>
          </cell>
          <cell r="I60">
            <v>30</v>
          </cell>
          <cell r="J60">
            <v>3.98</v>
          </cell>
          <cell r="K60">
            <v>119.4</v>
          </cell>
          <cell r="L60">
            <v>23845.63</v>
          </cell>
        </row>
        <row r="61">
          <cell r="K61">
            <v>0</v>
          </cell>
        </row>
        <row r="62">
          <cell r="A62" t="str">
            <v>6.0</v>
          </cell>
          <cell r="B62" t="str">
            <v>INSTALAÇÕES ELÉTRICAS:</v>
          </cell>
          <cell r="K62">
            <v>0</v>
          </cell>
        </row>
        <row r="63">
          <cell r="B63" t="str">
            <v>6.1</v>
          </cell>
          <cell r="C63" t="str">
            <v>Luminária fluorescente 2 x 40w</v>
          </cell>
          <cell r="H63" t="str">
            <v>un</v>
          </cell>
          <cell r="I63">
            <v>14</v>
          </cell>
          <cell r="J63">
            <v>39.92</v>
          </cell>
          <cell r="K63">
            <v>558.88</v>
          </cell>
        </row>
        <row r="64">
          <cell r="B64" t="str">
            <v>6.2</v>
          </cell>
          <cell r="C64" t="str">
            <v>Luminária fluorescente 3 x 40w</v>
          </cell>
          <cell r="H64" t="str">
            <v>un</v>
          </cell>
          <cell r="I64">
            <v>42</v>
          </cell>
          <cell r="J64">
            <v>59.93</v>
          </cell>
          <cell r="K64">
            <v>2517.06</v>
          </cell>
        </row>
        <row r="65">
          <cell r="B65" t="str">
            <v>6.3</v>
          </cell>
          <cell r="C65" t="str">
            <v>Plafonier com globo leitoso com lâmpada de 100w</v>
          </cell>
          <cell r="H65" t="str">
            <v>un</v>
          </cell>
          <cell r="I65">
            <v>34</v>
          </cell>
          <cell r="J65">
            <v>15.21</v>
          </cell>
          <cell r="K65">
            <v>517.14</v>
          </cell>
        </row>
        <row r="66">
          <cell r="B66" t="str">
            <v>6.4</v>
          </cell>
          <cell r="C66" t="str">
            <v>Interruptor com uma tecla</v>
          </cell>
          <cell r="H66" t="str">
            <v>un</v>
          </cell>
          <cell r="I66">
            <v>40</v>
          </cell>
          <cell r="J66">
            <v>4.0599999999999996</v>
          </cell>
          <cell r="K66">
            <v>162.4</v>
          </cell>
        </row>
        <row r="67">
          <cell r="B67" t="str">
            <v>6.5</v>
          </cell>
          <cell r="C67" t="str">
            <v>Tomada</v>
          </cell>
          <cell r="H67" t="str">
            <v>un</v>
          </cell>
          <cell r="I67">
            <v>60</v>
          </cell>
          <cell r="J67">
            <v>4.6500000000000004</v>
          </cell>
          <cell r="K67">
            <v>279</v>
          </cell>
        </row>
        <row r="68">
          <cell r="B68" t="str">
            <v>6.6</v>
          </cell>
          <cell r="C68" t="str">
            <v>Tomada para condicionador de ar</v>
          </cell>
          <cell r="H68" t="str">
            <v>un</v>
          </cell>
          <cell r="I68">
            <v>4</v>
          </cell>
          <cell r="J68">
            <v>7.1</v>
          </cell>
          <cell r="K68">
            <v>28.4</v>
          </cell>
          <cell r="L68">
            <v>4062.88</v>
          </cell>
        </row>
        <row r="69">
          <cell r="K69">
            <v>0</v>
          </cell>
        </row>
        <row r="70">
          <cell r="A70" t="str">
            <v>7.0</v>
          </cell>
          <cell r="B70" t="str">
            <v>INSTALAÇÕES HIDRÁULICA E DE ESGOTO</v>
          </cell>
          <cell r="K70">
            <v>0</v>
          </cell>
        </row>
        <row r="71">
          <cell r="B71" t="str">
            <v>7.1</v>
          </cell>
          <cell r="C71" t="str">
            <v>Chuveiro de pvc</v>
          </cell>
          <cell r="H71" t="str">
            <v>un</v>
          </cell>
          <cell r="I71">
            <v>10</v>
          </cell>
          <cell r="J71">
            <v>7.73</v>
          </cell>
          <cell r="K71">
            <v>77.3</v>
          </cell>
        </row>
        <row r="72">
          <cell r="B72" t="str">
            <v>7.2</v>
          </cell>
          <cell r="C72" t="str">
            <v>Torneira longa de pressão para pia de 1/2 vez</v>
          </cell>
          <cell r="H72" t="str">
            <v>un</v>
          </cell>
          <cell r="I72">
            <v>5</v>
          </cell>
          <cell r="J72">
            <v>20.05</v>
          </cell>
          <cell r="K72">
            <v>100.25</v>
          </cell>
        </row>
        <row r="73">
          <cell r="B73" t="str">
            <v>7.3</v>
          </cell>
          <cell r="C73" t="str">
            <v>Torneira longa de pressão para lavatório de 1/2 vez</v>
          </cell>
          <cell r="H73" t="str">
            <v>un</v>
          </cell>
          <cell r="I73">
            <v>10</v>
          </cell>
          <cell r="J73">
            <v>27.65</v>
          </cell>
          <cell r="K73">
            <v>276.5</v>
          </cell>
        </row>
        <row r="74">
          <cell r="B74" t="str">
            <v>7.4</v>
          </cell>
          <cell r="C74" t="str">
            <v>Caixa plástica de descarga de sobrepor</v>
          </cell>
          <cell r="H74" t="str">
            <v>un</v>
          </cell>
          <cell r="I74">
            <v>10</v>
          </cell>
          <cell r="J74">
            <v>39.56</v>
          </cell>
          <cell r="K74">
            <v>395.6</v>
          </cell>
        </row>
        <row r="75">
          <cell r="B75" t="str">
            <v>7.5</v>
          </cell>
          <cell r="C75" t="str">
            <v>Caixa de passagem 70 x 70cm</v>
          </cell>
          <cell r="H75" t="str">
            <v>un</v>
          </cell>
          <cell r="I75">
            <v>4</v>
          </cell>
          <cell r="J75">
            <v>101.11</v>
          </cell>
          <cell r="K75">
            <v>404.44</v>
          </cell>
        </row>
        <row r="76">
          <cell r="B76" t="str">
            <v>7.6</v>
          </cell>
          <cell r="C76" t="str">
            <v>Caixa de passagem 60 x 60cm</v>
          </cell>
          <cell r="H76" t="str">
            <v>un</v>
          </cell>
          <cell r="I76">
            <v>11</v>
          </cell>
          <cell r="J76">
            <v>76.849999999999994</v>
          </cell>
          <cell r="K76">
            <v>845.35</v>
          </cell>
        </row>
        <row r="77">
          <cell r="B77" t="str">
            <v>7.7</v>
          </cell>
          <cell r="C77" t="str">
            <v>Caixa de passagem 50 x 40cm</v>
          </cell>
          <cell r="H77" t="str">
            <v>un</v>
          </cell>
          <cell r="I77">
            <v>1</v>
          </cell>
          <cell r="J77">
            <v>56.06</v>
          </cell>
          <cell r="K77">
            <v>56.06</v>
          </cell>
        </row>
        <row r="78">
          <cell r="B78" t="str">
            <v>7.8</v>
          </cell>
          <cell r="C78" t="str">
            <v>Tampa em concreto armado para poço amazônas</v>
          </cell>
          <cell r="H78" t="str">
            <v>un</v>
          </cell>
          <cell r="I78">
            <v>1</v>
          </cell>
          <cell r="J78">
            <v>92.29</v>
          </cell>
          <cell r="K78">
            <v>92.29</v>
          </cell>
          <cell r="L78">
            <v>2247.79</v>
          </cell>
        </row>
        <row r="79">
          <cell r="K79">
            <v>0</v>
          </cell>
        </row>
        <row r="80">
          <cell r="K80">
            <v>0</v>
          </cell>
        </row>
        <row r="81">
          <cell r="A81" t="str">
            <v>8.0</v>
          </cell>
          <cell r="B81" t="str">
            <v>MURO E CALÇADAS</v>
          </cell>
          <cell r="K81">
            <v>0</v>
          </cell>
        </row>
        <row r="82">
          <cell r="B82" t="str">
            <v>8.1</v>
          </cell>
          <cell r="C82" t="str">
            <v>Escavação manual de valas</v>
          </cell>
          <cell r="H82" t="str">
            <v>m3</v>
          </cell>
          <cell r="I82">
            <v>24</v>
          </cell>
          <cell r="J82">
            <v>9.76</v>
          </cell>
          <cell r="K82">
            <v>234.24</v>
          </cell>
        </row>
        <row r="83">
          <cell r="B83" t="str">
            <v>8.2</v>
          </cell>
          <cell r="C83" t="str">
            <v xml:space="preserve">Fundação em pedra argamassada </v>
          </cell>
          <cell r="H83" t="str">
            <v>m3</v>
          </cell>
          <cell r="I83">
            <v>2</v>
          </cell>
          <cell r="J83">
            <v>98.83</v>
          </cell>
          <cell r="K83">
            <v>197.66</v>
          </cell>
        </row>
        <row r="84">
          <cell r="B84" t="str">
            <v>8.3</v>
          </cell>
          <cell r="C84" t="str">
            <v>Lastro para fundo de valas</v>
          </cell>
          <cell r="H84" t="str">
            <v>m3</v>
          </cell>
          <cell r="I84">
            <v>1</v>
          </cell>
          <cell r="J84">
            <v>161.91</v>
          </cell>
          <cell r="K84">
            <v>161.91</v>
          </cell>
        </row>
        <row r="85">
          <cell r="B85" t="str">
            <v>8.4</v>
          </cell>
          <cell r="C85" t="str">
            <v>Concreto armado para coluna</v>
          </cell>
          <cell r="H85" t="str">
            <v>m3</v>
          </cell>
          <cell r="I85">
            <v>2</v>
          </cell>
          <cell r="J85">
            <v>669.39</v>
          </cell>
          <cell r="K85">
            <v>1338.78</v>
          </cell>
        </row>
        <row r="86">
          <cell r="B86" t="str">
            <v>8.5</v>
          </cell>
          <cell r="C86" t="str">
            <v>Alv. de 1/2 vez</v>
          </cell>
          <cell r="H86" t="str">
            <v>m2</v>
          </cell>
          <cell r="I86">
            <v>300</v>
          </cell>
          <cell r="J86">
            <v>11.14</v>
          </cell>
          <cell r="K86">
            <v>3342</v>
          </cell>
        </row>
        <row r="87">
          <cell r="B87" t="str">
            <v>8.6</v>
          </cell>
          <cell r="C87" t="str">
            <v>Chapisco fino</v>
          </cell>
          <cell r="H87" t="str">
            <v>m2</v>
          </cell>
          <cell r="I87">
            <v>300</v>
          </cell>
          <cell r="J87">
            <v>1.56</v>
          </cell>
          <cell r="K87">
            <v>468</v>
          </cell>
        </row>
        <row r="88">
          <cell r="B88" t="str">
            <v>8.7</v>
          </cell>
          <cell r="C88" t="str">
            <v>Reboco paulista</v>
          </cell>
          <cell r="H88" t="str">
            <v>m2</v>
          </cell>
          <cell r="I88">
            <v>600</v>
          </cell>
          <cell r="J88">
            <v>11.56</v>
          </cell>
          <cell r="K88">
            <v>6936</v>
          </cell>
        </row>
        <row r="89">
          <cell r="B89" t="str">
            <v>8.8</v>
          </cell>
          <cell r="C89" t="str">
            <v>Calçada de proteção 50 cm</v>
          </cell>
          <cell r="H89" t="str">
            <v>m2</v>
          </cell>
          <cell r="I89">
            <v>288</v>
          </cell>
          <cell r="J89">
            <v>34.46</v>
          </cell>
          <cell r="K89">
            <v>9924.48</v>
          </cell>
        </row>
        <row r="90">
          <cell r="B90" t="str">
            <v>8.9</v>
          </cell>
          <cell r="C90" t="str">
            <v>Lastro e=6cm impermeabilizado para estacionamento</v>
          </cell>
          <cell r="H90" t="str">
            <v>m2</v>
          </cell>
          <cell r="I90">
            <v>738</v>
          </cell>
          <cell r="J90">
            <v>15.21</v>
          </cell>
          <cell r="K90">
            <v>11224.98</v>
          </cell>
          <cell r="L90">
            <v>33828.050000000003</v>
          </cell>
        </row>
        <row r="91">
          <cell r="K91">
            <v>0</v>
          </cell>
        </row>
        <row r="92">
          <cell r="A92" t="str">
            <v>9.0</v>
          </cell>
          <cell r="B92" t="str">
            <v>ESQUADRIAS</v>
          </cell>
          <cell r="K92">
            <v>0</v>
          </cell>
        </row>
        <row r="93">
          <cell r="B93" t="str">
            <v>9.1</v>
          </cell>
          <cell r="C93" t="str">
            <v>Portão de ferro e tela 4 x 2m de correr</v>
          </cell>
          <cell r="H93" t="str">
            <v>m2</v>
          </cell>
          <cell r="I93">
            <v>8</v>
          </cell>
          <cell r="J93">
            <v>201.8</v>
          </cell>
          <cell r="K93">
            <v>1614.4</v>
          </cell>
        </row>
        <row r="94">
          <cell r="B94" t="str">
            <v>9.2</v>
          </cell>
          <cell r="C94" t="str">
            <v>Portão de ferro e tela 1,2 x 2m de abrir</v>
          </cell>
          <cell r="H94" t="str">
            <v>m2</v>
          </cell>
          <cell r="I94">
            <v>2.4</v>
          </cell>
          <cell r="J94">
            <v>201.8</v>
          </cell>
          <cell r="K94">
            <v>484.32</v>
          </cell>
        </row>
        <row r="95">
          <cell r="B95" t="str">
            <v>9.3</v>
          </cell>
          <cell r="C95" t="str">
            <v>Porta almofadada duas folhas 1,5 x 2,1m</v>
          </cell>
          <cell r="H95" t="str">
            <v>un</v>
          </cell>
          <cell r="I95">
            <v>1</v>
          </cell>
          <cell r="J95">
            <v>276.14999999999998</v>
          </cell>
          <cell r="K95">
            <v>276.14999999999998</v>
          </cell>
        </row>
        <row r="96">
          <cell r="B96" t="str">
            <v>9.4</v>
          </cell>
          <cell r="C96" t="str">
            <v>Porta almofadada 0,80 x 2,10m</v>
          </cell>
          <cell r="H96" t="str">
            <v>un</v>
          </cell>
          <cell r="I96">
            <v>5</v>
          </cell>
          <cell r="J96">
            <v>167.01</v>
          </cell>
          <cell r="K96">
            <v>835.05</v>
          </cell>
        </row>
        <row r="97">
          <cell r="B97" t="str">
            <v>9.5</v>
          </cell>
          <cell r="C97" t="str">
            <v>Porta almofadada 0,60 x 2,10m</v>
          </cell>
          <cell r="H97" t="str">
            <v>un</v>
          </cell>
          <cell r="I97">
            <v>4</v>
          </cell>
          <cell r="J97">
            <v>158.72999999999999</v>
          </cell>
          <cell r="K97">
            <v>634.91999999999996</v>
          </cell>
        </row>
        <row r="98">
          <cell r="B98" t="str">
            <v>9.6</v>
          </cell>
          <cell r="C98" t="str">
            <v>Fechaduras para portas</v>
          </cell>
          <cell r="H98" t="str">
            <v>un</v>
          </cell>
          <cell r="I98">
            <v>45</v>
          </cell>
          <cell r="J98">
            <v>19.68</v>
          </cell>
          <cell r="K98">
            <v>885.6</v>
          </cell>
        </row>
        <row r="99">
          <cell r="B99" t="str">
            <v>9.7</v>
          </cell>
          <cell r="C99" t="str">
            <v>Puxadores para as janelas</v>
          </cell>
          <cell r="H99" t="str">
            <v>un</v>
          </cell>
          <cell r="I99">
            <v>28</v>
          </cell>
          <cell r="J99">
            <v>2.5499999999999998</v>
          </cell>
          <cell r="K99">
            <v>71.400000000000006</v>
          </cell>
          <cell r="L99">
            <v>4801.84</v>
          </cell>
        </row>
        <row r="100">
          <cell r="K100">
            <v>0</v>
          </cell>
        </row>
        <row r="101">
          <cell r="A101">
            <v>10</v>
          </cell>
          <cell r="B101" t="str">
            <v>DIVERSOS</v>
          </cell>
          <cell r="K101">
            <v>0</v>
          </cell>
        </row>
        <row r="102">
          <cell r="B102" t="str">
            <v>10.1</v>
          </cell>
          <cell r="C102" t="str">
            <v>Caixa para condicionador de ar 18000 btus</v>
          </cell>
          <cell r="H102" t="str">
            <v>un</v>
          </cell>
          <cell r="I102">
            <v>4</v>
          </cell>
          <cell r="J102">
            <v>58.5</v>
          </cell>
          <cell r="K102">
            <v>234</v>
          </cell>
        </row>
        <row r="103">
          <cell r="B103" t="str">
            <v>10.2</v>
          </cell>
          <cell r="C103" t="str">
            <v xml:space="preserve">Limpeza de poço com tratamento </v>
          </cell>
          <cell r="H103" t="str">
            <v>un</v>
          </cell>
          <cell r="I103">
            <v>1</v>
          </cell>
          <cell r="J103">
            <v>350</v>
          </cell>
          <cell r="K103">
            <v>350</v>
          </cell>
        </row>
        <row r="104">
          <cell r="B104" t="str">
            <v>10.3</v>
          </cell>
          <cell r="C104" t="str">
            <v>Vidro fantasia 4mm</v>
          </cell>
          <cell r="H104" t="str">
            <v>m2</v>
          </cell>
          <cell r="I104">
            <v>5</v>
          </cell>
          <cell r="J104">
            <v>22</v>
          </cell>
          <cell r="K104">
            <v>110</v>
          </cell>
        </row>
        <row r="105">
          <cell r="B105" t="str">
            <v>10.4</v>
          </cell>
          <cell r="C105" t="str">
            <v>Mureta-alvenaria de contenção p/águas pluviais h=0,70m</v>
          </cell>
          <cell r="H105" t="str">
            <v>ml</v>
          </cell>
          <cell r="I105">
            <v>20</v>
          </cell>
          <cell r="J105">
            <v>43.48</v>
          </cell>
          <cell r="K105">
            <v>869.6</v>
          </cell>
        </row>
        <row r="106">
          <cell r="B106" t="str">
            <v>10.5</v>
          </cell>
          <cell r="C106" t="str">
            <v>Tubo de concreto</v>
          </cell>
          <cell r="K106">
            <v>0</v>
          </cell>
        </row>
        <row r="107">
          <cell r="B107" t="str">
            <v>10.5.1</v>
          </cell>
          <cell r="C107" t="str">
            <v xml:space="preserve">TUBO  de concreto simples D=30cm rejuntado com argamassa de cimento e areia no traço 1:3 </v>
          </cell>
          <cell r="H107" t="str">
            <v>m</v>
          </cell>
          <cell r="I107">
            <v>20</v>
          </cell>
          <cell r="J107">
            <v>15.19</v>
          </cell>
          <cell r="K107">
            <v>303.8</v>
          </cell>
        </row>
        <row r="108">
          <cell r="B108" t="str">
            <v>10.5.2</v>
          </cell>
          <cell r="K108">
            <v>0</v>
          </cell>
        </row>
        <row r="109">
          <cell r="B109" t="str">
            <v>10.5.3</v>
          </cell>
          <cell r="C109" t="str">
            <v>Escavação manual de valas</v>
          </cell>
          <cell r="H109" t="str">
            <v>m3</v>
          </cell>
          <cell r="I109">
            <v>13.2</v>
          </cell>
          <cell r="J109">
            <v>9.76</v>
          </cell>
          <cell r="K109">
            <v>128.83000000000001</v>
          </cell>
        </row>
        <row r="110">
          <cell r="B110" t="str">
            <v>10.5.4</v>
          </cell>
          <cell r="C110" t="str">
            <v>Apiloamento de fundo de valas com maço de 30 kg</v>
          </cell>
          <cell r="H110" t="str">
            <v>m2</v>
          </cell>
          <cell r="I110">
            <v>16</v>
          </cell>
          <cell r="J110">
            <v>4.1500000000000004</v>
          </cell>
          <cell r="K110">
            <v>66.400000000000006</v>
          </cell>
        </row>
        <row r="111">
          <cell r="B111" t="str">
            <v>10.5.5</v>
          </cell>
          <cell r="C111" t="str">
            <v>Reaterro compactado de valas em camadas de 20cm</v>
          </cell>
          <cell r="H111" t="str">
            <v>m3</v>
          </cell>
          <cell r="I111">
            <v>9.24</v>
          </cell>
          <cell r="J111">
            <v>14.53</v>
          </cell>
          <cell r="K111">
            <v>134.26</v>
          </cell>
        </row>
        <row r="112">
          <cell r="B112" t="str">
            <v>10.5.6</v>
          </cell>
          <cell r="C112" t="str">
            <v>Lastro areia</v>
          </cell>
          <cell r="H112" t="str">
            <v>m3</v>
          </cell>
          <cell r="I112">
            <v>1.6</v>
          </cell>
          <cell r="J112">
            <v>20.6</v>
          </cell>
          <cell r="K112">
            <v>32.96</v>
          </cell>
        </row>
        <row r="113">
          <cell r="B113" t="str">
            <v>10.5.7</v>
          </cell>
          <cell r="C113" t="str">
            <v>Transporte a 30m em direcao horizontal de material escavado</v>
          </cell>
          <cell r="H113" t="str">
            <v>m3</v>
          </cell>
          <cell r="I113">
            <v>9.24</v>
          </cell>
          <cell r="J113">
            <v>4.88</v>
          </cell>
          <cell r="K113">
            <v>45.09</v>
          </cell>
        </row>
        <row r="114">
          <cell r="B114" t="str">
            <v>10.6</v>
          </cell>
          <cell r="C114" t="str">
            <v>Retirada de entulho até 6m3</v>
          </cell>
          <cell r="H114" t="str">
            <v>un</v>
          </cell>
          <cell r="I114">
            <v>4</v>
          </cell>
          <cell r="J114">
            <v>35</v>
          </cell>
          <cell r="K114">
            <v>140</v>
          </cell>
        </row>
        <row r="115">
          <cell r="B115" t="str">
            <v>10.7</v>
          </cell>
          <cell r="C115" t="str">
            <v xml:space="preserve">LImpeza geral da obra </v>
          </cell>
          <cell r="H115" t="str">
            <v>m2</v>
          </cell>
          <cell r="I115">
            <v>2000</v>
          </cell>
          <cell r="J115">
            <v>1.71</v>
          </cell>
          <cell r="K115">
            <v>3420</v>
          </cell>
          <cell r="L115">
            <v>5834.94</v>
          </cell>
        </row>
        <row r="116">
          <cell r="K116">
            <v>0</v>
          </cell>
        </row>
        <row r="119">
          <cell r="D119" t="str">
            <v>T O T A L   S E M  B D I ..................................................................................................................</v>
          </cell>
          <cell r="K119">
            <v>115224.16</v>
          </cell>
          <cell r="L119">
            <v>115224.16</v>
          </cell>
        </row>
        <row r="120">
          <cell r="D120" t="str">
            <v>B   D   I ...............................................................................................................................................</v>
          </cell>
          <cell r="K120">
            <v>34567.25</v>
          </cell>
          <cell r="L120">
            <v>34567.25</v>
          </cell>
        </row>
        <row r="121">
          <cell r="D121" t="str">
            <v>T O T A L   C O M   B D I ..................................................................................................................</v>
          </cell>
          <cell r="K121">
            <v>149791.41</v>
          </cell>
          <cell r="L121">
            <v>149791.41</v>
          </cell>
        </row>
        <row r="123">
          <cell r="B123" t="str">
            <v>Porto Velho Unidade Mista - João Leandro Barbosa - distrito extrema.xls</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ori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
      <sheetName val="CRONOG"/>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_Playground"/>
      <sheetName val="Plan_Playground"/>
      <sheetName val="Crono_Playground"/>
      <sheetName val="Composição_MURO"/>
      <sheetName val="Plan_MURO"/>
      <sheetName val="Crono_MURO"/>
      <sheetName val="Composição_QUADRA"/>
      <sheetName val="Plan_REF QUADRA"/>
      <sheetName val="Crono_REF QUADRA"/>
      <sheetName val="Composição_PAVILHÃO 03"/>
      <sheetName val="Plan_PAVILHÃO 03"/>
      <sheetName val="Crono_PAVILHÃO 03"/>
      <sheetName val="Composição_QUADRA DE AREIA"/>
      <sheetName val="Plan_QUADRA DE AREIA"/>
      <sheetName val="Crono_QUADRA DE AREIA"/>
      <sheetName val="Composição_SUBESTAÇÃO"/>
      <sheetName val="CHUE (2)"/>
      <sheetName val="Plan_SUBESTAÇÃO"/>
      <sheetName val="Crono_SUBESTAÇÃO"/>
      <sheetName val="BDI"/>
      <sheetName val="L.S."/>
      <sheetName val="Histograma"/>
      <sheetName val="Salário base da categoria"/>
      <sheetName val="Mão de obra (MAR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
      <sheetName val="CRONOG"/>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URVA ABC"/>
      <sheetName val="LS"/>
      <sheetName val="CURVA ABC DOS SERVIÇOS"/>
      <sheetName val="CRONOGRAMA"/>
      <sheetName val="BDI"/>
      <sheetName val="BDI EQUIP"/>
      <sheetName val="ORÇAMENTO"/>
      <sheetName val="ORÇAMENTO EQUIP"/>
      <sheetName val="COMPOSIÇÃO"/>
      <sheetName val="COMPOSIÇÕES ELAB. PELA EMPRESA"/>
      <sheetName val="INSUMOS"/>
      <sheetName val="SERVIÇOS"/>
      <sheetName val="GUIA 1"/>
      <sheetName val="GUIA 2"/>
      <sheetName val="GUIA 3"/>
    </sheetNames>
    <sheetDataSet>
      <sheetData sheetId="0"/>
      <sheetData sheetId="1"/>
      <sheetData sheetId="2"/>
      <sheetData sheetId="3"/>
      <sheetData sheetId="4"/>
      <sheetData sheetId="5"/>
      <sheetData sheetId="6"/>
      <sheetData sheetId="7">
        <row r="18">
          <cell r="A18" t="str">
            <v>ITEM</v>
          </cell>
        </row>
      </sheetData>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Planilha"/>
      <sheetName val="CRONOGRAMA"/>
      <sheetName val="BDI SERV"/>
      <sheetName val="BDI MAT"/>
      <sheetName val="L.S."/>
      <sheetName val="Mão de obra (MARCA)"/>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CRON"/>
      <sheetName val="COMPOSIÇÃO EL"/>
      <sheetName val="LS"/>
      <sheetName val="BDI"/>
      <sheetName val="COMPOSIÇÃO BDI"/>
      <sheetName val="QUANTIDADES"/>
      <sheetName val="INSUMOS EL"/>
      <sheetName val="ENCARGOS"/>
    </sheetNames>
    <sheetDataSet>
      <sheetData sheetId="0"/>
      <sheetData sheetId="1"/>
      <sheetData sheetId="2"/>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A7:G263" totalsRowCount="1" headerRowDxfId="19" dataDxfId="17" totalsRowDxfId="15" headerRowBorderDxfId="18" tableBorderDxfId="16" totalsRowBorderDxfId="14">
  <autoFilter ref="A7:G262" xr:uid="{00000000-0009-0000-0100-000001000000}"/>
  <sortState xmlns:xlrd2="http://schemas.microsoft.com/office/spreadsheetml/2017/richdata2" ref="A8:G262">
    <sortCondition descending="1" ref="E7:E262"/>
  </sortState>
  <tableColumns count="7">
    <tableColumn id="1" xr3:uid="{00000000-0010-0000-0000-000001000000}" name="Nº" totalsRowLabel="Total" dataDxfId="13" totalsRowDxfId="12"/>
    <tableColumn id="2" xr3:uid="{00000000-0010-0000-0000-000002000000}" name="ITEM" dataDxfId="11" totalsRowDxfId="10"/>
    <tableColumn id="3" xr3:uid="{00000000-0010-0000-0000-000003000000}" name="DISCRIMINAÇÃO" dataDxfId="9" totalsRowDxfId="8"/>
    <tableColumn id="4" xr3:uid="{00000000-0010-0000-0000-000004000000}" name="TOTAL ITEM (R$)" totalsRowFunction="sum" dataDxfId="7" totalsRowDxfId="6"/>
    <tableColumn id="5" xr3:uid="{00000000-0010-0000-0000-000005000000}" name="%ITEM" dataDxfId="5" totalsRowDxfId="4" dataCellStyle="Porcentagem">
      <calculatedColumnFormula>Tabela1[[#This Row],[TOTAL ITEM (R$)]]/Tabela1[[#Totals],[TOTAL ITEM (R$)]]</calculatedColumnFormula>
    </tableColumn>
    <tableColumn id="6" xr3:uid="{00000000-0010-0000-0000-000006000000}" name="% TOTAL ACUMULADA" dataDxfId="3" totalsRowDxfId="2" dataCellStyle="Porcentagem"/>
    <tableColumn id="7" xr3:uid="{00000000-0010-0000-0000-000007000000}" name="CLASS." dataDxfId="1" totalsRowDxfId="0" dataCellStyle="Moeda">
      <calculatedColumnFormula>IF(F8&gt;=95%,"C",IF(F8&lt;80%,"A","B"))</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javascript:__doPostBack('ctl00$MainContent$gvServicos$ctl09$lnkBtnCodigo','')" TargetMode="External"/><Relationship Id="rId3" Type="http://schemas.openxmlformats.org/officeDocument/2006/relationships/hyperlink" Target="javascript:__doPostBack('ctl00$MainContent$gvServicos$ctl24$lnkBtnCodigo','')" TargetMode="External"/><Relationship Id="rId7" Type="http://schemas.openxmlformats.org/officeDocument/2006/relationships/hyperlink" Target="javascript:__doPostBack('ctl00$MainContent$gvServicos$ctl15$lnkBtnCodigo','')" TargetMode="External"/><Relationship Id="rId2" Type="http://schemas.openxmlformats.org/officeDocument/2006/relationships/hyperlink" Target="javascript:__doPostBack('ctl00$MainContent$gvServicos$ctl26$lnkBtnCodigo','')" TargetMode="External"/><Relationship Id="rId1" Type="http://schemas.openxmlformats.org/officeDocument/2006/relationships/hyperlink" Target="javascript:__doPostBack('ctl00$MainContent$gvServicos$ctl03$lnkBtnCodigo','')" TargetMode="External"/><Relationship Id="rId6" Type="http://schemas.openxmlformats.org/officeDocument/2006/relationships/hyperlink" Target="javascript:__doPostBack('ctl00$MainContent$gvServicos$ctl13$lnkBtnCodigo','')" TargetMode="External"/><Relationship Id="rId11" Type="http://schemas.openxmlformats.org/officeDocument/2006/relationships/vmlDrawing" Target="../drawings/vmlDrawing1.vml"/><Relationship Id="rId5" Type="http://schemas.openxmlformats.org/officeDocument/2006/relationships/hyperlink" Target="javascript:__doPostBack('ctl00$MainContent$gvServicos$ctl80$lnkBtnCodigo','')" TargetMode="External"/><Relationship Id="rId10" Type="http://schemas.openxmlformats.org/officeDocument/2006/relationships/drawing" Target="../drawings/drawing1.xml"/><Relationship Id="rId4" Type="http://schemas.openxmlformats.org/officeDocument/2006/relationships/hyperlink" Target="javascript:__doPostBack('ctl00$MainContent$gvServicos$ctl79$lnkBtnCodigo','')"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hyperlink" Target="javascript:WebForm_DoPostBackWithOptions(new%20WebForm_PostBackOptions(%22ctl00$MainContent$gvComposicao$ctl06$lnkBtnCodigo2%22,%20%22%22,%20true,%20%22GrupoCalculo%22,%20%22%22,%20false,%20true))" TargetMode="External"/><Relationship Id="rId2" Type="http://schemas.openxmlformats.org/officeDocument/2006/relationships/hyperlink" Target="javascript:WebForm_DoPostBackWithOptions(new%20WebForm_PostBackOptions(%22ctl00$MainContent$gvComposicao$ctl05$lnkBtnCodigo2%22,%20%22%22,%20true,%20%22GrupoCalculo%22,%20%22%22,%20false,%20true))" TargetMode="External"/><Relationship Id="rId1" Type="http://schemas.openxmlformats.org/officeDocument/2006/relationships/hyperlink" Target="javascript:WebForm_DoPostBackWithOptions(new%20WebForm_PostBackOptions(%22ctl00$MainContent$gvComposicao$ctl06$lnkBtnCodigo2%22,%20%22%22,%20true,%20%22GrupoCalculo%22,%20%22%22,%20false,%20true))" TargetMode="External"/><Relationship Id="rId6" Type="http://schemas.openxmlformats.org/officeDocument/2006/relationships/vmlDrawing" Target="../drawings/vmlDrawing4.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S437"/>
  <sheetViews>
    <sheetView tabSelected="1" view="pageBreakPreview" topLeftCell="A402" zoomScale="85" zoomScaleNormal="100" zoomScaleSheetLayoutView="85" workbookViewId="0">
      <selection activeCell="D416" sqref="D416:D417"/>
    </sheetView>
  </sheetViews>
  <sheetFormatPr defaultColWidth="9.140625" defaultRowHeight="12.75" x14ac:dyDescent="0.25"/>
  <cols>
    <col min="1" max="1" width="7.42578125" style="22" customWidth="1"/>
    <col min="2" max="2" width="15.85546875" style="22" customWidth="1"/>
    <col min="3" max="3" width="15.42578125" style="22" customWidth="1"/>
    <col min="4" max="4" width="100.7109375" style="19" customWidth="1"/>
    <col min="5" max="5" width="6.5703125" style="22" customWidth="1"/>
    <col min="6" max="6" width="9.5703125" style="28" bestFit="1" customWidth="1"/>
    <col min="7" max="8" width="12.42578125" style="29" bestFit="1" customWidth="1"/>
    <col min="9" max="10" width="12.140625" style="29" customWidth="1"/>
    <col min="11" max="11" width="17.28515625" style="29" customWidth="1"/>
    <col min="12" max="12" width="2.140625" style="19" customWidth="1"/>
    <col min="13" max="13" width="14.28515625" style="19" bestFit="1" customWidth="1"/>
    <col min="14" max="14" width="12.5703125" style="19" bestFit="1" customWidth="1"/>
    <col min="15" max="15" width="14" style="19" bestFit="1" customWidth="1"/>
    <col min="16" max="16384" width="9.140625" style="19"/>
  </cols>
  <sheetData>
    <row r="1" spans="1:19" s="2" customFormat="1" ht="16.5" thickBot="1" x14ac:dyDescent="0.3">
      <c r="A1" s="133"/>
      <c r="B1" s="133"/>
      <c r="C1" s="133"/>
      <c r="D1" s="133"/>
      <c r="E1" s="133"/>
      <c r="F1" s="133"/>
      <c r="G1" s="133"/>
      <c r="H1" s="133"/>
      <c r="I1" s="133"/>
      <c r="J1" s="133"/>
      <c r="K1" s="133"/>
      <c r="L1" s="1"/>
    </row>
    <row r="2" spans="1:19" s="5" customFormat="1" ht="31.5" customHeight="1" x14ac:dyDescent="0.25">
      <c r="A2" s="122"/>
      <c r="B2" s="123" t="s">
        <v>0</v>
      </c>
      <c r="C2" s="706" t="s">
        <v>11667</v>
      </c>
      <c r="D2" s="706"/>
      <c r="E2" s="268"/>
      <c r="F2" s="268"/>
      <c r="G2" s="139"/>
      <c r="H2" s="139"/>
      <c r="I2" s="139"/>
      <c r="J2" s="139"/>
      <c r="K2" s="140" t="s">
        <v>12251</v>
      </c>
      <c r="L2" s="4"/>
    </row>
    <row r="3" spans="1:19" s="5" customFormat="1" ht="18" customHeight="1" x14ac:dyDescent="0.25">
      <c r="A3" s="110"/>
      <c r="B3" s="124" t="s">
        <v>1</v>
      </c>
      <c r="C3" s="125" t="s">
        <v>11666</v>
      </c>
      <c r="D3" s="126"/>
      <c r="E3" s="127"/>
      <c r="F3" s="124"/>
      <c r="G3" s="10"/>
      <c r="H3" s="124"/>
      <c r="I3" s="124" t="s">
        <v>11665</v>
      </c>
      <c r="J3" s="124"/>
      <c r="K3" s="141" t="str">
        <f>C5</f>
        <v>07/2020</v>
      </c>
      <c r="L3" s="4"/>
    </row>
    <row r="4" spans="1:19" s="5" customFormat="1" ht="18" customHeight="1" x14ac:dyDescent="0.25">
      <c r="A4" s="110"/>
      <c r="B4" s="124" t="s">
        <v>2</v>
      </c>
      <c r="C4" s="125" t="s">
        <v>3</v>
      </c>
      <c r="D4" s="126"/>
      <c r="E4" s="127"/>
      <c r="F4" s="124"/>
      <c r="G4" s="10"/>
      <c r="H4" s="124"/>
      <c r="I4" s="124" t="s">
        <v>52</v>
      </c>
      <c r="J4" s="124"/>
      <c r="K4" s="269">
        <v>44105</v>
      </c>
      <c r="L4" s="4"/>
      <c r="N4" s="16"/>
      <c r="O4" s="16"/>
      <c r="P4" s="16"/>
      <c r="Q4" s="16"/>
    </row>
    <row r="5" spans="1:19" s="14" customFormat="1" ht="15.75" thickBot="1" x14ac:dyDescent="0.3">
      <c r="A5" s="129"/>
      <c r="B5" s="130" t="s">
        <v>4</v>
      </c>
      <c r="C5" s="695" t="s">
        <v>13913</v>
      </c>
      <c r="D5" s="131"/>
      <c r="E5" s="131"/>
      <c r="F5" s="127"/>
      <c r="G5" s="54"/>
      <c r="H5" s="124"/>
      <c r="I5" s="124"/>
      <c r="J5" s="124"/>
      <c r="K5" s="270"/>
      <c r="L5" s="13"/>
      <c r="N5" s="16"/>
      <c r="O5" s="16"/>
      <c r="P5" s="16"/>
      <c r="Q5" s="16"/>
      <c r="R5" s="5"/>
      <c r="S5" s="5"/>
    </row>
    <row r="6" spans="1:19" s="16" customFormat="1" ht="24" customHeight="1" thickBot="1" x14ac:dyDescent="0.3">
      <c r="A6" s="703" t="s">
        <v>5</v>
      </c>
      <c r="B6" s="704"/>
      <c r="C6" s="704"/>
      <c r="D6" s="704"/>
      <c r="E6" s="704"/>
      <c r="F6" s="704"/>
      <c r="G6" s="704"/>
      <c r="H6" s="704"/>
      <c r="I6" s="704"/>
      <c r="J6" s="704"/>
      <c r="K6" s="705"/>
      <c r="N6"/>
      <c r="O6" s="5"/>
      <c r="P6" s="5"/>
      <c r="Q6" s="5"/>
      <c r="R6" s="5"/>
      <c r="S6" s="5"/>
    </row>
    <row r="7" spans="1:19" s="16" customFormat="1" ht="67.5" customHeight="1" thickBot="1" x14ac:dyDescent="0.3">
      <c r="A7" s="134" t="s">
        <v>6</v>
      </c>
      <c r="B7" s="135" t="s">
        <v>7</v>
      </c>
      <c r="C7" s="135" t="s">
        <v>8</v>
      </c>
      <c r="D7" s="136" t="s">
        <v>9</v>
      </c>
      <c r="E7" s="136" t="s">
        <v>10</v>
      </c>
      <c r="F7" s="137" t="s">
        <v>20</v>
      </c>
      <c r="G7" s="137" t="s">
        <v>11857</v>
      </c>
      <c r="H7" s="298" t="s">
        <v>11858</v>
      </c>
      <c r="I7" s="298" t="s">
        <v>40</v>
      </c>
      <c r="J7" s="298" t="s">
        <v>11859</v>
      </c>
      <c r="K7" s="138" t="s">
        <v>11</v>
      </c>
      <c r="N7"/>
      <c r="O7" s="5"/>
      <c r="P7" s="5"/>
      <c r="Q7" s="5"/>
      <c r="R7" s="5"/>
      <c r="S7" s="5"/>
    </row>
    <row r="8" spans="1:19" s="16" customFormat="1" ht="18.75" customHeight="1" thickBot="1" x14ac:dyDescent="0.3">
      <c r="A8" s="17" t="s">
        <v>81</v>
      </c>
      <c r="B8" s="18"/>
      <c r="C8" s="18"/>
      <c r="D8" s="116" t="s">
        <v>96</v>
      </c>
      <c r="E8" s="18"/>
      <c r="F8" s="18"/>
      <c r="G8" s="18"/>
      <c r="H8" s="18"/>
      <c r="I8" s="18"/>
      <c r="J8" s="18"/>
      <c r="K8" s="120">
        <f>SUM(K9,K12)</f>
        <v>43028.001199999999</v>
      </c>
      <c r="M8" s="286"/>
      <c r="N8"/>
      <c r="O8" s="5"/>
      <c r="P8" s="5"/>
      <c r="Q8" s="5"/>
      <c r="R8" s="5"/>
      <c r="S8" s="5"/>
    </row>
    <row r="9" spans="1:19" s="16" customFormat="1" ht="15.75" customHeight="1" thickBot="1" x14ac:dyDescent="0.3">
      <c r="A9" s="20" t="s">
        <v>12</v>
      </c>
      <c r="B9" s="115"/>
      <c r="C9" s="21"/>
      <c r="D9" s="118" t="s">
        <v>97</v>
      </c>
      <c r="E9" s="21"/>
      <c r="F9" s="21"/>
      <c r="G9" s="21"/>
      <c r="H9" s="21"/>
      <c r="I9" s="21"/>
      <c r="J9" s="21"/>
      <c r="K9" s="121">
        <f>SUM(K10:K10)</f>
        <v>38539.9012</v>
      </c>
      <c r="N9"/>
      <c r="O9" s="5"/>
      <c r="P9" s="5"/>
      <c r="Q9" s="5"/>
      <c r="R9" s="5"/>
      <c r="S9" s="5"/>
    </row>
    <row r="10" spans="1:19" s="599" customFormat="1" ht="27.75" customHeight="1" thickBot="1" x14ac:dyDescent="0.3">
      <c r="A10" s="609" t="s">
        <v>13</v>
      </c>
      <c r="B10" s="266" t="s">
        <v>22</v>
      </c>
      <c r="C10" s="607" t="s">
        <v>274</v>
      </c>
      <c r="D10" s="264" t="s">
        <v>244</v>
      </c>
      <c r="E10" s="607" t="s">
        <v>249</v>
      </c>
      <c r="F10" s="610">
        <f>VLOOKUP(A10,MC!$A$10:'MC'!$J$2901,9,FALSE)</f>
        <v>5</v>
      </c>
      <c r="G10" s="611">
        <v>6354.48</v>
      </c>
      <c r="H10" s="612">
        <f>G10</f>
        <v>6354.48</v>
      </c>
      <c r="I10" s="596">
        <f>BDI!$F$21</f>
        <v>0.21299999999999999</v>
      </c>
      <c r="J10" s="597">
        <f>H10*1.213</f>
        <v>7707.9842399999998</v>
      </c>
      <c r="K10" s="598">
        <f>(F10*J10)-0.02</f>
        <v>38539.9012</v>
      </c>
      <c r="N10" s="601"/>
      <c r="O10" s="602"/>
      <c r="P10" s="602"/>
      <c r="Q10" s="602"/>
      <c r="R10" s="602"/>
      <c r="S10" s="602"/>
    </row>
    <row r="11" spans="1:19" ht="15.75" customHeight="1" thickBot="1" x14ac:dyDescent="0.3">
      <c r="A11" s="23"/>
      <c r="B11" s="114"/>
      <c r="C11" s="24"/>
      <c r="D11" s="117"/>
      <c r="E11" s="24"/>
      <c r="F11" s="25"/>
      <c r="G11" s="25"/>
      <c r="H11" s="25"/>
      <c r="I11" s="25"/>
      <c r="J11" s="25"/>
      <c r="K11" s="26"/>
      <c r="M11" s="694"/>
      <c r="N11"/>
      <c r="O11" s="5"/>
      <c r="P11" s="5"/>
      <c r="Q11" s="5"/>
      <c r="R11" s="5"/>
      <c r="S11" s="5"/>
    </row>
    <row r="12" spans="1:19" s="16" customFormat="1" ht="15.75" customHeight="1" thickBot="1" x14ac:dyDescent="0.3">
      <c r="A12" s="20" t="s">
        <v>45</v>
      </c>
      <c r="B12" s="115"/>
      <c r="C12" s="21"/>
      <c r="D12" s="118" t="s">
        <v>245</v>
      </c>
      <c r="E12" s="21"/>
      <c r="F12" s="21"/>
      <c r="G12" s="21"/>
      <c r="H12" s="21"/>
      <c r="I12" s="21"/>
      <c r="J12" s="21"/>
      <c r="K12" s="121">
        <f>SUM(K13:K14)</f>
        <v>4488.1000000000004</v>
      </c>
      <c r="N12"/>
      <c r="O12" s="5"/>
      <c r="P12" s="5"/>
      <c r="Q12" s="5"/>
      <c r="R12" s="5"/>
      <c r="S12" s="5"/>
    </row>
    <row r="13" spans="1:19" s="16" customFormat="1" ht="15.75" customHeight="1" x14ac:dyDescent="0.25">
      <c r="A13" s="160" t="s">
        <v>46</v>
      </c>
      <c r="B13" s="166" t="s">
        <v>11768</v>
      </c>
      <c r="C13" s="161" t="s">
        <v>11770</v>
      </c>
      <c r="D13" s="162" t="s">
        <v>246</v>
      </c>
      <c r="E13" s="161" t="s">
        <v>18</v>
      </c>
      <c r="F13" s="163">
        <f>VLOOKUP(A13,MC!$A$10:'MC'!$J$2901,9,FALSE)</f>
        <v>1</v>
      </c>
      <c r="G13" s="164">
        <v>1700</v>
      </c>
      <c r="H13" s="164">
        <f>G13</f>
        <v>1700</v>
      </c>
      <c r="I13" s="300">
        <f>BDI!$F$21</f>
        <v>0.21299999999999999</v>
      </c>
      <c r="J13" s="301">
        <f t="shared" ref="J13:J14" si="0">ROUND(H13*(1+I13),2)</f>
        <v>2062.1</v>
      </c>
      <c r="K13" s="302">
        <f t="shared" ref="K13:K14" si="1">ROUND(F13*J13,2)</f>
        <v>2062.1</v>
      </c>
      <c r="R13" s="5"/>
      <c r="S13" s="5"/>
    </row>
    <row r="14" spans="1:19" s="16" customFormat="1" ht="15.75" customHeight="1" thickBot="1" x14ac:dyDescent="0.3">
      <c r="A14" s="160" t="s">
        <v>48</v>
      </c>
      <c r="B14" s="166" t="s">
        <v>11768</v>
      </c>
      <c r="C14" s="161" t="s">
        <v>11769</v>
      </c>
      <c r="D14" s="196" t="s">
        <v>247</v>
      </c>
      <c r="E14" s="161" t="s">
        <v>18</v>
      </c>
      <c r="F14" s="163">
        <f>VLOOKUP(A14,MC!$A$10:'MC'!$J$2901,9,FALSE)</f>
        <v>1</v>
      </c>
      <c r="G14" s="164">
        <v>2000</v>
      </c>
      <c r="H14" s="164">
        <f>G14</f>
        <v>2000</v>
      </c>
      <c r="I14" s="300">
        <f>BDI!$F$21</f>
        <v>0.21299999999999999</v>
      </c>
      <c r="J14" s="301">
        <f t="shared" si="0"/>
        <v>2426</v>
      </c>
      <c r="K14" s="302">
        <f t="shared" si="1"/>
        <v>2426</v>
      </c>
      <c r="N14"/>
      <c r="O14" s="5"/>
      <c r="P14" s="5"/>
      <c r="Q14" s="5"/>
      <c r="R14" s="5"/>
      <c r="S14" s="5"/>
    </row>
    <row r="15" spans="1:19" ht="15.75" customHeight="1" thickBot="1" x14ac:dyDescent="0.3">
      <c r="A15" s="23"/>
      <c r="B15" s="114"/>
      <c r="C15" s="24"/>
      <c r="D15" s="117"/>
      <c r="E15" s="24"/>
      <c r="F15" s="25"/>
      <c r="G15" s="25"/>
      <c r="H15" s="25"/>
      <c r="I15" s="25"/>
      <c r="J15" s="25"/>
      <c r="K15" s="26"/>
      <c r="N15"/>
      <c r="O15" s="5"/>
      <c r="P15" s="5"/>
      <c r="Q15" s="5"/>
      <c r="R15" s="5"/>
      <c r="S15" s="5"/>
    </row>
    <row r="16" spans="1:19" s="16" customFormat="1" ht="18.75" customHeight="1" thickBot="1" x14ac:dyDescent="0.3">
      <c r="A16" s="17" t="s">
        <v>100</v>
      </c>
      <c r="B16" s="18"/>
      <c r="C16" s="18"/>
      <c r="D16" s="116" t="s">
        <v>101</v>
      </c>
      <c r="E16" s="18"/>
      <c r="F16" s="18"/>
      <c r="G16" s="18"/>
      <c r="H16" s="18"/>
      <c r="I16" s="18"/>
      <c r="J16" s="18"/>
      <c r="K16" s="120">
        <f>SUM(K17,K43)</f>
        <v>48465.475983268771</v>
      </c>
      <c r="N16"/>
      <c r="O16" s="5"/>
      <c r="P16" s="5"/>
      <c r="Q16" s="5"/>
      <c r="R16" s="5"/>
      <c r="S16" s="5"/>
    </row>
    <row r="17" spans="1:19" s="16" customFormat="1" ht="15.75" customHeight="1" thickBot="1" x14ac:dyDescent="0.3">
      <c r="A17" s="20" t="s">
        <v>103</v>
      </c>
      <c r="B17" s="197"/>
      <c r="C17" s="21"/>
      <c r="D17" s="118" t="s">
        <v>102</v>
      </c>
      <c r="E17" s="21"/>
      <c r="F17" s="21"/>
      <c r="G17" s="21"/>
      <c r="H17" s="21"/>
      <c r="I17" s="21"/>
      <c r="J17" s="21"/>
      <c r="K17" s="121">
        <f>SUM(K18:K41)</f>
        <v>46093.195983268772</v>
      </c>
      <c r="N17"/>
      <c r="O17" s="5"/>
      <c r="P17" s="5"/>
      <c r="Q17" s="5"/>
      <c r="R17" s="5"/>
      <c r="S17" s="5"/>
    </row>
    <row r="18" spans="1:19" s="16" customFormat="1" ht="15" x14ac:dyDescent="0.25">
      <c r="A18" s="168" t="s">
        <v>104</v>
      </c>
      <c r="B18" s="166" t="s">
        <v>166</v>
      </c>
      <c r="C18" s="607">
        <v>97647</v>
      </c>
      <c r="D18" s="264" t="s">
        <v>248</v>
      </c>
      <c r="E18" s="169" t="s">
        <v>164</v>
      </c>
      <c r="F18" s="170">
        <f>VLOOKUP(A18,MC!$A$10:'MC'!$J$2901,9,FALSE)</f>
        <v>548.80000000000007</v>
      </c>
      <c r="G18" s="171">
        <f>VLOOKUP(C18,Serviço02!$A$1:$D$6699,4,FALSE)</f>
        <v>2.62</v>
      </c>
      <c r="H18" s="171">
        <f>G18</f>
        <v>2.62</v>
      </c>
      <c r="I18" s="300">
        <f>BDI!$F$21</f>
        <v>0.21299999999999999</v>
      </c>
      <c r="J18" s="301">
        <f t="shared" ref="J18:J41" si="2">ROUND(H18*(1+I18),2)</f>
        <v>3.18</v>
      </c>
      <c r="K18" s="302">
        <f t="shared" ref="K18:K39" si="3">ROUND(F18*J18,2)</f>
        <v>1745.18</v>
      </c>
      <c r="M18" s="109"/>
      <c r="N18"/>
      <c r="O18" s="5"/>
      <c r="P18" s="5"/>
      <c r="Q18" s="5"/>
      <c r="R18" s="5"/>
      <c r="S18" s="5"/>
    </row>
    <row r="19" spans="1:19" s="16" customFormat="1" ht="15" x14ac:dyDescent="0.25">
      <c r="A19" s="168" t="s">
        <v>105</v>
      </c>
      <c r="B19" s="166" t="s">
        <v>166</v>
      </c>
      <c r="C19" s="607">
        <v>97650</v>
      </c>
      <c r="D19" s="264" t="s">
        <v>250</v>
      </c>
      <c r="E19" s="169" t="s">
        <v>164</v>
      </c>
      <c r="F19" s="170">
        <f>VLOOKUP(A19,MC!$A$10:'MC'!$J$2901,9,FALSE)</f>
        <v>548.80000000000007</v>
      </c>
      <c r="G19" s="171">
        <f>VLOOKUP(C19,Serviço02!$A$1:$D$6699,4,FALSE)</f>
        <v>5.64</v>
      </c>
      <c r="H19" s="171">
        <f t="shared" ref="H19:H41" si="4">G19</f>
        <v>5.64</v>
      </c>
      <c r="I19" s="300">
        <f>BDI!$F$21</f>
        <v>0.21299999999999999</v>
      </c>
      <c r="J19" s="301">
        <f t="shared" si="2"/>
        <v>6.84</v>
      </c>
      <c r="K19" s="302">
        <f t="shared" si="3"/>
        <v>3753.79</v>
      </c>
      <c r="M19" s="109"/>
      <c r="N19" s="247"/>
      <c r="O19" s="10"/>
      <c r="P19" s="10"/>
      <c r="Q19" s="10"/>
      <c r="R19" s="5"/>
      <c r="S19" s="5"/>
    </row>
    <row r="20" spans="1:19" s="16" customFormat="1" ht="15.75" customHeight="1" x14ac:dyDescent="0.25">
      <c r="A20" s="168" t="s">
        <v>106</v>
      </c>
      <c r="B20" s="166" t="s">
        <v>166</v>
      </c>
      <c r="C20" s="267">
        <v>97652</v>
      </c>
      <c r="D20" s="264" t="s">
        <v>251</v>
      </c>
      <c r="E20" s="169" t="s">
        <v>18</v>
      </c>
      <c r="F20" s="170">
        <f>VLOOKUP(A20,MC!$A$10:'MC'!$J$2901,9,FALSE)</f>
        <v>10</v>
      </c>
      <c r="G20" s="171">
        <f>VLOOKUP(C20,Serviço02!$A$1:$D$6699,4,FALSE)</f>
        <v>141.53</v>
      </c>
      <c r="H20" s="171">
        <f t="shared" si="4"/>
        <v>141.53</v>
      </c>
      <c r="I20" s="300">
        <f>BDI!$F$21</f>
        <v>0.21299999999999999</v>
      </c>
      <c r="J20" s="301">
        <f t="shared" si="2"/>
        <v>171.68</v>
      </c>
      <c r="K20" s="302">
        <f t="shared" si="3"/>
        <v>1716.8</v>
      </c>
      <c r="M20" s="109"/>
      <c r="N20"/>
      <c r="O20" s="5"/>
      <c r="P20" s="5"/>
      <c r="Q20" s="5"/>
      <c r="R20" s="5"/>
      <c r="S20" s="5"/>
    </row>
    <row r="21" spans="1:19" s="16" customFormat="1" ht="15" x14ac:dyDescent="0.25">
      <c r="A21" s="168" t="s">
        <v>107</v>
      </c>
      <c r="B21" s="166" t="s">
        <v>166</v>
      </c>
      <c r="C21" s="607">
        <v>97640</v>
      </c>
      <c r="D21" s="264" t="s">
        <v>252</v>
      </c>
      <c r="E21" s="169" t="s">
        <v>164</v>
      </c>
      <c r="F21" s="170">
        <f>VLOOKUP(A21,MC!$A$10:'MC'!$J$2901,9,FALSE)</f>
        <v>175.78919999999999</v>
      </c>
      <c r="G21" s="171">
        <f>VLOOKUP(C21,Serviço02!$A$1:$D$6699,4,FALSE)</f>
        <v>1.34</v>
      </c>
      <c r="H21" s="171">
        <f t="shared" si="4"/>
        <v>1.34</v>
      </c>
      <c r="I21" s="300">
        <f>BDI!$F$21</f>
        <v>0.21299999999999999</v>
      </c>
      <c r="J21" s="301">
        <f t="shared" si="2"/>
        <v>1.63</v>
      </c>
      <c r="K21" s="302">
        <f t="shared" si="3"/>
        <v>286.54000000000002</v>
      </c>
      <c r="M21" s="109"/>
      <c r="N21"/>
      <c r="O21" s="5"/>
      <c r="P21" s="5"/>
      <c r="Q21" s="5"/>
      <c r="R21" s="5"/>
      <c r="S21" s="5"/>
    </row>
    <row r="22" spans="1:19" s="245" customFormat="1" ht="15.75" customHeight="1" x14ac:dyDescent="0.25">
      <c r="A22" s="168" t="s">
        <v>108</v>
      </c>
      <c r="B22" s="249" t="s">
        <v>166</v>
      </c>
      <c r="C22" s="607">
        <v>97642</v>
      </c>
      <c r="D22" s="264" t="s">
        <v>253</v>
      </c>
      <c r="E22" s="169" t="s">
        <v>164</v>
      </c>
      <c r="F22" s="170">
        <f>VLOOKUP(A22,MC!$A$10:'MC'!$J$2901,9,FALSE)</f>
        <v>175.78919999999999</v>
      </c>
      <c r="G22" s="171">
        <f>VLOOKUP(C22,Serviço02!$A$1:$D$6699,4,FALSE)</f>
        <v>2.42</v>
      </c>
      <c r="H22" s="171">
        <f t="shared" si="4"/>
        <v>2.42</v>
      </c>
      <c r="I22" s="300">
        <f>BDI!$F$21</f>
        <v>0.21299999999999999</v>
      </c>
      <c r="J22" s="301">
        <f t="shared" si="2"/>
        <v>2.94</v>
      </c>
      <c r="K22" s="302">
        <f t="shared" si="3"/>
        <v>516.82000000000005</v>
      </c>
      <c r="M22" s="246"/>
      <c r="N22"/>
      <c r="O22" s="5"/>
      <c r="P22" s="5"/>
      <c r="Q22" s="5"/>
      <c r="R22" s="10"/>
      <c r="S22" s="10"/>
    </row>
    <row r="23" spans="1:19" s="16" customFormat="1" ht="15.75" customHeight="1" x14ac:dyDescent="0.25">
      <c r="A23" s="168" t="s">
        <v>109</v>
      </c>
      <c r="B23" s="166" t="s">
        <v>166</v>
      </c>
      <c r="C23" s="607">
        <v>97665</v>
      </c>
      <c r="D23" s="264" t="s">
        <v>258</v>
      </c>
      <c r="E23" s="169" t="s">
        <v>18</v>
      </c>
      <c r="F23" s="170">
        <f>VLOOKUP(A23,MC!$A$10:'MC'!$J$2901,9,FALSE)</f>
        <v>36</v>
      </c>
      <c r="G23" s="171">
        <f>VLOOKUP(C23,Serviço02!$A$1:$D$6699,4,FALSE)</f>
        <v>0.98</v>
      </c>
      <c r="H23" s="171">
        <f t="shared" si="4"/>
        <v>0.98</v>
      </c>
      <c r="I23" s="300">
        <f>BDI!$F$21</f>
        <v>0.21299999999999999</v>
      </c>
      <c r="J23" s="301">
        <f t="shared" si="2"/>
        <v>1.19</v>
      </c>
      <c r="K23" s="302">
        <f t="shared" si="3"/>
        <v>42.84</v>
      </c>
      <c r="M23" s="109"/>
      <c r="N23"/>
      <c r="O23" s="5"/>
      <c r="P23" s="5"/>
      <c r="Q23" s="5"/>
      <c r="R23" s="5"/>
      <c r="S23" s="5"/>
    </row>
    <row r="24" spans="1:19" s="16" customFormat="1" ht="15.75" customHeight="1" x14ac:dyDescent="0.25">
      <c r="A24" s="168" t="s">
        <v>110</v>
      </c>
      <c r="B24" s="166" t="s">
        <v>166</v>
      </c>
      <c r="C24" s="607">
        <v>97660</v>
      </c>
      <c r="D24" s="264" t="s">
        <v>259</v>
      </c>
      <c r="E24" s="169" t="s">
        <v>18</v>
      </c>
      <c r="F24" s="170">
        <f>VLOOKUP(A24,MC!$A$10:'MC'!$J$2901,9,FALSE)</f>
        <v>64</v>
      </c>
      <c r="G24" s="171">
        <f>VLOOKUP(C24,Serviço02!$A$1:$D$6699,4,FALSE)</f>
        <v>0.51</v>
      </c>
      <c r="H24" s="171">
        <f t="shared" si="4"/>
        <v>0.51</v>
      </c>
      <c r="I24" s="300">
        <f>BDI!$F$21</f>
        <v>0.21299999999999999</v>
      </c>
      <c r="J24" s="301">
        <f t="shared" si="2"/>
        <v>0.62</v>
      </c>
      <c r="K24" s="302">
        <f t="shared" si="3"/>
        <v>39.68</v>
      </c>
      <c r="M24" s="109"/>
      <c r="N24"/>
      <c r="O24" s="5"/>
      <c r="P24" s="5"/>
      <c r="Q24" s="5"/>
      <c r="R24" s="5"/>
      <c r="S24" s="5"/>
    </row>
    <row r="25" spans="1:19" s="16" customFormat="1" ht="15.75" customHeight="1" x14ac:dyDescent="0.25">
      <c r="A25" s="168" t="s">
        <v>111</v>
      </c>
      <c r="B25" s="166" t="s">
        <v>166</v>
      </c>
      <c r="C25" s="607">
        <v>97661</v>
      </c>
      <c r="D25" s="264" t="s">
        <v>260</v>
      </c>
      <c r="E25" s="169" t="s">
        <v>47</v>
      </c>
      <c r="F25" s="170">
        <f>VLOOKUP(A25,MC!$A$10:'MC'!$J$2901,9,FALSE)</f>
        <v>806.4</v>
      </c>
      <c r="G25" s="171">
        <f>VLOOKUP(C25,Serviço02!$A$1:$D$6699,4,FALSE)</f>
        <v>0.51</v>
      </c>
      <c r="H25" s="171">
        <f t="shared" si="4"/>
        <v>0.51</v>
      </c>
      <c r="I25" s="300">
        <f>BDI!$F$21</f>
        <v>0.21299999999999999</v>
      </c>
      <c r="J25" s="301">
        <f t="shared" si="2"/>
        <v>0.62</v>
      </c>
      <c r="K25" s="302">
        <f t="shared" si="3"/>
        <v>499.97</v>
      </c>
      <c r="M25" s="109"/>
      <c r="N25"/>
      <c r="O25" s="5"/>
      <c r="P25" s="5"/>
      <c r="Q25" s="5"/>
      <c r="R25" s="5"/>
      <c r="S25" s="5"/>
    </row>
    <row r="26" spans="1:19" s="16" customFormat="1" ht="15.75" customHeight="1" x14ac:dyDescent="0.25">
      <c r="A26" s="168" t="s">
        <v>112</v>
      </c>
      <c r="B26" s="166" t="s">
        <v>166</v>
      </c>
      <c r="C26" s="607">
        <v>97633</v>
      </c>
      <c r="D26" s="264" t="s">
        <v>261</v>
      </c>
      <c r="E26" s="169" t="s">
        <v>164</v>
      </c>
      <c r="F26" s="170">
        <f>VLOOKUP(A26,MC!$A$10:'MC'!$J$2901,9,FALSE)</f>
        <v>349.04820000000001</v>
      </c>
      <c r="G26" s="171">
        <f>VLOOKUP(C26,Serviço02!$A$1:$D$6699,4,FALSE)</f>
        <v>17.739999999999998</v>
      </c>
      <c r="H26" s="171">
        <f t="shared" si="4"/>
        <v>17.739999999999998</v>
      </c>
      <c r="I26" s="300">
        <f>BDI!$F$21</f>
        <v>0.21299999999999999</v>
      </c>
      <c r="J26" s="301">
        <f t="shared" si="2"/>
        <v>21.52</v>
      </c>
      <c r="K26" s="302">
        <f>ROUND(F26*J26,2)+0.04</f>
        <v>7511.56</v>
      </c>
      <c r="M26" s="109"/>
      <c r="N26"/>
      <c r="O26" s="5"/>
      <c r="P26" s="5"/>
      <c r="Q26" s="5"/>
      <c r="R26" s="5"/>
      <c r="S26" s="5"/>
    </row>
    <row r="27" spans="1:19" s="16" customFormat="1" ht="15.75" customHeight="1" x14ac:dyDescent="0.25">
      <c r="A27" s="168" t="s">
        <v>254</v>
      </c>
      <c r="B27" s="166" t="s">
        <v>166</v>
      </c>
      <c r="C27" s="266">
        <v>97632</v>
      </c>
      <c r="D27" s="264" t="s">
        <v>262</v>
      </c>
      <c r="E27" s="169" t="s">
        <v>47</v>
      </c>
      <c r="F27" s="170">
        <f>VLOOKUP(A27,MC!$A$10:'MC'!$J$2901,9,FALSE)</f>
        <v>178.78</v>
      </c>
      <c r="G27" s="171">
        <f>VLOOKUP(C27,Serviço02!$A$1:$D$6699,4,FALSE)</f>
        <v>2.02</v>
      </c>
      <c r="H27" s="171">
        <f t="shared" si="4"/>
        <v>2.02</v>
      </c>
      <c r="I27" s="300">
        <f>BDI!$F$21</f>
        <v>0.21299999999999999</v>
      </c>
      <c r="J27" s="301">
        <f t="shared" si="2"/>
        <v>2.4500000000000002</v>
      </c>
      <c r="K27" s="302">
        <f t="shared" si="3"/>
        <v>438.01</v>
      </c>
      <c r="M27" s="109"/>
      <c r="N27"/>
      <c r="O27" s="5"/>
      <c r="P27" s="5"/>
      <c r="Q27" s="5"/>
      <c r="R27" s="5"/>
      <c r="S27" s="5"/>
    </row>
    <row r="28" spans="1:19" s="599" customFormat="1" ht="15" x14ac:dyDescent="0.25">
      <c r="A28" s="593" t="s">
        <v>255</v>
      </c>
      <c r="B28" s="266" t="s">
        <v>22</v>
      </c>
      <c r="C28" s="266" t="s">
        <v>10882</v>
      </c>
      <c r="D28" s="264" t="s">
        <v>267</v>
      </c>
      <c r="E28" s="267" t="s">
        <v>164</v>
      </c>
      <c r="F28" s="594">
        <f>VLOOKUP(A28,MC!$A$10:'MC'!$J$2901,9,FALSE)</f>
        <v>430.02689999999996</v>
      </c>
      <c r="G28" s="595">
        <f>CPU!F60</f>
        <v>18.11</v>
      </c>
      <c r="H28" s="577">
        <f t="shared" si="4"/>
        <v>18.11</v>
      </c>
      <c r="I28" s="596">
        <f>BDI!$F$21</f>
        <v>0.21299999999999999</v>
      </c>
      <c r="J28" s="597">
        <f t="shared" si="2"/>
        <v>21.97</v>
      </c>
      <c r="K28" s="598">
        <f>ROUND(F28*J28,2)+0.07</f>
        <v>9447.76</v>
      </c>
      <c r="M28" s="600"/>
      <c r="N28" s="601"/>
      <c r="O28" s="602"/>
      <c r="P28" s="602"/>
      <c r="Q28" s="602"/>
      <c r="R28" s="602"/>
      <c r="S28" s="602"/>
    </row>
    <row r="29" spans="1:19" s="16" customFormat="1" ht="15.75" customHeight="1" x14ac:dyDescent="0.25">
      <c r="A29" s="168" t="s">
        <v>256</v>
      </c>
      <c r="B29" s="166" t="s">
        <v>166</v>
      </c>
      <c r="C29" s="266">
        <v>97644</v>
      </c>
      <c r="D29" s="264" t="s">
        <v>268</v>
      </c>
      <c r="E29" s="169" t="s">
        <v>164</v>
      </c>
      <c r="F29" s="170">
        <f>VLOOKUP(A29,MC!$A$10:'MC'!$J$2901,9,FALSE)</f>
        <v>29.520000000000003</v>
      </c>
      <c r="G29" s="171">
        <f>VLOOKUP(C29,Serviço02!$A$1:$D$6699,4,FALSE)</f>
        <v>7.05</v>
      </c>
      <c r="H29" s="171">
        <f t="shared" si="4"/>
        <v>7.05</v>
      </c>
      <c r="I29" s="300">
        <f>BDI!$F$21</f>
        <v>0.21299999999999999</v>
      </c>
      <c r="J29" s="301">
        <f t="shared" si="2"/>
        <v>8.5500000000000007</v>
      </c>
      <c r="K29" s="302">
        <f t="shared" si="3"/>
        <v>252.4</v>
      </c>
      <c r="M29" s="109"/>
      <c r="N29"/>
      <c r="O29" s="5"/>
      <c r="P29" s="5"/>
      <c r="Q29" s="5"/>
      <c r="R29" s="5"/>
      <c r="S29" s="5"/>
    </row>
    <row r="30" spans="1:19" s="16" customFormat="1" ht="15.75" customHeight="1" x14ac:dyDescent="0.25">
      <c r="A30" s="168" t="s">
        <v>257</v>
      </c>
      <c r="B30" s="166" t="s">
        <v>166</v>
      </c>
      <c r="C30" s="266">
        <v>97645</v>
      </c>
      <c r="D30" s="264" t="s">
        <v>269</v>
      </c>
      <c r="E30" s="169" t="s">
        <v>164</v>
      </c>
      <c r="F30" s="170">
        <f>VLOOKUP(A30,MC!$A$10:'MC'!$J$2901,9,FALSE)</f>
        <v>29.089999999999993</v>
      </c>
      <c r="G30" s="171">
        <f>VLOOKUP(C30,Serviço02!$A$1:$D$6699,4,FALSE)</f>
        <v>23.84</v>
      </c>
      <c r="H30" s="171">
        <f t="shared" si="4"/>
        <v>23.84</v>
      </c>
      <c r="I30" s="300">
        <f>BDI!$F$21</f>
        <v>0.21299999999999999</v>
      </c>
      <c r="J30" s="301">
        <f t="shared" si="2"/>
        <v>28.92</v>
      </c>
      <c r="K30" s="302">
        <f t="shared" si="3"/>
        <v>841.28</v>
      </c>
      <c r="M30" s="109"/>
      <c r="N30"/>
      <c r="O30" s="5"/>
      <c r="P30" s="5"/>
      <c r="Q30" s="5"/>
      <c r="R30" s="5"/>
      <c r="S30" s="5"/>
    </row>
    <row r="31" spans="1:19" s="16" customFormat="1" ht="15.75" customHeight="1" x14ac:dyDescent="0.25">
      <c r="A31" s="168" t="s">
        <v>263</v>
      </c>
      <c r="B31" s="166" t="s">
        <v>166</v>
      </c>
      <c r="C31" s="266">
        <v>97622</v>
      </c>
      <c r="D31" s="264" t="s">
        <v>270</v>
      </c>
      <c r="E31" s="169" t="s">
        <v>41</v>
      </c>
      <c r="F31" s="170">
        <f>VLOOKUP(A31,MC!$A$10:'MC'!$J$2901,9,FALSE)</f>
        <v>56.753998000000003</v>
      </c>
      <c r="G31" s="171">
        <f>VLOOKUP(C31,Serviço02!$A$1:$D$6699,4,FALSE)</f>
        <v>43.97</v>
      </c>
      <c r="H31" s="171">
        <f t="shared" si="4"/>
        <v>43.97</v>
      </c>
      <c r="I31" s="300">
        <f>BDI!$F$21</f>
        <v>0.21299999999999999</v>
      </c>
      <c r="J31" s="301">
        <f>H31*1.213</f>
        <v>53.335610000000003</v>
      </c>
      <c r="K31" s="302">
        <f>(F31*J31)+0.04</f>
        <v>3027.0491032687801</v>
      </c>
      <c r="M31" s="109"/>
      <c r="N31"/>
      <c r="O31" s="5"/>
      <c r="P31" s="5"/>
      <c r="Q31" s="5"/>
      <c r="R31" s="5"/>
      <c r="S31" s="5"/>
    </row>
    <row r="32" spans="1:19" s="16" customFormat="1" ht="15.75" customHeight="1" x14ac:dyDescent="0.25">
      <c r="A32" s="168" t="s">
        <v>264</v>
      </c>
      <c r="B32" s="166" t="s">
        <v>166</v>
      </c>
      <c r="C32" s="266">
        <v>97639</v>
      </c>
      <c r="D32" s="264" t="s">
        <v>271</v>
      </c>
      <c r="E32" s="169" t="s">
        <v>164</v>
      </c>
      <c r="F32" s="170">
        <f>VLOOKUP(A32,MC!$A$10:'MC'!$J$2901,9,FALSE)</f>
        <v>272.64400000000001</v>
      </c>
      <c r="G32" s="171">
        <f>VLOOKUP(C32,Serviço02!$A$1:$D$6699,4,FALSE)</f>
        <v>15.27</v>
      </c>
      <c r="H32" s="171">
        <f t="shared" si="4"/>
        <v>15.27</v>
      </c>
      <c r="I32" s="300">
        <f>BDI!$F$21</f>
        <v>0.21299999999999999</v>
      </c>
      <c r="J32" s="301">
        <f t="shared" si="2"/>
        <v>18.52</v>
      </c>
      <c r="K32" s="302">
        <f>(F32*J32)-0.08</f>
        <v>5049.2868799999997</v>
      </c>
      <c r="M32" s="109"/>
      <c r="N32"/>
      <c r="O32" s="5"/>
      <c r="P32" s="5"/>
      <c r="Q32" s="5"/>
      <c r="R32" s="5"/>
      <c r="S32" s="5"/>
    </row>
    <row r="33" spans="1:19" s="599" customFormat="1" ht="15.75" customHeight="1" x14ac:dyDescent="0.25">
      <c r="A33" s="593" t="s">
        <v>265</v>
      </c>
      <c r="B33" s="266" t="s">
        <v>22</v>
      </c>
      <c r="C33" s="266" t="s">
        <v>10883</v>
      </c>
      <c r="D33" s="264" t="s">
        <v>10943</v>
      </c>
      <c r="E33" s="267" t="s">
        <v>47</v>
      </c>
      <c r="F33" s="594">
        <f>VLOOKUP(A33,MC!$A$10:'MC'!$J$2901,9,FALSE)</f>
        <v>10.24</v>
      </c>
      <c r="G33" s="577">
        <f>CPU!F87</f>
        <v>3.39</v>
      </c>
      <c r="H33" s="577">
        <f t="shared" si="4"/>
        <v>3.39</v>
      </c>
      <c r="I33" s="596">
        <f>BDI!$F$21</f>
        <v>0.21299999999999999</v>
      </c>
      <c r="J33" s="597">
        <f t="shared" si="2"/>
        <v>4.1100000000000003</v>
      </c>
      <c r="K33" s="598">
        <f t="shared" si="3"/>
        <v>42.09</v>
      </c>
      <c r="M33" s="600"/>
      <c r="N33" s="601"/>
      <c r="O33" s="602"/>
      <c r="P33" s="602"/>
      <c r="Q33" s="602"/>
      <c r="R33" s="602"/>
      <c r="S33" s="602"/>
    </row>
    <row r="34" spans="1:19" s="16" customFormat="1" ht="15" x14ac:dyDescent="0.25">
      <c r="A34" s="168" t="s">
        <v>266</v>
      </c>
      <c r="B34" s="166" t="s">
        <v>166</v>
      </c>
      <c r="C34" s="266">
        <v>97631</v>
      </c>
      <c r="D34" s="264" t="s">
        <v>11869</v>
      </c>
      <c r="E34" s="169" t="s">
        <v>164</v>
      </c>
      <c r="F34" s="170">
        <f>VLOOKUP(A34,MC!$A$10:'MC'!$J$2901,9,FALSE)</f>
        <v>122.15820000000001</v>
      </c>
      <c r="G34" s="171">
        <f>VLOOKUP(C34,Serviço02!$A$1:$D$6699,4,FALSE)</f>
        <v>2.54</v>
      </c>
      <c r="H34" s="171">
        <f t="shared" si="4"/>
        <v>2.54</v>
      </c>
      <c r="I34" s="300">
        <f>BDI!$F$21</f>
        <v>0.21299999999999999</v>
      </c>
      <c r="J34" s="301">
        <f t="shared" si="2"/>
        <v>3.08</v>
      </c>
      <c r="K34" s="302">
        <f t="shared" si="3"/>
        <v>376.25</v>
      </c>
      <c r="M34" s="109"/>
      <c r="N34"/>
      <c r="O34" s="5"/>
      <c r="P34" s="5"/>
      <c r="Q34" s="5"/>
      <c r="R34" s="5"/>
      <c r="S34" s="5"/>
    </row>
    <row r="35" spans="1:19" s="599" customFormat="1" ht="15" x14ac:dyDescent="0.25">
      <c r="A35" s="593" t="s">
        <v>10946</v>
      </c>
      <c r="B35" s="266" t="s">
        <v>22</v>
      </c>
      <c r="C35" s="266" t="s">
        <v>12247</v>
      </c>
      <c r="D35" s="264" t="s">
        <v>10955</v>
      </c>
      <c r="E35" s="267" t="s">
        <v>164</v>
      </c>
      <c r="F35" s="594">
        <f>VLOOKUP(A35,MC!$A$10:'MC'!$J$2901,9,FALSE)</f>
        <v>105.5214</v>
      </c>
      <c r="G35" s="577">
        <f>CPU!F114</f>
        <v>21.96</v>
      </c>
      <c r="H35" s="577">
        <f t="shared" si="4"/>
        <v>21.96</v>
      </c>
      <c r="I35" s="596">
        <f>BDI!$F$21</f>
        <v>0.21299999999999999</v>
      </c>
      <c r="J35" s="597">
        <f t="shared" si="2"/>
        <v>26.64</v>
      </c>
      <c r="K35" s="598">
        <f>ROUND(F35*J35,2)-0.04</f>
        <v>2811.05</v>
      </c>
      <c r="M35" s="600"/>
      <c r="N35" s="601"/>
      <c r="O35" s="602"/>
      <c r="P35" s="602"/>
      <c r="Q35" s="602"/>
      <c r="R35" s="602"/>
      <c r="S35" s="602"/>
    </row>
    <row r="36" spans="1:19" s="599" customFormat="1" ht="15" x14ac:dyDescent="0.25">
      <c r="A36" s="593" t="s">
        <v>10947</v>
      </c>
      <c r="B36" s="266" t="s">
        <v>166</v>
      </c>
      <c r="C36" s="266">
        <v>97663</v>
      </c>
      <c r="D36" s="264" t="s">
        <v>10966</v>
      </c>
      <c r="E36" s="267" t="s">
        <v>10884</v>
      </c>
      <c r="F36" s="594">
        <f>VLOOKUP(A36,MC!$A$10:'MC'!$J$2901,9,FALSE)</f>
        <v>10</v>
      </c>
      <c r="G36" s="577">
        <f>VLOOKUP(C36,Serviço02!$A$1:$D$6699,4,FALSE)</f>
        <v>9.2799999999999994</v>
      </c>
      <c r="H36" s="577">
        <f t="shared" si="4"/>
        <v>9.2799999999999994</v>
      </c>
      <c r="I36" s="596">
        <f>BDI!$F$21</f>
        <v>0.21299999999999999</v>
      </c>
      <c r="J36" s="597">
        <f t="shared" si="2"/>
        <v>11.26</v>
      </c>
      <c r="K36" s="598">
        <f t="shared" si="3"/>
        <v>112.6</v>
      </c>
      <c r="M36" s="600"/>
      <c r="N36" s="601"/>
      <c r="O36" s="602"/>
      <c r="P36" s="602"/>
      <c r="Q36" s="602"/>
      <c r="R36" s="602"/>
      <c r="S36" s="602"/>
    </row>
    <row r="37" spans="1:19" s="599" customFormat="1" ht="15" x14ac:dyDescent="0.25">
      <c r="A37" s="593" t="s">
        <v>10952</v>
      </c>
      <c r="B37" s="266" t="s">
        <v>22</v>
      </c>
      <c r="C37" s="266" t="s">
        <v>10881</v>
      </c>
      <c r="D37" s="264" t="s">
        <v>10972</v>
      </c>
      <c r="E37" s="267" t="s">
        <v>10884</v>
      </c>
      <c r="F37" s="594">
        <f>VLOOKUP(A37,MC!$A$10:'MC'!$J$2901,9,FALSE)</f>
        <v>5</v>
      </c>
      <c r="G37" s="577">
        <f>CPU!F141</f>
        <v>5.1100000000000003</v>
      </c>
      <c r="H37" s="577">
        <f t="shared" si="4"/>
        <v>5.1100000000000003</v>
      </c>
      <c r="I37" s="596">
        <f>BDI!$F$21</f>
        <v>0.21299999999999999</v>
      </c>
      <c r="J37" s="597">
        <f t="shared" si="2"/>
        <v>6.2</v>
      </c>
      <c r="K37" s="598">
        <f t="shared" si="3"/>
        <v>31</v>
      </c>
      <c r="M37" s="600"/>
      <c r="N37" s="603"/>
      <c r="O37" s="604"/>
      <c r="P37" s="604"/>
      <c r="Q37" s="604"/>
      <c r="R37" s="602"/>
      <c r="S37" s="602"/>
    </row>
    <row r="38" spans="1:19" s="599" customFormat="1" ht="15" x14ac:dyDescent="0.25">
      <c r="A38" s="593" t="s">
        <v>10954</v>
      </c>
      <c r="B38" s="266" t="s">
        <v>22</v>
      </c>
      <c r="C38" s="266" t="s">
        <v>12248</v>
      </c>
      <c r="D38" s="264" t="s">
        <v>10974</v>
      </c>
      <c r="E38" s="267" t="s">
        <v>10884</v>
      </c>
      <c r="F38" s="594">
        <f>VLOOKUP(A38,MC!$A$10:'MC'!$J$2901,9,FALSE)</f>
        <v>8</v>
      </c>
      <c r="G38" s="577">
        <f>CPU!F168</f>
        <v>7.61</v>
      </c>
      <c r="H38" s="577">
        <f t="shared" si="4"/>
        <v>7.61</v>
      </c>
      <c r="I38" s="596">
        <f>BDI!$F$21</f>
        <v>0.21299999999999999</v>
      </c>
      <c r="J38" s="597">
        <f t="shared" si="2"/>
        <v>9.23</v>
      </c>
      <c r="K38" s="598">
        <f t="shared" si="3"/>
        <v>73.84</v>
      </c>
      <c r="M38" s="600"/>
      <c r="N38" s="603"/>
      <c r="O38" s="604"/>
      <c r="P38" s="604"/>
      <c r="Q38" s="604"/>
      <c r="R38" s="602"/>
      <c r="S38" s="602"/>
    </row>
    <row r="39" spans="1:19" s="599" customFormat="1" ht="27.6" customHeight="1" x14ac:dyDescent="0.25">
      <c r="A39" s="593" t="s">
        <v>10957</v>
      </c>
      <c r="B39" s="266" t="s">
        <v>166</v>
      </c>
      <c r="C39" s="266">
        <v>98526</v>
      </c>
      <c r="D39" s="264" t="s">
        <v>10977</v>
      </c>
      <c r="E39" s="267" t="s">
        <v>10884</v>
      </c>
      <c r="F39" s="594">
        <f>VLOOKUP(A39,MC!$A$10:'MC'!$J$2901,9,FALSE)</f>
        <v>6</v>
      </c>
      <c r="G39" s="577">
        <f>VLOOKUP(C39,Serviço02!$A$1:$D$6699,4,FALSE)</f>
        <v>56.25</v>
      </c>
      <c r="H39" s="577">
        <f t="shared" si="4"/>
        <v>56.25</v>
      </c>
      <c r="I39" s="596">
        <f>BDI!$F$21</f>
        <v>0.21299999999999999</v>
      </c>
      <c r="J39" s="597">
        <f t="shared" si="2"/>
        <v>68.23</v>
      </c>
      <c r="K39" s="598">
        <f t="shared" si="3"/>
        <v>409.38</v>
      </c>
      <c r="M39" s="600"/>
      <c r="N39" s="602"/>
      <c r="O39" s="602"/>
      <c r="P39" s="602"/>
      <c r="Q39" s="602"/>
      <c r="R39" s="602"/>
      <c r="S39" s="602"/>
    </row>
    <row r="40" spans="1:19" s="605" customFormat="1" ht="15.75" customHeight="1" x14ac:dyDescent="0.25">
      <c r="A40" s="593" t="s">
        <v>10963</v>
      </c>
      <c r="B40" s="266" t="s">
        <v>166</v>
      </c>
      <c r="C40" s="266">
        <v>72897</v>
      </c>
      <c r="D40" s="264" t="s">
        <v>49</v>
      </c>
      <c r="E40" s="267" t="s">
        <v>41</v>
      </c>
      <c r="F40" s="594">
        <f>VLOOKUP(A40,MC!$A$10:'MC'!$J$2901,9,FALSE)</f>
        <v>140.3525463654</v>
      </c>
      <c r="G40" s="577">
        <f>VLOOKUP(C40,Serviço02!$A$1:$D$6699,4,FALSE)</f>
        <v>20.43</v>
      </c>
      <c r="H40" s="577">
        <f t="shared" si="4"/>
        <v>20.43</v>
      </c>
      <c r="I40" s="596">
        <f>BDI!$F$21</f>
        <v>0.21299999999999999</v>
      </c>
      <c r="J40" s="597">
        <f t="shared" si="2"/>
        <v>24.78</v>
      </c>
      <c r="K40" s="598">
        <f>ROUND(F40*J40,2)-0.07</f>
        <v>3477.87</v>
      </c>
      <c r="M40" s="606"/>
      <c r="N40" s="601"/>
      <c r="O40" s="602"/>
      <c r="P40" s="602"/>
      <c r="Q40" s="602"/>
      <c r="R40" s="604"/>
      <c r="S40" s="604"/>
    </row>
    <row r="41" spans="1:19" s="605" customFormat="1" ht="15.75" customHeight="1" thickBot="1" x14ac:dyDescent="0.3">
      <c r="A41" s="593" t="s">
        <v>10965</v>
      </c>
      <c r="B41" s="266" t="s">
        <v>22</v>
      </c>
      <c r="C41" s="607" t="s">
        <v>10953</v>
      </c>
      <c r="D41" s="264" t="s">
        <v>272</v>
      </c>
      <c r="E41" s="267" t="s">
        <v>41</v>
      </c>
      <c r="F41" s="594">
        <f>VLOOKUP(A41,MC!$A$10:'MC'!$J$2901,9,FALSE)</f>
        <v>140.3525463654</v>
      </c>
      <c r="G41" s="595">
        <f>CPU!F195</f>
        <v>21.09</v>
      </c>
      <c r="H41" s="577">
        <f t="shared" si="4"/>
        <v>21.09</v>
      </c>
      <c r="I41" s="596">
        <f>BDI!$F$21</f>
        <v>0.21299999999999999</v>
      </c>
      <c r="J41" s="597">
        <f t="shared" si="2"/>
        <v>25.58</v>
      </c>
      <c r="K41" s="598">
        <f>ROUND(F41*J41,2)-0.07</f>
        <v>3590.1499999999996</v>
      </c>
      <c r="M41" s="606"/>
      <c r="N41" s="601"/>
      <c r="O41" s="602"/>
      <c r="P41" s="602"/>
      <c r="Q41" s="602"/>
      <c r="R41" s="604"/>
      <c r="S41" s="604"/>
    </row>
    <row r="42" spans="1:19" ht="16.5" thickBot="1" x14ac:dyDescent="0.3">
      <c r="A42" s="696"/>
      <c r="B42" s="697"/>
      <c r="C42" s="697"/>
      <c r="D42" s="697"/>
      <c r="E42" s="697"/>
      <c r="F42" s="697"/>
      <c r="G42" s="25"/>
      <c r="H42" s="25"/>
      <c r="I42" s="25"/>
      <c r="J42" s="25"/>
      <c r="K42" s="27"/>
      <c r="N42"/>
      <c r="O42" s="5"/>
      <c r="P42" s="5"/>
      <c r="Q42" s="5"/>
      <c r="R42" s="5"/>
      <c r="S42" s="5"/>
    </row>
    <row r="43" spans="1:19" s="16" customFormat="1" ht="15.75" customHeight="1" thickBot="1" x14ac:dyDescent="0.3">
      <c r="A43" s="20" t="s">
        <v>169</v>
      </c>
      <c r="B43" s="197"/>
      <c r="C43" s="21"/>
      <c r="D43" s="118" t="s">
        <v>10981</v>
      </c>
      <c r="E43" s="21"/>
      <c r="F43" s="21"/>
      <c r="G43" s="21"/>
      <c r="H43" s="21"/>
      <c r="I43" s="21"/>
      <c r="J43" s="21"/>
      <c r="K43" s="121">
        <f>SUM(K44:K46)</f>
        <v>2372.2799999999997</v>
      </c>
      <c r="N43" s="256"/>
      <c r="O43" s="257"/>
      <c r="P43" s="257"/>
      <c r="Q43" s="257"/>
      <c r="R43" s="5"/>
      <c r="S43" s="5"/>
    </row>
    <row r="44" spans="1:19" s="599" customFormat="1" x14ac:dyDescent="0.25">
      <c r="A44" s="593" t="s">
        <v>170</v>
      </c>
      <c r="B44" s="266" t="s">
        <v>22</v>
      </c>
      <c r="C44" s="266" t="str">
        <f>CPU!A197</f>
        <v>CPU-08</v>
      </c>
      <c r="D44" s="608" t="s">
        <v>273</v>
      </c>
      <c r="E44" s="267" t="s">
        <v>164</v>
      </c>
      <c r="F44" s="594">
        <f>VLOOKUP(A44,MC!$A$10:'MC'!$J$2901,9,FALSE)</f>
        <v>160.27800000000002</v>
      </c>
      <c r="G44" s="577">
        <f>CPU!F222</f>
        <v>1.35</v>
      </c>
      <c r="H44" s="577">
        <f>G44</f>
        <v>1.35</v>
      </c>
      <c r="I44" s="596">
        <f>BDI!$F$21</f>
        <v>0.21299999999999999</v>
      </c>
      <c r="J44" s="597">
        <f t="shared" ref="J44:J46" si="5">ROUND(H44*(1+I44),2)</f>
        <v>1.64</v>
      </c>
      <c r="K44" s="598">
        <f t="shared" ref="K44:K45" si="6">ROUND(F44*J44,2)</f>
        <v>262.86</v>
      </c>
      <c r="M44" s="600"/>
      <c r="N44" s="602"/>
      <c r="O44" s="602"/>
      <c r="P44" s="602"/>
      <c r="Q44" s="602"/>
      <c r="R44" s="602"/>
      <c r="S44" s="602"/>
    </row>
    <row r="45" spans="1:19" s="16" customFormat="1" ht="38.25" x14ac:dyDescent="0.25">
      <c r="A45" s="168" t="s">
        <v>171</v>
      </c>
      <c r="B45" s="166" t="s">
        <v>166</v>
      </c>
      <c r="C45" s="166">
        <v>90091</v>
      </c>
      <c r="D45" s="608" t="s">
        <v>13886</v>
      </c>
      <c r="E45" s="169" t="s">
        <v>41</v>
      </c>
      <c r="F45" s="170">
        <f>VLOOKUP(A45,MC!$A$10:'MC'!$J$2901,9,FALSE)</f>
        <v>61.759566000000007</v>
      </c>
      <c r="G45" s="171">
        <f>VLOOKUP(C45,Serviço02!$A$1:$D$6699,4,FALSE)</f>
        <v>4.88</v>
      </c>
      <c r="H45" s="171">
        <f>G45</f>
        <v>4.88</v>
      </c>
      <c r="I45" s="300">
        <f>BDI!$F$21</f>
        <v>0.21299999999999999</v>
      </c>
      <c r="J45" s="301">
        <f t="shared" si="5"/>
        <v>5.92</v>
      </c>
      <c r="K45" s="302">
        <f t="shared" si="6"/>
        <v>365.62</v>
      </c>
      <c r="M45" s="109"/>
      <c r="R45" s="5"/>
      <c r="S45" s="5"/>
    </row>
    <row r="46" spans="1:19" s="254" customFormat="1" ht="15.75" thickBot="1" x14ac:dyDescent="0.3">
      <c r="A46" s="168" t="s">
        <v>172</v>
      </c>
      <c r="B46" s="166" t="s">
        <v>166</v>
      </c>
      <c r="C46" s="166">
        <v>94319</v>
      </c>
      <c r="D46" s="608" t="s">
        <v>275</v>
      </c>
      <c r="E46" s="169" t="s">
        <v>41</v>
      </c>
      <c r="F46" s="170">
        <f>VLOOKUP(A46,MC!$A$10:'MC'!$J$2901,9,FALSE)</f>
        <v>38.518396199999991</v>
      </c>
      <c r="G46" s="171">
        <f>VLOOKUP(C46,Serviço02!$A$1:$D$6699,4,FALSE)</f>
        <v>37.32</v>
      </c>
      <c r="H46" s="171">
        <f>G46</f>
        <v>37.32</v>
      </c>
      <c r="I46" s="300">
        <f>BDI!$F$21</f>
        <v>0.21299999999999999</v>
      </c>
      <c r="J46" s="301">
        <f t="shared" si="5"/>
        <v>45.27</v>
      </c>
      <c r="K46" s="302">
        <f>ROUND(F46*J46,2)+0.07</f>
        <v>1743.8</v>
      </c>
      <c r="M46" s="255"/>
      <c r="N46"/>
      <c r="O46" s="5"/>
      <c r="P46" s="5"/>
      <c r="Q46" s="5"/>
      <c r="R46" s="257"/>
      <c r="S46" s="257"/>
    </row>
    <row r="47" spans="1:19" ht="16.5" thickBot="1" x14ac:dyDescent="0.3">
      <c r="A47" s="696"/>
      <c r="B47" s="697"/>
      <c r="C47" s="697"/>
      <c r="D47" s="697"/>
      <c r="E47" s="697"/>
      <c r="F47" s="697"/>
      <c r="G47" s="25"/>
      <c r="H47" s="25"/>
      <c r="I47" s="25"/>
      <c r="J47" s="25"/>
      <c r="K47" s="27"/>
      <c r="N47"/>
      <c r="O47" s="5"/>
      <c r="P47" s="5"/>
      <c r="Q47" s="5"/>
      <c r="R47" s="5"/>
      <c r="S47" s="5"/>
    </row>
    <row r="48" spans="1:19" s="16" customFormat="1" ht="18.75" customHeight="1" thickBot="1" x14ac:dyDescent="0.3">
      <c r="A48" s="17" t="s">
        <v>82</v>
      </c>
      <c r="B48" s="18"/>
      <c r="C48" s="18"/>
      <c r="D48" s="116" t="s">
        <v>119</v>
      </c>
      <c r="E48" s="18"/>
      <c r="F48" s="18"/>
      <c r="G48" s="18"/>
      <c r="H48" s="18"/>
      <c r="I48" s="18"/>
      <c r="J48" s="18"/>
      <c r="K48" s="120">
        <f>SUM(K49)</f>
        <v>16063.279999999999</v>
      </c>
      <c r="N48"/>
      <c r="O48" s="5"/>
      <c r="P48" s="5"/>
      <c r="Q48" s="5"/>
      <c r="R48" s="5"/>
      <c r="S48" s="5"/>
    </row>
    <row r="49" spans="1:19" s="16" customFormat="1" ht="15.75" customHeight="1" thickBot="1" x14ac:dyDescent="0.3">
      <c r="A49" s="20" t="s">
        <v>113</v>
      </c>
      <c r="B49" s="21"/>
      <c r="C49" s="21"/>
      <c r="D49" s="21" t="s">
        <v>120</v>
      </c>
      <c r="E49" s="21"/>
      <c r="F49" s="21"/>
      <c r="G49" s="21"/>
      <c r="H49" s="21"/>
      <c r="I49" s="21"/>
      <c r="J49" s="21"/>
      <c r="K49" s="167">
        <f>SUM(K50:K53)</f>
        <v>16063.279999999999</v>
      </c>
      <c r="N49"/>
      <c r="O49" s="5"/>
      <c r="P49" s="5"/>
      <c r="Q49" s="5"/>
      <c r="R49" s="5"/>
      <c r="S49" s="5"/>
    </row>
    <row r="50" spans="1:19" s="578" customFormat="1" x14ac:dyDescent="0.25">
      <c r="A50" s="593" t="s">
        <v>114</v>
      </c>
      <c r="B50" s="266" t="s">
        <v>22</v>
      </c>
      <c r="C50" s="266" t="str">
        <f>CPU!A224</f>
        <v>CPU-09</v>
      </c>
      <c r="D50" s="264" t="s">
        <v>276</v>
      </c>
      <c r="E50" s="267" t="s">
        <v>47</v>
      </c>
      <c r="F50" s="594">
        <f>VLOOKUP(A50,MC!$A$10:'MC'!$J$2901,9,FALSE)</f>
        <v>136</v>
      </c>
      <c r="G50" s="577">
        <f>CPU!F254</f>
        <v>55.28</v>
      </c>
      <c r="H50" s="577">
        <f>G50</f>
        <v>55.28</v>
      </c>
      <c r="I50" s="596">
        <f>BDI!$F$21</f>
        <v>0.21299999999999999</v>
      </c>
      <c r="J50" s="597">
        <f t="shared" ref="J50:J52" si="7">ROUND(H50*(1+I50),2)</f>
        <v>67.05</v>
      </c>
      <c r="K50" s="598">
        <f t="shared" ref="K50:K52" si="8">ROUND(F50*J50,2)</f>
        <v>9118.7999999999993</v>
      </c>
      <c r="M50" s="579"/>
      <c r="N50" s="580"/>
      <c r="O50" s="580"/>
      <c r="P50" s="580"/>
      <c r="Q50" s="580"/>
      <c r="R50" s="580"/>
      <c r="S50" s="580"/>
    </row>
    <row r="51" spans="1:19" s="599" customFormat="1" ht="15" x14ac:dyDescent="0.25">
      <c r="A51" s="593" t="s">
        <v>115</v>
      </c>
      <c r="B51" s="266" t="s">
        <v>22</v>
      </c>
      <c r="C51" s="607" t="str">
        <f>CPU!A256</f>
        <v>CPU-10</v>
      </c>
      <c r="D51" s="264" t="s">
        <v>277</v>
      </c>
      <c r="E51" s="267" t="s">
        <v>249</v>
      </c>
      <c r="F51" s="594">
        <f>VLOOKUP(A51,MC!$A$10:'MC'!$J$2901,9,FALSE)</f>
        <v>5</v>
      </c>
      <c r="G51" s="577">
        <f>CPU!F281</f>
        <v>815.62</v>
      </c>
      <c r="H51" s="577">
        <f t="shared" ref="H51:H52" si="9">G51</f>
        <v>815.62</v>
      </c>
      <c r="I51" s="596">
        <f>BDI!$F$21</f>
        <v>0.21299999999999999</v>
      </c>
      <c r="J51" s="597">
        <f t="shared" si="7"/>
        <v>989.35</v>
      </c>
      <c r="K51" s="598">
        <f t="shared" si="8"/>
        <v>4946.75</v>
      </c>
      <c r="M51" s="600"/>
      <c r="N51" s="601"/>
      <c r="O51" s="602"/>
      <c r="P51" s="602"/>
      <c r="Q51" s="602"/>
      <c r="R51" s="602"/>
      <c r="S51" s="602"/>
    </row>
    <row r="52" spans="1:19" s="599" customFormat="1" ht="15" x14ac:dyDescent="0.25">
      <c r="A52" s="593" t="s">
        <v>116</v>
      </c>
      <c r="B52" s="266" t="s">
        <v>22</v>
      </c>
      <c r="C52" s="266" t="str">
        <f>CPU!A283</f>
        <v>CPU-11</v>
      </c>
      <c r="D52" s="264" t="s">
        <v>13840</v>
      </c>
      <c r="E52" s="267" t="s">
        <v>164</v>
      </c>
      <c r="F52" s="594">
        <f>VLOOKUP(A52,MC!$A$10:'MC'!$J$2901,9,FALSE)</f>
        <v>2.88</v>
      </c>
      <c r="G52" s="577">
        <f>CPU!F315</f>
        <v>373.15</v>
      </c>
      <c r="H52" s="577">
        <f t="shared" si="9"/>
        <v>373.15</v>
      </c>
      <c r="I52" s="596">
        <f>BDI!$F$21</f>
        <v>0.21299999999999999</v>
      </c>
      <c r="J52" s="597">
        <f t="shared" si="7"/>
        <v>452.63</v>
      </c>
      <c r="K52" s="598">
        <f t="shared" si="8"/>
        <v>1303.57</v>
      </c>
      <c r="M52" s="600"/>
      <c r="N52" s="601"/>
      <c r="O52" s="602"/>
      <c r="P52" s="602"/>
      <c r="Q52" s="602"/>
      <c r="R52" s="602"/>
      <c r="S52" s="602"/>
    </row>
    <row r="53" spans="1:19" s="599" customFormat="1" ht="15.75" thickBot="1" x14ac:dyDescent="0.3">
      <c r="A53" s="593" t="s">
        <v>13892</v>
      </c>
      <c r="B53" s="266" t="s">
        <v>22</v>
      </c>
      <c r="C53" s="266" t="str">
        <f>CPU!A642</f>
        <v>CPU-23</v>
      </c>
      <c r="D53" s="264" t="s">
        <v>13893</v>
      </c>
      <c r="E53" s="267" t="s">
        <v>10884</v>
      </c>
      <c r="F53" s="594">
        <v>4</v>
      </c>
      <c r="G53" s="577">
        <f>CPU!F667</f>
        <v>143.07</v>
      </c>
      <c r="H53" s="577">
        <f t="shared" ref="H53" si="10">G53</f>
        <v>143.07</v>
      </c>
      <c r="I53" s="596">
        <f>BDI!$F$21</f>
        <v>0.21299999999999999</v>
      </c>
      <c r="J53" s="597">
        <f t="shared" ref="J53" si="11">ROUND(H53*(1+I53),2)</f>
        <v>173.54</v>
      </c>
      <c r="K53" s="598">
        <f t="shared" ref="K53" si="12">ROUND(F53*J53,2)</f>
        <v>694.16</v>
      </c>
      <c r="M53" s="600"/>
      <c r="N53" s="601"/>
      <c r="O53" s="602"/>
      <c r="P53" s="602"/>
      <c r="Q53" s="602"/>
      <c r="R53" s="602"/>
      <c r="S53" s="602"/>
    </row>
    <row r="54" spans="1:19" ht="16.5" thickBot="1" x14ac:dyDescent="0.3">
      <c r="A54" s="696"/>
      <c r="B54" s="697"/>
      <c r="C54" s="697"/>
      <c r="D54" s="697"/>
      <c r="E54" s="697"/>
      <c r="F54" s="697"/>
      <c r="G54" s="25"/>
      <c r="H54" s="25"/>
      <c r="I54" s="25"/>
      <c r="J54" s="25"/>
      <c r="K54" s="27"/>
      <c r="N54" s="247"/>
      <c r="O54" s="10"/>
      <c r="P54" s="10"/>
      <c r="Q54" s="10"/>
      <c r="R54" s="5"/>
      <c r="S54" s="5"/>
    </row>
    <row r="55" spans="1:19" s="16" customFormat="1" ht="15.75" customHeight="1" thickBot="1" x14ac:dyDescent="0.3">
      <c r="A55" s="17" t="s">
        <v>83</v>
      </c>
      <c r="B55" s="18"/>
      <c r="C55" s="18"/>
      <c r="D55" s="116" t="s">
        <v>126</v>
      </c>
      <c r="E55" s="18"/>
      <c r="F55" s="18"/>
      <c r="G55" s="18"/>
      <c r="H55" s="18"/>
      <c r="I55" s="18"/>
      <c r="J55" s="18"/>
      <c r="K55" s="120">
        <f>SUM(K56,K66,K72,K81)</f>
        <v>40186.119999999995</v>
      </c>
      <c r="M55" s="109"/>
      <c r="N55"/>
      <c r="O55" s="5"/>
      <c r="P55" s="5"/>
      <c r="Q55" s="5"/>
      <c r="R55" s="5"/>
      <c r="S55" s="5"/>
    </row>
    <row r="56" spans="1:19" s="16" customFormat="1" ht="15.75" customHeight="1" thickBot="1" x14ac:dyDescent="0.3">
      <c r="A56" s="20" t="s">
        <v>117</v>
      </c>
      <c r="B56" s="21"/>
      <c r="C56" s="21"/>
      <c r="D56" s="21" t="s">
        <v>11706</v>
      </c>
      <c r="E56" s="21"/>
      <c r="F56" s="21"/>
      <c r="G56" s="21"/>
      <c r="H56" s="21"/>
      <c r="I56" s="21"/>
      <c r="J56" s="21"/>
      <c r="K56" s="167">
        <f>SUM(K58:K64)</f>
        <v>5911.5599999999995</v>
      </c>
      <c r="M56" s="109"/>
      <c r="N56"/>
      <c r="O56" s="5"/>
      <c r="P56" s="5"/>
      <c r="Q56" s="5"/>
      <c r="R56" s="5"/>
      <c r="S56" s="5"/>
    </row>
    <row r="57" spans="1:19" s="245" customFormat="1" ht="15.75" customHeight="1" x14ac:dyDescent="0.25">
      <c r="A57" s="168"/>
      <c r="B57" s="166"/>
      <c r="C57" s="166"/>
      <c r="D57" s="248" t="s">
        <v>11097</v>
      </c>
      <c r="E57" s="169"/>
      <c r="F57" s="170"/>
      <c r="G57" s="171"/>
      <c r="H57" s="299"/>
      <c r="I57" s="299"/>
      <c r="J57" s="299"/>
      <c r="K57" s="176"/>
      <c r="M57" s="246"/>
      <c r="N57"/>
      <c r="O57" s="5"/>
      <c r="P57" s="5"/>
      <c r="Q57" s="5"/>
      <c r="R57" s="10"/>
      <c r="S57" s="10"/>
    </row>
    <row r="58" spans="1:19" s="16" customFormat="1" ht="15.75" customHeight="1" x14ac:dyDescent="0.25">
      <c r="A58" s="168" t="s">
        <v>118</v>
      </c>
      <c r="B58" s="166" t="s">
        <v>166</v>
      </c>
      <c r="C58" s="166">
        <v>93358</v>
      </c>
      <c r="D58" s="264" t="s">
        <v>10878</v>
      </c>
      <c r="E58" s="169" t="s">
        <v>41</v>
      </c>
      <c r="F58" s="170">
        <f>VLOOKUP(A58,MC!$A$10:'MC'!$J$2901,9,FALSE)</f>
        <v>25.450000000000003</v>
      </c>
      <c r="G58" s="171">
        <f>VLOOKUP(C58,Serviço02!$A$1:$D$6699,4,FALSE)</f>
        <v>67.010000000000005</v>
      </c>
      <c r="H58" s="171">
        <f>G58</f>
        <v>67.010000000000005</v>
      </c>
      <c r="I58" s="300">
        <f>BDI!$F$21</f>
        <v>0.21299999999999999</v>
      </c>
      <c r="J58" s="301">
        <f t="shared" ref="J58:J60" si="13">ROUND(H58*(1+I58),2)</f>
        <v>81.28</v>
      </c>
      <c r="K58" s="302">
        <f t="shared" ref="K58:K60" si="14">ROUND(F58*J58,2)</f>
        <v>2068.58</v>
      </c>
      <c r="M58" s="109"/>
      <c r="N58"/>
      <c r="O58" s="5"/>
      <c r="P58" s="5"/>
      <c r="Q58" s="5"/>
      <c r="R58" s="5"/>
      <c r="S58" s="5"/>
    </row>
    <row r="59" spans="1:19" s="599" customFormat="1" ht="15.75" customHeight="1" x14ac:dyDescent="0.25">
      <c r="A59" s="593" t="s">
        <v>121</v>
      </c>
      <c r="B59" s="266" t="s">
        <v>22</v>
      </c>
      <c r="C59" s="607" t="str">
        <f>CPU!A317</f>
        <v>CPU-12</v>
      </c>
      <c r="D59" s="264" t="s">
        <v>11096</v>
      </c>
      <c r="E59" s="267" t="s">
        <v>164</v>
      </c>
      <c r="F59" s="594">
        <f>VLOOKUP(A59,MC!$A$10:'MC'!$J$2901,9,FALSE)</f>
        <v>16.97</v>
      </c>
      <c r="G59" s="577">
        <f>CPU!F342</f>
        <v>25.41</v>
      </c>
      <c r="H59" s="577">
        <f t="shared" ref="H59:H64" si="15">G59</f>
        <v>25.41</v>
      </c>
      <c r="I59" s="596">
        <f>BDI!$F$21</f>
        <v>0.21299999999999999</v>
      </c>
      <c r="J59" s="597">
        <f t="shared" si="13"/>
        <v>30.82</v>
      </c>
      <c r="K59" s="598">
        <f t="shared" si="14"/>
        <v>523.02</v>
      </c>
      <c r="M59" s="600"/>
      <c r="N59" s="601"/>
      <c r="O59" s="602"/>
      <c r="P59" s="602"/>
      <c r="Q59" s="602"/>
      <c r="R59" s="602"/>
      <c r="S59" s="602"/>
    </row>
    <row r="60" spans="1:19" s="16" customFormat="1" ht="15.75" customHeight="1" x14ac:dyDescent="0.25">
      <c r="A60" s="168" t="s">
        <v>122</v>
      </c>
      <c r="B60" s="166" t="s">
        <v>166</v>
      </c>
      <c r="C60" s="266">
        <v>96995</v>
      </c>
      <c r="D60" s="264" t="s">
        <v>10879</v>
      </c>
      <c r="E60" s="169" t="s">
        <v>41</v>
      </c>
      <c r="F60" s="170">
        <f>VLOOKUP(A60,MC!$A$10:'MC'!$J$2901,9,FALSE)</f>
        <v>2.33</v>
      </c>
      <c r="G60" s="171">
        <f>VLOOKUP(C60,Serviço02!$A$1:$D$6699,4,FALSE)</f>
        <v>40.630000000000003</v>
      </c>
      <c r="H60" s="171">
        <f t="shared" si="15"/>
        <v>40.630000000000003</v>
      </c>
      <c r="I60" s="300">
        <f>BDI!$F$21</f>
        <v>0.21299999999999999</v>
      </c>
      <c r="J60" s="301">
        <f t="shared" si="13"/>
        <v>49.28</v>
      </c>
      <c r="K60" s="302">
        <f t="shared" si="14"/>
        <v>114.82</v>
      </c>
      <c r="M60" s="109"/>
      <c r="N60"/>
      <c r="O60" s="5"/>
      <c r="P60" s="5"/>
      <c r="Q60" s="5"/>
      <c r="R60" s="5"/>
      <c r="S60" s="5"/>
    </row>
    <row r="61" spans="1:19" s="16" customFormat="1" ht="15.75" customHeight="1" x14ac:dyDescent="0.25">
      <c r="A61" s="168"/>
      <c r="B61" s="166"/>
      <c r="C61" s="166"/>
      <c r="D61" s="248" t="s">
        <v>11093</v>
      </c>
      <c r="E61" s="169"/>
      <c r="F61" s="170"/>
      <c r="G61" s="171"/>
      <c r="H61" s="171"/>
      <c r="I61" s="299"/>
      <c r="J61" s="299"/>
      <c r="K61" s="176"/>
      <c r="M61" s="109"/>
      <c r="N61"/>
      <c r="O61" s="5"/>
      <c r="P61" s="5"/>
      <c r="Q61" s="5"/>
      <c r="R61" s="5"/>
      <c r="S61" s="5"/>
    </row>
    <row r="62" spans="1:19" s="16" customFormat="1" ht="15.75" customHeight="1" x14ac:dyDescent="0.25">
      <c r="A62" s="168" t="s">
        <v>123</v>
      </c>
      <c r="B62" s="166" t="s">
        <v>166</v>
      </c>
      <c r="C62" s="166" t="s">
        <v>4411</v>
      </c>
      <c r="D62" s="264" t="s">
        <v>10878</v>
      </c>
      <c r="E62" s="169" t="s">
        <v>41</v>
      </c>
      <c r="F62" s="170">
        <f>VLOOKUP(A62,MC!$A$10:'MC'!$J$2901,9,FALSE)</f>
        <v>10.429874999999999</v>
      </c>
      <c r="G62" s="171">
        <f>VLOOKUP(C62,Serviço02!$A$1:$D$6699,4,FALSE)</f>
        <v>169.4</v>
      </c>
      <c r="H62" s="171">
        <f t="shared" si="15"/>
        <v>169.4</v>
      </c>
      <c r="I62" s="300">
        <f>BDI!$F$21</f>
        <v>0.21299999999999999</v>
      </c>
      <c r="J62" s="301">
        <f t="shared" ref="J62:J64" si="16">ROUND(H62*(1+I62),2)</f>
        <v>205.48</v>
      </c>
      <c r="K62" s="302">
        <f>ROUND(F62*J62,2)+0.03</f>
        <v>2143.1600000000003</v>
      </c>
      <c r="M62" s="109"/>
      <c r="N62" s="5"/>
      <c r="O62" s="5"/>
      <c r="P62" s="5"/>
      <c r="Q62" s="5"/>
      <c r="R62" s="5"/>
      <c r="S62" s="5"/>
    </row>
    <row r="63" spans="1:19" s="16" customFormat="1" ht="15.75" customHeight="1" x14ac:dyDescent="0.25">
      <c r="A63" s="168" t="s">
        <v>124</v>
      </c>
      <c r="B63" s="166" t="s">
        <v>166</v>
      </c>
      <c r="C63" s="166">
        <v>96995</v>
      </c>
      <c r="D63" s="264" t="s">
        <v>11096</v>
      </c>
      <c r="E63" s="169" t="s">
        <v>164</v>
      </c>
      <c r="F63" s="170">
        <f>VLOOKUP(A63,MC!$A$10:'MC'!$J$2901,9,FALSE)</f>
        <v>18.54</v>
      </c>
      <c r="G63" s="171">
        <f>VLOOKUP(C63,Serviço02!$A$1:$D$6699,4,FALSE)</f>
        <v>40.630000000000003</v>
      </c>
      <c r="H63" s="171">
        <f t="shared" si="15"/>
        <v>40.630000000000003</v>
      </c>
      <c r="I63" s="300">
        <f>BDI!$F$21</f>
        <v>0.21299999999999999</v>
      </c>
      <c r="J63" s="301">
        <f t="shared" si="16"/>
        <v>49.28</v>
      </c>
      <c r="K63" s="302">
        <f t="shared" ref="K63:K64" si="17">ROUND(F63*J63,2)</f>
        <v>913.65</v>
      </c>
      <c r="M63" s="109"/>
      <c r="N63"/>
      <c r="O63" s="5"/>
      <c r="P63" s="5"/>
      <c r="Q63" s="5"/>
      <c r="R63" s="5"/>
      <c r="S63" s="5"/>
    </row>
    <row r="64" spans="1:19" s="16" customFormat="1" ht="15.75" customHeight="1" thickBot="1" x14ac:dyDescent="0.3">
      <c r="A64" s="168" t="s">
        <v>125</v>
      </c>
      <c r="B64" s="166" t="s">
        <v>166</v>
      </c>
      <c r="C64" s="166">
        <v>96995</v>
      </c>
      <c r="D64" s="264" t="s">
        <v>10879</v>
      </c>
      <c r="E64" s="169" t="s">
        <v>41</v>
      </c>
      <c r="F64" s="170">
        <f>VLOOKUP(A64,MC!$A$10:'MC'!$J$2901,9,FALSE)</f>
        <v>3.01</v>
      </c>
      <c r="G64" s="171">
        <f>VLOOKUP(C64,Serviço02!$A$1:$D$6699,4,FALSE)</f>
        <v>40.630000000000003</v>
      </c>
      <c r="H64" s="171">
        <f t="shared" si="15"/>
        <v>40.630000000000003</v>
      </c>
      <c r="I64" s="300">
        <f>BDI!$F$21</f>
        <v>0.21299999999999999</v>
      </c>
      <c r="J64" s="301">
        <f t="shared" si="16"/>
        <v>49.28</v>
      </c>
      <c r="K64" s="302">
        <f t="shared" si="17"/>
        <v>148.33000000000001</v>
      </c>
      <c r="M64" s="109"/>
      <c r="N64" s="247"/>
      <c r="O64" s="10"/>
      <c r="P64" s="10"/>
      <c r="Q64" s="10"/>
      <c r="R64" s="5"/>
      <c r="S64" s="5"/>
    </row>
    <row r="65" spans="1:19" ht="16.5" thickBot="1" x14ac:dyDescent="0.3">
      <c r="A65" s="696"/>
      <c r="B65" s="697"/>
      <c r="C65" s="697"/>
      <c r="D65" s="697"/>
      <c r="E65" s="697"/>
      <c r="F65" s="697"/>
      <c r="G65" s="25"/>
      <c r="H65" s="25"/>
      <c r="I65" s="25"/>
      <c r="J65" s="25"/>
      <c r="K65" s="27"/>
      <c r="N65"/>
      <c r="O65" s="5"/>
      <c r="P65" s="5"/>
      <c r="Q65" s="5"/>
      <c r="R65" s="5"/>
      <c r="S65" s="5"/>
    </row>
    <row r="66" spans="1:19" s="16" customFormat="1" ht="15.75" customHeight="1" thickBot="1" x14ac:dyDescent="0.3">
      <c r="A66" s="20" t="s">
        <v>11725</v>
      </c>
      <c r="B66" s="21"/>
      <c r="C66" s="21"/>
      <c r="D66" s="21" t="s">
        <v>173</v>
      </c>
      <c r="E66" s="21"/>
      <c r="F66" s="21"/>
      <c r="G66" s="21"/>
      <c r="H66" s="21"/>
      <c r="I66" s="21"/>
      <c r="J66" s="21"/>
      <c r="K66" s="167">
        <f>SUM(K68:K70)</f>
        <v>10896.099999999999</v>
      </c>
      <c r="M66" s="109"/>
      <c r="N66"/>
      <c r="O66" s="5"/>
      <c r="P66" s="5"/>
      <c r="Q66" s="5"/>
      <c r="R66" s="5"/>
      <c r="S66" s="5"/>
    </row>
    <row r="67" spans="1:19" s="245" customFormat="1" ht="15.75" customHeight="1" x14ac:dyDescent="0.25">
      <c r="A67" s="168"/>
      <c r="B67" s="166"/>
      <c r="C67" s="166"/>
      <c r="D67" s="248" t="s">
        <v>11715</v>
      </c>
      <c r="E67" s="169"/>
      <c r="F67" s="170"/>
      <c r="G67" s="171"/>
      <c r="H67" s="299"/>
      <c r="I67" s="299"/>
      <c r="J67" s="299"/>
      <c r="K67" s="176"/>
      <c r="M67" s="246"/>
      <c r="N67"/>
      <c r="O67" s="5"/>
      <c r="P67" s="5"/>
      <c r="Q67" s="5"/>
      <c r="R67" s="10"/>
      <c r="S67" s="10"/>
    </row>
    <row r="68" spans="1:19" s="16" customFormat="1" ht="15.75" customHeight="1" x14ac:dyDescent="0.25">
      <c r="A68" s="168" t="s">
        <v>11726</v>
      </c>
      <c r="B68" s="166" t="s">
        <v>166</v>
      </c>
      <c r="C68" s="166">
        <v>96535</v>
      </c>
      <c r="D68" s="264" t="s">
        <v>11098</v>
      </c>
      <c r="E68" s="169" t="s">
        <v>164</v>
      </c>
      <c r="F68" s="170">
        <f>VLOOKUP(A68,MC!$A$10:'MC'!$J$2901,9,FALSE)</f>
        <v>39.299999999999997</v>
      </c>
      <c r="G68" s="171">
        <f>VLOOKUP(C68,Serviço02!$A$1:$D$6699,4,FALSE)</f>
        <v>93.69</v>
      </c>
      <c r="H68" s="171">
        <f>G68</f>
        <v>93.69</v>
      </c>
      <c r="I68" s="300">
        <f>BDI!$F$21</f>
        <v>0.21299999999999999</v>
      </c>
      <c r="J68" s="301">
        <f t="shared" ref="J68" si="18">ROUND(H68*(1+I68),2)</f>
        <v>113.65</v>
      </c>
      <c r="K68" s="302">
        <f>ROUND(F68*J68,2)</f>
        <v>4466.45</v>
      </c>
      <c r="M68" s="109"/>
      <c r="N68" s="5"/>
      <c r="O68" s="5"/>
      <c r="P68" s="5"/>
      <c r="Q68" s="5"/>
      <c r="R68" s="5"/>
      <c r="S68" s="5"/>
    </row>
    <row r="69" spans="1:19" s="16" customFormat="1" ht="15.75" customHeight="1" x14ac:dyDescent="0.25">
      <c r="A69" s="168"/>
      <c r="B69" s="166"/>
      <c r="C69" s="166"/>
      <c r="D69" s="248" t="s">
        <v>11093</v>
      </c>
      <c r="E69" s="169"/>
      <c r="F69" s="170"/>
      <c r="G69" s="171"/>
      <c r="H69" s="299"/>
      <c r="I69" s="299"/>
      <c r="J69" s="299"/>
      <c r="K69" s="176"/>
      <c r="M69" s="109"/>
      <c r="N69"/>
      <c r="O69" s="5"/>
      <c r="P69" s="5"/>
      <c r="Q69" s="5"/>
      <c r="R69" s="5"/>
      <c r="S69" s="5"/>
    </row>
    <row r="70" spans="1:19" s="16" customFormat="1" ht="15.75" customHeight="1" thickBot="1" x14ac:dyDescent="0.3">
      <c r="A70" s="168" t="s">
        <v>11727</v>
      </c>
      <c r="B70" s="166" t="s">
        <v>166</v>
      </c>
      <c r="C70" s="166">
        <v>96536</v>
      </c>
      <c r="D70" s="264" t="s">
        <v>11099</v>
      </c>
      <c r="E70" s="169" t="s">
        <v>164</v>
      </c>
      <c r="F70" s="170">
        <f>VLOOKUP(A70,MC!$A$10:'MC'!$J$2901,9,FALSE)</f>
        <v>120.79</v>
      </c>
      <c r="G70" s="171">
        <f>VLOOKUP(C70,Serviço02!$A$1:$D$6699,4,FALSE)</f>
        <v>43.88</v>
      </c>
      <c r="H70" s="171">
        <f>G70</f>
        <v>43.88</v>
      </c>
      <c r="I70" s="300">
        <f>BDI!$F$21</f>
        <v>0.21299999999999999</v>
      </c>
      <c r="J70" s="301">
        <f t="shared" ref="J70" si="19">ROUND(H70*(1+I70),2)</f>
        <v>53.23</v>
      </c>
      <c r="K70" s="302">
        <f>ROUND(F70*J70,2)</f>
        <v>6429.65</v>
      </c>
      <c r="M70" s="109"/>
      <c r="N70"/>
      <c r="O70" s="5"/>
      <c r="P70" s="5"/>
      <c r="Q70" s="5"/>
      <c r="R70" s="5"/>
      <c r="S70" s="5"/>
    </row>
    <row r="71" spans="1:19" ht="16.5" thickBot="1" x14ac:dyDescent="0.3">
      <c r="A71" s="696"/>
      <c r="B71" s="697"/>
      <c r="C71" s="697"/>
      <c r="D71" s="697"/>
      <c r="E71" s="697"/>
      <c r="F71" s="697"/>
      <c r="G71" s="25"/>
      <c r="H71" s="25"/>
      <c r="I71" s="25"/>
      <c r="J71" s="25"/>
      <c r="K71" s="27"/>
      <c r="N71"/>
      <c r="O71" s="5"/>
      <c r="P71" s="5"/>
      <c r="Q71" s="5"/>
      <c r="R71" s="5"/>
      <c r="S71" s="5"/>
    </row>
    <row r="72" spans="1:19" s="16" customFormat="1" ht="15.75" customHeight="1" thickBot="1" x14ac:dyDescent="0.3">
      <c r="A72" s="20" t="s">
        <v>11728</v>
      </c>
      <c r="B72" s="21"/>
      <c r="C72" s="21"/>
      <c r="D72" s="21" t="s">
        <v>174</v>
      </c>
      <c r="E72" s="21"/>
      <c r="F72" s="21"/>
      <c r="G72" s="21"/>
      <c r="H72" s="21"/>
      <c r="I72" s="21"/>
      <c r="J72" s="21"/>
      <c r="K72" s="167">
        <f>SUM(K73:K79)</f>
        <v>11640.300000000001</v>
      </c>
      <c r="M72" s="109"/>
      <c r="N72"/>
      <c r="O72" s="5"/>
      <c r="P72" s="5"/>
      <c r="Q72" s="5"/>
      <c r="R72" s="5"/>
      <c r="S72" s="5"/>
    </row>
    <row r="73" spans="1:19" s="16" customFormat="1" ht="15.75" customHeight="1" x14ac:dyDescent="0.25">
      <c r="A73" s="168"/>
      <c r="B73" s="165"/>
      <c r="C73" s="172"/>
      <c r="D73" s="248" t="s">
        <v>11095</v>
      </c>
      <c r="E73" s="169"/>
      <c r="F73" s="170"/>
      <c r="G73" s="171"/>
      <c r="H73" s="299"/>
      <c r="I73" s="299"/>
      <c r="J73" s="299"/>
      <c r="K73" s="176"/>
      <c r="M73" s="109"/>
      <c r="N73"/>
      <c r="O73" s="5"/>
      <c r="P73" s="5"/>
      <c r="Q73" s="5"/>
      <c r="R73" s="5"/>
      <c r="S73" s="5"/>
    </row>
    <row r="74" spans="1:19" s="16" customFormat="1" ht="25.5" x14ac:dyDescent="0.25">
      <c r="A74" s="168" t="s">
        <v>11729</v>
      </c>
      <c r="B74" s="166" t="s">
        <v>166</v>
      </c>
      <c r="C74" s="166">
        <v>92916</v>
      </c>
      <c r="D74" s="608" t="s">
        <v>11766</v>
      </c>
      <c r="E74" s="169" t="s">
        <v>11068</v>
      </c>
      <c r="F74" s="170">
        <f>VLOOKUP(A74,MC!$A$10:'MC'!$J$2901,9,FALSE)</f>
        <v>104.72999999999999</v>
      </c>
      <c r="G74" s="171">
        <f>VLOOKUP(C74,Serviço02!$A$1:$D$6699,4,FALSE)</f>
        <v>11.96</v>
      </c>
      <c r="H74" s="171">
        <f>G74</f>
        <v>11.96</v>
      </c>
      <c r="I74" s="300">
        <f>BDI!$F$21</f>
        <v>0.21299999999999999</v>
      </c>
      <c r="J74" s="301">
        <f t="shared" ref="J74:J76" si="20">ROUND(H74*(1+I74),2)</f>
        <v>14.51</v>
      </c>
      <c r="K74" s="302">
        <f t="shared" ref="K74:K76" si="21">ROUND(F74*J74,2)</f>
        <v>1519.63</v>
      </c>
      <c r="M74" s="109"/>
      <c r="N74"/>
      <c r="O74" s="5"/>
      <c r="P74" s="5"/>
      <c r="Q74" s="5"/>
      <c r="R74" s="5"/>
      <c r="S74" s="5"/>
    </row>
    <row r="75" spans="1:19" s="16" customFormat="1" ht="25.5" x14ac:dyDescent="0.25">
      <c r="A75" s="168" t="s">
        <v>11730</v>
      </c>
      <c r="B75" s="166" t="s">
        <v>166</v>
      </c>
      <c r="C75" s="166">
        <v>92919</v>
      </c>
      <c r="D75" s="608" t="s">
        <v>11090</v>
      </c>
      <c r="E75" s="169" t="s">
        <v>11068</v>
      </c>
      <c r="F75" s="170">
        <f>VLOOKUP(A75,MC!$A$10:'MC'!$J$2901,9,FALSE)</f>
        <v>119.18</v>
      </c>
      <c r="G75" s="171">
        <f>VLOOKUP(C75,Serviço02!$A$1:$D$6699,4,FALSE)</f>
        <v>9.52</v>
      </c>
      <c r="H75" s="171">
        <f t="shared" ref="H75:H79" si="22">G75</f>
        <v>9.52</v>
      </c>
      <c r="I75" s="300">
        <f>BDI!$F$21</f>
        <v>0.21299999999999999</v>
      </c>
      <c r="J75" s="301">
        <f t="shared" si="20"/>
        <v>11.55</v>
      </c>
      <c r="K75" s="302">
        <f t="shared" si="21"/>
        <v>1376.53</v>
      </c>
      <c r="M75" s="109"/>
      <c r="N75"/>
      <c r="O75" s="5"/>
      <c r="P75" s="5"/>
      <c r="Q75" s="5"/>
      <c r="R75" s="5"/>
      <c r="S75" s="5"/>
    </row>
    <row r="76" spans="1:19" s="16" customFormat="1" ht="25.5" x14ac:dyDescent="0.25">
      <c r="A76" s="168" t="s">
        <v>11731</v>
      </c>
      <c r="B76" s="166" t="s">
        <v>166</v>
      </c>
      <c r="C76" s="161">
        <v>92921</v>
      </c>
      <c r="D76" s="819" t="s">
        <v>11091</v>
      </c>
      <c r="E76" s="169" t="s">
        <v>11068</v>
      </c>
      <c r="F76" s="170">
        <f>VLOOKUP(A76,MC!$A$10:'MC'!$J$2901,9,FALSE)</f>
        <v>400.46</v>
      </c>
      <c r="G76" s="171">
        <f>VLOOKUP(C76,Serviço02!$A$1:$D$6699,4,FALSE)</f>
        <v>7.92</v>
      </c>
      <c r="H76" s="171">
        <f t="shared" si="22"/>
        <v>7.92</v>
      </c>
      <c r="I76" s="300">
        <f>BDI!$F$21</f>
        <v>0.21299999999999999</v>
      </c>
      <c r="J76" s="301">
        <f t="shared" si="20"/>
        <v>9.61</v>
      </c>
      <c r="K76" s="302">
        <f t="shared" si="21"/>
        <v>3848.42</v>
      </c>
      <c r="M76" s="109"/>
      <c r="N76"/>
      <c r="O76" s="5"/>
      <c r="P76" s="5"/>
      <c r="Q76" s="5"/>
      <c r="R76" s="5"/>
      <c r="S76" s="5"/>
    </row>
    <row r="77" spans="1:19" s="16" customFormat="1" ht="15.75" customHeight="1" x14ac:dyDescent="0.25">
      <c r="A77" s="168"/>
      <c r="B77" s="165"/>
      <c r="C77" s="172"/>
      <c r="D77" s="248" t="s">
        <v>11093</v>
      </c>
      <c r="E77" s="169"/>
      <c r="F77" s="170"/>
      <c r="G77" s="171"/>
      <c r="H77" s="171"/>
      <c r="I77" s="299"/>
      <c r="J77" s="299"/>
      <c r="K77" s="176"/>
      <c r="M77" s="109"/>
      <c r="N77" s="5"/>
      <c r="O77" s="5"/>
      <c r="P77" s="5"/>
      <c r="Q77" s="5"/>
      <c r="R77" s="5"/>
      <c r="S77" s="5"/>
    </row>
    <row r="78" spans="1:19" s="16" customFormat="1" ht="25.5" x14ac:dyDescent="0.25">
      <c r="A78" s="168" t="s">
        <v>11732</v>
      </c>
      <c r="B78" s="166" t="s">
        <v>166</v>
      </c>
      <c r="C78" s="166">
        <v>92915</v>
      </c>
      <c r="D78" s="608" t="s">
        <v>11089</v>
      </c>
      <c r="E78" s="169" t="s">
        <v>11068</v>
      </c>
      <c r="F78" s="170">
        <f>VLOOKUP(A78,MC!$A$10:'MC'!$J$2901,9,FALSE)</f>
        <v>94.55</v>
      </c>
      <c r="G78" s="171">
        <f>VLOOKUP(C78,Serviço02!$A$1:$D$6699,4,FALSE)</f>
        <v>13.21</v>
      </c>
      <c r="H78" s="171">
        <f t="shared" si="22"/>
        <v>13.21</v>
      </c>
      <c r="I78" s="300">
        <f>BDI!$F$21</f>
        <v>0.21299999999999999</v>
      </c>
      <c r="J78" s="301">
        <f t="shared" ref="J78:J79" si="23">ROUND(H78*(1+I78),2)</f>
        <v>16.02</v>
      </c>
      <c r="K78" s="302">
        <f t="shared" ref="K78:K79" si="24">ROUND(F78*J78,2)</f>
        <v>1514.69</v>
      </c>
      <c r="M78" s="109"/>
      <c r="N78"/>
      <c r="O78" s="5"/>
      <c r="P78" s="5"/>
      <c r="Q78" s="5"/>
      <c r="R78" s="5"/>
      <c r="S78" s="5"/>
    </row>
    <row r="79" spans="1:19" s="16" customFormat="1" ht="26.25" thickBot="1" x14ac:dyDescent="0.3">
      <c r="A79" s="168" t="s">
        <v>11763</v>
      </c>
      <c r="B79" s="166" t="s">
        <v>166</v>
      </c>
      <c r="C79" s="166">
        <v>92919</v>
      </c>
      <c r="D79" s="608" t="s">
        <v>11090</v>
      </c>
      <c r="E79" s="169" t="s">
        <v>11068</v>
      </c>
      <c r="F79" s="170">
        <f>VLOOKUP(A79,MC!$A$10:'MC'!$J$2901,9,FALSE)</f>
        <v>292.73</v>
      </c>
      <c r="G79" s="171">
        <f>VLOOKUP(C79,Serviço02!$A$1:$D$6699,4,FALSE)</f>
        <v>9.52</v>
      </c>
      <c r="H79" s="171">
        <f t="shared" si="22"/>
        <v>9.52</v>
      </c>
      <c r="I79" s="300">
        <f>BDI!$F$21</f>
        <v>0.21299999999999999</v>
      </c>
      <c r="J79" s="301">
        <f t="shared" si="23"/>
        <v>11.55</v>
      </c>
      <c r="K79" s="302">
        <f t="shared" si="24"/>
        <v>3381.03</v>
      </c>
      <c r="M79" s="109"/>
      <c r="N79"/>
      <c r="O79" s="5"/>
      <c r="P79" s="5"/>
      <c r="Q79" s="5"/>
      <c r="R79" s="5"/>
      <c r="S79" s="5"/>
    </row>
    <row r="80" spans="1:19" ht="16.5" thickBot="1" x14ac:dyDescent="0.3">
      <c r="A80" s="696"/>
      <c r="B80" s="697"/>
      <c r="C80" s="697"/>
      <c r="D80" s="697"/>
      <c r="E80" s="697"/>
      <c r="F80" s="697"/>
      <c r="G80" s="25"/>
      <c r="H80" s="25"/>
      <c r="I80" s="25"/>
      <c r="J80" s="25"/>
      <c r="K80" s="27"/>
      <c r="N80"/>
      <c r="O80" s="5"/>
      <c r="P80" s="5"/>
      <c r="Q80" s="5"/>
      <c r="R80" s="5"/>
      <c r="S80" s="5"/>
    </row>
    <row r="81" spans="1:19" s="16" customFormat="1" ht="15.75" customHeight="1" thickBot="1" x14ac:dyDescent="0.3">
      <c r="A81" s="20" t="s">
        <v>11736</v>
      </c>
      <c r="B81" s="21"/>
      <c r="C81" s="21"/>
      <c r="D81" s="21" t="s">
        <v>175</v>
      </c>
      <c r="E81" s="21"/>
      <c r="F81" s="21"/>
      <c r="G81" s="21"/>
      <c r="H81" s="21"/>
      <c r="I81" s="21"/>
      <c r="J81" s="21"/>
      <c r="K81" s="167">
        <f>SUM(K82:K89)</f>
        <v>11738.16</v>
      </c>
      <c r="M81" s="109"/>
      <c r="N81"/>
      <c r="O81" s="5"/>
      <c r="P81" s="5"/>
      <c r="Q81" s="5"/>
      <c r="R81" s="5"/>
      <c r="S81" s="5"/>
    </row>
    <row r="82" spans="1:19" s="16" customFormat="1" ht="15.75" customHeight="1" x14ac:dyDescent="0.25">
      <c r="A82" s="168"/>
      <c r="B82" s="166"/>
      <c r="C82" s="166"/>
      <c r="D82" s="248" t="s">
        <v>11095</v>
      </c>
      <c r="E82" s="169"/>
      <c r="F82" s="170"/>
      <c r="G82" s="171"/>
      <c r="H82" s="299"/>
      <c r="I82" s="299"/>
      <c r="J82" s="299"/>
      <c r="K82" s="176"/>
      <c r="M82" s="109"/>
      <c r="N82"/>
      <c r="O82" s="5"/>
      <c r="P82" s="5"/>
      <c r="Q82" s="5"/>
      <c r="R82" s="5"/>
      <c r="S82" s="5"/>
    </row>
    <row r="83" spans="1:19" s="16" customFormat="1" ht="15.75" customHeight="1" x14ac:dyDescent="0.25">
      <c r="A83" s="168" t="s">
        <v>11737</v>
      </c>
      <c r="B83" s="166" t="s">
        <v>166</v>
      </c>
      <c r="C83" s="166">
        <v>94965</v>
      </c>
      <c r="D83" s="264" t="s">
        <v>11100</v>
      </c>
      <c r="E83" s="169" t="s">
        <v>41</v>
      </c>
      <c r="F83" s="170">
        <f>VLOOKUP(A83,MC!$A$10:'MC'!$J$2901,9,FALSE)</f>
        <v>7.9</v>
      </c>
      <c r="G83" s="171">
        <f>VLOOKUP(C83,Serviço02!$A$1:$D$6699,4,FALSE)</f>
        <v>424.33</v>
      </c>
      <c r="H83" s="171">
        <f>G83</f>
        <v>424.33</v>
      </c>
      <c r="I83" s="300">
        <f>BDI!$F$21</f>
        <v>0.21299999999999999</v>
      </c>
      <c r="J83" s="301">
        <f t="shared" ref="J83:J85" si="25">ROUND(H83*(1+I83),2)</f>
        <v>514.71</v>
      </c>
      <c r="K83" s="302">
        <f t="shared" ref="K83:K85" si="26">ROUND(F83*J83,2)</f>
        <v>4066.21</v>
      </c>
      <c r="M83" s="109"/>
      <c r="N83"/>
      <c r="O83" s="5"/>
      <c r="P83" s="5"/>
      <c r="Q83" s="5"/>
      <c r="R83" s="5"/>
      <c r="S83" s="5"/>
    </row>
    <row r="84" spans="1:19" s="16" customFormat="1" ht="15" x14ac:dyDescent="0.25">
      <c r="A84" s="168" t="s">
        <v>11738</v>
      </c>
      <c r="B84" s="166" t="s">
        <v>166</v>
      </c>
      <c r="C84" s="166">
        <v>96619</v>
      </c>
      <c r="D84" s="264" t="s">
        <v>13833</v>
      </c>
      <c r="E84" s="169" t="s">
        <v>164</v>
      </c>
      <c r="F84" s="170">
        <f>VLOOKUP(A84,MC!$A$10:'MC'!$J$2901,9,FALSE)</f>
        <v>15.22</v>
      </c>
      <c r="G84" s="171">
        <f>VLOOKUP(C84,Serviço02!$A$1:$D$6699,4,FALSE)</f>
        <v>25.93</v>
      </c>
      <c r="H84" s="171">
        <f t="shared" ref="H84:H89" si="27">G84</f>
        <v>25.93</v>
      </c>
      <c r="I84" s="300">
        <f>BDI!$F$21</f>
        <v>0.21299999999999999</v>
      </c>
      <c r="J84" s="301">
        <f t="shared" si="25"/>
        <v>31.45</v>
      </c>
      <c r="K84" s="302">
        <f t="shared" si="26"/>
        <v>478.67</v>
      </c>
      <c r="M84" s="109"/>
      <c r="N84"/>
      <c r="O84" s="5"/>
      <c r="P84" s="5"/>
      <c r="Q84" s="5"/>
      <c r="R84" s="5"/>
      <c r="S84" s="5"/>
    </row>
    <row r="85" spans="1:19" s="16" customFormat="1" ht="15.75" customHeight="1" x14ac:dyDescent="0.25">
      <c r="A85" s="168" t="s">
        <v>11739</v>
      </c>
      <c r="B85" s="166" t="s">
        <v>166</v>
      </c>
      <c r="C85" s="166">
        <v>92873</v>
      </c>
      <c r="D85" s="264" t="s">
        <v>11101</v>
      </c>
      <c r="E85" s="169" t="s">
        <v>41</v>
      </c>
      <c r="F85" s="170">
        <f>VLOOKUP(A85,MC!$A$10:'MC'!$J$2901,9,FALSE)</f>
        <v>7.9</v>
      </c>
      <c r="G85" s="171">
        <f>VLOOKUP(C85,Serviço02!$A$1:$D$6699,4,FALSE)</f>
        <v>169.69</v>
      </c>
      <c r="H85" s="171">
        <f t="shared" si="27"/>
        <v>169.69</v>
      </c>
      <c r="I85" s="300">
        <f>BDI!$F$21</f>
        <v>0.21299999999999999</v>
      </c>
      <c r="J85" s="301">
        <f t="shared" si="25"/>
        <v>205.83</v>
      </c>
      <c r="K85" s="302">
        <f t="shared" si="26"/>
        <v>1626.06</v>
      </c>
      <c r="M85" s="109"/>
      <c r="N85"/>
      <c r="O85" s="5"/>
      <c r="P85" s="5"/>
      <c r="Q85" s="5"/>
      <c r="R85" s="5"/>
      <c r="S85" s="5"/>
    </row>
    <row r="86" spans="1:19" s="16" customFormat="1" ht="15.75" customHeight="1" x14ac:dyDescent="0.25">
      <c r="A86" s="168"/>
      <c r="B86" s="166"/>
      <c r="C86" s="166"/>
      <c r="D86" s="248" t="s">
        <v>11093</v>
      </c>
      <c r="E86" s="169"/>
      <c r="F86" s="170"/>
      <c r="G86" s="171"/>
      <c r="H86" s="171"/>
      <c r="I86" s="299"/>
      <c r="J86" s="299"/>
      <c r="K86" s="176"/>
      <c r="M86" s="109"/>
      <c r="N86"/>
      <c r="O86" s="5"/>
      <c r="P86" s="5"/>
      <c r="Q86" s="5"/>
      <c r="R86" s="5"/>
      <c r="S86" s="5"/>
    </row>
    <row r="87" spans="1:19" s="16" customFormat="1" ht="15.75" customHeight="1" x14ac:dyDescent="0.25">
      <c r="A87" s="168" t="s">
        <v>11740</v>
      </c>
      <c r="B87" s="166" t="s">
        <v>166</v>
      </c>
      <c r="C87" s="166">
        <v>94965</v>
      </c>
      <c r="D87" s="264" t="s">
        <v>10880</v>
      </c>
      <c r="E87" s="169" t="s">
        <v>41</v>
      </c>
      <c r="F87" s="170">
        <f>VLOOKUP(A87,MC!$A$10:'MC'!$J$2901,9,FALSE)</f>
        <v>7.42</v>
      </c>
      <c r="G87" s="171">
        <f>VLOOKUP(C87,Serviço02!$A$1:$D$6699,4,FALSE)</f>
        <v>424.33</v>
      </c>
      <c r="H87" s="171">
        <f t="shared" si="27"/>
        <v>424.33</v>
      </c>
      <c r="I87" s="300">
        <f>BDI!$F$21</f>
        <v>0.21299999999999999</v>
      </c>
      <c r="J87" s="301">
        <f t="shared" ref="J87:J89" si="28">ROUND(H87*(1+I87),2)</f>
        <v>514.71</v>
      </c>
      <c r="K87" s="302">
        <f t="shared" ref="K87:K89" si="29">ROUND(F87*J87,2)</f>
        <v>3819.15</v>
      </c>
      <c r="M87" s="109"/>
      <c r="N87" s="5"/>
      <c r="O87" s="5"/>
      <c r="P87" s="5"/>
      <c r="Q87" s="5"/>
      <c r="R87" s="5"/>
      <c r="S87" s="5"/>
    </row>
    <row r="88" spans="1:19" s="16" customFormat="1" ht="15.75" customHeight="1" x14ac:dyDescent="0.25">
      <c r="A88" s="168" t="s">
        <v>11741</v>
      </c>
      <c r="B88" s="166" t="s">
        <v>166</v>
      </c>
      <c r="C88" s="166">
        <v>92873</v>
      </c>
      <c r="D88" s="264" t="s">
        <v>11101</v>
      </c>
      <c r="E88" s="169" t="s">
        <v>41</v>
      </c>
      <c r="F88" s="170">
        <f>VLOOKUP(A88,MC!$A$10:'MC'!$J$2901,9,FALSE)</f>
        <v>7.42</v>
      </c>
      <c r="G88" s="171">
        <f>VLOOKUP(C88,Serviço02!$A$1:$D$6699,4,FALSE)</f>
        <v>169.69</v>
      </c>
      <c r="H88" s="171">
        <f t="shared" si="27"/>
        <v>169.69</v>
      </c>
      <c r="I88" s="300">
        <f>BDI!$F$21</f>
        <v>0.21299999999999999</v>
      </c>
      <c r="J88" s="301">
        <f t="shared" si="28"/>
        <v>205.83</v>
      </c>
      <c r="K88" s="302">
        <f t="shared" si="29"/>
        <v>1527.26</v>
      </c>
      <c r="M88" s="109"/>
      <c r="N88"/>
      <c r="O88" s="5"/>
      <c r="P88" s="5"/>
      <c r="Q88" s="5"/>
      <c r="R88" s="5"/>
      <c r="S88" s="5"/>
    </row>
    <row r="89" spans="1:19" s="599" customFormat="1" ht="15.75" customHeight="1" thickBot="1" x14ac:dyDescent="0.3">
      <c r="A89" s="593" t="s">
        <v>11742</v>
      </c>
      <c r="B89" s="266" t="s">
        <v>22</v>
      </c>
      <c r="C89" s="266" t="str">
        <f>CPU!A344</f>
        <v>CPU-13</v>
      </c>
      <c r="D89" s="264" t="s">
        <v>11102</v>
      </c>
      <c r="E89" s="267" t="s">
        <v>164</v>
      </c>
      <c r="F89" s="594">
        <f>VLOOKUP(A89,MC!$A$10:'MC'!$J$2901,9,FALSE)</f>
        <v>18.54</v>
      </c>
      <c r="G89" s="577">
        <f>CPU!F374</f>
        <v>9.82</v>
      </c>
      <c r="H89" s="577">
        <f t="shared" si="27"/>
        <v>9.82</v>
      </c>
      <c r="I89" s="596">
        <f>BDI!$F$21</f>
        <v>0.21299999999999999</v>
      </c>
      <c r="J89" s="597">
        <f t="shared" si="28"/>
        <v>11.91</v>
      </c>
      <c r="K89" s="598">
        <f t="shared" si="29"/>
        <v>220.81</v>
      </c>
      <c r="M89" s="600"/>
      <c r="N89" s="601"/>
      <c r="O89" s="602"/>
      <c r="P89" s="602"/>
      <c r="Q89" s="602"/>
      <c r="R89" s="602"/>
      <c r="S89" s="602"/>
    </row>
    <row r="90" spans="1:19" ht="16.5" thickBot="1" x14ac:dyDescent="0.3">
      <c r="A90" s="696"/>
      <c r="B90" s="697"/>
      <c r="C90" s="697"/>
      <c r="D90" s="697"/>
      <c r="E90" s="697"/>
      <c r="F90" s="697"/>
      <c r="G90" s="25"/>
      <c r="H90" s="25"/>
      <c r="I90" s="25"/>
      <c r="J90" s="25"/>
      <c r="K90" s="27"/>
      <c r="N90"/>
      <c r="O90" s="5"/>
      <c r="P90" s="5"/>
      <c r="Q90" s="5"/>
      <c r="R90" s="5"/>
      <c r="S90" s="5"/>
    </row>
    <row r="91" spans="1:19" s="16" customFormat="1" ht="15.75" customHeight="1" thickBot="1" x14ac:dyDescent="0.3">
      <c r="A91" s="17" t="s">
        <v>84</v>
      </c>
      <c r="B91" s="18"/>
      <c r="C91" s="18"/>
      <c r="D91" s="116" t="s">
        <v>130</v>
      </c>
      <c r="E91" s="18"/>
      <c r="F91" s="18"/>
      <c r="G91" s="18"/>
      <c r="H91" s="18"/>
      <c r="I91" s="18"/>
      <c r="J91" s="18"/>
      <c r="K91" s="120">
        <f>SUM(K92)</f>
        <v>84216.74</v>
      </c>
      <c r="M91" s="109"/>
      <c r="N91"/>
      <c r="O91" s="5"/>
      <c r="P91" s="5"/>
      <c r="Q91" s="5"/>
      <c r="R91" s="5"/>
      <c r="S91" s="5"/>
    </row>
    <row r="92" spans="1:19" s="16" customFormat="1" ht="15.75" customHeight="1" thickBot="1" x14ac:dyDescent="0.3">
      <c r="A92" s="20" t="s">
        <v>11743</v>
      </c>
      <c r="B92" s="21"/>
      <c r="C92" s="21"/>
      <c r="D92" s="21" t="s">
        <v>179</v>
      </c>
      <c r="E92" s="21"/>
      <c r="F92" s="21"/>
      <c r="G92" s="21"/>
      <c r="H92" s="21"/>
      <c r="I92" s="21"/>
      <c r="J92" s="21"/>
      <c r="K92" s="167">
        <f>SUM(K94:K99)</f>
        <v>84216.74</v>
      </c>
      <c r="M92" s="109"/>
      <c r="N92"/>
      <c r="O92" s="5"/>
      <c r="P92" s="5"/>
      <c r="Q92" s="5"/>
      <c r="R92" s="5"/>
      <c r="S92" s="5"/>
    </row>
    <row r="93" spans="1:19" s="16" customFormat="1" ht="15.75" customHeight="1" x14ac:dyDescent="0.25">
      <c r="A93" s="168"/>
      <c r="B93" s="165"/>
      <c r="C93" s="172"/>
      <c r="D93" s="248" t="s">
        <v>11778</v>
      </c>
      <c r="E93" s="169"/>
      <c r="F93" s="170"/>
      <c r="G93" s="171"/>
      <c r="H93" s="299"/>
      <c r="I93" s="299"/>
      <c r="J93" s="299"/>
      <c r="K93" s="176"/>
      <c r="M93" s="109"/>
      <c r="N93"/>
      <c r="O93" s="5"/>
      <c r="P93" s="5"/>
      <c r="Q93" s="5"/>
      <c r="R93" s="5"/>
      <c r="S93" s="5"/>
    </row>
    <row r="94" spans="1:19" s="599" customFormat="1" ht="15" x14ac:dyDescent="0.25">
      <c r="A94" s="593" t="s">
        <v>11744</v>
      </c>
      <c r="B94" s="266" t="s">
        <v>22</v>
      </c>
      <c r="C94" s="266" t="str">
        <f>CPU!A376</f>
        <v>CPU-14</v>
      </c>
      <c r="D94" s="608" t="s">
        <v>11780</v>
      </c>
      <c r="E94" s="267" t="s">
        <v>11068</v>
      </c>
      <c r="F94" s="594">
        <f>VLOOKUP(A94,MC!$A$10:'MC'!$J$2901,9,FALSE)</f>
        <v>2706.54</v>
      </c>
      <c r="G94" s="577">
        <f>CPU!F406</f>
        <v>10.88</v>
      </c>
      <c r="H94" s="577">
        <f>G94</f>
        <v>10.88</v>
      </c>
      <c r="I94" s="596">
        <f>BDI!$F$21</f>
        <v>0.21299999999999999</v>
      </c>
      <c r="J94" s="597">
        <f t="shared" ref="J94" si="30">ROUND(H94*(1+I94),2)</f>
        <v>13.2</v>
      </c>
      <c r="K94" s="598">
        <f>ROUND(F94*J94,2)</f>
        <v>35726.33</v>
      </c>
      <c r="M94" s="600"/>
      <c r="N94" s="601"/>
      <c r="O94" s="602"/>
      <c r="P94" s="602"/>
      <c r="Q94" s="602"/>
      <c r="R94" s="602"/>
      <c r="S94" s="602"/>
    </row>
    <row r="95" spans="1:19" s="16" customFormat="1" ht="15.75" customHeight="1" x14ac:dyDescent="0.25">
      <c r="A95" s="168"/>
      <c r="B95" s="165"/>
      <c r="C95" s="172"/>
      <c r="D95" s="248" t="s">
        <v>11092</v>
      </c>
      <c r="E95" s="169"/>
      <c r="F95" s="170"/>
      <c r="G95" s="171"/>
      <c r="H95" s="299"/>
      <c r="I95" s="299"/>
      <c r="J95" s="299"/>
      <c r="K95" s="176"/>
      <c r="M95" s="109"/>
      <c r="N95"/>
      <c r="O95" s="5"/>
      <c r="P95" s="5"/>
      <c r="Q95" s="5"/>
      <c r="R95" s="5"/>
      <c r="S95" s="5"/>
    </row>
    <row r="96" spans="1:19" s="599" customFormat="1" x14ac:dyDescent="0.25">
      <c r="A96" s="593" t="s">
        <v>11745</v>
      </c>
      <c r="B96" s="266" t="s">
        <v>22</v>
      </c>
      <c r="C96" s="266" t="str">
        <f>CPU!A408</f>
        <v>CPU-15</v>
      </c>
      <c r="D96" s="608" t="s">
        <v>11777</v>
      </c>
      <c r="E96" s="267" t="s">
        <v>11068</v>
      </c>
      <c r="F96" s="594">
        <f>VLOOKUP(A96,MC!$A$10:'MC'!$J$2901,9,FALSE)</f>
        <v>3788.44</v>
      </c>
      <c r="G96" s="577">
        <f>CPU!F438</f>
        <v>8.58</v>
      </c>
      <c r="H96" s="577">
        <f>G96</f>
        <v>8.58</v>
      </c>
      <c r="I96" s="596">
        <f>BDI!$F$21</f>
        <v>0.21299999999999999</v>
      </c>
      <c r="J96" s="597">
        <f t="shared" ref="J96" si="31">ROUND(H96*(1+I96),2)</f>
        <v>10.41</v>
      </c>
      <c r="K96" s="598">
        <f>ROUND(F96*J96,2)</f>
        <v>39437.660000000003</v>
      </c>
      <c r="M96" s="600"/>
      <c r="N96" s="602"/>
      <c r="O96" s="602"/>
      <c r="P96" s="602"/>
      <c r="Q96" s="602"/>
      <c r="R96" s="602"/>
      <c r="S96" s="602"/>
    </row>
    <row r="97" spans="1:19" s="599" customFormat="1" x14ac:dyDescent="0.25">
      <c r="A97" s="593" t="s">
        <v>11746</v>
      </c>
      <c r="B97" s="266" t="s">
        <v>22</v>
      </c>
      <c r="C97" s="266" t="str">
        <f>CPU!A2027</f>
        <v>CPU-73</v>
      </c>
      <c r="D97" s="608" t="s">
        <v>13876</v>
      </c>
      <c r="E97" s="267" t="s">
        <v>11068</v>
      </c>
      <c r="F97" s="594">
        <f>VLOOKUP(A97,MC!$A$10:'MC'!$J$2901,9,FALSE)</f>
        <v>252.97</v>
      </c>
      <c r="G97" s="577">
        <f>CPU!F2052</f>
        <v>15.2</v>
      </c>
      <c r="H97" s="577">
        <f>G97</f>
        <v>15.2</v>
      </c>
      <c r="I97" s="596">
        <f>BDI!$F$21</f>
        <v>0.21299999999999999</v>
      </c>
      <c r="J97" s="597">
        <f t="shared" ref="J97" si="32">ROUND(H97*(1+I97),2)</f>
        <v>18.440000000000001</v>
      </c>
      <c r="K97" s="598">
        <f>ROUND(F97*J97,2)</f>
        <v>4664.7700000000004</v>
      </c>
      <c r="M97" s="600"/>
      <c r="N97" s="602"/>
      <c r="O97" s="602"/>
      <c r="P97" s="602"/>
      <c r="Q97" s="602"/>
      <c r="R97" s="602"/>
      <c r="S97" s="602"/>
    </row>
    <row r="98" spans="1:19" s="16" customFormat="1" ht="15" x14ac:dyDescent="0.25">
      <c r="A98" s="168"/>
      <c r="B98" s="166"/>
      <c r="C98" s="166"/>
      <c r="D98" s="290" t="s">
        <v>11779</v>
      </c>
      <c r="E98" s="169"/>
      <c r="F98" s="170"/>
      <c r="G98" s="171"/>
      <c r="H98" s="299"/>
      <c r="I98" s="299"/>
      <c r="J98" s="299"/>
      <c r="K98" s="176"/>
      <c r="M98" s="109"/>
      <c r="N98"/>
      <c r="O98" s="5"/>
      <c r="P98" s="5"/>
      <c r="Q98" s="5"/>
      <c r="R98" s="5"/>
      <c r="S98" s="5"/>
    </row>
    <row r="99" spans="1:19" s="599" customFormat="1" ht="15.75" thickBot="1" x14ac:dyDescent="0.3">
      <c r="A99" s="593" t="s">
        <v>13877</v>
      </c>
      <c r="B99" s="266" t="s">
        <v>22</v>
      </c>
      <c r="C99" s="266" t="str">
        <f>CPU!A440</f>
        <v>CPU-16</v>
      </c>
      <c r="D99" s="264" t="s">
        <v>11105</v>
      </c>
      <c r="E99" s="267" t="s">
        <v>164</v>
      </c>
      <c r="F99" s="594">
        <f>VLOOKUP(A99,MC!$A$10:'MC'!$J$2901,9,FALSE)</f>
        <v>255.71</v>
      </c>
      <c r="G99" s="577">
        <f>CPU!F470</f>
        <v>14.15</v>
      </c>
      <c r="H99" s="577">
        <f>G99</f>
        <v>14.15</v>
      </c>
      <c r="I99" s="596">
        <f>BDI!$F$21</f>
        <v>0.21299999999999999</v>
      </c>
      <c r="J99" s="597">
        <f t="shared" ref="J99" si="33">ROUND(H99*(1+I99),2)</f>
        <v>17.16</v>
      </c>
      <c r="K99" s="598">
        <f>ROUND(F99*J99,2)</f>
        <v>4387.9799999999996</v>
      </c>
      <c r="M99" s="600"/>
      <c r="N99" s="601"/>
      <c r="O99" s="602"/>
      <c r="P99" s="602"/>
      <c r="Q99" s="602"/>
      <c r="R99" s="602"/>
      <c r="S99" s="602"/>
    </row>
    <row r="100" spans="1:19" ht="16.5" thickBot="1" x14ac:dyDescent="0.3">
      <c r="A100" s="696"/>
      <c r="B100" s="697"/>
      <c r="C100" s="697"/>
      <c r="D100" s="697"/>
      <c r="E100" s="697"/>
      <c r="F100" s="697"/>
      <c r="G100" s="25"/>
      <c r="H100" s="25"/>
      <c r="I100" s="25"/>
      <c r="J100" s="25"/>
      <c r="K100" s="27"/>
      <c r="N100"/>
      <c r="O100" s="5"/>
      <c r="P100" s="5"/>
      <c r="Q100" s="5"/>
      <c r="R100" s="5"/>
      <c r="S100" s="5"/>
    </row>
    <row r="101" spans="1:19" s="16" customFormat="1" ht="15.75" customHeight="1" thickBot="1" x14ac:dyDescent="0.3">
      <c r="A101" s="17" t="s">
        <v>85</v>
      </c>
      <c r="B101" s="18"/>
      <c r="C101" s="18"/>
      <c r="D101" s="116" t="s">
        <v>176</v>
      </c>
      <c r="E101" s="18"/>
      <c r="F101" s="18"/>
      <c r="G101" s="18"/>
      <c r="H101" s="18"/>
      <c r="I101" s="18"/>
      <c r="J101" s="18"/>
      <c r="K101" s="120">
        <f>SUM(K102,K107)</f>
        <v>53679.784471999999</v>
      </c>
      <c r="M101" s="109"/>
      <c r="N101"/>
      <c r="O101" s="5"/>
      <c r="P101" s="5"/>
      <c r="Q101" s="5"/>
      <c r="R101" s="5"/>
      <c r="S101" s="5"/>
    </row>
    <row r="102" spans="1:19" s="16" customFormat="1" ht="15.75" customHeight="1" thickBot="1" x14ac:dyDescent="0.3">
      <c r="A102" s="20" t="s">
        <v>60</v>
      </c>
      <c r="B102" s="21"/>
      <c r="C102" s="21"/>
      <c r="D102" s="21" t="s">
        <v>177</v>
      </c>
      <c r="E102" s="21"/>
      <c r="F102" s="21"/>
      <c r="G102" s="21"/>
      <c r="H102" s="21"/>
      <c r="I102" s="21"/>
      <c r="J102" s="21"/>
      <c r="K102" s="167">
        <f>SUM(K103:K105)</f>
        <v>49546.64</v>
      </c>
      <c r="M102" s="109"/>
      <c r="N102"/>
      <c r="O102" s="5"/>
      <c r="P102" s="5"/>
      <c r="Q102" s="5"/>
      <c r="R102" s="5"/>
      <c r="S102" s="5"/>
    </row>
    <row r="103" spans="1:19" s="16" customFormat="1" ht="32.25" customHeight="1" x14ac:dyDescent="0.25">
      <c r="A103" s="168" t="s">
        <v>127</v>
      </c>
      <c r="B103" s="166" t="s">
        <v>166</v>
      </c>
      <c r="C103" s="166">
        <v>87503</v>
      </c>
      <c r="D103" s="264" t="s">
        <v>11059</v>
      </c>
      <c r="E103" s="169" t="s">
        <v>164</v>
      </c>
      <c r="F103" s="263">
        <f>VLOOKUP(A103,MC!$A$10:'MC'!$J$2901,9,FALSE)</f>
        <v>691.03100000000018</v>
      </c>
      <c r="G103" s="171">
        <f>VLOOKUP(C103,Serviço02!$A$1:$D$6699,4,FALSE)</f>
        <v>58.1</v>
      </c>
      <c r="H103" s="171">
        <f>G103</f>
        <v>58.1</v>
      </c>
      <c r="I103" s="300">
        <f>BDI!$F$21</f>
        <v>0.21299999999999999</v>
      </c>
      <c r="J103" s="301">
        <f t="shared" ref="J103:J105" si="34">ROUND(H103*(1+I103),2)</f>
        <v>70.48</v>
      </c>
      <c r="K103" s="302">
        <f>ROUND(F103*J103,2)-0.07</f>
        <v>48703.79</v>
      </c>
      <c r="M103" s="109"/>
      <c r="N103" s="5"/>
      <c r="O103" s="5"/>
      <c r="P103" s="5"/>
      <c r="Q103" s="5"/>
      <c r="R103" s="5"/>
      <c r="S103" s="5"/>
    </row>
    <row r="104" spans="1:19" s="599" customFormat="1" ht="29.45" customHeight="1" x14ac:dyDescent="0.25">
      <c r="A104" s="593" t="s">
        <v>128</v>
      </c>
      <c r="B104" s="266" t="s">
        <v>22</v>
      </c>
      <c r="C104" s="266" t="str">
        <f>CPU!A472</f>
        <v>CPU-17</v>
      </c>
      <c r="D104" s="264" t="s">
        <v>11063</v>
      </c>
      <c r="E104" s="267" t="s">
        <v>47</v>
      </c>
      <c r="F104" s="594">
        <f>VLOOKUP(A104,MC!$A$10:'MC'!$J$2901,9,FALSE)</f>
        <v>59.70000000000001</v>
      </c>
      <c r="G104" s="577">
        <f>CPU!F502</f>
        <v>2.06</v>
      </c>
      <c r="H104" s="577">
        <f t="shared" ref="H104:H105" si="35">G104</f>
        <v>2.06</v>
      </c>
      <c r="I104" s="596">
        <f>BDI!$F$21</f>
        <v>0.21299999999999999</v>
      </c>
      <c r="J104" s="597">
        <f t="shared" si="34"/>
        <v>2.5</v>
      </c>
      <c r="K104" s="598">
        <f t="shared" ref="K104:K105" si="36">ROUND(F104*J104,2)</f>
        <v>149.25</v>
      </c>
      <c r="M104" s="600"/>
      <c r="N104" s="601"/>
      <c r="O104" s="602"/>
      <c r="P104" s="602"/>
      <c r="Q104" s="602"/>
      <c r="R104" s="602"/>
      <c r="S104" s="602"/>
    </row>
    <row r="105" spans="1:19" s="599" customFormat="1" ht="15.75" customHeight="1" thickBot="1" x14ac:dyDescent="0.3">
      <c r="A105" s="593" t="s">
        <v>129</v>
      </c>
      <c r="B105" s="266" t="s">
        <v>22</v>
      </c>
      <c r="C105" s="266" t="str">
        <f>CPU!A504</f>
        <v>CPU-18</v>
      </c>
      <c r="D105" s="264" t="s">
        <v>11065</v>
      </c>
      <c r="E105" s="267" t="s">
        <v>10884</v>
      </c>
      <c r="F105" s="594">
        <f>VLOOKUP(A105,MC!$A$10:'MC'!$J$2901,9,FALSE)</f>
        <v>240</v>
      </c>
      <c r="G105" s="577">
        <f>CPU!F529</f>
        <v>2.38</v>
      </c>
      <c r="H105" s="577">
        <f t="shared" si="35"/>
        <v>2.38</v>
      </c>
      <c r="I105" s="596">
        <f>BDI!$F$21</f>
        <v>0.21299999999999999</v>
      </c>
      <c r="J105" s="597">
        <f t="shared" si="34"/>
        <v>2.89</v>
      </c>
      <c r="K105" s="598">
        <f t="shared" si="36"/>
        <v>693.6</v>
      </c>
      <c r="M105" s="600"/>
      <c r="N105" s="601"/>
      <c r="O105" s="602"/>
      <c r="P105" s="602"/>
      <c r="Q105" s="602"/>
      <c r="R105" s="602"/>
      <c r="S105" s="602"/>
    </row>
    <row r="106" spans="1:19" ht="16.5" thickBot="1" x14ac:dyDescent="0.3">
      <c r="A106" s="696"/>
      <c r="B106" s="697"/>
      <c r="C106" s="697"/>
      <c r="D106" s="697"/>
      <c r="E106" s="697"/>
      <c r="F106" s="697"/>
      <c r="G106" s="25"/>
      <c r="H106" s="25"/>
      <c r="I106" s="25"/>
      <c r="J106" s="25"/>
      <c r="K106" s="27"/>
      <c r="N106" s="5"/>
      <c r="O106" s="5"/>
      <c r="P106" s="5"/>
      <c r="Q106" s="5"/>
      <c r="R106" s="5"/>
      <c r="S106" s="5"/>
    </row>
    <row r="107" spans="1:19" s="16" customFormat="1" ht="15.75" customHeight="1" thickBot="1" x14ac:dyDescent="0.3">
      <c r="A107" s="20" t="s">
        <v>62</v>
      </c>
      <c r="B107" s="21"/>
      <c r="C107" s="21"/>
      <c r="D107" s="21" t="s">
        <v>178</v>
      </c>
      <c r="E107" s="21"/>
      <c r="F107" s="21"/>
      <c r="G107" s="21"/>
      <c r="H107" s="21"/>
      <c r="I107" s="21"/>
      <c r="J107" s="21"/>
      <c r="K107" s="167">
        <f>SUM(K108:K108)</f>
        <v>4133.1444720000009</v>
      </c>
      <c r="M107" s="109"/>
      <c r="N107"/>
      <c r="O107" s="5"/>
      <c r="P107" s="5"/>
      <c r="Q107" s="5"/>
      <c r="R107" s="5"/>
      <c r="S107" s="5"/>
    </row>
    <row r="108" spans="1:19" s="16" customFormat="1" ht="27.75" customHeight="1" thickBot="1" x14ac:dyDescent="0.3">
      <c r="A108" s="168" t="s">
        <v>11752</v>
      </c>
      <c r="B108" s="166" t="s">
        <v>166</v>
      </c>
      <c r="C108" s="166">
        <v>79627</v>
      </c>
      <c r="D108" s="264" t="s">
        <v>11072</v>
      </c>
      <c r="E108" s="169" t="s">
        <v>164</v>
      </c>
      <c r="F108" s="170">
        <f>VLOOKUP(A108,MC!$A$10:'MC'!$J$2901,9,FALSE)</f>
        <v>5.2160000000000011</v>
      </c>
      <c r="G108" s="171">
        <f>VLOOKUP(C108,Serviço02!$A$1:$D$6699,4,FALSE)</f>
        <v>652.75</v>
      </c>
      <c r="H108" s="171">
        <f>G108</f>
        <v>652.75</v>
      </c>
      <c r="I108" s="300">
        <f>BDI!$F$21</f>
        <v>0.21299999999999999</v>
      </c>
      <c r="J108" s="301">
        <f>H108*(1+I108)</f>
        <v>791.78575000000001</v>
      </c>
      <c r="K108" s="302">
        <f>F108*J108+3.19</f>
        <v>4133.1444720000009</v>
      </c>
      <c r="M108" s="109"/>
      <c r="N108"/>
      <c r="O108" s="5"/>
      <c r="P108" s="5"/>
      <c r="Q108" s="5"/>
      <c r="R108" s="5"/>
      <c r="S108" s="5"/>
    </row>
    <row r="109" spans="1:19" ht="16.5" thickBot="1" x14ac:dyDescent="0.3">
      <c r="A109" s="696"/>
      <c r="B109" s="697"/>
      <c r="C109" s="697"/>
      <c r="D109" s="697"/>
      <c r="E109" s="697"/>
      <c r="F109" s="697"/>
      <c r="G109" s="25"/>
      <c r="H109" s="25"/>
      <c r="I109" s="25"/>
      <c r="J109" s="25"/>
      <c r="K109" s="27"/>
      <c r="N109"/>
      <c r="O109" s="5"/>
      <c r="P109" s="5"/>
      <c r="Q109" s="5"/>
      <c r="R109" s="5"/>
      <c r="S109" s="5"/>
    </row>
    <row r="110" spans="1:19" s="16" customFormat="1" ht="15.75" customHeight="1" thickBot="1" x14ac:dyDescent="0.3">
      <c r="A110" s="17" t="s">
        <v>86</v>
      </c>
      <c r="B110" s="18"/>
      <c r="C110" s="18"/>
      <c r="D110" s="116" t="s">
        <v>134</v>
      </c>
      <c r="E110" s="18"/>
      <c r="F110" s="18"/>
      <c r="G110" s="18"/>
      <c r="H110" s="18"/>
      <c r="I110" s="18"/>
      <c r="J110" s="18"/>
      <c r="K110" s="120">
        <f>SUM(K111,K116,K120,K124)</f>
        <v>227780.71999999997</v>
      </c>
      <c r="M110" s="109"/>
      <c r="N110"/>
      <c r="O110" s="5"/>
      <c r="P110" s="5"/>
      <c r="Q110" s="5"/>
      <c r="R110" s="5"/>
      <c r="S110" s="5"/>
    </row>
    <row r="111" spans="1:19" s="16" customFormat="1" ht="15.75" customHeight="1" thickBot="1" x14ac:dyDescent="0.3">
      <c r="A111" s="20" t="s">
        <v>131</v>
      </c>
      <c r="B111" s="21"/>
      <c r="C111" s="21"/>
      <c r="D111" s="21" t="s">
        <v>179</v>
      </c>
      <c r="E111" s="21"/>
      <c r="F111" s="21"/>
      <c r="G111" s="21"/>
      <c r="H111" s="21"/>
      <c r="I111" s="21"/>
      <c r="J111" s="21"/>
      <c r="K111" s="167">
        <f>SUM(K112:K114)</f>
        <v>73394.789999999994</v>
      </c>
      <c r="M111" s="109"/>
      <c r="N111"/>
      <c r="O111" s="5"/>
      <c r="P111" s="5"/>
      <c r="Q111" s="5"/>
      <c r="R111" s="5"/>
      <c r="S111" s="5"/>
    </row>
    <row r="112" spans="1:19" s="599" customFormat="1" ht="25.5" x14ac:dyDescent="0.25">
      <c r="A112" s="593" t="s">
        <v>132</v>
      </c>
      <c r="B112" s="266" t="s">
        <v>22</v>
      </c>
      <c r="C112" s="266" t="str">
        <f>CPU!A531</f>
        <v>CPU-19</v>
      </c>
      <c r="D112" s="264" t="s">
        <v>11103</v>
      </c>
      <c r="E112" s="267" t="s">
        <v>11068</v>
      </c>
      <c r="F112" s="594">
        <f>VLOOKUP(A112,MC!$A$10:'MC'!$J$2901,9,FALSE)</f>
        <v>3187.73</v>
      </c>
      <c r="G112" s="577">
        <f>CPU!F557</f>
        <v>9.69</v>
      </c>
      <c r="H112" s="581">
        <f>G112</f>
        <v>9.69</v>
      </c>
      <c r="I112" s="596">
        <f>BDI!$F$21</f>
        <v>0.21299999999999999</v>
      </c>
      <c r="J112" s="597">
        <f t="shared" ref="J112:J114" si="37">ROUND(H112*(1+I112),2)</f>
        <v>11.75</v>
      </c>
      <c r="K112" s="598">
        <f t="shared" ref="K112:K114" si="38">ROUND(F112*J112,2)</f>
        <v>37455.83</v>
      </c>
      <c r="M112" s="600"/>
      <c r="N112" s="602"/>
      <c r="O112" s="602"/>
      <c r="P112" s="602"/>
      <c r="Q112" s="602"/>
      <c r="R112" s="602"/>
      <c r="S112" s="602"/>
    </row>
    <row r="113" spans="1:19" s="16" customFormat="1" ht="25.5" x14ac:dyDescent="0.25">
      <c r="A113" s="168" t="s">
        <v>11062</v>
      </c>
      <c r="B113" s="166" t="s">
        <v>166</v>
      </c>
      <c r="C113" s="166">
        <v>92580</v>
      </c>
      <c r="D113" s="264" t="s">
        <v>11104</v>
      </c>
      <c r="E113" s="169" t="s">
        <v>164</v>
      </c>
      <c r="F113" s="170">
        <f>VLOOKUP(A113,MC!$A$10:'MC'!$J$2901,9,FALSE)</f>
        <v>629.02</v>
      </c>
      <c r="G113" s="171">
        <f>VLOOKUP(C113,Serviço02!$A$1:$D$6699,4,FALSE)</f>
        <v>28.93</v>
      </c>
      <c r="H113" s="581">
        <f t="shared" ref="H113:H114" si="39">G113</f>
        <v>28.93</v>
      </c>
      <c r="I113" s="300">
        <f>BDI!$F$21</f>
        <v>0.21299999999999999</v>
      </c>
      <c r="J113" s="301">
        <f t="shared" si="37"/>
        <v>35.090000000000003</v>
      </c>
      <c r="K113" s="302">
        <f t="shared" si="38"/>
        <v>22072.31</v>
      </c>
      <c r="M113" s="109"/>
      <c r="N113"/>
      <c r="O113" s="5"/>
      <c r="P113" s="5"/>
      <c r="Q113" s="5"/>
      <c r="R113" s="5"/>
      <c r="S113" s="5"/>
    </row>
    <row r="114" spans="1:19" s="599" customFormat="1" ht="15.75" thickBot="1" x14ac:dyDescent="0.3">
      <c r="A114" s="593" t="s">
        <v>11064</v>
      </c>
      <c r="B114" s="266" t="s">
        <v>166</v>
      </c>
      <c r="C114" s="266" t="str">
        <f>CPU!A559</f>
        <v>CPU-20</v>
      </c>
      <c r="D114" s="264" t="s">
        <v>11105</v>
      </c>
      <c r="E114" s="267" t="s">
        <v>164</v>
      </c>
      <c r="F114" s="594">
        <f>VLOOKUP(A114,MC!$A$10:'MC'!$J$2901,9,FALSE)</f>
        <v>594.37</v>
      </c>
      <c r="G114" s="577">
        <f>CPU!F585</f>
        <v>19.23</v>
      </c>
      <c r="H114" s="581">
        <f t="shared" si="39"/>
        <v>19.23</v>
      </c>
      <c r="I114" s="596">
        <f>BDI!$F$21</f>
        <v>0.21299999999999999</v>
      </c>
      <c r="J114" s="597">
        <f t="shared" si="37"/>
        <v>23.33</v>
      </c>
      <c r="K114" s="598">
        <f t="shared" si="38"/>
        <v>13866.65</v>
      </c>
      <c r="M114" s="600"/>
      <c r="N114" s="601"/>
      <c r="O114" s="602"/>
      <c r="P114" s="602"/>
      <c r="Q114" s="602"/>
      <c r="R114" s="602"/>
      <c r="S114" s="602"/>
    </row>
    <row r="115" spans="1:19" ht="16.5" thickBot="1" x14ac:dyDescent="0.3">
      <c r="A115" s="696"/>
      <c r="B115" s="697"/>
      <c r="C115" s="697"/>
      <c r="D115" s="697"/>
      <c r="E115" s="697"/>
      <c r="F115" s="697"/>
      <c r="G115" s="25"/>
      <c r="H115" s="25"/>
      <c r="I115" s="25"/>
      <c r="J115" s="25"/>
      <c r="K115" s="27"/>
      <c r="N115"/>
      <c r="O115" s="5"/>
      <c r="P115" s="5"/>
      <c r="Q115" s="5"/>
      <c r="R115" s="5"/>
      <c r="S115" s="5"/>
    </row>
    <row r="116" spans="1:19" s="16" customFormat="1" ht="15.75" customHeight="1" thickBot="1" x14ac:dyDescent="0.3">
      <c r="A116" s="20" t="s">
        <v>11070</v>
      </c>
      <c r="B116" s="21"/>
      <c r="C116" s="21"/>
      <c r="D116" s="21" t="s">
        <v>180</v>
      </c>
      <c r="E116" s="21"/>
      <c r="F116" s="21"/>
      <c r="G116" s="21"/>
      <c r="H116" s="21"/>
      <c r="I116" s="21"/>
      <c r="J116" s="21"/>
      <c r="K116" s="167">
        <f>SUM(K117:K118)</f>
        <v>107067.57</v>
      </c>
      <c r="M116" s="109"/>
      <c r="N116" s="5"/>
      <c r="O116" s="5"/>
      <c r="P116" s="5"/>
      <c r="Q116" s="5"/>
      <c r="R116" s="5"/>
      <c r="S116" s="5"/>
    </row>
    <row r="117" spans="1:19" s="16" customFormat="1" ht="25.5" x14ac:dyDescent="0.25">
      <c r="A117" s="168" t="s">
        <v>11071</v>
      </c>
      <c r="B117" s="249" t="s">
        <v>166</v>
      </c>
      <c r="C117" s="249">
        <v>94216</v>
      </c>
      <c r="D117" s="264" t="s">
        <v>11106</v>
      </c>
      <c r="E117" s="169" t="s">
        <v>164</v>
      </c>
      <c r="F117" s="170">
        <f>VLOOKUP(A117,MC!$A$10:'MC'!$J$2901,9,FALSE)</f>
        <v>629.02</v>
      </c>
      <c r="G117" s="171">
        <f>VLOOKUP(C117,Serviço02!$A$1:$D$6699,4,FALSE)</f>
        <v>139.11000000000001</v>
      </c>
      <c r="H117" s="171">
        <f>G117</f>
        <v>139.11000000000001</v>
      </c>
      <c r="I117" s="300">
        <f>BDI!$F$21</f>
        <v>0.21299999999999999</v>
      </c>
      <c r="J117" s="301">
        <f t="shared" ref="J117:J118" si="40">ROUND(H117*(1+I117),2)</f>
        <v>168.74</v>
      </c>
      <c r="K117" s="302">
        <f t="shared" ref="K117:K118" si="41">ROUND(F117*J117,2)</f>
        <v>106140.83</v>
      </c>
      <c r="M117" s="109"/>
      <c r="N117"/>
      <c r="O117" s="5"/>
      <c r="P117" s="5"/>
      <c r="Q117" s="5"/>
      <c r="R117" s="5"/>
      <c r="S117" s="5"/>
    </row>
    <row r="118" spans="1:19" s="599" customFormat="1" ht="15.75" thickBot="1" x14ac:dyDescent="0.3">
      <c r="A118" s="593" t="s">
        <v>11750</v>
      </c>
      <c r="B118" s="266" t="s">
        <v>22</v>
      </c>
      <c r="C118" s="266" t="str">
        <f>CPU!A2054</f>
        <v>CPU-74</v>
      </c>
      <c r="D118" s="264" t="s">
        <v>11801</v>
      </c>
      <c r="E118" s="267" t="s">
        <v>47</v>
      </c>
      <c r="F118" s="594">
        <f>VLOOKUP(A118,MC!$A$10:'MC'!$J$2901,9,FALSE)</f>
        <v>18.45</v>
      </c>
      <c r="G118" s="577">
        <f>CPU!F2079</f>
        <v>41.41</v>
      </c>
      <c r="H118" s="577">
        <f>G118</f>
        <v>41.41</v>
      </c>
      <c r="I118" s="596">
        <f>BDI!$F$21</f>
        <v>0.21299999999999999</v>
      </c>
      <c r="J118" s="597">
        <f t="shared" si="40"/>
        <v>50.23</v>
      </c>
      <c r="K118" s="598">
        <f t="shared" si="41"/>
        <v>926.74</v>
      </c>
      <c r="M118" s="600"/>
      <c r="N118" s="601"/>
      <c r="O118" s="602"/>
      <c r="P118" s="602"/>
      <c r="Q118" s="602"/>
      <c r="R118" s="602"/>
      <c r="S118" s="602"/>
    </row>
    <row r="119" spans="1:19" ht="16.5" thickBot="1" x14ac:dyDescent="0.3">
      <c r="A119" s="696"/>
      <c r="B119" s="697"/>
      <c r="C119" s="697"/>
      <c r="D119" s="697"/>
      <c r="E119" s="697"/>
      <c r="F119" s="697"/>
      <c r="G119" s="25"/>
      <c r="H119" s="25"/>
      <c r="I119" s="25"/>
      <c r="J119" s="25"/>
      <c r="K119" s="27"/>
      <c r="N119"/>
      <c r="O119" s="5"/>
      <c r="P119" s="5"/>
      <c r="Q119" s="5"/>
      <c r="R119" s="5"/>
      <c r="S119" s="5"/>
    </row>
    <row r="120" spans="1:19" s="16" customFormat="1" ht="15.75" customHeight="1" thickBot="1" x14ac:dyDescent="0.3">
      <c r="A120" s="20" t="s">
        <v>11753</v>
      </c>
      <c r="B120" s="21"/>
      <c r="C120" s="21"/>
      <c r="D120" s="21" t="s">
        <v>181</v>
      </c>
      <c r="E120" s="21"/>
      <c r="F120" s="21"/>
      <c r="G120" s="21"/>
      <c r="H120" s="21"/>
      <c r="I120" s="21"/>
      <c r="J120" s="21"/>
      <c r="K120" s="167">
        <f>SUM(K121:K122)</f>
        <v>6672.97</v>
      </c>
      <c r="M120" s="109"/>
      <c r="N120" s="5"/>
      <c r="O120" s="5"/>
      <c r="P120" s="5"/>
      <c r="Q120" s="5"/>
      <c r="R120" s="5"/>
      <c r="S120" s="5"/>
    </row>
    <row r="121" spans="1:19" s="16" customFormat="1" ht="25.5" x14ac:dyDescent="0.25">
      <c r="A121" s="168" t="s">
        <v>11754</v>
      </c>
      <c r="B121" s="249" t="s">
        <v>166</v>
      </c>
      <c r="C121" s="249">
        <v>94228</v>
      </c>
      <c r="D121" s="264" t="s">
        <v>11107</v>
      </c>
      <c r="E121" s="169" t="s">
        <v>47</v>
      </c>
      <c r="F121" s="170">
        <f>VLOOKUP(A121,MC!$A$10:'MC'!$J$2901,9,FALSE)</f>
        <v>53.54</v>
      </c>
      <c r="G121" s="171">
        <f>VLOOKUP(C121,Serviço02!$A$1:$D$6699,4,FALSE)</f>
        <v>56.81</v>
      </c>
      <c r="H121" s="171">
        <f>G121</f>
        <v>56.81</v>
      </c>
      <c r="I121" s="300">
        <f>BDI!$F$21</f>
        <v>0.21299999999999999</v>
      </c>
      <c r="J121" s="301">
        <f t="shared" ref="J121:J122" si="42">ROUND(H121*(1+I121),2)</f>
        <v>68.91</v>
      </c>
      <c r="K121" s="302">
        <f t="shared" ref="K121:K122" si="43">ROUND(F121*J121,2)</f>
        <v>3689.44</v>
      </c>
      <c r="M121" s="109"/>
      <c r="N121"/>
      <c r="O121" s="5"/>
      <c r="P121" s="5"/>
      <c r="Q121" s="5"/>
      <c r="R121" s="5"/>
      <c r="S121" s="5"/>
    </row>
    <row r="122" spans="1:19" s="16" customFormat="1" ht="15.75" thickBot="1" x14ac:dyDescent="0.3">
      <c r="A122" s="168" t="s">
        <v>11755</v>
      </c>
      <c r="B122" s="249" t="s">
        <v>166</v>
      </c>
      <c r="C122" s="249">
        <v>100327</v>
      </c>
      <c r="D122" s="264" t="s">
        <v>13887</v>
      </c>
      <c r="E122" s="169" t="s">
        <v>47</v>
      </c>
      <c r="F122" s="170">
        <f>VLOOKUP(A122,MC!$A$10:'MC'!$J$2901,9,FALSE)</f>
        <v>63.52</v>
      </c>
      <c r="G122" s="171">
        <f>VLOOKUP(C122,Serviço02!$A$1:$D$6699,4,FALSE)</f>
        <v>38.72</v>
      </c>
      <c r="H122" s="171">
        <f>G122</f>
        <v>38.72</v>
      </c>
      <c r="I122" s="300">
        <f>BDI!$F$21</f>
        <v>0.21299999999999999</v>
      </c>
      <c r="J122" s="301">
        <f t="shared" si="42"/>
        <v>46.97</v>
      </c>
      <c r="K122" s="302">
        <f t="shared" si="43"/>
        <v>2983.53</v>
      </c>
      <c r="M122" s="109"/>
      <c r="N122"/>
      <c r="O122" s="5"/>
      <c r="P122" s="5"/>
      <c r="Q122" s="5"/>
      <c r="R122" s="5"/>
      <c r="S122" s="5"/>
    </row>
    <row r="123" spans="1:19" ht="16.5" thickBot="1" x14ac:dyDescent="0.3">
      <c r="A123" s="696"/>
      <c r="B123" s="697"/>
      <c r="C123" s="697"/>
      <c r="D123" s="697"/>
      <c r="E123" s="697"/>
      <c r="F123" s="697"/>
      <c r="G123" s="25"/>
      <c r="H123" s="25"/>
      <c r="I123" s="25"/>
      <c r="J123" s="25"/>
      <c r="K123" s="27"/>
      <c r="N123"/>
      <c r="O123" s="5"/>
      <c r="P123" s="5"/>
      <c r="Q123" s="5"/>
      <c r="R123" s="5"/>
      <c r="S123" s="5"/>
    </row>
    <row r="124" spans="1:19" s="16" customFormat="1" ht="15.75" customHeight="1" thickBot="1" x14ac:dyDescent="0.3">
      <c r="A124" s="20" t="s">
        <v>11756</v>
      </c>
      <c r="B124" s="21"/>
      <c r="C124" s="21"/>
      <c r="D124" s="21" t="s">
        <v>11108</v>
      </c>
      <c r="E124" s="21"/>
      <c r="F124" s="21"/>
      <c r="G124" s="21"/>
      <c r="H124" s="21"/>
      <c r="I124" s="21"/>
      <c r="J124" s="21"/>
      <c r="K124" s="167">
        <f>SUM(K125:K126)</f>
        <v>40645.39</v>
      </c>
      <c r="M124" s="109"/>
      <c r="N124" s="5"/>
      <c r="O124" s="5"/>
      <c r="P124" s="5"/>
      <c r="Q124" s="5"/>
      <c r="R124" s="5"/>
      <c r="S124" s="5"/>
    </row>
    <row r="125" spans="1:19" s="16" customFormat="1" ht="15.75" customHeight="1" x14ac:dyDescent="0.25">
      <c r="A125" s="168" t="s">
        <v>11757</v>
      </c>
      <c r="B125" s="249" t="s">
        <v>166</v>
      </c>
      <c r="C125" s="249">
        <v>96114</v>
      </c>
      <c r="D125" s="264" t="s">
        <v>11145</v>
      </c>
      <c r="E125" s="169" t="s">
        <v>164</v>
      </c>
      <c r="F125" s="170">
        <f>VLOOKUP(A125,MC!$A$10:'MC'!$J$2901,9,FALSE)</f>
        <v>466.55150000000003</v>
      </c>
      <c r="G125" s="171">
        <f>VLOOKUP(C125,Serviço02!$A$1:$D$6699,4,FALSE)</f>
        <v>56.25</v>
      </c>
      <c r="H125" s="171">
        <f>G125</f>
        <v>56.25</v>
      </c>
      <c r="I125" s="300">
        <f>BDI!$F$21</f>
        <v>0.21299999999999999</v>
      </c>
      <c r="J125" s="301">
        <f t="shared" ref="J125:J126" si="44">ROUND(H125*(1+I125),2)</f>
        <v>68.23</v>
      </c>
      <c r="K125" s="302">
        <f>ROUND(F125*J125,2)-0.1</f>
        <v>31832.710000000003</v>
      </c>
      <c r="M125" s="109"/>
      <c r="N125"/>
      <c r="O125" s="5"/>
      <c r="P125" s="5"/>
      <c r="Q125" s="5"/>
      <c r="R125" s="5"/>
      <c r="S125" s="5"/>
    </row>
    <row r="126" spans="1:19" s="16" customFormat="1" ht="15.75" customHeight="1" thickBot="1" x14ac:dyDescent="0.3">
      <c r="A126" s="168" t="s">
        <v>11758</v>
      </c>
      <c r="B126" s="249" t="s">
        <v>166</v>
      </c>
      <c r="C126" s="249">
        <v>96123</v>
      </c>
      <c r="D126" s="264" t="s">
        <v>11144</v>
      </c>
      <c r="E126" s="169" t="s">
        <v>47</v>
      </c>
      <c r="F126" s="170">
        <f>VLOOKUP(A126,MC!$A$10:'MC'!$J$2901,9,FALSE)</f>
        <v>319.29999999999995</v>
      </c>
      <c r="G126" s="171">
        <f>VLOOKUP(C126,Serviço02!$A$1:$D$6699,4,FALSE)</f>
        <v>22.75</v>
      </c>
      <c r="H126" s="171">
        <f>G126</f>
        <v>22.75</v>
      </c>
      <c r="I126" s="300">
        <f>BDI!$F$21</f>
        <v>0.21299999999999999</v>
      </c>
      <c r="J126" s="301">
        <f t="shared" si="44"/>
        <v>27.6</v>
      </c>
      <c r="K126" s="302">
        <f t="shared" ref="K126" si="45">ROUND(F126*J126,2)</f>
        <v>8812.68</v>
      </c>
      <c r="M126" s="109"/>
      <c r="N126"/>
      <c r="O126" s="5"/>
      <c r="P126" s="5"/>
      <c r="Q126" s="5"/>
      <c r="R126" s="5"/>
      <c r="S126" s="5"/>
    </row>
    <row r="127" spans="1:19" ht="16.5" thickBot="1" x14ac:dyDescent="0.3">
      <c r="A127" s="696"/>
      <c r="B127" s="697"/>
      <c r="C127" s="697"/>
      <c r="D127" s="697"/>
      <c r="E127" s="697"/>
      <c r="F127" s="697"/>
      <c r="G127" s="25"/>
      <c r="H127" s="25"/>
      <c r="I127" s="25"/>
      <c r="J127" s="25"/>
      <c r="K127" s="27"/>
      <c r="N127"/>
      <c r="O127" s="5"/>
      <c r="P127" s="5"/>
      <c r="Q127" s="5"/>
      <c r="R127" s="5"/>
      <c r="S127" s="5"/>
    </row>
    <row r="128" spans="1:19" s="16" customFormat="1" ht="15.75" customHeight="1" thickBot="1" x14ac:dyDescent="0.3">
      <c r="A128" s="17" t="s">
        <v>87</v>
      </c>
      <c r="B128" s="18"/>
      <c r="C128" s="18"/>
      <c r="D128" s="116" t="s">
        <v>142</v>
      </c>
      <c r="E128" s="18"/>
      <c r="F128" s="18"/>
      <c r="G128" s="18"/>
      <c r="H128" s="18"/>
      <c r="I128" s="18"/>
      <c r="J128" s="18"/>
      <c r="K128" s="120">
        <f>SUM(K129,K133,K136,K139,K142)</f>
        <v>130712.49680300003</v>
      </c>
      <c r="M128" s="109"/>
      <c r="N128"/>
      <c r="O128" s="5"/>
      <c r="P128" s="5"/>
      <c r="Q128" s="5"/>
      <c r="R128" s="5"/>
      <c r="S128" s="5"/>
    </row>
    <row r="129" spans="1:19" s="16" customFormat="1" ht="15.75" customHeight="1" thickBot="1" x14ac:dyDescent="0.3">
      <c r="A129" s="20" t="s">
        <v>135</v>
      </c>
      <c r="B129" s="21"/>
      <c r="C129" s="21"/>
      <c r="D129" s="21" t="s">
        <v>184</v>
      </c>
      <c r="E129" s="21"/>
      <c r="F129" s="21"/>
      <c r="G129" s="21"/>
      <c r="H129" s="21"/>
      <c r="I129" s="21"/>
      <c r="J129" s="21"/>
      <c r="K129" s="167">
        <f>SUM(K130:K131)</f>
        <v>34473.460000000006</v>
      </c>
      <c r="M129" s="109"/>
      <c r="N129" s="5"/>
      <c r="O129" s="5"/>
      <c r="P129" s="5"/>
      <c r="Q129" s="5"/>
      <c r="R129" s="5"/>
      <c r="S129" s="5"/>
    </row>
    <row r="130" spans="1:19" s="16" customFormat="1" ht="15.75" customHeight="1" x14ac:dyDescent="0.25">
      <c r="A130" s="168" t="s">
        <v>136</v>
      </c>
      <c r="B130" s="166" t="s">
        <v>166</v>
      </c>
      <c r="C130" s="166">
        <v>95241</v>
      </c>
      <c r="D130" s="264" t="s">
        <v>10984</v>
      </c>
      <c r="E130" s="169" t="s">
        <v>164</v>
      </c>
      <c r="F130" s="170">
        <f>VLOOKUP(A130,MC!$A$10:'MC'!$J$2901,9,FALSE)</f>
        <v>470.04950000000014</v>
      </c>
      <c r="G130" s="171">
        <f>VLOOKUP(C130,Serviço02!$A$1:$D$6699,4,FALSE)</f>
        <v>24.96</v>
      </c>
      <c r="H130" s="171">
        <f>G130</f>
        <v>24.96</v>
      </c>
      <c r="I130" s="300">
        <f>BDI!$F$21</f>
        <v>0.21299999999999999</v>
      </c>
      <c r="J130" s="301">
        <f t="shared" ref="J130:J131" si="46">ROUND(H130*(1+I130),2)</f>
        <v>30.28</v>
      </c>
      <c r="K130" s="302">
        <f>ROUND(F130*J130,2)+0.01</f>
        <v>14233.11</v>
      </c>
      <c r="M130" s="109"/>
      <c r="N130"/>
      <c r="O130" s="5"/>
      <c r="P130" s="5"/>
      <c r="Q130" s="5"/>
      <c r="R130" s="5"/>
      <c r="S130" s="5"/>
    </row>
    <row r="131" spans="1:19" s="16" customFormat="1" ht="26.25" thickBot="1" x14ac:dyDescent="0.3">
      <c r="A131" s="168" t="s">
        <v>137</v>
      </c>
      <c r="B131" s="166" t="s">
        <v>166</v>
      </c>
      <c r="C131" s="166">
        <v>87630</v>
      </c>
      <c r="D131" s="264" t="s">
        <v>10985</v>
      </c>
      <c r="E131" s="169" t="s">
        <v>164</v>
      </c>
      <c r="F131" s="170">
        <f>VLOOKUP(A131,MC!$A$10:'MC'!$J$2901,9,FALSE)</f>
        <v>470.04950000000014</v>
      </c>
      <c r="G131" s="171">
        <f>VLOOKUP(C131,Serviço02!$A$1:$D$6699,4,FALSE)</f>
        <v>35.5</v>
      </c>
      <c r="H131" s="171">
        <f>G131</f>
        <v>35.5</v>
      </c>
      <c r="I131" s="300">
        <f>BDI!$F$21</f>
        <v>0.21299999999999999</v>
      </c>
      <c r="J131" s="301">
        <f t="shared" si="46"/>
        <v>43.06</v>
      </c>
      <c r="K131" s="302">
        <f>ROUND(F131*J131,2)+0.02</f>
        <v>20240.350000000002</v>
      </c>
      <c r="M131" s="109"/>
      <c r="N131"/>
      <c r="O131" s="5"/>
      <c r="P131" s="5"/>
      <c r="Q131" s="5"/>
      <c r="R131" s="5"/>
      <c r="S131" s="5"/>
    </row>
    <row r="132" spans="1:19" ht="16.5" thickBot="1" x14ac:dyDescent="0.3">
      <c r="A132" s="696"/>
      <c r="B132" s="697"/>
      <c r="C132" s="697"/>
      <c r="D132" s="697"/>
      <c r="E132" s="697"/>
      <c r="F132" s="697"/>
      <c r="G132" s="25"/>
      <c r="H132" s="25"/>
      <c r="I132" s="25"/>
      <c r="J132" s="25"/>
      <c r="K132" s="27"/>
      <c r="N132"/>
      <c r="O132" s="5"/>
      <c r="P132" s="5"/>
      <c r="Q132" s="5"/>
      <c r="R132" s="5"/>
      <c r="S132" s="5"/>
    </row>
    <row r="133" spans="1:19" s="16" customFormat="1" ht="15.75" customHeight="1" thickBot="1" x14ac:dyDescent="0.3">
      <c r="A133" s="20" t="s">
        <v>138</v>
      </c>
      <c r="B133" s="21"/>
      <c r="C133" s="21"/>
      <c r="D133" s="21" t="s">
        <v>11000</v>
      </c>
      <c r="E133" s="21"/>
      <c r="F133" s="21"/>
      <c r="G133" s="21"/>
      <c r="H133" s="21"/>
      <c r="I133" s="21"/>
      <c r="J133" s="21"/>
      <c r="K133" s="167">
        <f>SUM(K134:K134)</f>
        <v>14549.188738000003</v>
      </c>
      <c r="M133" s="109"/>
      <c r="N133" s="5"/>
      <c r="O133" s="5"/>
      <c r="P133" s="5"/>
      <c r="Q133" s="5"/>
      <c r="R133" s="5"/>
      <c r="S133" s="5"/>
    </row>
    <row r="134" spans="1:19" s="16" customFormat="1" ht="26.25" thickBot="1" x14ac:dyDescent="0.3">
      <c r="A134" s="168" t="s">
        <v>140</v>
      </c>
      <c r="B134" s="166" t="s">
        <v>166</v>
      </c>
      <c r="C134" s="166">
        <v>94996</v>
      </c>
      <c r="D134" s="608" t="s">
        <v>11015</v>
      </c>
      <c r="E134" s="169" t="s">
        <v>164</v>
      </c>
      <c r="F134" s="170">
        <f>VLOOKUP(A134,MC!$A$10:'MC'!$J$2901,9,FALSE)</f>
        <v>123.33600000000001</v>
      </c>
      <c r="G134" s="171">
        <f>VLOOKUP(C134,Serviço02!$A$1:$D$6699,4,FALSE)</f>
        <v>97.25</v>
      </c>
      <c r="H134" s="171">
        <f>G134</f>
        <v>97.25</v>
      </c>
      <c r="I134" s="300">
        <f>BDI!$F$21</f>
        <v>0.21299999999999999</v>
      </c>
      <c r="J134" s="301">
        <f>H134*(1+I134)</f>
        <v>117.96425000000001</v>
      </c>
      <c r="K134" s="302">
        <f>F134*J134-0.05</f>
        <v>14549.188738000003</v>
      </c>
      <c r="M134" s="109"/>
      <c r="N134"/>
      <c r="O134" s="5"/>
      <c r="P134" s="5"/>
      <c r="Q134" s="5"/>
      <c r="R134" s="5"/>
      <c r="S134" s="5"/>
    </row>
    <row r="135" spans="1:19" ht="16.5" thickBot="1" x14ac:dyDescent="0.3">
      <c r="A135" s="696"/>
      <c r="B135" s="697"/>
      <c r="C135" s="697"/>
      <c r="D135" s="697"/>
      <c r="E135" s="697"/>
      <c r="F135" s="697"/>
      <c r="G135" s="25"/>
      <c r="H135" s="25"/>
      <c r="I135" s="25"/>
      <c r="J135" s="25"/>
      <c r="K135" s="27"/>
      <c r="N135" s="5"/>
      <c r="O135" s="5"/>
      <c r="P135" s="5"/>
      <c r="Q135" s="5"/>
      <c r="R135" s="5"/>
      <c r="S135" s="5"/>
    </row>
    <row r="136" spans="1:19" s="16" customFormat="1" ht="15.75" customHeight="1" thickBot="1" x14ac:dyDescent="0.3">
      <c r="A136" s="20" t="s">
        <v>139</v>
      </c>
      <c r="B136" s="21"/>
      <c r="C136" s="21"/>
      <c r="D136" s="21" t="s">
        <v>11001</v>
      </c>
      <c r="E136" s="21"/>
      <c r="F136" s="21"/>
      <c r="G136" s="21"/>
      <c r="H136" s="21"/>
      <c r="I136" s="21"/>
      <c r="J136" s="21"/>
      <c r="K136" s="167">
        <f>SUM(K137:K137)</f>
        <v>71102.078065000009</v>
      </c>
      <c r="M136" s="109"/>
      <c r="N136"/>
      <c r="O136" s="5"/>
      <c r="P136" s="5"/>
      <c r="Q136" s="5"/>
      <c r="R136" s="5"/>
      <c r="S136" s="5"/>
    </row>
    <row r="137" spans="1:19" s="599" customFormat="1" ht="33.6" customHeight="1" thickBot="1" x14ac:dyDescent="0.3">
      <c r="A137" s="593" t="s">
        <v>141</v>
      </c>
      <c r="B137" s="266" t="s">
        <v>22</v>
      </c>
      <c r="C137" s="266" t="str">
        <f>CPU!A587</f>
        <v>CPU-21</v>
      </c>
      <c r="D137" s="608" t="s">
        <v>11016</v>
      </c>
      <c r="E137" s="267" t="s">
        <v>164</v>
      </c>
      <c r="F137" s="594">
        <f>VLOOKUP(A137,MC!$A$10:'MC'!$J$2901,9,FALSE)</f>
        <v>448.00150000000008</v>
      </c>
      <c r="G137" s="577">
        <f>CPU!F613</f>
        <v>130.84</v>
      </c>
      <c r="H137" s="577">
        <f>G137</f>
        <v>130.84</v>
      </c>
      <c r="I137" s="596">
        <f>BDI!$F$21</f>
        <v>0.21299999999999999</v>
      </c>
      <c r="J137" s="597">
        <f t="shared" ref="J137" si="47">ROUND(H137*(1+I137),2)</f>
        <v>158.71</v>
      </c>
      <c r="K137" s="598">
        <f>F137*J137-0.24</f>
        <v>71102.078065000009</v>
      </c>
      <c r="M137" s="600"/>
      <c r="N137" s="601"/>
      <c r="O137" s="602"/>
      <c r="P137" s="602"/>
      <c r="Q137" s="602"/>
      <c r="R137" s="602"/>
      <c r="S137" s="602"/>
    </row>
    <row r="138" spans="1:19" ht="16.5" thickBot="1" x14ac:dyDescent="0.3">
      <c r="A138" s="696"/>
      <c r="B138" s="697"/>
      <c r="C138" s="697"/>
      <c r="D138" s="697"/>
      <c r="E138" s="697"/>
      <c r="F138" s="697"/>
      <c r="G138" s="25"/>
      <c r="H138" s="25"/>
      <c r="I138" s="25"/>
      <c r="J138" s="25"/>
      <c r="K138" s="27"/>
      <c r="N138" s="5"/>
      <c r="O138" s="5"/>
      <c r="P138" s="5"/>
      <c r="Q138" s="5"/>
      <c r="R138" s="5"/>
      <c r="S138" s="5"/>
    </row>
    <row r="139" spans="1:19" s="16" customFormat="1" ht="15.75" customHeight="1" thickBot="1" x14ac:dyDescent="0.3">
      <c r="A139" s="20" t="s">
        <v>182</v>
      </c>
      <c r="B139" s="21"/>
      <c r="C139" s="21"/>
      <c r="D139" s="21" t="s">
        <v>11002</v>
      </c>
      <c r="E139" s="21"/>
      <c r="F139" s="21"/>
      <c r="G139" s="21"/>
      <c r="H139" s="21"/>
      <c r="I139" s="21"/>
      <c r="J139" s="21"/>
      <c r="K139" s="167">
        <f>SUM(K140:K140)</f>
        <v>525.61</v>
      </c>
      <c r="M139" s="109"/>
      <c r="N139"/>
      <c r="O139" s="5"/>
      <c r="P139" s="5"/>
      <c r="Q139" s="5"/>
      <c r="R139" s="5"/>
      <c r="S139" s="5"/>
    </row>
    <row r="140" spans="1:19" s="599" customFormat="1" ht="29.25" customHeight="1" thickBot="1" x14ac:dyDescent="0.3">
      <c r="A140" s="593" t="s">
        <v>183</v>
      </c>
      <c r="B140" s="266" t="s">
        <v>22</v>
      </c>
      <c r="C140" s="266" t="str">
        <f>CPU!A615</f>
        <v>CPU-22</v>
      </c>
      <c r="D140" s="608" t="s">
        <v>11803</v>
      </c>
      <c r="E140" s="267" t="s">
        <v>164</v>
      </c>
      <c r="F140" s="594">
        <f>VLOOKUP(A140,MC!$A$10:'MC'!$J$2901,9,FALSE)</f>
        <v>3.1500000000000004</v>
      </c>
      <c r="G140" s="577">
        <f>CPU!F640</f>
        <v>137.56</v>
      </c>
      <c r="H140" s="581">
        <f>G140</f>
        <v>137.56</v>
      </c>
      <c r="I140" s="596">
        <f>BDI!$F$21</f>
        <v>0.21299999999999999</v>
      </c>
      <c r="J140" s="597">
        <f t="shared" ref="J140" si="48">ROUND(H140*(1+I140),2)</f>
        <v>166.86</v>
      </c>
      <c r="K140" s="598">
        <f>ROUND(F140*J140,2)</f>
        <v>525.61</v>
      </c>
      <c r="M140" s="600"/>
      <c r="N140" s="601"/>
      <c r="O140" s="602"/>
      <c r="P140" s="602"/>
      <c r="Q140" s="602"/>
      <c r="R140" s="602"/>
      <c r="S140" s="602"/>
    </row>
    <row r="141" spans="1:19" ht="16.5" thickBot="1" x14ac:dyDescent="0.3">
      <c r="A141" s="696"/>
      <c r="B141" s="697"/>
      <c r="C141" s="697"/>
      <c r="D141" s="697"/>
      <c r="E141" s="697"/>
      <c r="F141" s="697"/>
      <c r="G141" s="25"/>
      <c r="H141" s="25"/>
      <c r="I141" s="25"/>
      <c r="J141" s="25"/>
      <c r="K141" s="27"/>
      <c r="N141"/>
      <c r="O141" s="5"/>
      <c r="P141" s="5"/>
      <c r="Q141" s="5"/>
      <c r="R141" s="5"/>
      <c r="S141" s="5"/>
    </row>
    <row r="142" spans="1:19" s="16" customFormat="1" ht="15.75" customHeight="1" thickBot="1" x14ac:dyDescent="0.3">
      <c r="A142" s="20" t="s">
        <v>11759</v>
      </c>
      <c r="B142" s="21"/>
      <c r="C142" s="21"/>
      <c r="D142" s="21" t="s">
        <v>11005</v>
      </c>
      <c r="E142" s="21"/>
      <c r="F142" s="21"/>
      <c r="G142" s="21"/>
      <c r="H142" s="21"/>
      <c r="I142" s="21"/>
      <c r="J142" s="21"/>
      <c r="K142" s="167">
        <f>SUM(K143:K144)</f>
        <v>10062.16</v>
      </c>
      <c r="M142" s="109"/>
      <c r="N142"/>
      <c r="O142" s="5"/>
      <c r="P142" s="5"/>
      <c r="Q142" s="5"/>
      <c r="R142" s="5"/>
      <c r="S142" s="5"/>
    </row>
    <row r="143" spans="1:19" s="599" customFormat="1" ht="29.25" customHeight="1" x14ac:dyDescent="0.25">
      <c r="A143" s="593" t="s">
        <v>11760</v>
      </c>
      <c r="B143" s="266" t="s">
        <v>22</v>
      </c>
      <c r="C143" s="266" t="str">
        <f>CPU!A2081</f>
        <v>CPU-75</v>
      </c>
      <c r="D143" s="608" t="s">
        <v>11084</v>
      </c>
      <c r="E143" s="267" t="s">
        <v>47</v>
      </c>
      <c r="F143" s="594">
        <f>VLOOKUP(A143,MC!$A$10:'MC'!$J$2901,9,FALSE)</f>
        <v>260.40000000000003</v>
      </c>
      <c r="G143" s="577">
        <f>CPU!F2106</f>
        <v>21.82</v>
      </c>
      <c r="H143" s="577">
        <f>G143</f>
        <v>21.82</v>
      </c>
      <c r="I143" s="596">
        <f>BDI!$F$21</f>
        <v>0.21299999999999999</v>
      </c>
      <c r="J143" s="597">
        <f t="shared" ref="J143:J144" si="49">ROUND(H143*(1+I143),2)</f>
        <v>26.47</v>
      </c>
      <c r="K143" s="598">
        <f t="shared" ref="K143:K144" si="50">ROUND(F143*J143,2)</f>
        <v>6892.79</v>
      </c>
      <c r="M143" s="600"/>
      <c r="N143" s="602"/>
      <c r="O143" s="602"/>
      <c r="P143" s="602"/>
      <c r="Q143" s="602"/>
      <c r="R143" s="602"/>
      <c r="S143" s="602"/>
    </row>
    <row r="144" spans="1:19" s="16" customFormat="1" ht="15.75" customHeight="1" thickBot="1" x14ac:dyDescent="0.3">
      <c r="A144" s="168" t="s">
        <v>11761</v>
      </c>
      <c r="B144" s="166" t="s">
        <v>166</v>
      </c>
      <c r="C144" s="166">
        <v>98689</v>
      </c>
      <c r="D144" s="608" t="s">
        <v>11017</v>
      </c>
      <c r="E144" s="169" t="s">
        <v>47</v>
      </c>
      <c r="F144" s="170">
        <f>VLOOKUP(A144,MC!$A$10:'MC'!$J$2901,9,FALSE)</f>
        <v>31.7</v>
      </c>
      <c r="G144" s="171">
        <f>VLOOKUP(C144,Serviço02!$A$1:$D$6699,4,FALSE)</f>
        <v>82.42</v>
      </c>
      <c r="H144" s="577">
        <f t="shared" ref="H144" si="51">G144</f>
        <v>82.42</v>
      </c>
      <c r="I144" s="300">
        <f>BDI!$F$21</f>
        <v>0.21299999999999999</v>
      </c>
      <c r="J144" s="301">
        <f t="shared" si="49"/>
        <v>99.98</v>
      </c>
      <c r="K144" s="302">
        <f t="shared" si="50"/>
        <v>3169.37</v>
      </c>
      <c r="M144" s="109"/>
      <c r="N144"/>
      <c r="O144" s="5"/>
      <c r="P144" s="5"/>
      <c r="Q144" s="5"/>
      <c r="R144" s="5"/>
      <c r="S144" s="5"/>
    </row>
    <row r="145" spans="1:19" ht="16.5" thickBot="1" x14ac:dyDescent="0.3">
      <c r="A145" s="696"/>
      <c r="B145" s="697"/>
      <c r="C145" s="697"/>
      <c r="D145" s="697"/>
      <c r="E145" s="697"/>
      <c r="F145" s="697"/>
      <c r="G145" s="25"/>
      <c r="H145" s="25"/>
      <c r="I145" s="25"/>
      <c r="J145" s="25"/>
      <c r="K145" s="27"/>
      <c r="N145"/>
      <c r="O145" s="5"/>
      <c r="P145" s="5"/>
      <c r="Q145" s="5"/>
      <c r="R145" s="5"/>
      <c r="S145" s="5"/>
    </row>
    <row r="146" spans="1:19" s="16" customFormat="1" ht="15.75" customHeight="1" thickBot="1" x14ac:dyDescent="0.3">
      <c r="A146" s="17" t="s">
        <v>88</v>
      </c>
      <c r="B146" s="18"/>
      <c r="C146" s="18"/>
      <c r="D146" s="116" t="s">
        <v>185</v>
      </c>
      <c r="E146" s="18"/>
      <c r="F146" s="18"/>
      <c r="G146" s="18"/>
      <c r="H146" s="18"/>
      <c r="I146" s="18"/>
      <c r="J146" s="18"/>
      <c r="K146" s="120">
        <f>SUM(K147,K152)</f>
        <v>91412.178256000028</v>
      </c>
      <c r="M146" s="109"/>
      <c r="N146"/>
      <c r="O146" s="5"/>
      <c r="P146" s="5"/>
      <c r="Q146" s="5"/>
      <c r="R146" s="5"/>
      <c r="S146" s="5"/>
    </row>
    <row r="147" spans="1:19" s="16" customFormat="1" ht="15.75" customHeight="1" thickBot="1" x14ac:dyDescent="0.3">
      <c r="A147" s="20" t="s">
        <v>143</v>
      </c>
      <c r="B147" s="21"/>
      <c r="C147" s="21"/>
      <c r="D147" s="21" t="s">
        <v>186</v>
      </c>
      <c r="E147" s="21"/>
      <c r="F147" s="21"/>
      <c r="G147" s="21"/>
      <c r="H147" s="21"/>
      <c r="I147" s="21"/>
      <c r="J147" s="21"/>
      <c r="K147" s="167">
        <f>SUM(K148:K150)</f>
        <v>69357.654816000024</v>
      </c>
      <c r="M147" s="109"/>
      <c r="N147"/>
      <c r="O147" s="5"/>
      <c r="P147" s="5"/>
      <c r="Q147" s="5"/>
      <c r="R147" s="5"/>
      <c r="S147" s="5"/>
    </row>
    <row r="148" spans="1:19" s="16" customFormat="1" ht="25.5" x14ac:dyDescent="0.25">
      <c r="A148" s="168" t="s">
        <v>144</v>
      </c>
      <c r="B148" s="166" t="s">
        <v>166</v>
      </c>
      <c r="C148" s="166">
        <v>87879</v>
      </c>
      <c r="D148" s="608" t="s">
        <v>11073</v>
      </c>
      <c r="E148" s="169" t="s">
        <v>164</v>
      </c>
      <c r="F148" s="170">
        <f>VLOOKUP(A148,MC!$A$10:'MC'!$J$2901,9,FALSE)</f>
        <v>1567.9180000000003</v>
      </c>
      <c r="G148" s="171">
        <f>VLOOKUP(C148,Serviço02!$A$1:$D$6699,4,FALSE)</f>
        <v>3.41</v>
      </c>
      <c r="H148" s="171">
        <f>G148</f>
        <v>3.41</v>
      </c>
      <c r="I148" s="300">
        <f>BDI!$F$21</f>
        <v>0.21299999999999999</v>
      </c>
      <c r="J148" s="301">
        <f t="shared" ref="J148:J150" si="52">ROUND(H148*(1+I148),2)</f>
        <v>4.1399999999999997</v>
      </c>
      <c r="K148" s="302">
        <f>ROUND(F148*J148,2)+0.01</f>
        <v>6491.1900000000005</v>
      </c>
      <c r="M148" s="109"/>
      <c r="N148" s="5"/>
      <c r="O148" s="5"/>
      <c r="P148" s="5"/>
      <c r="Q148" s="5"/>
      <c r="R148" s="5"/>
      <c r="S148" s="5"/>
    </row>
    <row r="149" spans="1:19" s="16" customFormat="1" ht="25.5" x14ac:dyDescent="0.25">
      <c r="A149" s="168" t="s">
        <v>145</v>
      </c>
      <c r="B149" s="166" t="s">
        <v>166</v>
      </c>
      <c r="C149" s="166">
        <v>87527</v>
      </c>
      <c r="D149" s="608" t="s">
        <v>11074</v>
      </c>
      <c r="E149" s="169" t="s">
        <v>164</v>
      </c>
      <c r="F149" s="170">
        <f>VLOOKUP(A149,MC!$A$10:'MC'!$J$2901,9,FALSE)</f>
        <v>154.6644</v>
      </c>
      <c r="G149" s="171">
        <f>VLOOKUP(C149,Serviço02!$A$1:$D$6699,4,FALSE)</f>
        <v>32.119999999999997</v>
      </c>
      <c r="H149" s="171">
        <f t="shared" ref="H149:H150" si="53">G149</f>
        <v>32.119999999999997</v>
      </c>
      <c r="I149" s="300">
        <f>BDI!$F$21</f>
        <v>0.21299999999999999</v>
      </c>
      <c r="J149" s="301">
        <f t="shared" si="52"/>
        <v>38.96</v>
      </c>
      <c r="K149" s="302">
        <f>F149*J149-0.18</f>
        <v>6025.545024</v>
      </c>
      <c r="M149" s="109"/>
      <c r="N149"/>
      <c r="O149" s="5"/>
      <c r="P149" s="5"/>
      <c r="Q149" s="5"/>
      <c r="R149" s="5"/>
      <c r="S149" s="5"/>
    </row>
    <row r="150" spans="1:19" s="16" customFormat="1" ht="26.25" thickBot="1" x14ac:dyDescent="0.3">
      <c r="A150" s="168" t="s">
        <v>11762</v>
      </c>
      <c r="B150" s="166" t="s">
        <v>166</v>
      </c>
      <c r="C150" s="166">
        <v>87530</v>
      </c>
      <c r="D150" s="608" t="s">
        <v>11075</v>
      </c>
      <c r="E150" s="169" t="s">
        <v>164</v>
      </c>
      <c r="F150" s="170">
        <f>VLOOKUP(A150,MC!$A$10:'MC'!$J$2901,9,FALSE)</f>
        <v>1413.2536000000005</v>
      </c>
      <c r="G150" s="171">
        <f>VLOOKUP(C150,Serviço02!$A$1:$D$6699,4,FALSE)</f>
        <v>33.159999999999997</v>
      </c>
      <c r="H150" s="171">
        <f t="shared" si="53"/>
        <v>33.159999999999997</v>
      </c>
      <c r="I150" s="300">
        <f>BDI!$F$21</f>
        <v>0.21299999999999999</v>
      </c>
      <c r="J150" s="301">
        <f t="shared" si="52"/>
        <v>40.22</v>
      </c>
      <c r="K150" s="302">
        <f>F150*J150-0.14</f>
        <v>56840.919792000015</v>
      </c>
      <c r="M150" s="109"/>
      <c r="N150"/>
      <c r="O150" s="5"/>
      <c r="P150" s="5"/>
      <c r="Q150" s="5"/>
      <c r="R150" s="5"/>
      <c r="S150" s="5"/>
    </row>
    <row r="151" spans="1:19" ht="16.5" thickBot="1" x14ac:dyDescent="0.3">
      <c r="A151" s="696"/>
      <c r="B151" s="697"/>
      <c r="C151" s="697"/>
      <c r="D151" s="697"/>
      <c r="E151" s="697"/>
      <c r="F151" s="697"/>
      <c r="G151" s="25"/>
      <c r="H151" s="25"/>
      <c r="I151" s="25"/>
      <c r="J151" s="25"/>
      <c r="K151" s="27"/>
      <c r="N151" s="5"/>
      <c r="O151" s="5"/>
      <c r="P151" s="5"/>
      <c r="Q151" s="5"/>
      <c r="R151" s="5"/>
      <c r="S151" s="5"/>
    </row>
    <row r="152" spans="1:19" s="16" customFormat="1" ht="15.75" customHeight="1" thickBot="1" x14ac:dyDescent="0.3">
      <c r="A152" s="20" t="s">
        <v>146</v>
      </c>
      <c r="B152" s="21"/>
      <c r="C152" s="21"/>
      <c r="D152" s="21" t="s">
        <v>187</v>
      </c>
      <c r="E152" s="21"/>
      <c r="F152" s="21"/>
      <c r="G152" s="21"/>
      <c r="H152" s="21"/>
      <c r="I152" s="21"/>
      <c r="J152" s="21"/>
      <c r="K152" s="167">
        <f>SUM(K153:K153)</f>
        <v>22054.523440000001</v>
      </c>
      <c r="M152" s="109"/>
      <c r="N152"/>
      <c r="O152" s="5"/>
      <c r="P152" s="5"/>
      <c r="Q152" s="5"/>
      <c r="R152" s="5"/>
      <c r="S152" s="5"/>
    </row>
    <row r="153" spans="1:19" s="599" customFormat="1" ht="26.25" thickBot="1" x14ac:dyDescent="0.3">
      <c r="A153" s="593" t="s">
        <v>147</v>
      </c>
      <c r="B153" s="266" t="s">
        <v>22</v>
      </c>
      <c r="C153" s="266" t="str">
        <f>CPU!A669</f>
        <v>CPU-24</v>
      </c>
      <c r="D153" s="608" t="s">
        <v>13871</v>
      </c>
      <c r="E153" s="267" t="s">
        <v>164</v>
      </c>
      <c r="F153" s="594">
        <f>VLOOKUP(A153,MC!$A$10:'MC'!$J$2901,9,FALSE)</f>
        <v>154.6644</v>
      </c>
      <c r="G153" s="577">
        <f>CPU!F694</f>
        <v>117.56</v>
      </c>
      <c r="H153" s="581">
        <f>G153</f>
        <v>117.56</v>
      </c>
      <c r="I153" s="596">
        <f>BDI!$F$21</f>
        <v>0.21299999999999999</v>
      </c>
      <c r="J153" s="597">
        <f t="shared" ref="J153" si="54">ROUND(H153*(1+I153),2)</f>
        <v>142.6</v>
      </c>
      <c r="K153" s="598">
        <f>F153*J153-0.62</f>
        <v>22054.523440000001</v>
      </c>
      <c r="M153" s="600"/>
      <c r="N153" s="601"/>
      <c r="O153" s="602"/>
      <c r="P153" s="602"/>
      <c r="Q153" s="602"/>
      <c r="R153" s="602"/>
      <c r="S153" s="602"/>
    </row>
    <row r="154" spans="1:19" ht="16.5" thickBot="1" x14ac:dyDescent="0.3">
      <c r="A154" s="696"/>
      <c r="B154" s="697"/>
      <c r="C154" s="697"/>
      <c r="D154" s="697"/>
      <c r="E154" s="697"/>
      <c r="F154" s="697"/>
      <c r="G154" s="25"/>
      <c r="H154" s="25"/>
      <c r="I154" s="25"/>
      <c r="J154" s="25"/>
      <c r="K154" s="27"/>
      <c r="N154"/>
      <c r="O154" s="5"/>
      <c r="P154" s="5"/>
      <c r="Q154" s="5"/>
      <c r="R154" s="5"/>
      <c r="S154" s="5"/>
    </row>
    <row r="155" spans="1:19" s="16" customFormat="1" ht="15.75" customHeight="1" thickBot="1" x14ac:dyDescent="0.3">
      <c r="A155" s="17" t="s">
        <v>89</v>
      </c>
      <c r="B155" s="18"/>
      <c r="C155" s="18"/>
      <c r="D155" s="116" t="s">
        <v>148</v>
      </c>
      <c r="E155" s="18"/>
      <c r="F155" s="18"/>
      <c r="G155" s="18"/>
      <c r="H155" s="18"/>
      <c r="I155" s="18"/>
      <c r="J155" s="18"/>
      <c r="K155" s="120">
        <f>SUM(K156,K160,K170)</f>
        <v>83600.429999999993</v>
      </c>
      <c r="M155" s="109"/>
      <c r="N155"/>
      <c r="O155" s="5"/>
      <c r="P155" s="5"/>
      <c r="Q155" s="5"/>
      <c r="R155" s="5"/>
      <c r="S155" s="5"/>
    </row>
    <row r="156" spans="1:19" s="16" customFormat="1" ht="15.75" customHeight="1" thickBot="1" x14ac:dyDescent="0.3">
      <c r="A156" s="20" t="s">
        <v>12069</v>
      </c>
      <c r="B156" s="21"/>
      <c r="C156" s="21"/>
      <c r="D156" s="21" t="s">
        <v>11024</v>
      </c>
      <c r="E156" s="21"/>
      <c r="F156" s="21"/>
      <c r="G156" s="21"/>
      <c r="H156" s="21"/>
      <c r="I156" s="21"/>
      <c r="J156" s="21"/>
      <c r="K156" s="167">
        <f>SUM(K157:K158)</f>
        <v>11021.73</v>
      </c>
      <c r="M156" s="109"/>
      <c r="N156" s="5"/>
      <c r="O156" s="5"/>
      <c r="P156" s="5"/>
      <c r="Q156" s="5"/>
      <c r="R156" s="5"/>
      <c r="S156" s="5"/>
    </row>
    <row r="157" spans="1:19" s="599" customFormat="1" ht="15.75" customHeight="1" x14ac:dyDescent="0.25">
      <c r="A157" s="593" t="s">
        <v>12070</v>
      </c>
      <c r="B157" s="266" t="s">
        <v>22</v>
      </c>
      <c r="C157" s="266" t="str">
        <f>CPU!A696</f>
        <v>CPU-25</v>
      </c>
      <c r="D157" s="264" t="s">
        <v>11032</v>
      </c>
      <c r="E157" s="267" t="s">
        <v>164</v>
      </c>
      <c r="F157" s="594">
        <f>VLOOKUP(A157,MC!$A$10:'MC'!$J$2901,9,FALSE)</f>
        <v>9.6319999999999997</v>
      </c>
      <c r="G157" s="577">
        <f>CPU!F721</f>
        <v>355.49</v>
      </c>
      <c r="H157" s="581">
        <f>G157</f>
        <v>355.49</v>
      </c>
      <c r="I157" s="596">
        <f>BDI!$F$21</f>
        <v>0.21299999999999999</v>
      </c>
      <c r="J157" s="597">
        <f t="shared" ref="J157:J158" si="55">ROUND(H157*(1+I157),2)</f>
        <v>431.21</v>
      </c>
      <c r="K157" s="598">
        <f>ROUND(F157*J157,2)-0.86</f>
        <v>4152.55</v>
      </c>
      <c r="M157" s="600"/>
      <c r="N157" s="601"/>
      <c r="O157" s="602"/>
      <c r="P157" s="602"/>
      <c r="Q157" s="602"/>
      <c r="R157" s="602"/>
      <c r="S157" s="602"/>
    </row>
    <row r="158" spans="1:19" s="599" customFormat="1" ht="15.75" customHeight="1" thickBot="1" x14ac:dyDescent="0.3">
      <c r="A158" s="593" t="s">
        <v>12071</v>
      </c>
      <c r="B158" s="266" t="s">
        <v>22</v>
      </c>
      <c r="C158" s="266" t="str">
        <f>CPU!A696</f>
        <v>CPU-25</v>
      </c>
      <c r="D158" s="264" t="s">
        <v>13853</v>
      </c>
      <c r="E158" s="267" t="s">
        <v>164</v>
      </c>
      <c r="F158" s="594">
        <f>VLOOKUP(A158,MC!$A$10:'MC'!$J$2901,9,FALSE)</f>
        <v>15.93</v>
      </c>
      <c r="G158" s="577">
        <f>CPU!F721</f>
        <v>355.49</v>
      </c>
      <c r="H158" s="581">
        <f>G158</f>
        <v>355.49</v>
      </c>
      <c r="I158" s="596">
        <f>BDI!$F$21</f>
        <v>0.21299999999999999</v>
      </c>
      <c r="J158" s="597">
        <f t="shared" si="55"/>
        <v>431.21</v>
      </c>
      <c r="K158" s="598">
        <f t="shared" ref="K158" si="56">ROUND(F158*J158,2)</f>
        <v>6869.18</v>
      </c>
      <c r="M158" s="600"/>
      <c r="N158" s="601"/>
      <c r="O158" s="602"/>
      <c r="P158" s="602"/>
      <c r="Q158" s="602"/>
      <c r="R158" s="602"/>
      <c r="S158" s="602"/>
    </row>
    <row r="159" spans="1:19" ht="16.5" thickBot="1" x14ac:dyDescent="0.3">
      <c r="A159" s="696"/>
      <c r="B159" s="697"/>
      <c r="C159" s="697"/>
      <c r="D159" s="697"/>
      <c r="E159" s="697"/>
      <c r="F159" s="697"/>
      <c r="G159" s="25"/>
      <c r="H159" s="25"/>
      <c r="I159" s="25"/>
      <c r="J159" s="25"/>
      <c r="K159" s="27"/>
      <c r="N159"/>
      <c r="O159" s="5"/>
      <c r="P159" s="5"/>
      <c r="Q159" s="5"/>
      <c r="R159" s="5"/>
      <c r="S159" s="5"/>
    </row>
    <row r="160" spans="1:19" s="16" customFormat="1" ht="15.75" customHeight="1" thickBot="1" x14ac:dyDescent="0.3">
      <c r="A160" s="20" t="s">
        <v>12072</v>
      </c>
      <c r="B160" s="21"/>
      <c r="C160" s="21"/>
      <c r="D160" s="21" t="s">
        <v>188</v>
      </c>
      <c r="E160" s="21"/>
      <c r="F160" s="21"/>
      <c r="G160" s="21"/>
      <c r="H160" s="21"/>
      <c r="I160" s="21"/>
      <c r="J160" s="21"/>
      <c r="K160" s="167">
        <f>SUM(K161:K168)</f>
        <v>70367.989999999991</v>
      </c>
      <c r="M160" s="109"/>
      <c r="N160"/>
      <c r="O160" s="5"/>
      <c r="P160" s="5"/>
      <c r="Q160" s="5"/>
      <c r="R160" s="5"/>
      <c r="S160" s="5"/>
    </row>
    <row r="161" spans="1:19" s="599" customFormat="1" ht="15.75" customHeight="1" x14ac:dyDescent="0.25">
      <c r="A161" s="593" t="s">
        <v>12073</v>
      </c>
      <c r="B161" s="266" t="s">
        <v>22</v>
      </c>
      <c r="C161" s="266" t="str">
        <f>CPU!A723</f>
        <v>CPU-26</v>
      </c>
      <c r="D161" s="264" t="s">
        <v>11033</v>
      </c>
      <c r="E161" s="267" t="s">
        <v>164</v>
      </c>
      <c r="F161" s="594">
        <f>VLOOKUP(A161,MC!$A$10:'MC'!$J$2901,9,FALSE)</f>
        <v>47.269999999999996</v>
      </c>
      <c r="G161" s="577">
        <f>CPU!F750</f>
        <v>432.99</v>
      </c>
      <c r="H161" s="577">
        <f>G161</f>
        <v>432.99</v>
      </c>
      <c r="I161" s="596">
        <f>BDI!$F$21</f>
        <v>0.21299999999999999</v>
      </c>
      <c r="J161" s="597">
        <f t="shared" ref="J161:J168" si="57">ROUND(H161*(1+I161),2)</f>
        <v>525.22</v>
      </c>
      <c r="K161" s="598">
        <f t="shared" ref="K161:K168" si="58">ROUND(F161*J161,2)</f>
        <v>24827.15</v>
      </c>
      <c r="M161" s="600"/>
      <c r="N161" s="601"/>
      <c r="O161" s="602"/>
      <c r="P161" s="602"/>
      <c r="Q161" s="602"/>
      <c r="R161" s="602"/>
      <c r="S161" s="602"/>
    </row>
    <row r="162" spans="1:19" s="16" customFormat="1" ht="15.75" customHeight="1" x14ac:dyDescent="0.25">
      <c r="A162" s="168" t="s">
        <v>12074</v>
      </c>
      <c r="B162" s="166" t="s">
        <v>166</v>
      </c>
      <c r="C162" s="166" t="s">
        <v>1823</v>
      </c>
      <c r="D162" s="264" t="s">
        <v>11035</v>
      </c>
      <c r="E162" s="169" t="s">
        <v>10884</v>
      </c>
      <c r="F162" s="170">
        <f>VLOOKUP(A162,MC!$A$10:'MC'!$J$2901,9,FALSE)</f>
        <v>1</v>
      </c>
      <c r="G162" s="171">
        <f>VLOOKUP(C162,Serviço02!$A$1:$D$6699,4,FALSE)</f>
        <v>1817.63</v>
      </c>
      <c r="H162" s="577">
        <f t="shared" ref="H162:H168" si="59">G162</f>
        <v>1817.63</v>
      </c>
      <c r="I162" s="300">
        <f>BDI!$F$21</f>
        <v>0.21299999999999999</v>
      </c>
      <c r="J162" s="301">
        <f t="shared" si="57"/>
        <v>2204.79</v>
      </c>
      <c r="K162" s="302">
        <f t="shared" si="58"/>
        <v>2204.79</v>
      </c>
      <c r="M162" s="109"/>
      <c r="N162"/>
      <c r="O162" s="5"/>
      <c r="P162" s="5"/>
      <c r="Q162" s="5"/>
      <c r="R162" s="5"/>
      <c r="S162" s="5"/>
    </row>
    <row r="163" spans="1:19" s="599" customFormat="1" ht="15" customHeight="1" x14ac:dyDescent="0.25">
      <c r="A163" s="593" t="s">
        <v>12075</v>
      </c>
      <c r="B163" s="266" t="s">
        <v>22</v>
      </c>
      <c r="C163" s="266" t="str">
        <f>CPU!A752</f>
        <v>CPU-27</v>
      </c>
      <c r="D163" s="264" t="s">
        <v>11037</v>
      </c>
      <c r="E163" s="267" t="s">
        <v>10884</v>
      </c>
      <c r="F163" s="594">
        <f>VLOOKUP(A163,MC!$A$10:'MC'!$J$2901,9,FALSE)</f>
        <v>4</v>
      </c>
      <c r="G163" s="577">
        <f>CPU!F779</f>
        <v>153.66999999999999</v>
      </c>
      <c r="H163" s="577">
        <f t="shared" si="59"/>
        <v>153.66999999999999</v>
      </c>
      <c r="I163" s="596">
        <f>BDI!$F$21</f>
        <v>0.21299999999999999</v>
      </c>
      <c r="J163" s="597">
        <f t="shared" si="57"/>
        <v>186.4</v>
      </c>
      <c r="K163" s="598">
        <f t="shared" si="58"/>
        <v>745.6</v>
      </c>
      <c r="M163" s="600"/>
      <c r="N163" s="601"/>
      <c r="O163" s="602"/>
      <c r="P163" s="602"/>
      <c r="Q163" s="602"/>
      <c r="R163" s="602"/>
      <c r="S163" s="602"/>
    </row>
    <row r="164" spans="1:19" s="599" customFormat="1" ht="38.25" x14ac:dyDescent="0.25">
      <c r="A164" s="593" t="s">
        <v>12076</v>
      </c>
      <c r="B164" s="266" t="s">
        <v>22</v>
      </c>
      <c r="C164" s="266" t="str">
        <f>CPU!A781</f>
        <v>CPU-28</v>
      </c>
      <c r="D164" s="264" t="s">
        <v>11048</v>
      </c>
      <c r="E164" s="267" t="s">
        <v>10884</v>
      </c>
      <c r="F164" s="594">
        <f>VLOOKUP(A164,MC!$A$10:'MC'!$J$2901,9,FALSE)</f>
        <v>5</v>
      </c>
      <c r="G164" s="577">
        <f>CPU!F808</f>
        <v>3524.57</v>
      </c>
      <c r="H164" s="577">
        <f t="shared" si="59"/>
        <v>3524.57</v>
      </c>
      <c r="I164" s="596">
        <f>BDI!$F$21</f>
        <v>0.21299999999999999</v>
      </c>
      <c r="J164" s="597">
        <f t="shared" si="57"/>
        <v>4275.3</v>
      </c>
      <c r="K164" s="598">
        <f t="shared" si="58"/>
        <v>21376.5</v>
      </c>
      <c r="M164" s="600"/>
      <c r="N164" s="601"/>
      <c r="O164" s="602"/>
      <c r="P164" s="602"/>
      <c r="Q164" s="602"/>
      <c r="R164" s="602"/>
      <c r="S164" s="602"/>
    </row>
    <row r="165" spans="1:19" s="599" customFormat="1" ht="42" customHeight="1" x14ac:dyDescent="0.25">
      <c r="A165" s="593" t="s">
        <v>12077</v>
      </c>
      <c r="B165" s="266" t="s">
        <v>22</v>
      </c>
      <c r="C165" s="266" t="str">
        <f>CPU!A810</f>
        <v>CPU-29</v>
      </c>
      <c r="D165" s="264" t="s">
        <v>11049</v>
      </c>
      <c r="E165" s="267" t="s">
        <v>10884</v>
      </c>
      <c r="F165" s="594">
        <f>VLOOKUP(A165,MC!$A$10:'MC'!$J$2901,9,FALSE)</f>
        <v>3</v>
      </c>
      <c r="G165" s="577">
        <f>CPU!F837</f>
        <v>2828.9</v>
      </c>
      <c r="H165" s="577">
        <f t="shared" si="59"/>
        <v>2828.9</v>
      </c>
      <c r="I165" s="596">
        <f>BDI!$F$21</f>
        <v>0.21299999999999999</v>
      </c>
      <c r="J165" s="597">
        <f t="shared" si="57"/>
        <v>3431.46</v>
      </c>
      <c r="K165" s="598">
        <f t="shared" si="58"/>
        <v>10294.379999999999</v>
      </c>
      <c r="M165" s="600"/>
      <c r="N165" s="601"/>
      <c r="O165" s="602"/>
      <c r="P165" s="602"/>
      <c r="Q165" s="602"/>
      <c r="R165" s="602"/>
      <c r="S165" s="602"/>
    </row>
    <row r="166" spans="1:19" s="599" customFormat="1" ht="30.75" customHeight="1" x14ac:dyDescent="0.25">
      <c r="A166" s="593" t="s">
        <v>12078</v>
      </c>
      <c r="B166" s="266" t="s">
        <v>22</v>
      </c>
      <c r="C166" s="266" t="str">
        <f>CPU!A839</f>
        <v>CPU-30</v>
      </c>
      <c r="D166" s="264" t="s">
        <v>11050</v>
      </c>
      <c r="E166" s="267" t="s">
        <v>10884</v>
      </c>
      <c r="F166" s="594">
        <f>VLOOKUP(A166,MC!$A$10:'MC'!$J$2901,9,FALSE)</f>
        <v>1</v>
      </c>
      <c r="G166" s="577">
        <f>CPU!F866</f>
        <v>1798.62</v>
      </c>
      <c r="H166" s="577">
        <f t="shared" si="59"/>
        <v>1798.62</v>
      </c>
      <c r="I166" s="596">
        <f>BDI!$F$21</f>
        <v>0.21299999999999999</v>
      </c>
      <c r="J166" s="597">
        <f t="shared" si="57"/>
        <v>2181.73</v>
      </c>
      <c r="K166" s="598">
        <f t="shared" si="58"/>
        <v>2181.73</v>
      </c>
      <c r="M166" s="600"/>
      <c r="N166" s="602"/>
      <c r="O166" s="602"/>
      <c r="P166" s="602"/>
      <c r="Q166" s="602"/>
      <c r="R166" s="602"/>
      <c r="S166" s="602"/>
    </row>
    <row r="167" spans="1:19" s="599" customFormat="1" ht="24.75" customHeight="1" x14ac:dyDescent="0.25">
      <c r="A167" s="593" t="s">
        <v>12079</v>
      </c>
      <c r="B167" s="266" t="s">
        <v>22</v>
      </c>
      <c r="C167" s="266" t="str">
        <f>CPU!A868</f>
        <v>CPU-31</v>
      </c>
      <c r="D167" s="264" t="s">
        <v>11051</v>
      </c>
      <c r="E167" s="267" t="s">
        <v>10884</v>
      </c>
      <c r="F167" s="594">
        <f>VLOOKUP(A167,MC!$A$10:'MC'!$J$2901,9,FALSE)</f>
        <v>3</v>
      </c>
      <c r="G167" s="577">
        <f>CPU!F895</f>
        <v>1605.29</v>
      </c>
      <c r="H167" s="577">
        <f t="shared" si="59"/>
        <v>1605.29</v>
      </c>
      <c r="I167" s="596">
        <f>BDI!$F$21</f>
        <v>0.21299999999999999</v>
      </c>
      <c r="J167" s="597">
        <f t="shared" si="57"/>
        <v>1947.22</v>
      </c>
      <c r="K167" s="598">
        <f t="shared" si="58"/>
        <v>5841.66</v>
      </c>
      <c r="M167" s="600"/>
      <c r="N167" s="601"/>
      <c r="O167" s="602"/>
      <c r="P167" s="602"/>
      <c r="Q167" s="602"/>
      <c r="R167" s="602"/>
      <c r="S167" s="602"/>
    </row>
    <row r="168" spans="1:19" s="599" customFormat="1" ht="42" customHeight="1" thickBot="1" x14ac:dyDescent="0.3">
      <c r="A168" s="593" t="s">
        <v>12080</v>
      </c>
      <c r="B168" s="266" t="s">
        <v>22</v>
      </c>
      <c r="C168" s="266" t="str">
        <f>CPU!A897</f>
        <v>CPU-32</v>
      </c>
      <c r="D168" s="264" t="s">
        <v>11052</v>
      </c>
      <c r="E168" s="267" t="s">
        <v>10884</v>
      </c>
      <c r="F168" s="594">
        <f>VLOOKUP(A168,MC!$A$10:'MC'!$J$2901,9,FALSE)</f>
        <v>1</v>
      </c>
      <c r="G168" s="577">
        <f>CPU!F924</f>
        <v>2387.62</v>
      </c>
      <c r="H168" s="577">
        <f t="shared" si="59"/>
        <v>2387.62</v>
      </c>
      <c r="I168" s="596">
        <f>BDI!$F$21</f>
        <v>0.21299999999999999</v>
      </c>
      <c r="J168" s="597">
        <f t="shared" si="57"/>
        <v>2896.18</v>
      </c>
      <c r="K168" s="598">
        <f t="shared" si="58"/>
        <v>2896.18</v>
      </c>
      <c r="M168" s="600"/>
      <c r="N168" s="601"/>
      <c r="O168" s="602"/>
      <c r="P168" s="602"/>
      <c r="Q168" s="602"/>
      <c r="R168" s="602"/>
      <c r="S168" s="602"/>
    </row>
    <row r="169" spans="1:19" ht="16.5" thickBot="1" x14ac:dyDescent="0.3">
      <c r="A169" s="696"/>
      <c r="B169" s="697"/>
      <c r="C169" s="697"/>
      <c r="D169" s="697"/>
      <c r="E169" s="697"/>
      <c r="F169" s="697"/>
      <c r="G169" s="25"/>
      <c r="H169" s="25"/>
      <c r="I169" s="25"/>
      <c r="J169" s="25"/>
      <c r="K169" s="27"/>
      <c r="N169"/>
      <c r="O169" s="5"/>
      <c r="P169" s="5"/>
      <c r="Q169" s="5"/>
      <c r="R169" s="5"/>
      <c r="S169" s="5"/>
    </row>
    <row r="170" spans="1:19" s="16" customFormat="1" ht="15.75" customHeight="1" thickBot="1" x14ac:dyDescent="0.3">
      <c r="A170" s="20" t="s">
        <v>12081</v>
      </c>
      <c r="B170" s="21"/>
      <c r="C170" s="21"/>
      <c r="D170" s="21" t="s">
        <v>190</v>
      </c>
      <c r="E170" s="21"/>
      <c r="F170" s="21"/>
      <c r="G170" s="21"/>
      <c r="H170" s="21"/>
      <c r="I170" s="21"/>
      <c r="J170" s="21"/>
      <c r="K170" s="167">
        <f>SUM(K171:K176)</f>
        <v>2210.71</v>
      </c>
      <c r="M170" s="109"/>
      <c r="N170"/>
      <c r="O170" s="5"/>
      <c r="P170" s="5"/>
      <c r="Q170" s="5"/>
      <c r="R170" s="5"/>
      <c r="S170" s="5"/>
    </row>
    <row r="171" spans="1:19" s="16" customFormat="1" ht="15.75" customHeight="1" x14ac:dyDescent="0.25">
      <c r="A171" s="168" t="s">
        <v>12082</v>
      </c>
      <c r="B171" s="166" t="s">
        <v>166</v>
      </c>
      <c r="C171" s="166">
        <v>93182</v>
      </c>
      <c r="D171" s="264" t="s">
        <v>11153</v>
      </c>
      <c r="E171" s="169" t="s">
        <v>47</v>
      </c>
      <c r="F171" s="170">
        <f>VLOOKUP(A171,MC!$A$10:'MC'!$J$2901,9,FALSE)</f>
        <v>5.04</v>
      </c>
      <c r="G171" s="171">
        <f>VLOOKUP(C171,Serviço02!$A$1:$D$6699,4,FALSE)</f>
        <v>24.79</v>
      </c>
      <c r="H171" s="171">
        <f>G171</f>
        <v>24.79</v>
      </c>
      <c r="I171" s="300">
        <f>BDI!$F$21</f>
        <v>0.21299999999999999</v>
      </c>
      <c r="J171" s="301">
        <f t="shared" ref="J171:J176" si="60">ROUND(H171*(1+I171),2)</f>
        <v>30.07</v>
      </c>
      <c r="K171" s="302">
        <f t="shared" ref="K171:K176" si="61">ROUND(F171*J171,2)</f>
        <v>151.55000000000001</v>
      </c>
      <c r="M171" s="109"/>
      <c r="N171"/>
      <c r="O171" s="5"/>
      <c r="P171" s="5"/>
      <c r="Q171" s="5"/>
      <c r="R171" s="5"/>
      <c r="S171" s="5"/>
    </row>
    <row r="172" spans="1:19" s="16" customFormat="1" ht="15.75" customHeight="1" x14ac:dyDescent="0.25">
      <c r="A172" s="168" t="s">
        <v>12083</v>
      </c>
      <c r="B172" s="166" t="s">
        <v>166</v>
      </c>
      <c r="C172" s="166">
        <v>93183</v>
      </c>
      <c r="D172" s="264" t="s">
        <v>11154</v>
      </c>
      <c r="E172" s="169" t="s">
        <v>47</v>
      </c>
      <c r="F172" s="170">
        <f>VLOOKUP(A172,MC!$A$10:'MC'!$J$2901,9,FALSE)</f>
        <v>10.57</v>
      </c>
      <c r="G172" s="171">
        <f>VLOOKUP(C172,Serviço02!$A$1:$D$6699,4,FALSE)</f>
        <v>31.38</v>
      </c>
      <c r="H172" s="171">
        <f t="shared" ref="H172:H176" si="62">G172</f>
        <v>31.38</v>
      </c>
      <c r="I172" s="300">
        <f>BDI!$F$21</f>
        <v>0.21299999999999999</v>
      </c>
      <c r="J172" s="301">
        <f t="shared" si="60"/>
        <v>38.06</v>
      </c>
      <c r="K172" s="302">
        <f t="shared" si="61"/>
        <v>402.29</v>
      </c>
      <c r="M172" s="109"/>
      <c r="N172"/>
      <c r="O172" s="5"/>
      <c r="P172" s="5"/>
      <c r="Q172" s="5"/>
      <c r="R172" s="5"/>
      <c r="S172" s="5"/>
    </row>
    <row r="173" spans="1:19" s="16" customFormat="1" ht="15.75" customHeight="1" x14ac:dyDescent="0.25">
      <c r="A173" s="168" t="s">
        <v>12084</v>
      </c>
      <c r="B173" s="166" t="s">
        <v>166</v>
      </c>
      <c r="C173" s="166">
        <v>93194</v>
      </c>
      <c r="D173" s="264" t="s">
        <v>11155</v>
      </c>
      <c r="E173" s="169" t="s">
        <v>47</v>
      </c>
      <c r="F173" s="170">
        <f>VLOOKUP(A173,MC!$A$10:'MC'!$J$2901,9,FALSE)</f>
        <v>5.04</v>
      </c>
      <c r="G173" s="171">
        <f>VLOOKUP(C173,Serviço02!$A$1:$D$6699,4,FALSE)</f>
        <v>24.48</v>
      </c>
      <c r="H173" s="171">
        <f t="shared" si="62"/>
        <v>24.48</v>
      </c>
      <c r="I173" s="300">
        <f>BDI!$F$21</f>
        <v>0.21299999999999999</v>
      </c>
      <c r="J173" s="301">
        <f t="shared" si="60"/>
        <v>29.69</v>
      </c>
      <c r="K173" s="302">
        <f t="shared" si="61"/>
        <v>149.63999999999999</v>
      </c>
      <c r="M173" s="109"/>
      <c r="N173"/>
      <c r="O173" s="5"/>
      <c r="P173" s="5"/>
      <c r="Q173" s="5"/>
      <c r="R173" s="5"/>
      <c r="S173" s="5"/>
    </row>
    <row r="174" spans="1:19" s="16" customFormat="1" ht="15.75" customHeight="1" x14ac:dyDescent="0.25">
      <c r="A174" s="168" t="s">
        <v>12085</v>
      </c>
      <c r="B174" s="166" t="s">
        <v>166</v>
      </c>
      <c r="C174" s="166">
        <v>93195</v>
      </c>
      <c r="D174" s="264" t="s">
        <v>11156</v>
      </c>
      <c r="E174" s="169" t="s">
        <v>47</v>
      </c>
      <c r="F174" s="170">
        <f>VLOOKUP(A174,MC!$A$10:'MC'!$J$2901,9,FALSE)</f>
        <v>10.57</v>
      </c>
      <c r="G174" s="171">
        <f>VLOOKUP(C174,Serviço02!$A$1:$D$6699,4,FALSE)</f>
        <v>28.9</v>
      </c>
      <c r="H174" s="171">
        <f t="shared" si="62"/>
        <v>28.9</v>
      </c>
      <c r="I174" s="300">
        <f>BDI!$F$21</f>
        <v>0.21299999999999999</v>
      </c>
      <c r="J174" s="301">
        <f t="shared" si="60"/>
        <v>35.06</v>
      </c>
      <c r="K174" s="302">
        <f t="shared" si="61"/>
        <v>370.58</v>
      </c>
      <c r="M174" s="109"/>
      <c r="N174" s="5"/>
      <c r="O174" s="5"/>
      <c r="P174" s="5"/>
      <c r="Q174" s="5"/>
      <c r="R174" s="5"/>
      <c r="S174" s="5"/>
    </row>
    <row r="175" spans="1:19" s="16" customFormat="1" ht="15.75" customHeight="1" x14ac:dyDescent="0.25">
      <c r="A175" s="168" t="s">
        <v>12086</v>
      </c>
      <c r="B175" s="166" t="s">
        <v>166</v>
      </c>
      <c r="C175" s="166">
        <v>93184</v>
      </c>
      <c r="D175" s="264" t="s">
        <v>11157</v>
      </c>
      <c r="E175" s="169" t="s">
        <v>47</v>
      </c>
      <c r="F175" s="170">
        <f>VLOOKUP(A175,MC!$A$10:'MC'!$J$2901,9,FALSE)</f>
        <v>23.100000000000005</v>
      </c>
      <c r="G175" s="171">
        <f>VLOOKUP(C175,Serviço02!$A$1:$D$6699,4,FALSE)</f>
        <v>18.850000000000001</v>
      </c>
      <c r="H175" s="171">
        <f t="shared" si="62"/>
        <v>18.850000000000001</v>
      </c>
      <c r="I175" s="300">
        <f>BDI!$F$21</f>
        <v>0.21299999999999999</v>
      </c>
      <c r="J175" s="301">
        <f t="shared" si="60"/>
        <v>22.87</v>
      </c>
      <c r="K175" s="302">
        <f t="shared" si="61"/>
        <v>528.29999999999995</v>
      </c>
      <c r="M175" s="109"/>
      <c r="N175"/>
      <c r="O175" s="5"/>
      <c r="P175" s="5"/>
      <c r="Q175" s="5"/>
      <c r="R175" s="5"/>
      <c r="S175" s="5"/>
    </row>
    <row r="176" spans="1:19" s="16" customFormat="1" ht="15.75" customHeight="1" thickBot="1" x14ac:dyDescent="0.3">
      <c r="A176" s="168" t="s">
        <v>12087</v>
      </c>
      <c r="B176" s="166" t="s">
        <v>166</v>
      </c>
      <c r="C176" s="166">
        <v>93185</v>
      </c>
      <c r="D176" s="264" t="s">
        <v>11158</v>
      </c>
      <c r="E176" s="169" t="s">
        <v>47</v>
      </c>
      <c r="F176" s="170">
        <f>VLOOKUP(A176,MC!$A$10:'MC'!$J$2901,9,FALSE)</f>
        <v>16.239999999999998</v>
      </c>
      <c r="G176" s="171">
        <f>VLOOKUP(C176,Serviço02!$A$1:$D$6699,4,FALSE)</f>
        <v>30.88</v>
      </c>
      <c r="H176" s="171">
        <f t="shared" si="62"/>
        <v>30.88</v>
      </c>
      <c r="I176" s="300">
        <f>BDI!$F$21</f>
        <v>0.21299999999999999</v>
      </c>
      <c r="J176" s="301">
        <f t="shared" si="60"/>
        <v>37.46</v>
      </c>
      <c r="K176" s="302">
        <f t="shared" si="61"/>
        <v>608.35</v>
      </c>
      <c r="M176" s="109"/>
      <c r="N176"/>
      <c r="O176" s="5"/>
      <c r="P176" s="5"/>
      <c r="Q176" s="5"/>
      <c r="R176" s="5"/>
      <c r="S176" s="5"/>
    </row>
    <row r="177" spans="1:19" ht="16.5" thickBot="1" x14ac:dyDescent="0.3">
      <c r="A177" s="696"/>
      <c r="B177" s="697"/>
      <c r="C177" s="697"/>
      <c r="D177" s="697"/>
      <c r="E177" s="697"/>
      <c r="F177" s="697"/>
      <c r="G177" s="25"/>
      <c r="H177" s="25"/>
      <c r="I177" s="25"/>
      <c r="J177" s="25"/>
      <c r="K177" s="27"/>
      <c r="N177"/>
      <c r="O177" s="5"/>
      <c r="P177" s="5"/>
      <c r="Q177" s="5"/>
      <c r="R177" s="5"/>
      <c r="S177" s="5"/>
    </row>
    <row r="178" spans="1:19" s="16" customFormat="1" ht="15.75" customHeight="1" thickBot="1" x14ac:dyDescent="0.3">
      <c r="A178" s="17" t="s">
        <v>90</v>
      </c>
      <c r="B178" s="18"/>
      <c r="C178" s="18"/>
      <c r="D178" s="116" t="s">
        <v>160</v>
      </c>
      <c r="E178" s="18"/>
      <c r="F178" s="18"/>
      <c r="G178" s="18"/>
      <c r="H178" s="18"/>
      <c r="I178" s="18"/>
      <c r="J178" s="18"/>
      <c r="K178" s="120">
        <f>SUM(K179,K184,K187)</f>
        <v>84591.27</v>
      </c>
      <c r="M178" s="109"/>
      <c r="N178"/>
      <c r="O178" s="5"/>
      <c r="P178" s="5"/>
      <c r="Q178" s="5"/>
      <c r="R178" s="5"/>
      <c r="S178" s="5"/>
    </row>
    <row r="179" spans="1:19" s="16" customFormat="1" ht="15.75" customHeight="1" thickBot="1" x14ac:dyDescent="0.3">
      <c r="A179" s="20" t="s">
        <v>149</v>
      </c>
      <c r="B179" s="21"/>
      <c r="C179" s="21"/>
      <c r="D179" s="21" t="s">
        <v>133</v>
      </c>
      <c r="E179" s="21"/>
      <c r="F179" s="21"/>
      <c r="G179" s="21"/>
      <c r="H179" s="21"/>
      <c r="I179" s="21"/>
      <c r="J179" s="21"/>
      <c r="K179" s="167">
        <f>SUM(K180:K182)</f>
        <v>62790.710000000006</v>
      </c>
      <c r="M179" s="109"/>
      <c r="N179"/>
      <c r="O179" s="5"/>
      <c r="P179" s="5"/>
      <c r="Q179" s="5"/>
      <c r="R179" s="5"/>
      <c r="S179" s="5"/>
    </row>
    <row r="180" spans="1:19" s="16" customFormat="1" ht="15.75" customHeight="1" x14ac:dyDescent="0.25">
      <c r="A180" s="168" t="s">
        <v>150</v>
      </c>
      <c r="B180" s="166" t="s">
        <v>166</v>
      </c>
      <c r="C180" s="166">
        <v>88415</v>
      </c>
      <c r="D180" s="264" t="s">
        <v>11085</v>
      </c>
      <c r="E180" s="169" t="s">
        <v>164</v>
      </c>
      <c r="F180" s="170">
        <f>VLOOKUP(A180,MC!$A$10:'MC'!$J$2901,9,FALSE)</f>
        <v>1413.2536000000005</v>
      </c>
      <c r="G180" s="171">
        <f>VLOOKUP(C180,Serviço02!$A$1:$D$6699,4,FALSE)</f>
        <v>2.2000000000000002</v>
      </c>
      <c r="H180" s="171">
        <f>G180</f>
        <v>2.2000000000000002</v>
      </c>
      <c r="I180" s="300">
        <f>BDI!$F$21</f>
        <v>0.21299999999999999</v>
      </c>
      <c r="J180" s="301">
        <f t="shared" ref="J180:J182" si="63">ROUND(H180*(1+I180),2)</f>
        <v>2.67</v>
      </c>
      <c r="K180" s="302">
        <f>ROUND(F180*J180,2)-0.01</f>
        <v>3773.3799999999997</v>
      </c>
      <c r="M180" s="109"/>
      <c r="N180" s="5"/>
      <c r="O180" s="5"/>
      <c r="P180" s="5"/>
      <c r="Q180" s="5"/>
      <c r="R180" s="5"/>
      <c r="S180" s="5"/>
    </row>
    <row r="181" spans="1:19" s="16" customFormat="1" ht="15.75" customHeight="1" x14ac:dyDescent="0.25">
      <c r="A181" s="168" t="s">
        <v>151</v>
      </c>
      <c r="B181" s="166" t="s">
        <v>166</v>
      </c>
      <c r="C181" s="166">
        <v>96135</v>
      </c>
      <c r="D181" s="264" t="s">
        <v>11086</v>
      </c>
      <c r="E181" s="169" t="s">
        <v>164</v>
      </c>
      <c r="F181" s="170">
        <f>VLOOKUP(A181,MC!$A$10:'MC'!$J$2901,9,FALSE)</f>
        <v>1413.2536000000005</v>
      </c>
      <c r="G181" s="171">
        <f>VLOOKUP(C181,Serviço02!$A$1:$D$6699,4,FALSE)</f>
        <v>21.42</v>
      </c>
      <c r="H181" s="171">
        <f t="shared" ref="H181:H182" si="64">G181</f>
        <v>21.42</v>
      </c>
      <c r="I181" s="300">
        <f>BDI!$F$21</f>
        <v>0.21299999999999999</v>
      </c>
      <c r="J181" s="301">
        <f t="shared" si="63"/>
        <v>25.98</v>
      </c>
      <c r="K181" s="302">
        <f>ROUND(F181*J181,2)-0.09</f>
        <v>36716.240000000005</v>
      </c>
      <c r="M181" s="109"/>
      <c r="N181"/>
      <c r="O181" s="5"/>
      <c r="P181" s="5"/>
      <c r="Q181" s="5"/>
      <c r="R181" s="5"/>
      <c r="S181" s="5"/>
    </row>
    <row r="182" spans="1:19" s="16" customFormat="1" ht="15.75" customHeight="1" thickBot="1" x14ac:dyDescent="0.3">
      <c r="A182" s="168" t="s">
        <v>12088</v>
      </c>
      <c r="B182" s="166" t="s">
        <v>166</v>
      </c>
      <c r="C182" s="166">
        <v>88489</v>
      </c>
      <c r="D182" s="264" t="s">
        <v>11087</v>
      </c>
      <c r="E182" s="169" t="s">
        <v>164</v>
      </c>
      <c r="F182" s="170">
        <f>VLOOKUP(A182,MC!$A$10:'MC'!$J$2901,9,FALSE)</f>
        <v>1413.2536000000005</v>
      </c>
      <c r="G182" s="171">
        <f>VLOOKUP(C182,Serviço02!$A$1:$D$6699,4,FALSE)</f>
        <v>13.01</v>
      </c>
      <c r="H182" s="171">
        <f t="shared" si="64"/>
        <v>13.01</v>
      </c>
      <c r="I182" s="300">
        <f>BDI!$F$21</f>
        <v>0.21299999999999999</v>
      </c>
      <c r="J182" s="301">
        <f t="shared" si="63"/>
        <v>15.78</v>
      </c>
      <c r="K182" s="302">
        <f>ROUND(F182*J182,2)-0.05</f>
        <v>22301.09</v>
      </c>
      <c r="M182" s="109"/>
      <c r="N182"/>
      <c r="O182" s="5"/>
      <c r="P182" s="5"/>
      <c r="Q182" s="5"/>
      <c r="R182" s="5"/>
      <c r="S182" s="5"/>
    </row>
    <row r="183" spans="1:19" ht="16.5" thickBot="1" x14ac:dyDescent="0.3">
      <c r="A183" s="696"/>
      <c r="B183" s="697"/>
      <c r="C183" s="697"/>
      <c r="D183" s="697"/>
      <c r="E183" s="697"/>
      <c r="F183" s="697"/>
      <c r="G183" s="25"/>
      <c r="H183" s="25"/>
      <c r="I183" s="25"/>
      <c r="J183" s="25"/>
      <c r="K183" s="27"/>
      <c r="N183" s="5"/>
      <c r="O183" s="5"/>
      <c r="P183" s="5"/>
      <c r="Q183" s="5"/>
      <c r="R183" s="5"/>
      <c r="S183" s="5"/>
    </row>
    <row r="184" spans="1:19" s="16" customFormat="1" ht="15.75" customHeight="1" thickBot="1" x14ac:dyDescent="0.3">
      <c r="A184" s="20" t="s">
        <v>152</v>
      </c>
      <c r="B184" s="21"/>
      <c r="C184" s="21"/>
      <c r="D184" s="21" t="s">
        <v>188</v>
      </c>
      <c r="E184" s="21"/>
      <c r="F184" s="21"/>
      <c r="G184" s="21"/>
      <c r="H184" s="21"/>
      <c r="I184" s="21"/>
      <c r="J184" s="21"/>
      <c r="K184" s="167">
        <f>SUM(K185:K185)</f>
        <v>1440.32</v>
      </c>
      <c r="M184" s="109"/>
      <c r="N184"/>
      <c r="O184" s="5"/>
      <c r="P184" s="5"/>
      <c r="Q184" s="5"/>
      <c r="R184" s="5"/>
      <c r="S184" s="5"/>
    </row>
    <row r="185" spans="1:19" s="599" customFormat="1" ht="15.75" customHeight="1" thickBot="1" x14ac:dyDescent="0.3">
      <c r="A185" s="593" t="s">
        <v>153</v>
      </c>
      <c r="B185" s="266" t="s">
        <v>166</v>
      </c>
      <c r="C185" s="266" t="str">
        <f>CPU!A926</f>
        <v>CPU-33</v>
      </c>
      <c r="D185" s="264" t="s">
        <v>11034</v>
      </c>
      <c r="E185" s="267" t="s">
        <v>164</v>
      </c>
      <c r="F185" s="594">
        <f>VLOOKUP(A185,MC!$A$10:'MC'!$J$2901,9,FALSE)</f>
        <v>47.269999999999996</v>
      </c>
      <c r="G185" s="577">
        <f>CPU!F953</f>
        <v>25.12</v>
      </c>
      <c r="H185" s="577">
        <f>G185</f>
        <v>25.12</v>
      </c>
      <c r="I185" s="596">
        <f>BDI!$F$21</f>
        <v>0.21299999999999999</v>
      </c>
      <c r="J185" s="597">
        <f t="shared" ref="J185" si="65">ROUND(H185*(1+I185),2)</f>
        <v>30.47</v>
      </c>
      <c r="K185" s="598">
        <f>ROUND(F185*J185,2)</f>
        <v>1440.32</v>
      </c>
      <c r="M185" s="600"/>
      <c r="N185" s="601"/>
      <c r="O185" s="602"/>
      <c r="P185" s="602"/>
      <c r="Q185" s="602"/>
      <c r="R185" s="602"/>
      <c r="S185" s="602"/>
    </row>
    <row r="186" spans="1:19" ht="16.5" thickBot="1" x14ac:dyDescent="0.3">
      <c r="A186" s="696"/>
      <c r="B186" s="697"/>
      <c r="C186" s="697"/>
      <c r="D186" s="697"/>
      <c r="E186" s="697"/>
      <c r="F186" s="697"/>
      <c r="G186" s="25"/>
      <c r="H186" s="25"/>
      <c r="I186" s="25"/>
      <c r="J186" s="25"/>
      <c r="K186" s="27"/>
      <c r="N186"/>
      <c r="O186" s="5"/>
      <c r="P186" s="5"/>
      <c r="Q186" s="5"/>
      <c r="R186" s="5"/>
      <c r="S186" s="5"/>
    </row>
    <row r="187" spans="1:19" s="16" customFormat="1" ht="15.75" customHeight="1" thickBot="1" x14ac:dyDescent="0.3">
      <c r="A187" s="20" t="s">
        <v>154</v>
      </c>
      <c r="B187" s="21"/>
      <c r="C187" s="21"/>
      <c r="D187" s="21" t="s">
        <v>11149</v>
      </c>
      <c r="E187" s="21"/>
      <c r="F187" s="21"/>
      <c r="G187" s="21"/>
      <c r="H187" s="21"/>
      <c r="I187" s="21"/>
      <c r="J187" s="21"/>
      <c r="K187" s="167">
        <f>SUM(K188:K189)</f>
        <v>20360.239999999998</v>
      </c>
      <c r="M187" s="109"/>
      <c r="N187" s="5"/>
      <c r="O187" s="5"/>
      <c r="P187" s="5"/>
      <c r="Q187" s="5"/>
      <c r="R187" s="5"/>
      <c r="S187" s="5"/>
    </row>
    <row r="188" spans="1:19" s="16" customFormat="1" ht="15.75" customHeight="1" x14ac:dyDescent="0.25">
      <c r="A188" s="168" t="s">
        <v>155</v>
      </c>
      <c r="B188" s="166" t="s">
        <v>166</v>
      </c>
      <c r="C188" s="166">
        <v>96135</v>
      </c>
      <c r="D188" s="264" t="s">
        <v>11086</v>
      </c>
      <c r="E188" s="169" t="s">
        <v>164</v>
      </c>
      <c r="F188" s="170">
        <f>VLOOKUP(A188,MC!$A$10:'MC'!$J$2901,9,FALSE)</f>
        <v>466.55150000000003</v>
      </c>
      <c r="G188" s="171">
        <f>VLOOKUP(C188,Serviço02!$A$1:$D$6699,4,FALSE)</f>
        <v>21.42</v>
      </c>
      <c r="H188" s="171">
        <f>G188</f>
        <v>21.42</v>
      </c>
      <c r="I188" s="300">
        <f>BDI!$F$21</f>
        <v>0.21299999999999999</v>
      </c>
      <c r="J188" s="301">
        <f t="shared" ref="J188:J189" si="66">ROUND(H188*(1+I188),2)</f>
        <v>25.98</v>
      </c>
      <c r="K188" s="302">
        <f>ROUND(F188*J188,2)-0.04</f>
        <v>12120.97</v>
      </c>
      <c r="M188" s="109"/>
      <c r="N188"/>
      <c r="O188" s="5"/>
      <c r="P188" s="5"/>
      <c r="Q188" s="5"/>
      <c r="R188" s="5"/>
      <c r="S188" s="5"/>
    </row>
    <row r="189" spans="1:19" s="16" customFormat="1" ht="15.75" customHeight="1" thickBot="1" x14ac:dyDescent="0.3">
      <c r="A189" s="168" t="s">
        <v>156</v>
      </c>
      <c r="B189" s="166" t="s">
        <v>166</v>
      </c>
      <c r="C189" s="166">
        <v>88488</v>
      </c>
      <c r="D189" s="264" t="s">
        <v>11165</v>
      </c>
      <c r="E189" s="169" t="s">
        <v>164</v>
      </c>
      <c r="F189" s="170">
        <f>VLOOKUP(A189,MC!$A$10:'MC'!$J$2901,9,FALSE)</f>
        <v>466.55150000000003</v>
      </c>
      <c r="G189" s="171">
        <f>VLOOKUP(C189,Serviço02!$A$1:$D$6699,4,FALSE)</f>
        <v>14.56</v>
      </c>
      <c r="H189" s="171">
        <f>G189</f>
        <v>14.56</v>
      </c>
      <c r="I189" s="300">
        <f>BDI!$F$21</f>
        <v>0.21299999999999999</v>
      </c>
      <c r="J189" s="301">
        <f t="shared" si="66"/>
        <v>17.66</v>
      </c>
      <c r="K189" s="302">
        <f>ROUND(F189*J189,2)-0.03</f>
        <v>8239.2699999999986</v>
      </c>
      <c r="M189" s="109"/>
      <c r="N189"/>
      <c r="O189" s="5"/>
      <c r="P189" s="5"/>
      <c r="Q189" s="5"/>
      <c r="R189" s="5"/>
      <c r="S189" s="5"/>
    </row>
    <row r="190" spans="1:19" ht="16.5" thickBot="1" x14ac:dyDescent="0.3">
      <c r="A190" s="258"/>
      <c r="B190" s="259"/>
      <c r="C190" s="259"/>
      <c r="D190" s="259"/>
      <c r="E190" s="259"/>
      <c r="F190" s="259"/>
      <c r="G190" s="25"/>
      <c r="H190" s="25"/>
      <c r="I190" s="25"/>
      <c r="J190" s="25"/>
      <c r="K190" s="27"/>
      <c r="N190"/>
      <c r="O190" s="5"/>
      <c r="P190" s="5"/>
      <c r="Q190" s="5"/>
      <c r="R190" s="5"/>
      <c r="S190" s="5"/>
    </row>
    <row r="191" spans="1:19" s="16" customFormat="1" ht="15.75" customHeight="1" thickBot="1" x14ac:dyDescent="0.3">
      <c r="A191" s="17" t="s">
        <v>91</v>
      </c>
      <c r="B191" s="18"/>
      <c r="C191" s="18"/>
      <c r="D191" s="116" t="s">
        <v>197</v>
      </c>
      <c r="E191" s="18"/>
      <c r="F191" s="18"/>
      <c r="G191" s="18"/>
      <c r="H191" s="18"/>
      <c r="I191" s="18"/>
      <c r="J191" s="18"/>
      <c r="K191" s="120">
        <f>SUM(K192,K203,K231,K246,K252,K256,K262,K238)</f>
        <v>28446.199999999997</v>
      </c>
      <c r="M191" s="109"/>
      <c r="N191"/>
      <c r="O191" s="5"/>
      <c r="P191" s="5"/>
      <c r="Q191" s="5"/>
      <c r="R191" s="5"/>
      <c r="S191" s="5"/>
    </row>
    <row r="192" spans="1:19" s="16" customFormat="1" ht="15.75" customHeight="1" thickBot="1" x14ac:dyDescent="0.3">
      <c r="A192" s="20" t="s">
        <v>157</v>
      </c>
      <c r="B192" s="21"/>
      <c r="C192" s="21"/>
      <c r="D192" s="21" t="s">
        <v>198</v>
      </c>
      <c r="E192" s="21"/>
      <c r="F192" s="21"/>
      <c r="G192" s="21"/>
      <c r="H192" s="21"/>
      <c r="I192" s="21"/>
      <c r="J192" s="21"/>
      <c r="K192" s="167">
        <f>SUM(K193:K201)</f>
        <v>9080.2799999999988</v>
      </c>
      <c r="M192" s="109"/>
      <c r="N192"/>
      <c r="O192" s="5"/>
      <c r="P192" s="5"/>
      <c r="Q192" s="5"/>
      <c r="R192" s="5"/>
      <c r="S192" s="5"/>
    </row>
    <row r="193" spans="1:19" s="16" customFormat="1" ht="15.75" customHeight="1" x14ac:dyDescent="0.25">
      <c r="A193" s="168"/>
      <c r="B193" s="165"/>
      <c r="C193" s="172"/>
      <c r="D193" s="248" t="s">
        <v>11208</v>
      </c>
      <c r="E193" s="169"/>
      <c r="F193" s="170"/>
      <c r="G193" s="171"/>
      <c r="H193" s="299"/>
      <c r="I193" s="299"/>
      <c r="J193" s="299"/>
      <c r="K193" s="176"/>
      <c r="M193" s="109"/>
      <c r="N193"/>
      <c r="O193" s="5"/>
      <c r="P193" s="5"/>
      <c r="Q193" s="5"/>
      <c r="R193" s="5"/>
      <c r="S193" s="5"/>
    </row>
    <row r="194" spans="1:19" s="16" customFormat="1" ht="15.75" customHeight="1" x14ac:dyDescent="0.25">
      <c r="A194" s="168" t="s">
        <v>158</v>
      </c>
      <c r="B194" s="166" t="s">
        <v>166</v>
      </c>
      <c r="C194" s="166">
        <v>89402</v>
      </c>
      <c r="D194" s="264" t="s">
        <v>11209</v>
      </c>
      <c r="E194" s="169" t="s">
        <v>47</v>
      </c>
      <c r="F194" s="170">
        <f>VLOOKUP(A194,MC!$A$10:'MC'!$J$2901,9,FALSE)</f>
        <v>62.94</v>
      </c>
      <c r="G194" s="171">
        <f>VLOOKUP(C194,Serviço02!$A$1:$D$6699,4,FALSE)</f>
        <v>7.17</v>
      </c>
      <c r="H194" s="171">
        <f>G194</f>
        <v>7.17</v>
      </c>
      <c r="I194" s="300">
        <f>BDI!$F$21</f>
        <v>0.21299999999999999</v>
      </c>
      <c r="J194" s="301">
        <f t="shared" ref="J194:J197" si="67">ROUND(H194*(1+I194),2)</f>
        <v>8.6999999999999993</v>
      </c>
      <c r="K194" s="302">
        <f t="shared" ref="K194:K197" si="68">ROUND(F194*J194,2)</f>
        <v>547.58000000000004</v>
      </c>
      <c r="M194" s="109"/>
      <c r="N194"/>
      <c r="O194" s="5"/>
      <c r="P194" s="5"/>
      <c r="Q194" s="5"/>
      <c r="R194" s="5"/>
      <c r="S194" s="5"/>
    </row>
    <row r="195" spans="1:19" s="16" customFormat="1" ht="15.75" customHeight="1" x14ac:dyDescent="0.25">
      <c r="A195" s="168" t="s">
        <v>159</v>
      </c>
      <c r="B195" s="166" t="s">
        <v>166</v>
      </c>
      <c r="C195" s="166">
        <v>89357</v>
      </c>
      <c r="D195" s="264" t="s">
        <v>11175</v>
      </c>
      <c r="E195" s="169" t="s">
        <v>47</v>
      </c>
      <c r="F195" s="170">
        <f>VLOOKUP(A195,MC!$A$10:'MC'!$J$2901,9,FALSE)</f>
        <v>55.09</v>
      </c>
      <c r="G195" s="171">
        <f>VLOOKUP(C195,Serviço02!$A$1:$D$6699,4,FALSE)</f>
        <v>22.73</v>
      </c>
      <c r="H195" s="171">
        <f t="shared" ref="H195:H201" si="69">G195</f>
        <v>22.73</v>
      </c>
      <c r="I195" s="300">
        <f>BDI!$F$21</f>
        <v>0.21299999999999999</v>
      </c>
      <c r="J195" s="301">
        <f t="shared" si="67"/>
        <v>27.57</v>
      </c>
      <c r="K195" s="302">
        <f t="shared" si="68"/>
        <v>1518.83</v>
      </c>
      <c r="M195" s="109"/>
      <c r="N195"/>
      <c r="O195" s="5"/>
      <c r="P195" s="5"/>
      <c r="Q195" s="5"/>
      <c r="R195" s="5"/>
      <c r="S195" s="5"/>
    </row>
    <row r="196" spans="1:19" s="16" customFormat="1" ht="15.75" customHeight="1" x14ac:dyDescent="0.25">
      <c r="A196" s="168" t="s">
        <v>191</v>
      </c>
      <c r="B196" s="166" t="s">
        <v>166</v>
      </c>
      <c r="C196" s="166">
        <v>89448</v>
      </c>
      <c r="D196" s="264" t="s">
        <v>11210</v>
      </c>
      <c r="E196" s="169" t="s">
        <v>47</v>
      </c>
      <c r="F196" s="170">
        <f>VLOOKUP(A196,MC!$A$10:'MC'!$J$2901,9,FALSE)</f>
        <v>0.9</v>
      </c>
      <c r="G196" s="171">
        <f>VLOOKUP(C196,Serviço02!$A$1:$D$6699,4,FALSE)</f>
        <v>11.23</v>
      </c>
      <c r="H196" s="171">
        <f t="shared" si="69"/>
        <v>11.23</v>
      </c>
      <c r="I196" s="300">
        <f>BDI!$F$21</f>
        <v>0.21299999999999999</v>
      </c>
      <c r="J196" s="301">
        <f t="shared" si="67"/>
        <v>13.62</v>
      </c>
      <c r="K196" s="302">
        <f t="shared" si="68"/>
        <v>12.26</v>
      </c>
      <c r="M196" s="109"/>
      <c r="N196"/>
      <c r="O196" s="5"/>
      <c r="P196" s="5"/>
      <c r="Q196" s="5"/>
      <c r="R196" s="5"/>
      <c r="S196" s="5"/>
    </row>
    <row r="197" spans="1:19" s="16" customFormat="1" ht="15.75" customHeight="1" x14ac:dyDescent="0.25">
      <c r="A197" s="168" t="s">
        <v>12089</v>
      </c>
      <c r="B197" s="166" t="s">
        <v>166</v>
      </c>
      <c r="C197" s="166">
        <v>89449</v>
      </c>
      <c r="D197" s="264" t="s">
        <v>11211</v>
      </c>
      <c r="E197" s="169" t="s">
        <v>47</v>
      </c>
      <c r="F197" s="170">
        <f>VLOOKUP(A197,MC!$A$10:'MC'!$J$2901,9,FALSE)</f>
        <v>1.7200000000000002</v>
      </c>
      <c r="G197" s="171">
        <f>VLOOKUP(C197,Serviço02!$A$1:$D$6699,4,FALSE)</f>
        <v>12.92</v>
      </c>
      <c r="H197" s="171">
        <f t="shared" si="69"/>
        <v>12.92</v>
      </c>
      <c r="I197" s="300">
        <f>BDI!$F$21</f>
        <v>0.21299999999999999</v>
      </c>
      <c r="J197" s="301">
        <f t="shared" si="67"/>
        <v>15.67</v>
      </c>
      <c r="K197" s="302">
        <f t="shared" si="68"/>
        <v>26.95</v>
      </c>
      <c r="M197" s="109"/>
      <c r="N197"/>
      <c r="O197" s="5"/>
      <c r="P197" s="5"/>
      <c r="Q197" s="5"/>
      <c r="R197" s="5"/>
      <c r="S197" s="5"/>
    </row>
    <row r="198" spans="1:19" s="16" customFormat="1" ht="15.75" customHeight="1" x14ac:dyDescent="0.25">
      <c r="A198" s="168"/>
      <c r="B198" s="165"/>
      <c r="C198" s="172"/>
      <c r="D198" s="248" t="s">
        <v>11229</v>
      </c>
      <c r="E198" s="169"/>
      <c r="F198" s="170"/>
      <c r="G198" s="171"/>
      <c r="H198" s="171"/>
      <c r="I198" s="299"/>
      <c r="J198" s="299"/>
      <c r="K198" s="176"/>
      <c r="M198" s="109"/>
      <c r="N198"/>
      <c r="O198" s="5"/>
      <c r="P198" s="5"/>
      <c r="Q198" s="5"/>
      <c r="R198" s="5"/>
      <c r="S198" s="5"/>
    </row>
    <row r="199" spans="1:19" s="16" customFormat="1" ht="25.5" x14ac:dyDescent="0.25">
      <c r="A199" s="168" t="s">
        <v>12090</v>
      </c>
      <c r="B199" s="166" t="s">
        <v>166</v>
      </c>
      <c r="C199" s="166">
        <v>89711</v>
      </c>
      <c r="D199" s="264" t="s">
        <v>11230</v>
      </c>
      <c r="E199" s="169" t="s">
        <v>47</v>
      </c>
      <c r="F199" s="170">
        <f>VLOOKUP(A199,MC!$A$10:'MC'!$J$2901,9,FALSE)</f>
        <v>17.809999999999999</v>
      </c>
      <c r="G199" s="171">
        <f>VLOOKUP(C199,Serviço02!$A$1:$D$6699,4,FALSE)</f>
        <v>14.09</v>
      </c>
      <c r="H199" s="171">
        <f t="shared" si="69"/>
        <v>14.09</v>
      </c>
      <c r="I199" s="300">
        <f>BDI!$F$21</f>
        <v>0.21299999999999999</v>
      </c>
      <c r="J199" s="301">
        <f t="shared" ref="J199:J201" si="70">ROUND(H199*(1+I199),2)</f>
        <v>17.09</v>
      </c>
      <c r="K199" s="302">
        <f t="shared" ref="K199:K201" si="71">ROUND(F199*J199,2)</f>
        <v>304.37</v>
      </c>
      <c r="M199" s="109"/>
      <c r="N199" s="5"/>
      <c r="O199" s="5"/>
      <c r="P199" s="5"/>
      <c r="Q199" s="5"/>
      <c r="R199" s="5"/>
      <c r="S199" s="5"/>
    </row>
    <row r="200" spans="1:19" s="16" customFormat="1" ht="25.5" x14ac:dyDescent="0.25">
      <c r="A200" s="168" t="s">
        <v>12091</v>
      </c>
      <c r="B200" s="166" t="s">
        <v>166</v>
      </c>
      <c r="C200" s="166">
        <v>89712</v>
      </c>
      <c r="D200" s="264" t="s">
        <v>11231</v>
      </c>
      <c r="E200" s="169" t="s">
        <v>47</v>
      </c>
      <c r="F200" s="170">
        <f>VLOOKUP(A200,MC!$A$10:'MC'!$J$2901,9,FALSE)</f>
        <v>31.02</v>
      </c>
      <c r="G200" s="171">
        <f>VLOOKUP(C200,Serviço02!$A$1:$D$6699,4,FALSE)</f>
        <v>20.71</v>
      </c>
      <c r="H200" s="171">
        <f t="shared" si="69"/>
        <v>20.71</v>
      </c>
      <c r="I200" s="300">
        <f>BDI!$F$21</f>
        <v>0.21299999999999999</v>
      </c>
      <c r="J200" s="301">
        <f t="shared" si="70"/>
        <v>25.12</v>
      </c>
      <c r="K200" s="302">
        <f t="shared" si="71"/>
        <v>779.22</v>
      </c>
      <c r="M200" s="109"/>
      <c r="N200"/>
      <c r="O200" s="5"/>
      <c r="P200" s="5"/>
      <c r="Q200" s="5"/>
      <c r="R200" s="5"/>
      <c r="S200" s="5"/>
    </row>
    <row r="201" spans="1:19" s="16" customFormat="1" ht="26.25" thickBot="1" x14ac:dyDescent="0.3">
      <c r="A201" s="168" t="s">
        <v>12092</v>
      </c>
      <c r="B201" s="166" t="s">
        <v>166</v>
      </c>
      <c r="C201" s="166">
        <v>89714</v>
      </c>
      <c r="D201" s="264" t="s">
        <v>11170</v>
      </c>
      <c r="E201" s="169" t="s">
        <v>47</v>
      </c>
      <c r="F201" s="170">
        <f>VLOOKUP(A201,MC!$A$10:'MC'!$J$2901,9,FALSE)</f>
        <v>119.64</v>
      </c>
      <c r="G201" s="171">
        <f>VLOOKUP(C201,Serviço02!$A$1:$D$6699,4,FALSE)</f>
        <v>40.590000000000003</v>
      </c>
      <c r="H201" s="171">
        <f t="shared" si="69"/>
        <v>40.590000000000003</v>
      </c>
      <c r="I201" s="300">
        <f>BDI!$F$21</f>
        <v>0.21299999999999999</v>
      </c>
      <c r="J201" s="301">
        <f t="shared" si="70"/>
        <v>49.24</v>
      </c>
      <c r="K201" s="302">
        <f t="shared" si="71"/>
        <v>5891.07</v>
      </c>
      <c r="M201" s="109"/>
      <c r="N201"/>
      <c r="O201" s="5"/>
      <c r="P201" s="5"/>
      <c r="Q201" s="5"/>
      <c r="R201" s="5"/>
      <c r="S201" s="5"/>
    </row>
    <row r="202" spans="1:19" ht="16.5" thickBot="1" x14ac:dyDescent="0.3">
      <c r="A202" s="696"/>
      <c r="B202" s="697"/>
      <c r="C202" s="697"/>
      <c r="D202" s="697"/>
      <c r="E202" s="697"/>
      <c r="F202" s="697"/>
      <c r="G202" s="25"/>
      <c r="H202" s="25"/>
      <c r="I202" s="25"/>
      <c r="J202" s="25"/>
      <c r="K202" s="27"/>
      <c r="N202"/>
      <c r="O202" s="5"/>
      <c r="P202" s="5"/>
      <c r="Q202" s="5"/>
      <c r="R202" s="5"/>
      <c r="S202" s="5"/>
    </row>
    <row r="203" spans="1:19" s="16" customFormat="1" ht="15.75" customHeight="1" thickBot="1" x14ac:dyDescent="0.3">
      <c r="A203" s="20" t="s">
        <v>161</v>
      </c>
      <c r="B203" s="21"/>
      <c r="C203" s="21"/>
      <c r="D203" s="21" t="s">
        <v>199</v>
      </c>
      <c r="E203" s="21"/>
      <c r="F203" s="21"/>
      <c r="G203" s="21"/>
      <c r="H203" s="21"/>
      <c r="I203" s="21"/>
      <c r="J203" s="21"/>
      <c r="K203" s="167">
        <f>SUM(K204:K229)</f>
        <v>1344.98</v>
      </c>
      <c r="M203" s="109"/>
      <c r="N203"/>
      <c r="O203" s="5"/>
      <c r="P203" s="5"/>
      <c r="Q203" s="5"/>
      <c r="R203" s="5"/>
      <c r="S203" s="5"/>
    </row>
    <row r="204" spans="1:19" s="16" customFormat="1" ht="15.75" customHeight="1" x14ac:dyDescent="0.25">
      <c r="A204" s="168"/>
      <c r="B204" s="165"/>
      <c r="C204" s="172"/>
      <c r="D204" s="248" t="s">
        <v>11208</v>
      </c>
      <c r="E204" s="169"/>
      <c r="F204" s="170"/>
      <c r="G204" s="171"/>
      <c r="H204" s="299"/>
      <c r="I204" s="299"/>
      <c r="J204" s="299"/>
      <c r="K204" s="176"/>
      <c r="M204" s="109"/>
      <c r="N204"/>
      <c r="O204" s="5"/>
      <c r="P204" s="5"/>
      <c r="Q204" s="5"/>
      <c r="R204" s="5"/>
      <c r="S204" s="5"/>
    </row>
    <row r="205" spans="1:19" s="599" customFormat="1" ht="25.5" x14ac:dyDescent="0.25">
      <c r="A205" s="593" t="s">
        <v>162</v>
      </c>
      <c r="B205" s="266" t="s">
        <v>22</v>
      </c>
      <c r="C205" s="266" t="str">
        <f>CPU!A955</f>
        <v>CPU-34</v>
      </c>
      <c r="D205" s="264" t="s">
        <v>11809</v>
      </c>
      <c r="E205" s="267" t="s">
        <v>10884</v>
      </c>
      <c r="F205" s="594">
        <f>VLOOKUP(A205,MC!$A$10:'MC'!$J$2901,9,FALSE)</f>
        <v>2</v>
      </c>
      <c r="G205" s="577">
        <f>CPU!F982</f>
        <v>5.99</v>
      </c>
      <c r="H205" s="581">
        <f>G205</f>
        <v>5.99</v>
      </c>
      <c r="I205" s="596">
        <f>BDI!$F$21</f>
        <v>0.21299999999999999</v>
      </c>
      <c r="J205" s="597">
        <f t="shared" ref="J205:J218" si="72">ROUND(H205*(1+I205),2)</f>
        <v>7.27</v>
      </c>
      <c r="K205" s="598">
        <f t="shared" ref="K205:K218" si="73">ROUND(F205*J205,2)</f>
        <v>14.54</v>
      </c>
      <c r="M205" s="600"/>
      <c r="N205" s="601"/>
      <c r="O205" s="602"/>
      <c r="P205" s="602"/>
      <c r="Q205" s="602"/>
      <c r="R205" s="602"/>
      <c r="S205" s="602"/>
    </row>
    <row r="206" spans="1:19" s="16" customFormat="1" ht="25.5" x14ac:dyDescent="0.25">
      <c r="A206" s="168" t="s">
        <v>12093</v>
      </c>
      <c r="B206" s="166" t="s">
        <v>166</v>
      </c>
      <c r="C206" s="166">
        <v>90375</v>
      </c>
      <c r="D206" s="264" t="s">
        <v>11808</v>
      </c>
      <c r="E206" s="169" t="s">
        <v>10884</v>
      </c>
      <c r="F206" s="170">
        <f>VLOOKUP(A206,MC!$A$10:'MC'!$J$2901,9,FALSE)</f>
        <v>1</v>
      </c>
      <c r="G206" s="171">
        <f>VLOOKUP(C206,Serviço02!$A$1:$D$6699,4,FALSE)</f>
        <v>6.81</v>
      </c>
      <c r="H206" s="581">
        <f t="shared" ref="H206:H229" si="74">G206</f>
        <v>6.81</v>
      </c>
      <c r="I206" s="300">
        <f>BDI!$F$21</f>
        <v>0.21299999999999999</v>
      </c>
      <c r="J206" s="301">
        <f t="shared" si="72"/>
        <v>8.26</v>
      </c>
      <c r="K206" s="302">
        <f t="shared" si="73"/>
        <v>8.26</v>
      </c>
      <c r="M206" s="109"/>
      <c r="N206"/>
      <c r="O206" s="5"/>
      <c r="P206" s="5"/>
      <c r="Q206" s="5"/>
      <c r="R206" s="5"/>
      <c r="S206" s="5"/>
    </row>
    <row r="207" spans="1:19" s="599" customFormat="1" ht="25.5" x14ac:dyDescent="0.25">
      <c r="A207" s="593" t="s">
        <v>12094</v>
      </c>
      <c r="B207" s="266" t="s">
        <v>22</v>
      </c>
      <c r="C207" s="266" t="str">
        <f>CPU!A984</f>
        <v>CPU-35</v>
      </c>
      <c r="D207" s="264" t="s">
        <v>11810</v>
      </c>
      <c r="E207" s="267" t="s">
        <v>10884</v>
      </c>
      <c r="F207" s="594">
        <f>VLOOKUP(A207,MC!$A$10:'MC'!$J$2901,9,FALSE)</f>
        <v>2</v>
      </c>
      <c r="G207" s="577">
        <f>CPU!F1011</f>
        <v>7.86</v>
      </c>
      <c r="H207" s="581">
        <f t="shared" si="74"/>
        <v>7.86</v>
      </c>
      <c r="I207" s="596">
        <f>BDI!$F$21</f>
        <v>0.21299999999999999</v>
      </c>
      <c r="J207" s="597">
        <f t="shared" si="72"/>
        <v>9.5299999999999994</v>
      </c>
      <c r="K207" s="598">
        <f t="shared" si="73"/>
        <v>19.059999999999999</v>
      </c>
      <c r="M207" s="600"/>
      <c r="N207" s="601"/>
      <c r="O207" s="602"/>
      <c r="P207" s="602"/>
      <c r="Q207" s="602"/>
      <c r="R207" s="602"/>
      <c r="S207" s="602"/>
    </row>
    <row r="208" spans="1:19" s="16" customFormat="1" ht="30" customHeight="1" x14ac:dyDescent="0.25">
      <c r="A208" s="168" t="s">
        <v>12095</v>
      </c>
      <c r="B208" s="166" t="s">
        <v>166</v>
      </c>
      <c r="C208" s="166">
        <v>89362</v>
      </c>
      <c r="D208" s="264" t="s">
        <v>11212</v>
      </c>
      <c r="E208" s="169" t="s">
        <v>10884</v>
      </c>
      <c r="F208" s="170">
        <f>VLOOKUP(A208,MC!$A$10:'MC'!$J$2901,9,FALSE)</f>
        <v>25</v>
      </c>
      <c r="G208" s="171">
        <f>VLOOKUP(C208,Serviço02!$A$1:$D$6699,4,FALSE)</f>
        <v>6.64</v>
      </c>
      <c r="H208" s="581">
        <f t="shared" si="74"/>
        <v>6.64</v>
      </c>
      <c r="I208" s="300">
        <f>BDI!$F$21</f>
        <v>0.21299999999999999</v>
      </c>
      <c r="J208" s="301">
        <f t="shared" si="72"/>
        <v>8.0500000000000007</v>
      </c>
      <c r="K208" s="302">
        <f t="shared" si="73"/>
        <v>201.25</v>
      </c>
      <c r="M208" s="109"/>
      <c r="N208"/>
      <c r="O208" s="5"/>
      <c r="P208" s="5"/>
      <c r="Q208" s="5"/>
      <c r="R208" s="5"/>
      <c r="S208" s="5"/>
    </row>
    <row r="209" spans="1:19" s="16" customFormat="1" ht="30" customHeight="1" x14ac:dyDescent="0.25">
      <c r="A209" s="168" t="s">
        <v>12096</v>
      </c>
      <c r="B209" s="166" t="s">
        <v>166</v>
      </c>
      <c r="C209" s="166">
        <v>89413</v>
      </c>
      <c r="D209" s="264" t="s">
        <v>11213</v>
      </c>
      <c r="E209" s="169" t="s">
        <v>10884</v>
      </c>
      <c r="F209" s="170">
        <f>VLOOKUP(A209,MC!$A$10:'MC'!$J$2901,9,FALSE)</f>
        <v>11</v>
      </c>
      <c r="G209" s="171">
        <f>VLOOKUP(C209,Serviço02!$A$1:$D$6699,4,FALSE)</f>
        <v>6.53</v>
      </c>
      <c r="H209" s="581">
        <f t="shared" si="74"/>
        <v>6.53</v>
      </c>
      <c r="I209" s="300">
        <f>BDI!$F$21</f>
        <v>0.21299999999999999</v>
      </c>
      <c r="J209" s="301">
        <f t="shared" si="72"/>
        <v>7.92</v>
      </c>
      <c r="K209" s="302">
        <f t="shared" si="73"/>
        <v>87.12</v>
      </c>
      <c r="M209" s="109"/>
      <c r="N209"/>
      <c r="O209" s="5"/>
      <c r="P209" s="5"/>
      <c r="Q209" s="5"/>
      <c r="R209" s="5"/>
      <c r="S209" s="5"/>
    </row>
    <row r="210" spans="1:19" s="16" customFormat="1" ht="15.75" customHeight="1" x14ac:dyDescent="0.25">
      <c r="A210" s="168" t="s">
        <v>12097</v>
      </c>
      <c r="B210" s="166" t="s">
        <v>166</v>
      </c>
      <c r="C210" s="166">
        <v>89497</v>
      </c>
      <c r="D210" s="264" t="s">
        <v>11214</v>
      </c>
      <c r="E210" s="169" t="s">
        <v>10884</v>
      </c>
      <c r="F210" s="170">
        <f>VLOOKUP(A210,MC!$A$10:'MC'!$J$2901,9,FALSE)</f>
        <v>1</v>
      </c>
      <c r="G210" s="171">
        <f>VLOOKUP(C210,Serviço02!$A$1:$D$6699,4,FALSE)</f>
        <v>8.61</v>
      </c>
      <c r="H210" s="581">
        <f t="shared" si="74"/>
        <v>8.61</v>
      </c>
      <c r="I210" s="300">
        <f>BDI!$F$21</f>
        <v>0.21299999999999999</v>
      </c>
      <c r="J210" s="301">
        <f t="shared" si="72"/>
        <v>10.44</v>
      </c>
      <c r="K210" s="302">
        <f t="shared" si="73"/>
        <v>10.44</v>
      </c>
      <c r="M210" s="109"/>
      <c r="N210"/>
      <c r="O210" s="5"/>
      <c r="P210" s="5"/>
      <c r="Q210" s="5"/>
      <c r="R210" s="5"/>
      <c r="S210" s="5"/>
    </row>
    <row r="211" spans="1:19" s="16" customFormat="1" ht="15.75" customHeight="1" x14ac:dyDescent="0.25">
      <c r="A211" s="168" t="s">
        <v>12098</v>
      </c>
      <c r="B211" s="166" t="s">
        <v>166</v>
      </c>
      <c r="C211" s="166">
        <v>89501</v>
      </c>
      <c r="D211" s="264" t="s">
        <v>11215</v>
      </c>
      <c r="E211" s="169" t="s">
        <v>10884</v>
      </c>
      <c r="F211" s="170">
        <f>VLOOKUP(A211,MC!$A$10:'MC'!$J$2901,9,FALSE)</f>
        <v>1</v>
      </c>
      <c r="G211" s="171">
        <f>VLOOKUP(C211,Serviço02!$A$1:$D$6699,4,FALSE)</f>
        <v>10.33</v>
      </c>
      <c r="H211" s="581">
        <f t="shared" si="74"/>
        <v>10.33</v>
      </c>
      <c r="I211" s="300">
        <f>BDI!$F$21</f>
        <v>0.21299999999999999</v>
      </c>
      <c r="J211" s="301">
        <f t="shared" si="72"/>
        <v>12.53</v>
      </c>
      <c r="K211" s="302">
        <f t="shared" si="73"/>
        <v>12.53</v>
      </c>
      <c r="M211" s="109"/>
      <c r="N211"/>
      <c r="O211" s="5"/>
      <c r="P211" s="5"/>
      <c r="Q211" s="5"/>
      <c r="R211" s="5"/>
      <c r="S211" s="5"/>
    </row>
    <row r="212" spans="1:19" s="16" customFormat="1" ht="25.5" x14ac:dyDescent="0.25">
      <c r="A212" s="168" t="s">
        <v>12099</v>
      </c>
      <c r="B212" s="266" t="s">
        <v>166</v>
      </c>
      <c r="C212" s="266">
        <v>90373</v>
      </c>
      <c r="D212" s="264" t="s">
        <v>11216</v>
      </c>
      <c r="E212" s="267" t="s">
        <v>10884</v>
      </c>
      <c r="F212" s="170">
        <f>VLOOKUP(A212,MC!$A$10:'MC'!$J$2901,9,FALSE)</f>
        <v>16</v>
      </c>
      <c r="G212" s="171">
        <f>VLOOKUP(C212,Serviço02!$A$1:$D$6699,4,FALSE)</f>
        <v>10.99</v>
      </c>
      <c r="H212" s="581">
        <f t="shared" si="74"/>
        <v>10.99</v>
      </c>
      <c r="I212" s="300">
        <f>BDI!$F$21</f>
        <v>0.21299999999999999</v>
      </c>
      <c r="J212" s="301">
        <f t="shared" si="72"/>
        <v>13.33</v>
      </c>
      <c r="K212" s="302">
        <f t="shared" si="73"/>
        <v>213.28</v>
      </c>
      <c r="M212" s="109"/>
      <c r="N212"/>
      <c r="O212" s="5"/>
      <c r="P212" s="5"/>
      <c r="Q212" s="5"/>
      <c r="R212" s="5"/>
      <c r="S212" s="5"/>
    </row>
    <row r="213" spans="1:19" s="599" customFormat="1" ht="15.75" customHeight="1" x14ac:dyDescent="0.25">
      <c r="A213" s="593" t="s">
        <v>12100</v>
      </c>
      <c r="B213" s="266" t="s">
        <v>22</v>
      </c>
      <c r="C213" s="607" t="str">
        <f>CPU!A1013</f>
        <v>CPU-36</v>
      </c>
      <c r="D213" s="264" t="s">
        <v>11218</v>
      </c>
      <c r="E213" s="267" t="s">
        <v>10884</v>
      </c>
      <c r="F213" s="594">
        <f>VLOOKUP(A213,MC!$A$10:'MC'!$J$2901,9,FALSE)</f>
        <v>2</v>
      </c>
      <c r="G213" s="577">
        <f>CPU!F1038</f>
        <v>9.77</v>
      </c>
      <c r="H213" s="581">
        <f t="shared" si="74"/>
        <v>9.77</v>
      </c>
      <c r="I213" s="596">
        <f>BDI!$F$21</f>
        <v>0.21299999999999999</v>
      </c>
      <c r="J213" s="597">
        <f t="shared" si="72"/>
        <v>11.85</v>
      </c>
      <c r="K213" s="598">
        <f t="shared" si="73"/>
        <v>23.7</v>
      </c>
      <c r="M213" s="600"/>
      <c r="N213" s="601"/>
      <c r="O213" s="602"/>
      <c r="P213" s="602"/>
      <c r="Q213" s="602"/>
      <c r="R213" s="602"/>
      <c r="S213" s="602"/>
    </row>
    <row r="214" spans="1:19" s="16" customFormat="1" ht="15.75" customHeight="1" x14ac:dyDescent="0.25">
      <c r="A214" s="168" t="s">
        <v>12101</v>
      </c>
      <c r="B214" s="166" t="s">
        <v>166</v>
      </c>
      <c r="C214" s="166">
        <v>89400</v>
      </c>
      <c r="D214" s="264" t="s">
        <v>11222</v>
      </c>
      <c r="E214" s="169" t="s">
        <v>10884</v>
      </c>
      <c r="F214" s="170">
        <f>VLOOKUP(A214,MC!$A$10:'MC'!$J$2901,9,FALSE)</f>
        <v>4</v>
      </c>
      <c r="G214" s="171">
        <f>VLOOKUP(C214,Serviço02!$A$1:$D$6699,4,FALSE)</f>
        <v>14.94</v>
      </c>
      <c r="H214" s="581">
        <f t="shared" si="74"/>
        <v>14.94</v>
      </c>
      <c r="I214" s="300">
        <f>BDI!$F$21</f>
        <v>0.21299999999999999</v>
      </c>
      <c r="J214" s="301">
        <f t="shared" si="72"/>
        <v>18.12</v>
      </c>
      <c r="K214" s="302">
        <f t="shared" si="73"/>
        <v>72.48</v>
      </c>
      <c r="M214" s="109"/>
      <c r="N214"/>
      <c r="O214" s="5"/>
      <c r="P214" s="5"/>
      <c r="Q214" s="5"/>
      <c r="R214" s="5"/>
      <c r="S214" s="5"/>
    </row>
    <row r="215" spans="1:19" s="16" customFormat="1" ht="15.75" customHeight="1" x14ac:dyDescent="0.25">
      <c r="A215" s="168" t="s">
        <v>12102</v>
      </c>
      <c r="B215" s="166" t="s">
        <v>166</v>
      </c>
      <c r="C215" s="166">
        <v>89626</v>
      </c>
      <c r="D215" s="264" t="s">
        <v>11223</v>
      </c>
      <c r="E215" s="169" t="s">
        <v>10884</v>
      </c>
      <c r="F215" s="170">
        <f>VLOOKUP(A215,MC!$A$10:'MC'!$J$2901,9,FALSE)</f>
        <v>1</v>
      </c>
      <c r="G215" s="171">
        <f>VLOOKUP(C215,Serviço02!$A$1:$D$6699,4,FALSE)</f>
        <v>22.45</v>
      </c>
      <c r="H215" s="581">
        <f t="shared" si="74"/>
        <v>22.45</v>
      </c>
      <c r="I215" s="300">
        <f>BDI!$F$21</f>
        <v>0.21299999999999999</v>
      </c>
      <c r="J215" s="301">
        <f t="shared" si="72"/>
        <v>27.23</v>
      </c>
      <c r="K215" s="302">
        <f t="shared" si="73"/>
        <v>27.23</v>
      </c>
      <c r="M215" s="109"/>
      <c r="N215"/>
      <c r="O215" s="5"/>
      <c r="P215" s="5"/>
      <c r="Q215" s="5"/>
      <c r="R215" s="5"/>
      <c r="S215" s="5"/>
    </row>
    <row r="216" spans="1:19" s="16" customFormat="1" ht="15.75" customHeight="1" x14ac:dyDescent="0.25">
      <c r="A216" s="168" t="s">
        <v>12103</v>
      </c>
      <c r="B216" s="166" t="s">
        <v>166</v>
      </c>
      <c r="C216" s="166">
        <v>89395</v>
      </c>
      <c r="D216" s="264" t="s">
        <v>11225</v>
      </c>
      <c r="E216" s="169" t="s">
        <v>10884</v>
      </c>
      <c r="F216" s="170">
        <f>VLOOKUP(A216,MC!$A$10:'MC'!$J$2901,9,FALSE)</f>
        <v>9</v>
      </c>
      <c r="G216" s="171">
        <f>VLOOKUP(C216,Serviço02!$A$1:$D$6699,4,FALSE)</f>
        <v>9.24</v>
      </c>
      <c r="H216" s="581">
        <f t="shared" si="74"/>
        <v>9.24</v>
      </c>
      <c r="I216" s="300">
        <f>BDI!$F$21</f>
        <v>0.21299999999999999</v>
      </c>
      <c r="J216" s="301">
        <f t="shared" si="72"/>
        <v>11.21</v>
      </c>
      <c r="K216" s="302">
        <f t="shared" si="73"/>
        <v>100.89</v>
      </c>
      <c r="M216" s="109"/>
      <c r="N216"/>
      <c r="O216" s="5"/>
      <c r="P216" s="5"/>
      <c r="Q216" s="5"/>
      <c r="R216" s="5"/>
      <c r="S216" s="5"/>
    </row>
    <row r="217" spans="1:19" s="16" customFormat="1" ht="15.75" customHeight="1" x14ac:dyDescent="0.25">
      <c r="A217" s="168" t="s">
        <v>12104</v>
      </c>
      <c r="B217" s="166" t="s">
        <v>166</v>
      </c>
      <c r="C217" s="166">
        <v>89398</v>
      </c>
      <c r="D217" s="264" t="s">
        <v>11226</v>
      </c>
      <c r="E217" s="169" t="s">
        <v>10884</v>
      </c>
      <c r="F217" s="170">
        <f>VLOOKUP(A217,MC!$A$10:'MC'!$J$2901,9,FALSE)</f>
        <v>3</v>
      </c>
      <c r="G217" s="171">
        <f>VLOOKUP(C217,Serviço02!$A$1:$D$6699,4,FALSE)</f>
        <v>13.33</v>
      </c>
      <c r="H217" s="581">
        <f t="shared" si="74"/>
        <v>13.33</v>
      </c>
      <c r="I217" s="300">
        <f>BDI!$F$21</f>
        <v>0.21299999999999999</v>
      </c>
      <c r="J217" s="301">
        <f t="shared" si="72"/>
        <v>16.170000000000002</v>
      </c>
      <c r="K217" s="302">
        <f t="shared" si="73"/>
        <v>48.51</v>
      </c>
      <c r="M217" s="109"/>
      <c r="N217"/>
      <c r="O217" s="5"/>
      <c r="P217" s="5"/>
      <c r="Q217" s="5"/>
      <c r="R217" s="5"/>
      <c r="S217" s="5"/>
    </row>
    <row r="218" spans="1:19" s="16" customFormat="1" ht="25.5" x14ac:dyDescent="0.25">
      <c r="A218" s="168" t="s">
        <v>12105</v>
      </c>
      <c r="B218" s="166" t="s">
        <v>166</v>
      </c>
      <c r="C218" s="166">
        <v>90374</v>
      </c>
      <c r="D218" s="264" t="s">
        <v>11227</v>
      </c>
      <c r="E218" s="169" t="s">
        <v>10884</v>
      </c>
      <c r="F218" s="170">
        <f>VLOOKUP(A218,MC!$A$10:'MC'!$J$2901,9,FALSE)</f>
        <v>1</v>
      </c>
      <c r="G218" s="171">
        <f>VLOOKUP(C218,Serviço02!$A$1:$D$6699,4,FALSE)</f>
        <v>17.12</v>
      </c>
      <c r="H218" s="581">
        <f t="shared" si="74"/>
        <v>17.12</v>
      </c>
      <c r="I218" s="300">
        <f>BDI!$F$21</f>
        <v>0.21299999999999999</v>
      </c>
      <c r="J218" s="301">
        <f t="shared" si="72"/>
        <v>20.77</v>
      </c>
      <c r="K218" s="302">
        <f t="shared" si="73"/>
        <v>20.77</v>
      </c>
      <c r="M218" s="109"/>
      <c r="N218"/>
      <c r="O218" s="5"/>
      <c r="P218" s="5"/>
      <c r="Q218" s="5"/>
      <c r="R218" s="5"/>
      <c r="S218" s="5"/>
    </row>
    <row r="219" spans="1:19" s="16" customFormat="1" ht="15.75" customHeight="1" x14ac:dyDescent="0.25">
      <c r="A219" s="168"/>
      <c r="B219" s="166"/>
      <c r="C219" s="166"/>
      <c r="D219" s="638" t="s">
        <v>11229</v>
      </c>
      <c r="E219" s="169"/>
      <c r="F219" s="170"/>
      <c r="G219" s="171"/>
      <c r="H219" s="581"/>
      <c r="I219" s="299"/>
      <c r="J219" s="299"/>
      <c r="K219" s="176"/>
      <c r="M219" s="109"/>
      <c r="N219"/>
      <c r="O219" s="5"/>
      <c r="P219" s="5"/>
      <c r="Q219" s="5"/>
      <c r="R219" s="5"/>
      <c r="S219" s="5"/>
    </row>
    <row r="220" spans="1:19" s="16" customFormat="1" ht="25.5" x14ac:dyDescent="0.25">
      <c r="A220" s="168" t="s">
        <v>12106</v>
      </c>
      <c r="B220" s="166" t="s">
        <v>166</v>
      </c>
      <c r="C220" s="166">
        <v>89726</v>
      </c>
      <c r="D220" s="264" t="s">
        <v>11232</v>
      </c>
      <c r="E220" s="169" t="s">
        <v>10884</v>
      </c>
      <c r="F220" s="170">
        <f>VLOOKUP(A220,MC!$A$10:'MC'!$J$2901,9,FALSE)</f>
        <v>6</v>
      </c>
      <c r="G220" s="171">
        <f>VLOOKUP(C220,Serviço02!$A$1:$D$6699,4,FALSE)</f>
        <v>5.39</v>
      </c>
      <c r="H220" s="581">
        <f t="shared" si="74"/>
        <v>5.39</v>
      </c>
      <c r="I220" s="300">
        <f>BDI!$F$21</f>
        <v>0.21299999999999999</v>
      </c>
      <c r="J220" s="301">
        <f t="shared" ref="J220:J229" si="75">ROUND(H220*(1+I220),2)</f>
        <v>6.54</v>
      </c>
      <c r="K220" s="302">
        <f t="shared" ref="K220:K229" si="76">ROUND(F220*J220,2)</f>
        <v>39.24</v>
      </c>
      <c r="M220" s="109"/>
      <c r="N220"/>
      <c r="O220" s="5"/>
      <c r="P220" s="5"/>
      <c r="Q220" s="5"/>
      <c r="R220" s="5"/>
      <c r="S220" s="5"/>
    </row>
    <row r="221" spans="1:19" s="16" customFormat="1" ht="25.5" x14ac:dyDescent="0.25">
      <c r="A221" s="168" t="s">
        <v>12107</v>
      </c>
      <c r="B221" s="166" t="s">
        <v>166</v>
      </c>
      <c r="C221" s="166">
        <v>89802</v>
      </c>
      <c r="D221" s="264" t="s">
        <v>11234</v>
      </c>
      <c r="E221" s="169" t="s">
        <v>10884</v>
      </c>
      <c r="F221" s="170">
        <f>VLOOKUP(A221,MC!$A$10:'MC'!$J$2901,9,FALSE)</f>
        <v>1</v>
      </c>
      <c r="G221" s="171">
        <f>VLOOKUP(C221,Serviço02!$A$1:$D$6699,4,FALSE)</f>
        <v>5.14</v>
      </c>
      <c r="H221" s="581">
        <f t="shared" si="74"/>
        <v>5.14</v>
      </c>
      <c r="I221" s="300">
        <f>BDI!$F$21</f>
        <v>0.21299999999999999</v>
      </c>
      <c r="J221" s="301">
        <f t="shared" si="75"/>
        <v>6.23</v>
      </c>
      <c r="K221" s="302">
        <f t="shared" si="76"/>
        <v>6.23</v>
      </c>
      <c r="M221" s="109"/>
      <c r="N221"/>
      <c r="O221" s="5"/>
      <c r="P221" s="5"/>
      <c r="Q221" s="5"/>
      <c r="R221" s="5"/>
      <c r="S221" s="5"/>
    </row>
    <row r="222" spans="1:19" s="16" customFormat="1" ht="25.5" x14ac:dyDescent="0.25">
      <c r="A222" s="168" t="s">
        <v>12108</v>
      </c>
      <c r="B222" s="166" t="s">
        <v>166</v>
      </c>
      <c r="C222" s="166">
        <v>89810</v>
      </c>
      <c r="D222" s="264" t="s">
        <v>11233</v>
      </c>
      <c r="E222" s="169" t="s">
        <v>10884</v>
      </c>
      <c r="F222" s="170">
        <f>VLOOKUP(A222,MC!$A$10:'MC'!$J$2901,9,FALSE)</f>
        <v>1</v>
      </c>
      <c r="G222" s="171">
        <f>VLOOKUP(C222,Serviço02!$A$1:$D$6699,4,FALSE)</f>
        <v>12.76</v>
      </c>
      <c r="H222" s="581">
        <f t="shared" si="74"/>
        <v>12.76</v>
      </c>
      <c r="I222" s="300">
        <f>BDI!$F$21</f>
        <v>0.21299999999999999</v>
      </c>
      <c r="J222" s="301">
        <f t="shared" si="75"/>
        <v>15.48</v>
      </c>
      <c r="K222" s="302">
        <f t="shared" si="76"/>
        <v>15.48</v>
      </c>
      <c r="M222" s="109"/>
      <c r="N222"/>
      <c r="O222" s="5"/>
      <c r="P222" s="5"/>
      <c r="Q222" s="5"/>
      <c r="R222" s="5"/>
      <c r="S222" s="5"/>
    </row>
    <row r="223" spans="1:19" s="16" customFormat="1" ht="25.5" x14ac:dyDescent="0.25">
      <c r="A223" s="168" t="s">
        <v>12109</v>
      </c>
      <c r="B223" s="166" t="s">
        <v>166</v>
      </c>
      <c r="C223" s="166">
        <v>89724</v>
      </c>
      <c r="D223" s="264" t="s">
        <v>11235</v>
      </c>
      <c r="E223" s="169" t="s">
        <v>10884</v>
      </c>
      <c r="F223" s="170">
        <f>VLOOKUP(A223,MC!$A$10:'MC'!$J$2901,9,FALSE)</f>
        <v>6</v>
      </c>
      <c r="G223" s="171">
        <f>VLOOKUP(C223,Serviço02!$A$1:$D$6699,4,FALSE)</f>
        <v>7.03</v>
      </c>
      <c r="H223" s="581">
        <f t="shared" si="74"/>
        <v>7.03</v>
      </c>
      <c r="I223" s="300">
        <f>BDI!$F$21</f>
        <v>0.21299999999999999</v>
      </c>
      <c r="J223" s="301">
        <f t="shared" si="75"/>
        <v>8.5299999999999994</v>
      </c>
      <c r="K223" s="302">
        <f t="shared" si="76"/>
        <v>51.18</v>
      </c>
      <c r="M223" s="109"/>
      <c r="N223"/>
      <c r="O223" s="5"/>
      <c r="P223" s="5"/>
      <c r="Q223" s="5"/>
      <c r="R223" s="5"/>
      <c r="S223" s="5"/>
    </row>
    <row r="224" spans="1:19" s="16" customFormat="1" ht="25.5" x14ac:dyDescent="0.25">
      <c r="A224" s="168" t="s">
        <v>12110</v>
      </c>
      <c r="B224" s="166" t="s">
        <v>166</v>
      </c>
      <c r="C224" s="166">
        <v>89801</v>
      </c>
      <c r="D224" s="264" t="s">
        <v>11237</v>
      </c>
      <c r="E224" s="169" t="s">
        <v>10884</v>
      </c>
      <c r="F224" s="170">
        <f>VLOOKUP(A224,MC!$A$10:'MC'!$J$2901,9,FALSE)</f>
        <v>9</v>
      </c>
      <c r="G224" s="171">
        <f>VLOOKUP(C224,Serviço02!$A$1:$D$6699,4,FALSE)</f>
        <v>4.75</v>
      </c>
      <c r="H224" s="581">
        <f t="shared" si="74"/>
        <v>4.75</v>
      </c>
      <c r="I224" s="300">
        <f>BDI!$F$21</f>
        <v>0.21299999999999999</v>
      </c>
      <c r="J224" s="301">
        <f t="shared" si="75"/>
        <v>5.76</v>
      </c>
      <c r="K224" s="302">
        <f t="shared" si="76"/>
        <v>51.84</v>
      </c>
      <c r="M224" s="109"/>
      <c r="N224"/>
      <c r="O224" s="5"/>
      <c r="P224" s="5"/>
      <c r="Q224" s="5"/>
      <c r="R224" s="5"/>
      <c r="S224" s="5"/>
    </row>
    <row r="225" spans="1:19" s="16" customFormat="1" ht="25.5" x14ac:dyDescent="0.25">
      <c r="A225" s="168" t="s">
        <v>12111</v>
      </c>
      <c r="B225" s="166" t="s">
        <v>166</v>
      </c>
      <c r="C225" s="166">
        <v>89809</v>
      </c>
      <c r="D225" s="264" t="s">
        <v>11236</v>
      </c>
      <c r="E225" s="169" t="s">
        <v>10884</v>
      </c>
      <c r="F225" s="170">
        <f>VLOOKUP(A225,MC!$A$10:'MC'!$J$2901,9,FALSE)</f>
        <v>3</v>
      </c>
      <c r="G225" s="171">
        <f>VLOOKUP(C225,Serviço02!$A$1:$D$6699,4,FALSE)</f>
        <v>12.79</v>
      </c>
      <c r="H225" s="581">
        <f t="shared" si="74"/>
        <v>12.79</v>
      </c>
      <c r="I225" s="300">
        <f>BDI!$F$21</f>
        <v>0.21299999999999999</v>
      </c>
      <c r="J225" s="301">
        <f t="shared" si="75"/>
        <v>15.51</v>
      </c>
      <c r="K225" s="302">
        <f t="shared" si="76"/>
        <v>46.53</v>
      </c>
      <c r="M225" s="109"/>
      <c r="N225"/>
      <c r="O225" s="5"/>
      <c r="P225" s="5"/>
      <c r="Q225" s="5"/>
      <c r="R225" s="5"/>
      <c r="S225" s="5"/>
    </row>
    <row r="226" spans="1:19" s="599" customFormat="1" ht="15" x14ac:dyDescent="0.25">
      <c r="A226" s="593" t="s">
        <v>12112</v>
      </c>
      <c r="B226" s="266" t="s">
        <v>22</v>
      </c>
      <c r="C226" s="693" t="str">
        <f>CPU!A2108</f>
        <v>CPU-76</v>
      </c>
      <c r="D226" s="264" t="s">
        <v>11238</v>
      </c>
      <c r="E226" s="267" t="s">
        <v>10884</v>
      </c>
      <c r="F226" s="594">
        <f>VLOOKUP(A226,MC!$A$10:'MC'!$J$2901,9,FALSE)</f>
        <v>6</v>
      </c>
      <c r="G226" s="577">
        <f>CPU!F2134</f>
        <v>11.85</v>
      </c>
      <c r="H226" s="581">
        <f t="shared" si="74"/>
        <v>11.85</v>
      </c>
      <c r="I226" s="596">
        <f>BDI!$F$21</f>
        <v>0.21299999999999999</v>
      </c>
      <c r="J226" s="597">
        <f t="shared" si="75"/>
        <v>14.37</v>
      </c>
      <c r="K226" s="598">
        <f t="shared" si="76"/>
        <v>86.22</v>
      </c>
      <c r="M226" s="600"/>
      <c r="N226" s="601"/>
      <c r="O226" s="602"/>
      <c r="P226" s="602"/>
      <c r="Q226" s="602"/>
      <c r="R226" s="602"/>
      <c r="S226" s="602"/>
    </row>
    <row r="227" spans="1:19" s="599" customFormat="1" x14ac:dyDescent="0.25">
      <c r="A227" s="593" t="s">
        <v>12113</v>
      </c>
      <c r="B227" s="266" t="s">
        <v>22</v>
      </c>
      <c r="C227" s="266" t="str">
        <f>CPU!A1040</f>
        <v>CPU-37</v>
      </c>
      <c r="D227" s="264" t="s">
        <v>11823</v>
      </c>
      <c r="E227" s="267" t="s">
        <v>10884</v>
      </c>
      <c r="F227" s="594">
        <f>VLOOKUP(A227,MC!$A$10:'MC'!$J$2901,9,FALSE)</f>
        <v>3</v>
      </c>
      <c r="G227" s="577">
        <f>CPU!F1066</f>
        <v>28.16</v>
      </c>
      <c r="H227" s="581">
        <f t="shared" si="74"/>
        <v>28.16</v>
      </c>
      <c r="I227" s="596">
        <f>BDI!$F$21</f>
        <v>0.21299999999999999</v>
      </c>
      <c r="J227" s="597">
        <f t="shared" si="75"/>
        <v>34.159999999999997</v>
      </c>
      <c r="K227" s="598">
        <f t="shared" si="76"/>
        <v>102.48</v>
      </c>
      <c r="M227" s="600"/>
      <c r="N227" s="602"/>
      <c r="O227" s="602"/>
      <c r="P227" s="602"/>
      <c r="Q227" s="602"/>
      <c r="R227" s="602"/>
      <c r="S227" s="602"/>
    </row>
    <row r="228" spans="1:19" s="599" customFormat="1" ht="15.75" customHeight="1" x14ac:dyDescent="0.25">
      <c r="A228" s="593" t="s">
        <v>12114</v>
      </c>
      <c r="B228" s="266" t="s">
        <v>22</v>
      </c>
      <c r="C228" s="266" t="str">
        <f>CPU!A1068</f>
        <v>CPU-38</v>
      </c>
      <c r="D228" s="264" t="s">
        <v>11239</v>
      </c>
      <c r="E228" s="267" t="s">
        <v>10884</v>
      </c>
      <c r="F228" s="594">
        <f>VLOOKUP(A228,MC!$A$10:'MC'!$J$2901,9,FALSE)</f>
        <v>2</v>
      </c>
      <c r="G228" s="577">
        <f>CPU!F1093</f>
        <v>7.42</v>
      </c>
      <c r="H228" s="581">
        <f t="shared" si="74"/>
        <v>7.42</v>
      </c>
      <c r="I228" s="596">
        <f>BDI!$F$21</f>
        <v>0.21299999999999999</v>
      </c>
      <c r="J228" s="597">
        <f t="shared" si="75"/>
        <v>9</v>
      </c>
      <c r="K228" s="598">
        <f t="shared" si="76"/>
        <v>18</v>
      </c>
      <c r="M228" s="600"/>
      <c r="N228" s="601"/>
      <c r="O228" s="602"/>
      <c r="P228" s="602"/>
      <c r="Q228" s="602"/>
      <c r="R228" s="602"/>
      <c r="S228" s="602"/>
    </row>
    <row r="229" spans="1:19" s="16" customFormat="1" ht="26.25" thickBot="1" x14ac:dyDescent="0.3">
      <c r="A229" s="168" t="s">
        <v>12115</v>
      </c>
      <c r="B229" s="166" t="s">
        <v>166</v>
      </c>
      <c r="C229" s="166">
        <v>89784</v>
      </c>
      <c r="D229" s="608" t="s">
        <v>11240</v>
      </c>
      <c r="E229" s="169" t="s">
        <v>10884</v>
      </c>
      <c r="F229" s="170">
        <f>VLOOKUP(A229,MC!$A$10:'MC'!$J$2901,9,FALSE)</f>
        <v>4</v>
      </c>
      <c r="G229" s="171">
        <f>VLOOKUP(C229,Serviço02!$A$1:$D$6699,4,FALSE)</f>
        <v>13.96</v>
      </c>
      <c r="H229" s="581">
        <f t="shared" si="74"/>
        <v>13.96</v>
      </c>
      <c r="I229" s="300">
        <f>BDI!$F$21</f>
        <v>0.21299999999999999</v>
      </c>
      <c r="J229" s="301">
        <f t="shared" si="75"/>
        <v>16.93</v>
      </c>
      <c r="K229" s="302">
        <f t="shared" si="76"/>
        <v>67.72</v>
      </c>
      <c r="M229" s="109"/>
      <c r="N229"/>
      <c r="O229" s="5"/>
      <c r="P229" s="5"/>
      <c r="Q229" s="5"/>
      <c r="R229" s="5"/>
      <c r="S229" s="5"/>
    </row>
    <row r="230" spans="1:19" ht="16.5" thickBot="1" x14ac:dyDescent="0.3">
      <c r="A230" s="696"/>
      <c r="B230" s="697"/>
      <c r="C230" s="697"/>
      <c r="D230" s="697"/>
      <c r="E230" s="697"/>
      <c r="F230" s="697"/>
      <c r="G230" s="25"/>
      <c r="H230" s="25"/>
      <c r="I230" s="25"/>
      <c r="J230" s="25"/>
      <c r="K230" s="27"/>
      <c r="N230"/>
      <c r="O230" s="5"/>
      <c r="P230" s="5"/>
      <c r="Q230" s="5"/>
      <c r="R230" s="5"/>
      <c r="S230" s="5"/>
    </row>
    <row r="231" spans="1:19" s="16" customFormat="1" ht="15.75" customHeight="1" thickBot="1" x14ac:dyDescent="0.3">
      <c r="A231" s="20" t="s">
        <v>11146</v>
      </c>
      <c r="B231" s="21"/>
      <c r="C231" s="21"/>
      <c r="D231" s="21" t="s">
        <v>11228</v>
      </c>
      <c r="E231" s="21"/>
      <c r="F231" s="21"/>
      <c r="G231" s="21"/>
      <c r="H231" s="21"/>
      <c r="I231" s="21"/>
      <c r="J231" s="21"/>
      <c r="K231" s="167">
        <f>SUM(K232:K236)</f>
        <v>1165.0600000000002</v>
      </c>
      <c r="M231" s="109"/>
      <c r="N231"/>
      <c r="O231" s="5"/>
      <c r="P231" s="5"/>
      <c r="Q231" s="5"/>
      <c r="R231" s="5"/>
      <c r="S231" s="5"/>
    </row>
    <row r="232" spans="1:19" s="16" customFormat="1" ht="15.75" customHeight="1" x14ac:dyDescent="0.25">
      <c r="A232" s="168"/>
      <c r="B232" s="165"/>
      <c r="C232" s="172"/>
      <c r="D232" s="248" t="s">
        <v>11208</v>
      </c>
      <c r="E232" s="169"/>
      <c r="F232" s="170"/>
      <c r="G232" s="171"/>
      <c r="H232" s="299"/>
      <c r="I232" s="299"/>
      <c r="J232" s="299"/>
      <c r="K232" s="176"/>
      <c r="M232" s="109"/>
      <c r="N232"/>
      <c r="O232" s="5"/>
      <c r="P232" s="5"/>
      <c r="Q232" s="5"/>
      <c r="R232" s="5"/>
      <c r="S232" s="5"/>
    </row>
    <row r="233" spans="1:19" s="599" customFormat="1" ht="15" x14ac:dyDescent="0.25">
      <c r="A233" s="593" t="s">
        <v>11147</v>
      </c>
      <c r="B233" s="266" t="s">
        <v>22</v>
      </c>
      <c r="C233" s="266" t="str">
        <f>CPU!A2136</f>
        <v>CPU-77</v>
      </c>
      <c r="D233" s="264" t="s">
        <v>11817</v>
      </c>
      <c r="E233" s="267" t="s">
        <v>10884</v>
      </c>
      <c r="F233" s="594">
        <f>VLOOKUP(A233,MC!$A$10:'MC'!$J$2901,9,FALSE)</f>
        <v>5</v>
      </c>
      <c r="G233" s="577">
        <f>CPU!F2162</f>
        <v>80.75</v>
      </c>
      <c r="H233" s="577">
        <f>G233</f>
        <v>80.75</v>
      </c>
      <c r="I233" s="596">
        <f>BDI!$F$21</f>
        <v>0.21299999999999999</v>
      </c>
      <c r="J233" s="597">
        <f t="shared" ref="J233:J236" si="77">ROUND(H233*(1+I233),2)</f>
        <v>97.95</v>
      </c>
      <c r="K233" s="598">
        <f t="shared" ref="K233:K236" si="78">ROUND(F233*J233,2)</f>
        <v>489.75</v>
      </c>
      <c r="M233" s="600"/>
      <c r="N233" s="601"/>
      <c r="O233" s="602"/>
      <c r="P233" s="602"/>
      <c r="Q233" s="602"/>
      <c r="R233" s="602"/>
      <c r="S233" s="602"/>
    </row>
    <row r="234" spans="1:19" s="599" customFormat="1" ht="25.5" x14ac:dyDescent="0.25">
      <c r="A234" s="593" t="s">
        <v>11148</v>
      </c>
      <c r="B234" s="266" t="s">
        <v>22</v>
      </c>
      <c r="C234" s="266" t="str">
        <f>CPU!A1095</f>
        <v>CPU-39</v>
      </c>
      <c r="D234" s="264" t="s">
        <v>11819</v>
      </c>
      <c r="E234" s="267" t="s">
        <v>10884</v>
      </c>
      <c r="F234" s="594">
        <f>VLOOKUP(A234,MC!$A$10:'MC'!$J$2901,9,FALSE)</f>
        <v>7</v>
      </c>
      <c r="G234" s="577">
        <f>CPU!F1120</f>
        <v>68.59</v>
      </c>
      <c r="H234" s="577">
        <f t="shared" ref="H234:H236" si="79">G234</f>
        <v>68.59</v>
      </c>
      <c r="I234" s="596">
        <f>BDI!$F$21</f>
        <v>0.21299999999999999</v>
      </c>
      <c r="J234" s="597">
        <f t="shared" si="77"/>
        <v>83.2</v>
      </c>
      <c r="K234" s="598">
        <f t="shared" si="78"/>
        <v>582.4</v>
      </c>
      <c r="M234" s="600"/>
      <c r="N234" s="602"/>
      <c r="O234" s="602"/>
      <c r="P234" s="602"/>
      <c r="Q234" s="602"/>
      <c r="R234" s="602"/>
      <c r="S234" s="602"/>
    </row>
    <row r="235" spans="1:19" s="16" customFormat="1" ht="15" x14ac:dyDescent="0.25">
      <c r="A235" s="168" t="s">
        <v>12116</v>
      </c>
      <c r="B235" s="166" t="s">
        <v>166</v>
      </c>
      <c r="C235" s="166">
        <v>94490</v>
      </c>
      <c r="D235" s="264" t="s">
        <v>11668</v>
      </c>
      <c r="E235" s="169" t="s">
        <v>10884</v>
      </c>
      <c r="F235" s="170">
        <f>VLOOKUP(A235,MC!$A$10:'MC'!$J$2901,9,FALSE)</f>
        <v>1</v>
      </c>
      <c r="G235" s="171">
        <f>VLOOKUP(C235,Serviço02!$A$1:$D$6699,4,FALSE)</f>
        <v>31.72</v>
      </c>
      <c r="H235" s="577">
        <f t="shared" si="79"/>
        <v>31.72</v>
      </c>
      <c r="I235" s="300">
        <f>BDI!$F$21</f>
        <v>0.21299999999999999</v>
      </c>
      <c r="J235" s="301">
        <f t="shared" si="77"/>
        <v>38.479999999999997</v>
      </c>
      <c r="K235" s="302">
        <f t="shared" si="78"/>
        <v>38.479999999999997</v>
      </c>
      <c r="M235" s="109"/>
      <c r="N235"/>
      <c r="O235" s="5"/>
      <c r="P235" s="5"/>
      <c r="Q235" s="5"/>
      <c r="R235" s="5"/>
      <c r="S235" s="5"/>
    </row>
    <row r="236" spans="1:19" s="16" customFormat="1" ht="15.75" thickBot="1" x14ac:dyDescent="0.3">
      <c r="A236" s="168" t="s">
        <v>12117</v>
      </c>
      <c r="B236" s="166" t="s">
        <v>166</v>
      </c>
      <c r="C236" s="166">
        <v>94492</v>
      </c>
      <c r="D236" s="264" t="s">
        <v>11670</v>
      </c>
      <c r="E236" s="169" t="s">
        <v>10884</v>
      </c>
      <c r="F236" s="170">
        <f>VLOOKUP(A236,MC!$A$10:'MC'!$J$2901,9,FALSE)</f>
        <v>1</v>
      </c>
      <c r="G236" s="171">
        <f>VLOOKUP(C236,Serviço02!$A$1:$D$6699,4,FALSE)</f>
        <v>44.87</v>
      </c>
      <c r="H236" s="577">
        <f t="shared" si="79"/>
        <v>44.87</v>
      </c>
      <c r="I236" s="300">
        <f>BDI!$F$21</f>
        <v>0.21299999999999999</v>
      </c>
      <c r="J236" s="301">
        <f t="shared" si="77"/>
        <v>54.43</v>
      </c>
      <c r="K236" s="302">
        <f t="shared" si="78"/>
        <v>54.43</v>
      </c>
      <c r="M236" s="109"/>
      <c r="N236"/>
      <c r="O236" s="5"/>
      <c r="P236" s="5"/>
      <c r="Q236" s="5"/>
      <c r="R236" s="5"/>
      <c r="S236" s="5"/>
    </row>
    <row r="237" spans="1:19" ht="16.5" thickBot="1" x14ac:dyDescent="0.3">
      <c r="A237" s="260"/>
      <c r="B237" s="261"/>
      <c r="C237" s="261"/>
      <c r="D237" s="261"/>
      <c r="E237" s="261"/>
      <c r="F237" s="261"/>
      <c r="G237" s="25"/>
      <c r="H237" s="25"/>
      <c r="I237" s="25"/>
      <c r="J237" s="25"/>
      <c r="K237" s="27"/>
      <c r="N237"/>
      <c r="O237" s="5"/>
      <c r="P237" s="5"/>
      <c r="Q237" s="5"/>
      <c r="R237" s="5"/>
      <c r="S237" s="5"/>
    </row>
    <row r="238" spans="1:19" s="16" customFormat="1" ht="15.75" customHeight="1" thickBot="1" x14ac:dyDescent="0.3">
      <c r="A238" s="20" t="s">
        <v>12118</v>
      </c>
      <c r="B238" s="21"/>
      <c r="C238" s="21"/>
      <c r="D238" s="21" t="s">
        <v>209</v>
      </c>
      <c r="E238" s="21"/>
      <c r="F238" s="21"/>
      <c r="G238" s="21"/>
      <c r="H238" s="21"/>
      <c r="I238" s="21"/>
      <c r="J238" s="21"/>
      <c r="K238" s="167">
        <f>SUM(K239:K244)</f>
        <v>5422.99</v>
      </c>
      <c r="M238" s="109"/>
      <c r="N238"/>
      <c r="O238" s="5"/>
      <c r="P238" s="5"/>
      <c r="Q238" s="5"/>
      <c r="R238" s="5"/>
      <c r="S238" s="5"/>
    </row>
    <row r="239" spans="1:19" s="16" customFormat="1" ht="36" customHeight="1" x14ac:dyDescent="0.25">
      <c r="A239" s="168" t="s">
        <v>12119</v>
      </c>
      <c r="B239" s="249" t="s">
        <v>166</v>
      </c>
      <c r="C239" s="249">
        <v>86941</v>
      </c>
      <c r="D239" s="264" t="s">
        <v>12013</v>
      </c>
      <c r="E239" s="169" t="s">
        <v>10884</v>
      </c>
      <c r="F239" s="170">
        <f>VLOOKUP(A239,MC!$A$10:'MC'!$J$2901,9,FALSE)</f>
        <v>5</v>
      </c>
      <c r="G239" s="171">
        <f>VLOOKUP(C239,Serviço02!$A$1:$D$6699,4,FALSE)</f>
        <v>527.1</v>
      </c>
      <c r="H239" s="171">
        <f>G239</f>
        <v>527.1</v>
      </c>
      <c r="I239" s="300">
        <f>BDI!$F$21</f>
        <v>0.21299999999999999</v>
      </c>
      <c r="J239" s="322">
        <f t="shared" ref="J239:J241" si="80">ROUND(H239*(1+I239),2)</f>
        <v>639.37</v>
      </c>
      <c r="K239" s="323">
        <f t="shared" ref="K239:K241" si="81">ROUND(F239*J239,2)</f>
        <v>3196.85</v>
      </c>
      <c r="M239" s="109"/>
      <c r="N239"/>
      <c r="O239" s="5"/>
      <c r="P239" s="5"/>
      <c r="Q239" s="5"/>
      <c r="R239" s="5"/>
      <c r="S239" s="5"/>
    </row>
    <row r="240" spans="1:19" s="16" customFormat="1" ht="15.75" customHeight="1" x14ac:dyDescent="0.25">
      <c r="A240" s="168" t="s">
        <v>12120</v>
      </c>
      <c r="B240" s="249" t="s">
        <v>166</v>
      </c>
      <c r="C240" s="249">
        <v>86911</v>
      </c>
      <c r="D240" s="264" t="s">
        <v>11674</v>
      </c>
      <c r="E240" s="169" t="s">
        <v>10884</v>
      </c>
      <c r="F240" s="170">
        <f>VLOOKUP(A240,MC!$A$10:'MC'!$J$2901,9,FALSE)</f>
        <v>1</v>
      </c>
      <c r="G240" s="171">
        <f>VLOOKUP(C240,Serviço02!$A$1:$D$6699,4,FALSE)</f>
        <v>39.590000000000003</v>
      </c>
      <c r="H240" s="171">
        <f t="shared" ref="H240:H244" si="82">G240</f>
        <v>39.590000000000003</v>
      </c>
      <c r="I240" s="300">
        <f>BDI!$F$21</f>
        <v>0.21299999999999999</v>
      </c>
      <c r="J240" s="322">
        <f t="shared" si="80"/>
        <v>48.02</v>
      </c>
      <c r="K240" s="323">
        <f t="shared" si="81"/>
        <v>48.02</v>
      </c>
      <c r="M240" s="109"/>
      <c r="N240"/>
      <c r="O240" s="5"/>
      <c r="P240" s="5"/>
      <c r="Q240" s="5"/>
      <c r="R240" s="5"/>
      <c r="S240" s="5"/>
    </row>
    <row r="241" spans="1:19" s="16" customFormat="1" ht="25.5" x14ac:dyDescent="0.25">
      <c r="A241" s="168" t="s">
        <v>12121</v>
      </c>
      <c r="B241" s="249" t="s">
        <v>166</v>
      </c>
      <c r="C241" s="249">
        <v>86919</v>
      </c>
      <c r="D241" s="264" t="s">
        <v>12014</v>
      </c>
      <c r="E241" s="169" t="s">
        <v>10884</v>
      </c>
      <c r="F241" s="170">
        <f>VLOOKUP(A241,MC!$A$10:'MC'!$J$2901,9,FALSE)</f>
        <v>1</v>
      </c>
      <c r="G241" s="171">
        <f>VLOOKUP(C241,Serviço02!$A$1:$D$6699,4,FALSE)</f>
        <v>734.38</v>
      </c>
      <c r="H241" s="171">
        <f t="shared" si="82"/>
        <v>734.38</v>
      </c>
      <c r="I241" s="300">
        <f>BDI!$F$21</f>
        <v>0.21299999999999999</v>
      </c>
      <c r="J241" s="322">
        <f t="shared" si="80"/>
        <v>890.8</v>
      </c>
      <c r="K241" s="323">
        <f t="shared" si="81"/>
        <v>890.8</v>
      </c>
      <c r="M241" s="109"/>
      <c r="N241"/>
      <c r="O241" s="5"/>
      <c r="P241" s="5"/>
      <c r="Q241" s="5"/>
      <c r="R241" s="5"/>
      <c r="S241" s="5"/>
    </row>
    <row r="242" spans="1:19" s="599" customFormat="1" ht="15.75" customHeight="1" x14ac:dyDescent="0.25">
      <c r="A242" s="593" t="s">
        <v>12122</v>
      </c>
      <c r="B242" s="266" t="s">
        <v>22</v>
      </c>
      <c r="C242" s="266" t="str">
        <f>CPU!A1122</f>
        <v>CPU-40</v>
      </c>
      <c r="D242" s="608" t="s">
        <v>12028</v>
      </c>
      <c r="E242" s="267" t="s">
        <v>10884</v>
      </c>
      <c r="F242" s="594">
        <f>VLOOKUP(A242,MC!$A$10:'MC'!$J$2901,9,FALSE)</f>
        <v>6</v>
      </c>
      <c r="G242" s="577">
        <f>CPU!F1147</f>
        <v>103.21</v>
      </c>
      <c r="H242" s="577">
        <f t="shared" si="82"/>
        <v>103.21</v>
      </c>
      <c r="I242" s="596">
        <f>BDI!$F$21</f>
        <v>0.21299999999999999</v>
      </c>
      <c r="J242" s="597">
        <f t="shared" ref="J242" si="83">ROUND(H242*(1+I242),2)</f>
        <v>125.19</v>
      </c>
      <c r="K242" s="598">
        <f t="shared" ref="K242" si="84">ROUND(F242*J242,2)</f>
        <v>751.14</v>
      </c>
      <c r="M242" s="600"/>
      <c r="N242" s="601"/>
      <c r="O242" s="602"/>
      <c r="P242" s="602"/>
      <c r="Q242" s="602"/>
      <c r="R242" s="602"/>
      <c r="S242" s="602"/>
    </row>
    <row r="243" spans="1:19" s="16" customFormat="1" ht="25.5" x14ac:dyDescent="0.25">
      <c r="A243" s="168" t="s">
        <v>12123</v>
      </c>
      <c r="B243" s="249" t="s">
        <v>166</v>
      </c>
      <c r="C243" s="249">
        <v>86913</v>
      </c>
      <c r="D243" s="264" t="s">
        <v>12015</v>
      </c>
      <c r="E243" s="169" t="s">
        <v>10884</v>
      </c>
      <c r="F243" s="170">
        <f>VLOOKUP(A243,MC!$A$10:'MC'!$J$2901,9,FALSE)</f>
        <v>3</v>
      </c>
      <c r="G243" s="171">
        <f>VLOOKUP(C243,Serviço02!$A$1:$D$6699,4,FALSE)</f>
        <v>17.86</v>
      </c>
      <c r="H243" s="171">
        <f t="shared" si="82"/>
        <v>17.86</v>
      </c>
      <c r="I243" s="300">
        <f>BDI!$F$21</f>
        <v>0.21299999999999999</v>
      </c>
      <c r="J243" s="322">
        <f t="shared" ref="J243:J244" si="85">ROUND(H243*(1+I243),2)</f>
        <v>21.66</v>
      </c>
      <c r="K243" s="323">
        <f t="shared" ref="K243:K244" si="86">ROUND(F243*J243,2)</f>
        <v>64.98</v>
      </c>
      <c r="M243" s="109"/>
      <c r="N243"/>
      <c r="O243" s="5"/>
      <c r="P243" s="5"/>
      <c r="Q243" s="5"/>
      <c r="R243" s="5"/>
      <c r="S243" s="5"/>
    </row>
    <row r="244" spans="1:19" s="599" customFormat="1" ht="15.75" customHeight="1" thickBot="1" x14ac:dyDescent="0.3">
      <c r="A244" s="593" t="s">
        <v>12124</v>
      </c>
      <c r="B244" s="266" t="s">
        <v>166</v>
      </c>
      <c r="C244" s="266" t="str">
        <f>CPU!A1149</f>
        <v>CPU-41</v>
      </c>
      <c r="D244" s="264" t="s">
        <v>12016</v>
      </c>
      <c r="E244" s="267" t="s">
        <v>10884</v>
      </c>
      <c r="F244" s="594">
        <f>VLOOKUP(A244,MC!$A$10:'MC'!$J$2901,9,FALSE)</f>
        <v>5</v>
      </c>
      <c r="G244" s="577">
        <f>CPU!F1178</f>
        <v>77.69</v>
      </c>
      <c r="H244" s="577">
        <f t="shared" si="82"/>
        <v>77.69</v>
      </c>
      <c r="I244" s="596">
        <f>BDI!$F$21</f>
        <v>0.21299999999999999</v>
      </c>
      <c r="J244" s="597">
        <f t="shared" si="85"/>
        <v>94.24</v>
      </c>
      <c r="K244" s="598">
        <f t="shared" si="86"/>
        <v>471.2</v>
      </c>
      <c r="M244" s="600"/>
      <c r="N244" s="602"/>
      <c r="O244" s="602"/>
      <c r="P244" s="602"/>
      <c r="Q244" s="602"/>
      <c r="R244" s="602"/>
      <c r="S244" s="602"/>
    </row>
    <row r="245" spans="1:19" ht="16.5" thickBot="1" x14ac:dyDescent="0.3">
      <c r="A245" s="696"/>
      <c r="B245" s="697"/>
      <c r="C245" s="697"/>
      <c r="D245" s="697"/>
      <c r="E245" s="697"/>
      <c r="F245" s="697"/>
      <c r="G245" s="25"/>
      <c r="H245" s="25"/>
      <c r="I245" s="25"/>
      <c r="J245" s="25"/>
      <c r="K245" s="27"/>
      <c r="N245"/>
      <c r="O245" s="5"/>
      <c r="P245" s="5"/>
      <c r="Q245" s="5"/>
      <c r="R245" s="5"/>
      <c r="S245" s="5"/>
    </row>
    <row r="246" spans="1:19" s="16" customFormat="1" ht="15.75" customHeight="1" thickBot="1" x14ac:dyDescent="0.3">
      <c r="A246" s="20" t="s">
        <v>12125</v>
      </c>
      <c r="B246" s="21"/>
      <c r="C246" s="21"/>
      <c r="D246" s="21" t="s">
        <v>216</v>
      </c>
      <c r="E246" s="21"/>
      <c r="F246" s="21"/>
      <c r="G246" s="21"/>
      <c r="H246" s="21"/>
      <c r="I246" s="21"/>
      <c r="J246" s="21"/>
      <c r="K246" s="167">
        <f>SUM(K247:K250)</f>
        <v>6700.66</v>
      </c>
      <c r="M246" s="109"/>
      <c r="N246"/>
      <c r="O246" s="5"/>
      <c r="P246" s="5"/>
      <c r="Q246" s="5"/>
      <c r="R246" s="5"/>
      <c r="S246" s="5"/>
    </row>
    <row r="247" spans="1:19" s="599" customFormat="1" ht="25.5" x14ac:dyDescent="0.25">
      <c r="A247" s="593" t="s">
        <v>12126</v>
      </c>
      <c r="B247" s="266" t="s">
        <v>22</v>
      </c>
      <c r="C247" s="266" t="str">
        <f>CPU!A1180</f>
        <v>CPU-42</v>
      </c>
      <c r="D247" s="264" t="s">
        <v>11834</v>
      </c>
      <c r="E247" s="267" t="s">
        <v>10884</v>
      </c>
      <c r="F247" s="594">
        <f>VLOOKUP(A247,MC!$A$10:'MC'!$J$2901,9,FALSE)</f>
        <v>5</v>
      </c>
      <c r="G247" s="577">
        <f>CPU!F1209</f>
        <v>23.11</v>
      </c>
      <c r="H247" s="581">
        <f>G247</f>
        <v>23.11</v>
      </c>
      <c r="I247" s="596">
        <f>BDI!$F$21</f>
        <v>0.21299999999999999</v>
      </c>
      <c r="J247" s="597">
        <f t="shared" ref="J247:J250" si="87">ROUND(H247*(1+I247),2)</f>
        <v>28.03</v>
      </c>
      <c r="K247" s="598">
        <f t="shared" ref="K247:K250" si="88">ROUND(F247*J247,2)</f>
        <v>140.15</v>
      </c>
      <c r="M247" s="600"/>
      <c r="N247" s="601"/>
      <c r="O247" s="602"/>
      <c r="P247" s="602"/>
      <c r="Q247" s="602"/>
      <c r="R247" s="602"/>
      <c r="S247" s="602"/>
    </row>
    <row r="248" spans="1:19" s="599" customFormat="1" ht="25.5" x14ac:dyDescent="0.25">
      <c r="A248" s="593" t="s">
        <v>12127</v>
      </c>
      <c r="B248" s="266" t="s">
        <v>22</v>
      </c>
      <c r="C248" s="266" t="str">
        <f>CPU!A1211</f>
        <v>CPU-43</v>
      </c>
      <c r="D248" s="264" t="s">
        <v>11837</v>
      </c>
      <c r="E248" s="267" t="s">
        <v>10884</v>
      </c>
      <c r="F248" s="594">
        <f>VLOOKUP(A248,MC!$A$10:'MC'!$J$2901,9,FALSE)</f>
        <v>1</v>
      </c>
      <c r="G248" s="577">
        <f>CPU!F1240</f>
        <v>42.12</v>
      </c>
      <c r="H248" s="581">
        <f t="shared" ref="H248:H250" si="89">G248</f>
        <v>42.12</v>
      </c>
      <c r="I248" s="596">
        <f>BDI!$F$21</f>
        <v>0.21299999999999999</v>
      </c>
      <c r="J248" s="597">
        <f t="shared" si="87"/>
        <v>51.09</v>
      </c>
      <c r="K248" s="598">
        <f t="shared" si="88"/>
        <v>51.09</v>
      </c>
      <c r="M248" s="600"/>
      <c r="N248" s="602"/>
      <c r="O248" s="602"/>
      <c r="P248" s="602"/>
      <c r="Q248" s="602"/>
      <c r="R248" s="602"/>
      <c r="S248" s="602"/>
    </row>
    <row r="249" spans="1:19" s="16" customFormat="1" ht="25.5" x14ac:dyDescent="0.25">
      <c r="A249" s="168" t="s">
        <v>12128</v>
      </c>
      <c r="B249" s="166" t="s">
        <v>166</v>
      </c>
      <c r="C249" s="166">
        <v>89709</v>
      </c>
      <c r="D249" s="264" t="s">
        <v>11838</v>
      </c>
      <c r="E249" s="169" t="s">
        <v>10884</v>
      </c>
      <c r="F249" s="170">
        <f>VLOOKUP(A249,MC!$A$10:'MC'!$J$2901,9,FALSE)</f>
        <v>3</v>
      </c>
      <c r="G249" s="171">
        <f>VLOOKUP(C249,Serviço02!$A$1:$D$6699,4,FALSE)</f>
        <v>8.5399999999999991</v>
      </c>
      <c r="H249" s="581">
        <f t="shared" si="89"/>
        <v>8.5399999999999991</v>
      </c>
      <c r="I249" s="300">
        <f>BDI!$F$21</f>
        <v>0.21299999999999999</v>
      </c>
      <c r="J249" s="301">
        <f t="shared" si="87"/>
        <v>10.36</v>
      </c>
      <c r="K249" s="302">
        <f t="shared" si="88"/>
        <v>31.08</v>
      </c>
      <c r="M249" s="109"/>
      <c r="N249"/>
      <c r="O249" s="5"/>
      <c r="P249" s="5"/>
      <c r="Q249" s="5"/>
      <c r="R249" s="5"/>
      <c r="S249" s="5"/>
    </row>
    <row r="250" spans="1:19" s="16" customFormat="1" ht="26.25" thickBot="1" x14ac:dyDescent="0.3">
      <c r="A250" s="168" t="s">
        <v>12129</v>
      </c>
      <c r="B250" s="166" t="s">
        <v>166</v>
      </c>
      <c r="C250" s="166">
        <v>97902</v>
      </c>
      <c r="D250" s="264" t="s">
        <v>11848</v>
      </c>
      <c r="E250" s="169" t="s">
        <v>10884</v>
      </c>
      <c r="F250" s="170">
        <f>VLOOKUP(A250,MC!$A$10:'MC'!$J$2901,9,FALSE)</f>
        <v>11</v>
      </c>
      <c r="G250" s="171">
        <f>VLOOKUP(C250,Serviço02!$A$1:$D$6699,4,FALSE)</f>
        <v>485.52</v>
      </c>
      <c r="H250" s="581">
        <f t="shared" si="89"/>
        <v>485.52</v>
      </c>
      <c r="I250" s="300">
        <f>BDI!$F$21</f>
        <v>0.21299999999999999</v>
      </c>
      <c r="J250" s="301">
        <f t="shared" si="87"/>
        <v>588.94000000000005</v>
      </c>
      <c r="K250" s="302">
        <f t="shared" si="88"/>
        <v>6478.34</v>
      </c>
      <c r="M250" s="109"/>
      <c r="N250"/>
      <c r="O250" s="5"/>
      <c r="P250" s="5"/>
      <c r="Q250" s="5"/>
      <c r="R250" s="5"/>
      <c r="S250" s="5"/>
    </row>
    <row r="251" spans="1:19" ht="16.5" thickBot="1" x14ac:dyDescent="0.3">
      <c r="A251" s="696"/>
      <c r="B251" s="697"/>
      <c r="C251" s="697"/>
      <c r="D251" s="697"/>
      <c r="E251" s="697"/>
      <c r="F251" s="697"/>
      <c r="G251" s="25"/>
      <c r="H251" s="25"/>
      <c r="I251" s="25"/>
      <c r="J251" s="25"/>
      <c r="K251" s="27"/>
      <c r="N251"/>
      <c r="O251" s="5"/>
      <c r="P251" s="5"/>
      <c r="Q251" s="5"/>
      <c r="R251" s="5"/>
      <c r="S251" s="5"/>
    </row>
    <row r="252" spans="1:19" s="16" customFormat="1" ht="15.75" customHeight="1" thickBot="1" x14ac:dyDescent="0.3">
      <c r="A252" s="20" t="s">
        <v>12130</v>
      </c>
      <c r="B252" s="21"/>
      <c r="C252" s="21"/>
      <c r="D252" s="21" t="s">
        <v>217</v>
      </c>
      <c r="E252" s="21"/>
      <c r="F252" s="21"/>
      <c r="G252" s="21"/>
      <c r="H252" s="21"/>
      <c r="I252" s="21"/>
      <c r="J252" s="21"/>
      <c r="K252" s="167">
        <f>SUM(K253:K254)</f>
        <v>873.52</v>
      </c>
      <c r="M252" s="109"/>
      <c r="N252" s="5"/>
      <c r="O252" s="5"/>
      <c r="P252" s="5"/>
      <c r="Q252" s="5"/>
      <c r="R252" s="5"/>
      <c r="S252" s="5"/>
    </row>
    <row r="253" spans="1:19" s="16" customFormat="1" ht="15.75" customHeight="1" x14ac:dyDescent="0.25">
      <c r="A253" s="168" t="s">
        <v>12131</v>
      </c>
      <c r="B253" s="166" t="s">
        <v>166</v>
      </c>
      <c r="C253" s="166">
        <v>88503</v>
      </c>
      <c r="D253" s="264" t="s">
        <v>11672</v>
      </c>
      <c r="E253" s="169" t="s">
        <v>11673</v>
      </c>
      <c r="F253" s="170">
        <f>VLOOKUP(A253,MC!$A$10:'MC'!$J$2901,9,FALSE)</f>
        <v>1</v>
      </c>
      <c r="G253" s="171">
        <f>VLOOKUP(C253,Serviço02!$A$1:$D$6699,4,FALSE)</f>
        <v>701.2</v>
      </c>
      <c r="H253" s="171">
        <f>G253</f>
        <v>701.2</v>
      </c>
      <c r="I253" s="300">
        <f>BDI!$F$21</f>
        <v>0.21299999999999999</v>
      </c>
      <c r="J253" s="301">
        <f t="shared" ref="J253:J254" si="90">ROUND(H253*(1+I253),2)</f>
        <v>850.56</v>
      </c>
      <c r="K253" s="302">
        <f t="shared" ref="K253:K254" si="91">ROUND(F253*J253,2)</f>
        <v>850.56</v>
      </c>
      <c r="M253" s="109"/>
      <c r="N253"/>
      <c r="O253" s="5"/>
      <c r="P253" s="5"/>
      <c r="Q253" s="5"/>
      <c r="R253" s="5"/>
      <c r="S253" s="5"/>
    </row>
    <row r="254" spans="1:19" s="16" customFormat="1" ht="15.75" customHeight="1" thickBot="1" x14ac:dyDescent="0.3">
      <c r="A254" s="168" t="s">
        <v>12132</v>
      </c>
      <c r="B254" s="166" t="s">
        <v>166</v>
      </c>
      <c r="C254" s="166">
        <v>94795</v>
      </c>
      <c r="D254" s="264" t="s">
        <v>11820</v>
      </c>
      <c r="E254" s="169" t="s">
        <v>11673</v>
      </c>
      <c r="F254" s="170">
        <f>VLOOKUP(A254,MC!$A$10:'MC'!$J$2901,9,FALSE)</f>
        <v>1</v>
      </c>
      <c r="G254" s="171">
        <f>VLOOKUP(C254,Serviço02!$A$1:$D$6699,4,FALSE)</f>
        <v>18.93</v>
      </c>
      <c r="H254" s="171">
        <f>G254</f>
        <v>18.93</v>
      </c>
      <c r="I254" s="300">
        <f>BDI!$F$21</f>
        <v>0.21299999999999999</v>
      </c>
      <c r="J254" s="301">
        <f t="shared" si="90"/>
        <v>22.96</v>
      </c>
      <c r="K254" s="302">
        <f t="shared" si="91"/>
        <v>22.96</v>
      </c>
      <c r="M254" s="109"/>
      <c r="N254"/>
      <c r="O254" s="5"/>
      <c r="P254" s="5"/>
      <c r="Q254" s="5"/>
      <c r="R254" s="5"/>
      <c r="S254" s="5"/>
    </row>
    <row r="255" spans="1:19" ht="16.5" thickBot="1" x14ac:dyDescent="0.3">
      <c r="A255" s="696"/>
      <c r="B255" s="697"/>
      <c r="C255" s="697"/>
      <c r="D255" s="697"/>
      <c r="E255" s="697"/>
      <c r="F255" s="697"/>
      <c r="G255" s="25"/>
      <c r="H255" s="25"/>
      <c r="I255" s="25"/>
      <c r="J255" s="25"/>
      <c r="K255" s="27"/>
      <c r="N255"/>
      <c r="O255" s="5"/>
      <c r="P255" s="5"/>
      <c r="Q255" s="5"/>
      <c r="R255" s="5"/>
      <c r="S255" s="5"/>
    </row>
    <row r="256" spans="1:19" s="16" customFormat="1" ht="15.75" customHeight="1" thickBot="1" x14ac:dyDescent="0.3">
      <c r="A256" s="20" t="s">
        <v>12133</v>
      </c>
      <c r="B256" s="21"/>
      <c r="C256" s="21"/>
      <c r="D256" s="21" t="s">
        <v>11193</v>
      </c>
      <c r="E256" s="21"/>
      <c r="F256" s="21"/>
      <c r="G256" s="21"/>
      <c r="H256" s="21"/>
      <c r="I256" s="21"/>
      <c r="J256" s="21"/>
      <c r="K256" s="167">
        <f>SUM(K257:K260)</f>
        <v>2861.39</v>
      </c>
      <c r="M256" s="109"/>
      <c r="N256"/>
      <c r="O256" s="5"/>
      <c r="P256" s="5"/>
      <c r="Q256" s="5"/>
      <c r="R256" s="5"/>
      <c r="S256" s="5"/>
    </row>
    <row r="257" spans="1:19" s="16" customFormat="1" ht="15.75" customHeight="1" x14ac:dyDescent="0.25">
      <c r="A257" s="168" t="s">
        <v>12134</v>
      </c>
      <c r="B257" s="166" t="s">
        <v>166</v>
      </c>
      <c r="C257" s="166">
        <v>90443</v>
      </c>
      <c r="D257" s="264" t="s">
        <v>11678</v>
      </c>
      <c r="E257" s="169" t="s">
        <v>47</v>
      </c>
      <c r="F257" s="170">
        <f>VLOOKUP(A257,MC!$A$10:'MC'!$J$2901,9,FALSE)</f>
        <v>120.93</v>
      </c>
      <c r="G257" s="171">
        <f>VLOOKUP(C257,Serviço02!$A$1:$D$6699,4,FALSE)</f>
        <v>9.8699999999999992</v>
      </c>
      <c r="H257" s="171">
        <f>G257</f>
        <v>9.8699999999999992</v>
      </c>
      <c r="I257" s="300">
        <f>BDI!$F$21</f>
        <v>0.21299999999999999</v>
      </c>
      <c r="J257" s="301">
        <f t="shared" ref="J257:J260" si="92">ROUND(H257*(1+I257),2)</f>
        <v>11.97</v>
      </c>
      <c r="K257" s="302">
        <f t="shared" ref="K257:K260" si="93">ROUND(F257*J257,2)</f>
        <v>1447.53</v>
      </c>
      <c r="M257" s="109"/>
      <c r="N257"/>
      <c r="O257" s="5"/>
      <c r="P257" s="5"/>
      <c r="Q257" s="5"/>
      <c r="R257" s="5"/>
      <c r="S257" s="5"/>
    </row>
    <row r="258" spans="1:19" s="16" customFormat="1" ht="15.75" customHeight="1" x14ac:dyDescent="0.25">
      <c r="A258" s="168" t="s">
        <v>12135</v>
      </c>
      <c r="B258" s="166" t="s">
        <v>166</v>
      </c>
      <c r="C258" s="166">
        <v>91222</v>
      </c>
      <c r="D258" s="264" t="s">
        <v>11679</v>
      </c>
      <c r="E258" s="169" t="s">
        <v>47</v>
      </c>
      <c r="F258" s="170">
        <f>VLOOKUP(A258,MC!$A$10:'MC'!$J$2901,9,FALSE)</f>
        <v>15.72</v>
      </c>
      <c r="G258" s="171">
        <f>VLOOKUP(C258,Serviço02!$A$1:$D$6699,4,FALSE)</f>
        <v>10.63</v>
      </c>
      <c r="H258" s="171">
        <f t="shared" ref="H258:H260" si="94">G258</f>
        <v>10.63</v>
      </c>
      <c r="I258" s="300">
        <f>BDI!$F$21</f>
        <v>0.21299999999999999</v>
      </c>
      <c r="J258" s="301">
        <f t="shared" si="92"/>
        <v>12.89</v>
      </c>
      <c r="K258" s="302">
        <f t="shared" si="93"/>
        <v>202.63</v>
      </c>
      <c r="M258" s="109"/>
      <c r="N258" s="5"/>
      <c r="O258" s="5"/>
      <c r="P258" s="5"/>
      <c r="Q258" s="5"/>
      <c r="R258" s="5"/>
      <c r="S258" s="5"/>
    </row>
    <row r="259" spans="1:19" s="599" customFormat="1" ht="15.75" customHeight="1" x14ac:dyDescent="0.25">
      <c r="A259" s="593" t="s">
        <v>12136</v>
      </c>
      <c r="B259" s="266" t="s">
        <v>22</v>
      </c>
      <c r="C259" s="266" t="str">
        <f>CPU!A1242</f>
        <v>CPU-44</v>
      </c>
      <c r="D259" s="264" t="s">
        <v>11188</v>
      </c>
      <c r="E259" s="267" t="s">
        <v>47</v>
      </c>
      <c r="F259" s="594">
        <f>VLOOKUP(A259,MC!$A$10:'MC'!$J$2901,9,FALSE)</f>
        <v>62.94</v>
      </c>
      <c r="G259" s="577">
        <f>CPU!F1267</f>
        <v>4.8499999999999996</v>
      </c>
      <c r="H259" s="577">
        <f t="shared" si="94"/>
        <v>4.8499999999999996</v>
      </c>
      <c r="I259" s="596">
        <f>BDI!$F$21</f>
        <v>0.21299999999999999</v>
      </c>
      <c r="J259" s="597">
        <f t="shared" si="92"/>
        <v>5.88</v>
      </c>
      <c r="K259" s="598">
        <f t="shared" si="93"/>
        <v>370.09</v>
      </c>
      <c r="M259" s="600"/>
      <c r="N259" s="601"/>
      <c r="O259" s="602"/>
      <c r="P259" s="602"/>
      <c r="Q259" s="602"/>
      <c r="R259" s="602"/>
      <c r="S259" s="602"/>
    </row>
    <row r="260" spans="1:19" s="599" customFormat="1" ht="26.25" thickBot="1" x14ac:dyDescent="0.3">
      <c r="A260" s="593" t="s">
        <v>12137</v>
      </c>
      <c r="B260" s="266" t="s">
        <v>22</v>
      </c>
      <c r="C260" s="266" t="str">
        <f>CPU!A1269</f>
        <v>CPU-45</v>
      </c>
      <c r="D260" s="264" t="s">
        <v>11680</v>
      </c>
      <c r="E260" s="267" t="s">
        <v>47</v>
      </c>
      <c r="F260" s="594">
        <f>VLOOKUP(A260,MC!$A$10:'MC'!$J$2901,9,FALSE)</f>
        <v>87.71</v>
      </c>
      <c r="G260" s="577">
        <f>CPU!F1294</f>
        <v>7.91</v>
      </c>
      <c r="H260" s="577">
        <f t="shared" si="94"/>
        <v>7.91</v>
      </c>
      <c r="I260" s="596">
        <f>BDI!$F$21</f>
        <v>0.21299999999999999</v>
      </c>
      <c r="J260" s="597">
        <f t="shared" si="92"/>
        <v>9.59</v>
      </c>
      <c r="K260" s="598">
        <f t="shared" si="93"/>
        <v>841.14</v>
      </c>
      <c r="M260" s="600"/>
      <c r="N260" s="601"/>
      <c r="O260" s="602"/>
      <c r="P260" s="602"/>
      <c r="Q260" s="602"/>
      <c r="R260" s="602"/>
      <c r="S260" s="602"/>
    </row>
    <row r="261" spans="1:19" ht="16.5" thickBot="1" x14ac:dyDescent="0.3">
      <c r="A261" s="260"/>
      <c r="B261" s="261"/>
      <c r="C261" s="261"/>
      <c r="D261" s="261"/>
      <c r="E261" s="261"/>
      <c r="F261" s="261"/>
      <c r="G261" s="25"/>
      <c r="H261" s="25"/>
      <c r="I261" s="25"/>
      <c r="J261" s="25"/>
      <c r="K261" s="27"/>
      <c r="N261"/>
      <c r="O261" s="5"/>
      <c r="P261" s="5"/>
      <c r="Q261" s="5"/>
      <c r="R261" s="5"/>
      <c r="S261" s="5"/>
    </row>
    <row r="262" spans="1:19" s="16" customFormat="1" ht="15.75" customHeight="1" thickBot="1" x14ac:dyDescent="0.3">
      <c r="A262" s="20" t="s">
        <v>12138</v>
      </c>
      <c r="B262" s="21"/>
      <c r="C262" s="21"/>
      <c r="D262" s="21" t="s">
        <v>11194</v>
      </c>
      <c r="E262" s="21"/>
      <c r="F262" s="21"/>
      <c r="G262" s="21"/>
      <c r="H262" s="21"/>
      <c r="I262" s="21"/>
      <c r="J262" s="21"/>
      <c r="K262" s="167">
        <f>SUM(K263:K264)</f>
        <v>997.32</v>
      </c>
      <c r="M262" s="109"/>
      <c r="N262" s="5"/>
      <c r="O262" s="5"/>
      <c r="P262" s="5"/>
      <c r="Q262" s="5"/>
      <c r="R262" s="5"/>
      <c r="S262" s="5"/>
    </row>
    <row r="263" spans="1:19" s="16" customFormat="1" ht="15.75" customHeight="1" x14ac:dyDescent="0.25">
      <c r="A263" s="168" t="s">
        <v>12139</v>
      </c>
      <c r="B263" s="166" t="s">
        <v>166</v>
      </c>
      <c r="C263" s="166">
        <v>93358</v>
      </c>
      <c r="D263" s="264" t="s">
        <v>10982</v>
      </c>
      <c r="E263" s="169" t="s">
        <v>41</v>
      </c>
      <c r="F263" s="170">
        <f>VLOOKUP(A263,MC!$A$10:'MC'!$J$2901,9,FALSE)</f>
        <v>9.15</v>
      </c>
      <c r="G263" s="171">
        <f>VLOOKUP(C263,Serviço02!$A$1:$D$6699,4,FALSE)</f>
        <v>67.010000000000005</v>
      </c>
      <c r="H263" s="171">
        <f>G263</f>
        <v>67.010000000000005</v>
      </c>
      <c r="I263" s="300">
        <f>BDI!$F$21</f>
        <v>0.21299999999999999</v>
      </c>
      <c r="J263" s="301">
        <f t="shared" ref="J263:J264" si="95">ROUND(H263*(1+I263),2)</f>
        <v>81.28</v>
      </c>
      <c r="K263" s="302">
        <f t="shared" ref="K263:K264" si="96">ROUND(F263*J263,2)</f>
        <v>743.71</v>
      </c>
      <c r="M263" s="109"/>
      <c r="N263"/>
      <c r="O263" s="5"/>
      <c r="P263" s="5"/>
      <c r="Q263" s="5"/>
      <c r="R263" s="5"/>
      <c r="S263" s="5"/>
    </row>
    <row r="264" spans="1:19" s="16" customFormat="1" ht="15.75" customHeight="1" thickBot="1" x14ac:dyDescent="0.3">
      <c r="A264" s="168" t="s">
        <v>12140</v>
      </c>
      <c r="B264" s="166" t="s">
        <v>166</v>
      </c>
      <c r="C264" s="166">
        <v>93382</v>
      </c>
      <c r="D264" s="264" t="s">
        <v>11682</v>
      </c>
      <c r="E264" s="169" t="s">
        <v>41</v>
      </c>
      <c r="F264" s="170">
        <f>VLOOKUP(A264,MC!$A$10:'MC'!$J$2901,9,FALSE)</f>
        <v>8.16</v>
      </c>
      <c r="G264" s="171">
        <f>VLOOKUP(C264,Serviço02!$A$1:$D$6699,4,FALSE)</f>
        <v>25.62</v>
      </c>
      <c r="H264" s="171">
        <f>G264</f>
        <v>25.62</v>
      </c>
      <c r="I264" s="300">
        <f>BDI!$F$21</f>
        <v>0.21299999999999999</v>
      </c>
      <c r="J264" s="301">
        <f t="shared" si="95"/>
        <v>31.08</v>
      </c>
      <c r="K264" s="302">
        <f t="shared" si="96"/>
        <v>253.61</v>
      </c>
      <c r="M264" s="109"/>
      <c r="N264"/>
      <c r="O264" s="5"/>
      <c r="P264" s="5"/>
      <c r="Q264" s="5"/>
      <c r="R264" s="5"/>
      <c r="S264" s="5"/>
    </row>
    <row r="265" spans="1:19" ht="16.5" thickBot="1" x14ac:dyDescent="0.3">
      <c r="A265" s="260"/>
      <c r="B265" s="261"/>
      <c r="C265" s="261"/>
      <c r="D265" s="261"/>
      <c r="E265" s="261"/>
      <c r="F265" s="261"/>
      <c r="G265" s="25"/>
      <c r="H265" s="25"/>
      <c r="I265" s="25"/>
      <c r="J265" s="25"/>
      <c r="K265" s="27"/>
      <c r="N265"/>
      <c r="O265" s="5"/>
      <c r="P265" s="5"/>
      <c r="Q265" s="5"/>
      <c r="R265" s="5"/>
      <c r="S265" s="5"/>
    </row>
    <row r="266" spans="1:19" s="16" customFormat="1" ht="15.75" customHeight="1" thickBot="1" x14ac:dyDescent="0.3">
      <c r="A266" s="17" t="s">
        <v>92</v>
      </c>
      <c r="B266" s="18"/>
      <c r="C266" s="18"/>
      <c r="D266" s="116" t="s">
        <v>11166</v>
      </c>
      <c r="E266" s="18"/>
      <c r="F266" s="18"/>
      <c r="G266" s="18"/>
      <c r="H266" s="18"/>
      <c r="I266" s="18"/>
      <c r="J266" s="18"/>
      <c r="K266" s="120">
        <f>SUM(K267,K275,K288,K292)</f>
        <v>11674.369999999999</v>
      </c>
      <c r="M266" s="109"/>
      <c r="N266"/>
      <c r="O266" s="5"/>
      <c r="P266" s="5"/>
      <c r="Q266" s="5"/>
      <c r="R266" s="5"/>
      <c r="S266" s="5"/>
    </row>
    <row r="267" spans="1:19" s="16" customFormat="1" ht="15.75" customHeight="1" thickBot="1" x14ac:dyDescent="0.3">
      <c r="A267" s="20" t="s">
        <v>192</v>
      </c>
      <c r="B267" s="21"/>
      <c r="C267" s="21"/>
      <c r="D267" s="21" t="s">
        <v>198</v>
      </c>
      <c r="E267" s="21"/>
      <c r="F267" s="21"/>
      <c r="G267" s="21"/>
      <c r="H267" s="21"/>
      <c r="I267" s="21"/>
      <c r="J267" s="21"/>
      <c r="K267" s="167">
        <f>SUM(K269:K273)</f>
        <v>5060.71</v>
      </c>
      <c r="M267" s="109"/>
      <c r="N267"/>
      <c r="O267" s="5"/>
      <c r="P267" s="5"/>
      <c r="Q267" s="5"/>
      <c r="R267" s="5"/>
      <c r="S267" s="5"/>
    </row>
    <row r="268" spans="1:19" s="16" customFormat="1" ht="15" x14ac:dyDescent="0.25">
      <c r="A268" s="168"/>
      <c r="B268" s="166"/>
      <c r="C268" s="166"/>
      <c r="D268" s="248" t="s">
        <v>11173</v>
      </c>
      <c r="E268" s="169"/>
      <c r="F268" s="170"/>
      <c r="G268" s="171"/>
      <c r="H268" s="299"/>
      <c r="I268" s="299"/>
      <c r="J268" s="299"/>
      <c r="K268" s="176"/>
      <c r="M268" s="109"/>
      <c r="N268"/>
      <c r="O268" s="5"/>
      <c r="P268" s="5"/>
      <c r="Q268" s="5"/>
      <c r="R268" s="5"/>
      <c r="S268" s="5"/>
    </row>
    <row r="269" spans="1:19" s="16" customFormat="1" ht="15" x14ac:dyDescent="0.25">
      <c r="A269" s="168" t="s">
        <v>193</v>
      </c>
      <c r="B269" s="166" t="s">
        <v>166</v>
      </c>
      <c r="C269" s="166">
        <v>89799</v>
      </c>
      <c r="D269" s="264" t="s">
        <v>11172</v>
      </c>
      <c r="E269" s="169" t="s">
        <v>47</v>
      </c>
      <c r="F269" s="170">
        <f>VLOOKUP(A269,MC!$A$10:'MC'!$J$2901,9,FALSE)</f>
        <v>13.43</v>
      </c>
      <c r="G269" s="171">
        <f>VLOOKUP(C269,Serviço02!$A$1:$D$6699,4,FALSE)</f>
        <v>13.42</v>
      </c>
      <c r="H269" s="171">
        <f>G269</f>
        <v>13.42</v>
      </c>
      <c r="I269" s="300">
        <f>BDI!$F$21</f>
        <v>0.21299999999999999</v>
      </c>
      <c r="J269" s="301">
        <f t="shared" ref="J269:J270" si="97">ROUND(H269*(1+I269),2)</f>
        <v>16.28</v>
      </c>
      <c r="K269" s="302">
        <f t="shared" ref="K269:K270" si="98">ROUND(F269*J269,2)</f>
        <v>218.64</v>
      </c>
      <c r="M269" s="109"/>
      <c r="N269"/>
      <c r="O269" s="5"/>
      <c r="P269" s="5"/>
      <c r="Q269" s="5"/>
      <c r="R269" s="5"/>
      <c r="S269" s="5"/>
    </row>
    <row r="270" spans="1:19" s="16" customFormat="1" ht="15" x14ac:dyDescent="0.25">
      <c r="A270" s="168" t="s">
        <v>194</v>
      </c>
      <c r="B270" s="166" t="s">
        <v>166</v>
      </c>
      <c r="C270" s="166">
        <v>89800</v>
      </c>
      <c r="D270" s="264" t="s">
        <v>11171</v>
      </c>
      <c r="E270" s="169" t="s">
        <v>47</v>
      </c>
      <c r="F270" s="170">
        <f>VLOOKUP(A270,MC!$A$10:'MC'!$J$2901,9,FALSE)</f>
        <v>190.09</v>
      </c>
      <c r="G270" s="171">
        <f>VLOOKUP(C270,Serviço02!$A$1:$D$6699,4,FALSE)</f>
        <v>16.8</v>
      </c>
      <c r="H270" s="171">
        <f t="shared" ref="H270:H273" si="99">G270</f>
        <v>16.8</v>
      </c>
      <c r="I270" s="300">
        <f>BDI!$F$21</f>
        <v>0.21299999999999999</v>
      </c>
      <c r="J270" s="301">
        <f t="shared" si="97"/>
        <v>20.38</v>
      </c>
      <c r="K270" s="302">
        <f t="shared" si="98"/>
        <v>3874.03</v>
      </c>
      <c r="M270" s="109"/>
      <c r="N270"/>
      <c r="O270" s="5"/>
      <c r="P270" s="5"/>
      <c r="Q270" s="5"/>
      <c r="R270" s="5"/>
      <c r="S270" s="5"/>
    </row>
    <row r="271" spans="1:19" s="16" customFormat="1" ht="15.75" customHeight="1" x14ac:dyDescent="0.25">
      <c r="A271" s="168"/>
      <c r="B271" s="165"/>
      <c r="C271" s="172"/>
      <c r="D271" s="638" t="s">
        <v>11174</v>
      </c>
      <c r="E271" s="169"/>
      <c r="F271" s="170"/>
      <c r="G271" s="171"/>
      <c r="H271" s="171"/>
      <c r="I271" s="299"/>
      <c r="J271" s="299"/>
      <c r="K271" s="176"/>
      <c r="M271" s="109"/>
      <c r="N271" s="5"/>
      <c r="O271" s="5"/>
      <c r="P271" s="5"/>
      <c r="Q271" s="5"/>
      <c r="R271" s="5"/>
      <c r="S271" s="5"/>
    </row>
    <row r="272" spans="1:19" s="16" customFormat="1" ht="15.75" customHeight="1" x14ac:dyDescent="0.25">
      <c r="A272" s="168" t="s">
        <v>195</v>
      </c>
      <c r="B272" s="166" t="s">
        <v>166</v>
      </c>
      <c r="C272" s="166">
        <v>89865</v>
      </c>
      <c r="D272" s="264" t="s">
        <v>11176</v>
      </c>
      <c r="E272" s="169" t="s">
        <v>47</v>
      </c>
      <c r="F272" s="170">
        <f>VLOOKUP(A272,MC!$A$10:'MC'!$J$2901,9,FALSE)</f>
        <v>9.84</v>
      </c>
      <c r="G272" s="171">
        <f>VLOOKUP(C272,Serviço02!$A$1:$D$6699,4,FALSE)</f>
        <v>9.8699999999999992</v>
      </c>
      <c r="H272" s="171">
        <f t="shared" si="99"/>
        <v>9.8699999999999992</v>
      </c>
      <c r="I272" s="300">
        <f>BDI!$F$21</f>
        <v>0.21299999999999999</v>
      </c>
      <c r="J272" s="301">
        <f t="shared" ref="J272:J273" si="100">ROUND(H272*(1+I272),2)</f>
        <v>11.97</v>
      </c>
      <c r="K272" s="302">
        <f t="shared" ref="K272:K273" si="101">ROUND(F272*J272,2)</f>
        <v>117.78</v>
      </c>
      <c r="M272" s="109"/>
      <c r="N272"/>
      <c r="O272" s="5"/>
      <c r="P272" s="5"/>
      <c r="Q272" s="5"/>
      <c r="R272" s="5"/>
      <c r="S272" s="5"/>
    </row>
    <row r="273" spans="1:19" s="16" customFormat="1" ht="15.75" customHeight="1" thickBot="1" x14ac:dyDescent="0.3">
      <c r="A273" s="168" t="s">
        <v>196</v>
      </c>
      <c r="B273" s="166" t="s">
        <v>166</v>
      </c>
      <c r="C273" s="166">
        <v>89357</v>
      </c>
      <c r="D273" s="264" t="s">
        <v>11177</v>
      </c>
      <c r="E273" s="169" t="s">
        <v>47</v>
      </c>
      <c r="F273" s="170">
        <f>VLOOKUP(A273,MC!$A$10:'MC'!$J$2901,9,FALSE)</f>
        <v>30.84</v>
      </c>
      <c r="G273" s="171">
        <f>VLOOKUP(C273,Serviço02!$A$1:$D$6699,4,FALSE)</f>
        <v>22.73</v>
      </c>
      <c r="H273" s="171">
        <f t="shared" si="99"/>
        <v>22.73</v>
      </c>
      <c r="I273" s="300">
        <f>BDI!$F$21</f>
        <v>0.21299999999999999</v>
      </c>
      <c r="J273" s="301">
        <f t="shared" si="100"/>
        <v>27.57</v>
      </c>
      <c r="K273" s="302">
        <f t="shared" si="101"/>
        <v>850.26</v>
      </c>
      <c r="M273" s="109"/>
      <c r="N273"/>
      <c r="O273" s="5"/>
      <c r="P273" s="5"/>
      <c r="Q273" s="5"/>
      <c r="R273" s="5"/>
      <c r="S273" s="5"/>
    </row>
    <row r="274" spans="1:19" ht="16.5" thickBot="1" x14ac:dyDescent="0.3">
      <c r="A274" s="260"/>
      <c r="B274" s="261"/>
      <c r="C274" s="261"/>
      <c r="D274" s="261"/>
      <c r="E274" s="261"/>
      <c r="F274" s="261"/>
      <c r="G274" s="25"/>
      <c r="H274" s="25"/>
      <c r="I274" s="25"/>
      <c r="J274" s="25"/>
      <c r="K274" s="27"/>
      <c r="N274"/>
      <c r="O274" s="5"/>
      <c r="P274" s="5"/>
      <c r="Q274" s="5"/>
      <c r="R274" s="5"/>
      <c r="S274" s="5"/>
    </row>
    <row r="275" spans="1:19" s="16" customFormat="1" ht="15.75" customHeight="1" thickBot="1" x14ac:dyDescent="0.3">
      <c r="A275" s="20" t="s">
        <v>200</v>
      </c>
      <c r="B275" s="21"/>
      <c r="C275" s="21"/>
      <c r="D275" s="21" t="s">
        <v>199</v>
      </c>
      <c r="E275" s="21"/>
      <c r="F275" s="21"/>
      <c r="G275" s="21"/>
      <c r="H275" s="21"/>
      <c r="I275" s="21"/>
      <c r="J275" s="21"/>
      <c r="K275" s="167">
        <f>SUM(K277:K286)</f>
        <v>685.43000000000006</v>
      </c>
      <c r="M275" s="109"/>
      <c r="N275"/>
      <c r="O275" s="5"/>
      <c r="P275" s="5"/>
      <c r="Q275" s="5"/>
      <c r="R275" s="5"/>
      <c r="S275" s="5"/>
    </row>
    <row r="276" spans="1:19" s="16" customFormat="1" ht="15" x14ac:dyDescent="0.25">
      <c r="A276" s="168"/>
      <c r="B276" s="166"/>
      <c r="C276" s="166"/>
      <c r="D276" s="248" t="s">
        <v>11173</v>
      </c>
      <c r="E276" s="169"/>
      <c r="F276" s="170"/>
      <c r="G276" s="171"/>
      <c r="H276" s="299"/>
      <c r="I276" s="299"/>
      <c r="J276" s="299"/>
      <c r="K276" s="176"/>
      <c r="M276" s="109"/>
      <c r="N276"/>
      <c r="O276" s="5"/>
      <c r="P276" s="5"/>
      <c r="Q276" s="5"/>
      <c r="R276" s="5"/>
      <c r="S276" s="5"/>
    </row>
    <row r="277" spans="1:19" s="16" customFormat="1" ht="25.5" x14ac:dyDescent="0.25">
      <c r="A277" s="168" t="s">
        <v>201</v>
      </c>
      <c r="B277" s="166" t="s">
        <v>166</v>
      </c>
      <c r="C277" s="166">
        <v>89582</v>
      </c>
      <c r="D277" s="264" t="s">
        <v>11852</v>
      </c>
      <c r="E277" s="169" t="s">
        <v>10884</v>
      </c>
      <c r="F277" s="170">
        <f>VLOOKUP(A277,MC!$A$10:'MC'!$J$2901,9,FALSE)</f>
        <v>4</v>
      </c>
      <c r="G277" s="171">
        <f>VLOOKUP(C277,Serviço02!$A$1:$D$6699,4,FALSE)</f>
        <v>15.33</v>
      </c>
      <c r="H277" s="171">
        <f>G277</f>
        <v>15.33</v>
      </c>
      <c r="I277" s="300">
        <f>BDI!$F$21</f>
        <v>0.21299999999999999</v>
      </c>
      <c r="J277" s="301">
        <f t="shared" ref="J277:J280" si="102">ROUND(H277*(1+I277),2)</f>
        <v>18.600000000000001</v>
      </c>
      <c r="K277" s="302">
        <f t="shared" ref="K277:K280" si="103">ROUND(F277*J277,2)</f>
        <v>74.400000000000006</v>
      </c>
      <c r="M277" s="109"/>
      <c r="N277"/>
      <c r="O277" s="5"/>
      <c r="P277" s="5"/>
      <c r="Q277" s="5"/>
      <c r="R277" s="5"/>
      <c r="S277" s="5"/>
    </row>
    <row r="278" spans="1:19" s="16" customFormat="1" ht="25.5" x14ac:dyDescent="0.25">
      <c r="A278" s="168" t="s">
        <v>202</v>
      </c>
      <c r="B278" s="166" t="s">
        <v>166</v>
      </c>
      <c r="C278" s="166">
        <v>89585</v>
      </c>
      <c r="D278" s="264" t="s">
        <v>11853</v>
      </c>
      <c r="E278" s="169" t="s">
        <v>10884</v>
      </c>
      <c r="F278" s="170">
        <f>VLOOKUP(A278,MC!$A$10:'MC'!$J$2901,9,FALSE)</f>
        <v>3</v>
      </c>
      <c r="G278" s="171">
        <f>VLOOKUP(C278,Serviço02!$A$1:$D$6699,4,FALSE)</f>
        <v>21.35</v>
      </c>
      <c r="H278" s="171">
        <f t="shared" ref="H278:H286" si="104">G278</f>
        <v>21.35</v>
      </c>
      <c r="I278" s="300">
        <f>BDI!$F$21</f>
        <v>0.21299999999999999</v>
      </c>
      <c r="J278" s="301">
        <f t="shared" si="102"/>
        <v>25.9</v>
      </c>
      <c r="K278" s="302">
        <f t="shared" si="103"/>
        <v>77.7</v>
      </c>
      <c r="M278" s="109"/>
      <c r="N278"/>
      <c r="O278" s="5"/>
      <c r="P278" s="5"/>
      <c r="Q278" s="5"/>
      <c r="R278" s="5"/>
      <c r="S278" s="5"/>
    </row>
    <row r="279" spans="1:19" s="16" customFormat="1" ht="25.5" x14ac:dyDescent="0.25">
      <c r="A279" s="168" t="s">
        <v>203</v>
      </c>
      <c r="B279" s="166" t="s">
        <v>166</v>
      </c>
      <c r="C279" s="161">
        <v>89522</v>
      </c>
      <c r="D279" s="264" t="s">
        <v>11854</v>
      </c>
      <c r="E279" s="169" t="s">
        <v>10884</v>
      </c>
      <c r="F279" s="170">
        <f>VLOOKUP(A279,MC!$A$10:'MC'!$J$2901,9,FALSE)</f>
        <v>2</v>
      </c>
      <c r="G279" s="171">
        <f>VLOOKUP(C279,Serviço02!$A$1:$D$6699,4,FALSE)</f>
        <v>18.809999999999999</v>
      </c>
      <c r="H279" s="171">
        <f t="shared" si="104"/>
        <v>18.809999999999999</v>
      </c>
      <c r="I279" s="300">
        <f>BDI!$F$21</f>
        <v>0.21299999999999999</v>
      </c>
      <c r="J279" s="301">
        <f t="shared" si="102"/>
        <v>22.82</v>
      </c>
      <c r="K279" s="302">
        <f t="shared" si="103"/>
        <v>45.64</v>
      </c>
      <c r="M279" s="109"/>
      <c r="N279"/>
      <c r="O279" s="5"/>
      <c r="P279" s="5"/>
      <c r="Q279" s="5"/>
      <c r="R279" s="5"/>
      <c r="S279" s="5"/>
    </row>
    <row r="280" spans="1:19" s="16" customFormat="1" ht="25.5" x14ac:dyDescent="0.25">
      <c r="A280" s="168" t="s">
        <v>204</v>
      </c>
      <c r="B280" s="166" t="s">
        <v>166</v>
      </c>
      <c r="C280" s="161">
        <v>89584</v>
      </c>
      <c r="D280" s="264" t="s">
        <v>11855</v>
      </c>
      <c r="E280" s="169" t="s">
        <v>10884</v>
      </c>
      <c r="F280" s="170">
        <f>VLOOKUP(A280,MC!$A$10:'MC'!$J$2901,9,FALSE)</f>
        <v>10</v>
      </c>
      <c r="G280" s="171">
        <f>VLOOKUP(C280,Serviço02!$A$1:$D$6699,4,FALSE)</f>
        <v>26.4</v>
      </c>
      <c r="H280" s="171">
        <f t="shared" si="104"/>
        <v>26.4</v>
      </c>
      <c r="I280" s="300">
        <f>BDI!$F$21</f>
        <v>0.21299999999999999</v>
      </c>
      <c r="J280" s="301">
        <f t="shared" si="102"/>
        <v>32.020000000000003</v>
      </c>
      <c r="K280" s="302">
        <f t="shared" si="103"/>
        <v>320.2</v>
      </c>
      <c r="M280" s="109"/>
      <c r="N280" s="256"/>
      <c r="O280" s="257"/>
      <c r="P280" s="257"/>
      <c r="Q280" s="257"/>
      <c r="R280" s="5"/>
      <c r="S280" s="5"/>
    </row>
    <row r="281" spans="1:19" s="16" customFormat="1" ht="15.75" customHeight="1" x14ac:dyDescent="0.25">
      <c r="A281" s="168"/>
      <c r="B281" s="165"/>
      <c r="C281" s="172"/>
      <c r="D281" s="638" t="s">
        <v>11174</v>
      </c>
      <c r="E281" s="169"/>
      <c r="F281" s="170"/>
      <c r="G281" s="171"/>
      <c r="H281" s="171"/>
      <c r="I281" s="299"/>
      <c r="J281" s="299"/>
      <c r="K281" s="176"/>
      <c r="M281" s="109"/>
      <c r="N281" s="256"/>
      <c r="O281" s="257"/>
      <c r="P281" s="257"/>
      <c r="Q281" s="257"/>
      <c r="R281" s="5"/>
      <c r="S281" s="5"/>
    </row>
    <row r="282" spans="1:19" s="16" customFormat="1" ht="15" x14ac:dyDescent="0.25">
      <c r="A282" s="168" t="s">
        <v>205</v>
      </c>
      <c r="B282" s="166" t="s">
        <v>166</v>
      </c>
      <c r="C282" s="166">
        <v>89867</v>
      </c>
      <c r="D282" s="264" t="s">
        <v>11178</v>
      </c>
      <c r="E282" s="169" t="s">
        <v>10884</v>
      </c>
      <c r="F282" s="170">
        <f>VLOOKUP(A282,MC!$A$10:'MC'!$J$2901,9,FALSE)</f>
        <v>2</v>
      </c>
      <c r="G282" s="171">
        <f>VLOOKUP(C282,Serviço02!$A$1:$D$6699,4,FALSE)</f>
        <v>4.42</v>
      </c>
      <c r="H282" s="171">
        <f t="shared" si="104"/>
        <v>4.42</v>
      </c>
      <c r="I282" s="300">
        <f>BDI!$F$21</f>
        <v>0.21299999999999999</v>
      </c>
      <c r="J282" s="301">
        <f t="shared" ref="J282:J286" si="105">ROUND(H282*(1+I282),2)</f>
        <v>5.36</v>
      </c>
      <c r="K282" s="302">
        <f t="shared" ref="K282:K286" si="106">ROUND(F282*J282,2)</f>
        <v>10.72</v>
      </c>
      <c r="M282" s="109"/>
      <c r="N282" s="256"/>
      <c r="O282" s="257"/>
      <c r="P282" s="257"/>
      <c r="Q282" s="257"/>
      <c r="R282" s="5"/>
      <c r="S282" s="5"/>
    </row>
    <row r="283" spans="1:19" s="254" customFormat="1" ht="15.75" customHeight="1" x14ac:dyDescent="0.25">
      <c r="A283" s="168" t="s">
        <v>206</v>
      </c>
      <c r="B283" s="166" t="s">
        <v>166</v>
      </c>
      <c r="C283" s="166">
        <v>89368</v>
      </c>
      <c r="D283" s="264" t="s">
        <v>11179</v>
      </c>
      <c r="E283" s="169" t="s">
        <v>10884</v>
      </c>
      <c r="F283" s="170">
        <f>VLOOKUP(A283,MC!$A$10:'MC'!$J$2901,9,FALSE)</f>
        <v>1</v>
      </c>
      <c r="G283" s="171">
        <f>VLOOKUP(C283,Serviço02!$A$1:$D$6699,4,FALSE)</f>
        <v>10.83</v>
      </c>
      <c r="H283" s="171">
        <f t="shared" si="104"/>
        <v>10.83</v>
      </c>
      <c r="I283" s="300">
        <f>BDI!$F$21</f>
        <v>0.21299999999999999</v>
      </c>
      <c r="J283" s="301">
        <f t="shared" si="105"/>
        <v>13.14</v>
      </c>
      <c r="K283" s="302">
        <f t="shared" si="106"/>
        <v>13.14</v>
      </c>
      <c r="M283" s="255"/>
      <c r="N283" s="256"/>
      <c r="O283" s="257"/>
      <c r="P283" s="257"/>
      <c r="Q283" s="257"/>
      <c r="R283" s="257"/>
      <c r="S283" s="257"/>
    </row>
    <row r="284" spans="1:19" s="254" customFormat="1" ht="15.75" customHeight="1" x14ac:dyDescent="0.25">
      <c r="A284" s="168" t="s">
        <v>207</v>
      </c>
      <c r="B284" s="166" t="s">
        <v>166</v>
      </c>
      <c r="C284" s="166">
        <v>89866</v>
      </c>
      <c r="D284" s="264" t="s">
        <v>11180</v>
      </c>
      <c r="E284" s="169" t="s">
        <v>10884</v>
      </c>
      <c r="F284" s="170">
        <f>VLOOKUP(A284,MC!$A$10:'MC'!$J$2901,9,FALSE)</f>
        <v>5</v>
      </c>
      <c r="G284" s="171">
        <f>VLOOKUP(C284,Serviço02!$A$1:$D$6699,4,FALSE)</f>
        <v>3.8</v>
      </c>
      <c r="H284" s="171">
        <f t="shared" si="104"/>
        <v>3.8</v>
      </c>
      <c r="I284" s="300">
        <f>BDI!$F$21</f>
        <v>0.21299999999999999</v>
      </c>
      <c r="J284" s="301">
        <f t="shared" si="105"/>
        <v>4.6100000000000003</v>
      </c>
      <c r="K284" s="302">
        <f t="shared" si="106"/>
        <v>23.05</v>
      </c>
      <c r="M284" s="255"/>
      <c r="N284" s="5"/>
      <c r="O284" s="5"/>
      <c r="P284" s="5"/>
      <c r="Q284" s="5"/>
      <c r="R284" s="257"/>
      <c r="S284" s="257"/>
    </row>
    <row r="285" spans="1:19" s="254" customFormat="1" ht="15.75" customHeight="1" x14ac:dyDescent="0.25">
      <c r="A285" s="168" t="s">
        <v>208</v>
      </c>
      <c r="B285" s="166" t="s">
        <v>166</v>
      </c>
      <c r="C285" s="166">
        <v>89367</v>
      </c>
      <c r="D285" s="264" t="s">
        <v>11181</v>
      </c>
      <c r="E285" s="169" t="s">
        <v>10884</v>
      </c>
      <c r="F285" s="170">
        <f>VLOOKUP(A285,MC!$A$10:'MC'!$J$2901,9,FALSE)</f>
        <v>8</v>
      </c>
      <c r="G285" s="171">
        <f>VLOOKUP(C285,Serviço02!$A$1:$D$6699,4,FALSE)</f>
        <v>9.09</v>
      </c>
      <c r="H285" s="171">
        <f t="shared" si="104"/>
        <v>9.09</v>
      </c>
      <c r="I285" s="300">
        <f>BDI!$F$21</f>
        <v>0.21299999999999999</v>
      </c>
      <c r="J285" s="301">
        <f t="shared" si="105"/>
        <v>11.03</v>
      </c>
      <c r="K285" s="302">
        <f t="shared" si="106"/>
        <v>88.24</v>
      </c>
      <c r="M285" s="255"/>
      <c r="N285"/>
      <c r="O285" s="5"/>
      <c r="P285" s="5"/>
      <c r="Q285" s="5"/>
      <c r="R285" s="257"/>
      <c r="S285" s="257"/>
    </row>
    <row r="286" spans="1:19" s="254" customFormat="1" ht="15.75" customHeight="1" thickBot="1" x14ac:dyDescent="0.3">
      <c r="A286" s="168" t="s">
        <v>11224</v>
      </c>
      <c r="B286" s="166" t="s">
        <v>166</v>
      </c>
      <c r="C286" s="166">
        <v>89398</v>
      </c>
      <c r="D286" s="264" t="s">
        <v>11182</v>
      </c>
      <c r="E286" s="169" t="s">
        <v>10884</v>
      </c>
      <c r="F286" s="170">
        <f>VLOOKUP(A286,MC!$A$10:'MC'!$J$2901,9,FALSE)</f>
        <v>2</v>
      </c>
      <c r="G286" s="171">
        <f>VLOOKUP(C286,Serviço02!$A$1:$D$6699,4,FALSE)</f>
        <v>13.33</v>
      </c>
      <c r="H286" s="171">
        <f t="shared" si="104"/>
        <v>13.33</v>
      </c>
      <c r="I286" s="300">
        <f>BDI!$F$21</f>
        <v>0.21299999999999999</v>
      </c>
      <c r="J286" s="301">
        <f t="shared" si="105"/>
        <v>16.170000000000002</v>
      </c>
      <c r="K286" s="302">
        <f t="shared" si="106"/>
        <v>32.340000000000003</v>
      </c>
      <c r="M286" s="255"/>
      <c r="N286"/>
      <c r="O286" s="5"/>
      <c r="P286" s="5"/>
      <c r="Q286" s="5"/>
      <c r="R286" s="257"/>
      <c r="S286" s="257"/>
    </row>
    <row r="287" spans="1:19" ht="16.5" thickBot="1" x14ac:dyDescent="0.3">
      <c r="A287" s="260"/>
      <c r="B287" s="261"/>
      <c r="C287" s="261"/>
      <c r="D287" s="261"/>
      <c r="E287" s="261"/>
      <c r="F287" s="261"/>
      <c r="G287" s="25"/>
      <c r="H287" s="25"/>
      <c r="I287" s="25"/>
      <c r="J287" s="25"/>
      <c r="K287" s="27"/>
      <c r="N287"/>
      <c r="O287" s="5"/>
      <c r="P287" s="5"/>
      <c r="Q287" s="5"/>
      <c r="R287" s="5"/>
      <c r="S287" s="5"/>
    </row>
    <row r="288" spans="1:19" s="16" customFormat="1" ht="15.75" customHeight="1" thickBot="1" x14ac:dyDescent="0.3">
      <c r="A288" s="20" t="s">
        <v>213</v>
      </c>
      <c r="B288" s="21"/>
      <c r="C288" s="21"/>
      <c r="D288" s="21" t="s">
        <v>11183</v>
      </c>
      <c r="E288" s="21"/>
      <c r="F288" s="21"/>
      <c r="G288" s="21"/>
      <c r="H288" s="21"/>
      <c r="I288" s="21"/>
      <c r="J288" s="21"/>
      <c r="K288" s="167">
        <f>SUM(K289:K290)</f>
        <v>5374.16</v>
      </c>
      <c r="M288" s="109"/>
      <c r="N288" s="5"/>
      <c r="O288" s="5"/>
      <c r="P288" s="5"/>
      <c r="Q288" s="5"/>
      <c r="R288" s="5"/>
      <c r="S288" s="5"/>
    </row>
    <row r="289" spans="1:19" s="16" customFormat="1" ht="25.5" x14ac:dyDescent="0.25">
      <c r="A289" s="168" t="s">
        <v>212</v>
      </c>
      <c r="B289" s="166" t="s">
        <v>166</v>
      </c>
      <c r="C289" s="166">
        <v>99253</v>
      </c>
      <c r="D289" s="264" t="s">
        <v>11184</v>
      </c>
      <c r="E289" s="169" t="s">
        <v>10884</v>
      </c>
      <c r="F289" s="170">
        <f>VLOOKUP(A289,MC!$A$10:'MC'!$J$2901,9,FALSE)</f>
        <v>8</v>
      </c>
      <c r="G289" s="171">
        <f>VLOOKUP(C289,Serviço02!$A$1:$D$6699,4,FALSE)</f>
        <v>472.16</v>
      </c>
      <c r="H289" s="171">
        <f>G289</f>
        <v>472.16</v>
      </c>
      <c r="I289" s="300">
        <f>BDI!$F$21</f>
        <v>0.21299999999999999</v>
      </c>
      <c r="J289" s="301">
        <f t="shared" ref="J289:J290" si="107">ROUND(H289*(1+I289),2)</f>
        <v>572.73</v>
      </c>
      <c r="K289" s="302">
        <f t="shared" ref="K289:K290" si="108">ROUND(F289*J289,2)</f>
        <v>4581.84</v>
      </c>
      <c r="M289" s="109"/>
      <c r="N289"/>
      <c r="O289" s="5"/>
      <c r="P289" s="5"/>
      <c r="Q289" s="5"/>
      <c r="R289" s="5"/>
      <c r="S289" s="5"/>
    </row>
    <row r="290" spans="1:19" s="16" customFormat="1" ht="26.25" thickBot="1" x14ac:dyDescent="0.3">
      <c r="A290" s="168" t="s">
        <v>214</v>
      </c>
      <c r="B290" s="166" t="s">
        <v>166</v>
      </c>
      <c r="C290" s="166">
        <v>99255</v>
      </c>
      <c r="D290" s="264" t="s">
        <v>11185</v>
      </c>
      <c r="E290" s="169" t="s">
        <v>10884</v>
      </c>
      <c r="F290" s="170">
        <f>VLOOKUP(A290,MC!$A$10:'MC'!$J$2901,9,FALSE)</f>
        <v>1</v>
      </c>
      <c r="G290" s="171">
        <f>VLOOKUP(C290,Serviço02!$A$1:$D$6699,4,FALSE)</f>
        <v>653.19000000000005</v>
      </c>
      <c r="H290" s="171">
        <f>G290</f>
        <v>653.19000000000005</v>
      </c>
      <c r="I290" s="300">
        <f>BDI!$F$21</f>
        <v>0.21299999999999999</v>
      </c>
      <c r="J290" s="301">
        <f t="shared" si="107"/>
        <v>792.32</v>
      </c>
      <c r="K290" s="302">
        <f t="shared" si="108"/>
        <v>792.32</v>
      </c>
      <c r="M290" s="109"/>
      <c r="N290"/>
      <c r="O290" s="5"/>
      <c r="P290" s="5"/>
      <c r="Q290" s="5"/>
      <c r="R290" s="5"/>
      <c r="S290" s="5"/>
    </row>
    <row r="291" spans="1:19" ht="16.5" thickBot="1" x14ac:dyDescent="0.3">
      <c r="A291" s="260"/>
      <c r="B291" s="261"/>
      <c r="C291" s="261"/>
      <c r="D291" s="261"/>
      <c r="E291" s="261"/>
      <c r="F291" s="261"/>
      <c r="G291" s="25"/>
      <c r="H291" s="25"/>
      <c r="I291" s="25"/>
      <c r="J291" s="25"/>
      <c r="K291" s="27"/>
      <c r="N291"/>
      <c r="O291" s="5"/>
      <c r="P291" s="5"/>
      <c r="Q291" s="5"/>
      <c r="R291" s="5"/>
      <c r="S291" s="5"/>
    </row>
    <row r="292" spans="1:19" s="16" customFormat="1" ht="15.75" customHeight="1" thickBot="1" x14ac:dyDescent="0.3">
      <c r="A292" s="20" t="s">
        <v>210</v>
      </c>
      <c r="B292" s="21"/>
      <c r="C292" s="21"/>
      <c r="D292" s="21" t="s">
        <v>11193</v>
      </c>
      <c r="E292" s="21"/>
      <c r="F292" s="21"/>
      <c r="G292" s="21"/>
      <c r="H292" s="21"/>
      <c r="I292" s="21"/>
      <c r="J292" s="21"/>
      <c r="K292" s="167">
        <f>SUM(K293:K294)</f>
        <v>554.07000000000005</v>
      </c>
      <c r="M292" s="109"/>
      <c r="N292" s="5"/>
      <c r="O292" s="5"/>
      <c r="P292" s="5"/>
      <c r="Q292" s="5"/>
      <c r="R292" s="5"/>
      <c r="S292" s="5"/>
    </row>
    <row r="293" spans="1:19" s="16" customFormat="1" ht="15" x14ac:dyDescent="0.25">
      <c r="A293" s="168" t="s">
        <v>211</v>
      </c>
      <c r="B293" s="166" t="s">
        <v>166</v>
      </c>
      <c r="C293" s="166">
        <v>90443</v>
      </c>
      <c r="D293" s="264" t="s">
        <v>11186</v>
      </c>
      <c r="E293" s="169" t="s">
        <v>47</v>
      </c>
      <c r="F293" s="170">
        <f>VLOOKUP(A293,MC!$A$10:'MC'!$J$2901,9,FALSE)</f>
        <v>31.04</v>
      </c>
      <c r="G293" s="171">
        <f>VLOOKUP(C293,Serviço02!$A$1:$D$6699,4,FALSE)</f>
        <v>9.8699999999999992</v>
      </c>
      <c r="H293" s="171">
        <f>G293</f>
        <v>9.8699999999999992</v>
      </c>
      <c r="I293" s="300">
        <f>BDI!$F$21</f>
        <v>0.21299999999999999</v>
      </c>
      <c r="J293" s="301">
        <f t="shared" ref="J293:J294" si="109">ROUND(H293*(1+I293),2)</f>
        <v>11.97</v>
      </c>
      <c r="K293" s="302">
        <f t="shared" ref="K293:K294" si="110">ROUND(F293*J293,2)</f>
        <v>371.55</v>
      </c>
      <c r="M293" s="109"/>
      <c r="N293"/>
      <c r="O293" s="5"/>
      <c r="P293" s="5"/>
      <c r="Q293" s="5"/>
      <c r="R293" s="5"/>
      <c r="S293" s="5"/>
    </row>
    <row r="294" spans="1:19" s="599" customFormat="1" ht="15.75" thickBot="1" x14ac:dyDescent="0.3">
      <c r="A294" s="593" t="s">
        <v>215</v>
      </c>
      <c r="B294" s="266" t="s">
        <v>22</v>
      </c>
      <c r="C294" s="266" t="str">
        <f>CPU!A1242</f>
        <v>CPU-44</v>
      </c>
      <c r="D294" s="264" t="s">
        <v>11188</v>
      </c>
      <c r="E294" s="267" t="s">
        <v>47</v>
      </c>
      <c r="F294" s="594">
        <f>VLOOKUP(A294,MC!$A$10:'MC'!$J$2901,9,FALSE)</f>
        <v>31.04</v>
      </c>
      <c r="G294" s="577">
        <f>CPU!F1267</f>
        <v>4.8499999999999996</v>
      </c>
      <c r="H294" s="577">
        <f>G294</f>
        <v>4.8499999999999996</v>
      </c>
      <c r="I294" s="596">
        <f>BDI!$F$21</f>
        <v>0.21299999999999999</v>
      </c>
      <c r="J294" s="597">
        <f t="shared" si="109"/>
        <v>5.88</v>
      </c>
      <c r="K294" s="598">
        <f t="shared" si="110"/>
        <v>182.52</v>
      </c>
      <c r="M294" s="600"/>
      <c r="N294" s="601"/>
      <c r="O294" s="602"/>
      <c r="P294" s="602"/>
      <c r="Q294" s="602"/>
      <c r="R294" s="602"/>
      <c r="S294" s="602"/>
    </row>
    <row r="295" spans="1:19" ht="16.5" thickBot="1" x14ac:dyDescent="0.3">
      <c r="A295" s="260"/>
      <c r="B295" s="261"/>
      <c r="C295" s="261"/>
      <c r="D295" s="261"/>
      <c r="E295" s="261"/>
      <c r="F295" s="261"/>
      <c r="G295" s="25"/>
      <c r="H295" s="25"/>
      <c r="I295" s="25"/>
      <c r="J295" s="25"/>
      <c r="K295" s="27"/>
      <c r="N295"/>
      <c r="O295" s="5"/>
      <c r="P295" s="5"/>
      <c r="Q295" s="5"/>
      <c r="R295" s="5"/>
      <c r="S295" s="5"/>
    </row>
    <row r="296" spans="1:19" s="16" customFormat="1" ht="15.75" customHeight="1" thickBot="1" x14ac:dyDescent="0.3">
      <c r="A296" s="17" t="s">
        <v>93</v>
      </c>
      <c r="B296" s="18"/>
      <c r="C296" s="18"/>
      <c r="D296" s="116" t="s">
        <v>218</v>
      </c>
      <c r="E296" s="18"/>
      <c r="F296" s="18"/>
      <c r="G296" s="18"/>
      <c r="H296" s="18"/>
      <c r="I296" s="18"/>
      <c r="J296" s="18"/>
      <c r="K296" s="120">
        <f>SUM(K297,K316,K326,K345,K357,K362,K369,K375,K382)</f>
        <v>91272.320000000007</v>
      </c>
      <c r="M296" s="109"/>
      <c r="N296"/>
      <c r="O296" s="5"/>
      <c r="P296" s="5"/>
      <c r="Q296" s="5"/>
      <c r="R296" s="5"/>
      <c r="S296" s="5"/>
    </row>
    <row r="297" spans="1:19" s="16" customFormat="1" ht="15.75" customHeight="1" thickBot="1" x14ac:dyDescent="0.3">
      <c r="A297" s="20" t="s">
        <v>219</v>
      </c>
      <c r="B297" s="21"/>
      <c r="C297" s="21"/>
      <c r="D297" s="21" t="s">
        <v>11860</v>
      </c>
      <c r="E297" s="21"/>
      <c r="F297" s="21"/>
      <c r="G297" s="21"/>
      <c r="H297" s="21"/>
      <c r="I297" s="21"/>
      <c r="J297" s="21"/>
      <c r="K297" s="167">
        <f>SUM(K299:K314)</f>
        <v>22265.570000000003</v>
      </c>
      <c r="M297" s="109"/>
      <c r="N297"/>
      <c r="O297" s="5"/>
      <c r="P297" s="5"/>
      <c r="Q297" s="5"/>
      <c r="R297" s="5"/>
      <c r="S297" s="5"/>
    </row>
    <row r="298" spans="1:19" s="16" customFormat="1" ht="15.75" customHeight="1" x14ac:dyDescent="0.25">
      <c r="A298" s="168"/>
      <c r="B298" s="165"/>
      <c r="C298" s="172"/>
      <c r="D298" s="248" t="s">
        <v>11871</v>
      </c>
      <c r="E298" s="169"/>
      <c r="F298" s="170"/>
      <c r="G298" s="171"/>
      <c r="H298" s="299"/>
      <c r="I298" s="299"/>
      <c r="J298" s="299"/>
      <c r="K298" s="176"/>
      <c r="M298" s="109"/>
      <c r="N298"/>
      <c r="O298" s="5"/>
      <c r="P298" s="5"/>
      <c r="Q298" s="5"/>
      <c r="R298" s="5"/>
      <c r="S298" s="5"/>
    </row>
    <row r="299" spans="1:19" s="16" customFormat="1" ht="25.5" x14ac:dyDescent="0.25">
      <c r="A299" s="593" t="s">
        <v>220</v>
      </c>
      <c r="B299" s="266" t="s">
        <v>166</v>
      </c>
      <c r="C299" s="266">
        <v>91884</v>
      </c>
      <c r="D299" s="264" t="s">
        <v>11872</v>
      </c>
      <c r="E299" s="594" t="s">
        <v>10884</v>
      </c>
      <c r="F299" s="594">
        <f>VLOOKUP(A299,MC!$A$10:'MC'!$J$2901,9,FALSE)</f>
        <v>556</v>
      </c>
      <c r="G299" s="171">
        <f>VLOOKUP(C299,Serviço02!$A$1:$D$6699,4,FALSE)</f>
        <v>6.72</v>
      </c>
      <c r="H299" s="171">
        <f>G299</f>
        <v>6.72</v>
      </c>
      <c r="I299" s="300">
        <f>BDI!$F$21</f>
        <v>0.21299999999999999</v>
      </c>
      <c r="J299" s="301">
        <f t="shared" ref="J299" si="111">ROUND(H299*(1+I299),2)</f>
        <v>8.15</v>
      </c>
      <c r="K299" s="302">
        <f t="shared" ref="K299" si="112">ROUND(F299*J299,2)</f>
        <v>4531.3999999999996</v>
      </c>
      <c r="M299" s="109"/>
      <c r="N299"/>
      <c r="O299" s="5"/>
      <c r="P299" s="5"/>
      <c r="Q299" s="5"/>
      <c r="R299" s="5"/>
      <c r="S299" s="5"/>
    </row>
    <row r="300" spans="1:19" s="16" customFormat="1" ht="25.5" x14ac:dyDescent="0.25">
      <c r="A300" s="593" t="s">
        <v>11167</v>
      </c>
      <c r="B300" s="266" t="s">
        <v>166</v>
      </c>
      <c r="C300" s="266">
        <v>91885</v>
      </c>
      <c r="D300" s="264" t="s">
        <v>11873</v>
      </c>
      <c r="E300" s="594" t="s">
        <v>10884</v>
      </c>
      <c r="F300" s="594">
        <f>VLOOKUP(A300,MC!$A$10:'MC'!$J$2901,9,FALSE)</f>
        <v>17</v>
      </c>
      <c r="G300" s="171">
        <f>VLOOKUP(C300,Serviço02!$A$1:$D$6699,4,FALSE)</f>
        <v>7.88</v>
      </c>
      <c r="H300" s="171">
        <f t="shared" ref="H300:H314" si="113">G300</f>
        <v>7.88</v>
      </c>
      <c r="I300" s="300">
        <f>BDI!$F$21</f>
        <v>0.21299999999999999</v>
      </c>
      <c r="J300" s="301">
        <f t="shared" ref="J300" si="114">ROUND(H300*(1+I300),2)</f>
        <v>9.56</v>
      </c>
      <c r="K300" s="302">
        <f t="shared" ref="K300" si="115">ROUND(F300*J300,2)</f>
        <v>162.52000000000001</v>
      </c>
      <c r="M300" s="109"/>
      <c r="N300"/>
      <c r="O300" s="5"/>
      <c r="P300" s="5"/>
      <c r="Q300" s="5"/>
      <c r="R300" s="5"/>
      <c r="S300" s="5"/>
    </row>
    <row r="301" spans="1:19" s="599" customFormat="1" ht="28.15" customHeight="1" x14ac:dyDescent="0.25">
      <c r="A301" s="593" t="s">
        <v>11168</v>
      </c>
      <c r="B301" s="266" t="s">
        <v>22</v>
      </c>
      <c r="C301" s="266" t="str">
        <f>CPU!A1296</f>
        <v>CPU-46</v>
      </c>
      <c r="D301" s="264" t="s">
        <v>11874</v>
      </c>
      <c r="E301" s="594" t="s">
        <v>10884</v>
      </c>
      <c r="F301" s="594">
        <f>VLOOKUP(A301,MC!$A$10:'MC'!$J$2901,9,FALSE)</f>
        <v>8</v>
      </c>
      <c r="G301" s="577">
        <f>CPU!F1321</f>
        <v>20.72</v>
      </c>
      <c r="H301" s="577">
        <f t="shared" si="113"/>
        <v>20.72</v>
      </c>
      <c r="I301" s="596">
        <f>BDI!$F$21</f>
        <v>0.21299999999999999</v>
      </c>
      <c r="J301" s="597">
        <f t="shared" ref="J301:J302" si="116">ROUND(H301*(1+I301),2)</f>
        <v>25.13</v>
      </c>
      <c r="K301" s="598">
        <f t="shared" ref="K301:K302" si="117">ROUND(F301*J301,2)</f>
        <v>201.04</v>
      </c>
      <c r="M301" s="600"/>
      <c r="N301" s="601"/>
      <c r="O301" s="602"/>
      <c r="P301" s="602"/>
      <c r="Q301" s="602"/>
      <c r="R301" s="602"/>
      <c r="S301" s="602"/>
    </row>
    <row r="302" spans="1:19" s="16" customFormat="1" ht="25.5" x14ac:dyDescent="0.25">
      <c r="A302" s="593" t="s">
        <v>11169</v>
      </c>
      <c r="B302" s="266" t="s">
        <v>166</v>
      </c>
      <c r="C302" s="607">
        <v>95760</v>
      </c>
      <c r="D302" s="264" t="s">
        <v>11877</v>
      </c>
      <c r="E302" s="594" t="s">
        <v>10884</v>
      </c>
      <c r="F302" s="594">
        <f>VLOOKUP(A302,MC!$A$10:'MC'!$J$2901,9,FALSE)</f>
        <v>5</v>
      </c>
      <c r="G302" s="171">
        <f>VLOOKUP(C302,Serviço02!$A$1:$D$6699,4,FALSE)</f>
        <v>14.96</v>
      </c>
      <c r="H302" s="171">
        <f t="shared" si="113"/>
        <v>14.96</v>
      </c>
      <c r="I302" s="300">
        <f>BDI!$F$21</f>
        <v>0.21299999999999999</v>
      </c>
      <c r="J302" s="301">
        <f t="shared" si="116"/>
        <v>18.149999999999999</v>
      </c>
      <c r="K302" s="302">
        <f t="shared" si="117"/>
        <v>90.75</v>
      </c>
      <c r="M302" s="109"/>
      <c r="N302"/>
      <c r="O302" s="5"/>
      <c r="P302" s="5"/>
      <c r="Q302" s="5"/>
      <c r="R302" s="5"/>
      <c r="S302" s="5"/>
    </row>
    <row r="303" spans="1:19" s="599" customFormat="1" ht="25.5" x14ac:dyDescent="0.25">
      <c r="A303" s="593" t="s">
        <v>12141</v>
      </c>
      <c r="B303" s="266" t="s">
        <v>22</v>
      </c>
      <c r="C303" s="266" t="str">
        <f>CPU!A1323</f>
        <v>CPU-47</v>
      </c>
      <c r="D303" s="264" t="s">
        <v>11878</v>
      </c>
      <c r="E303" s="594" t="s">
        <v>10884</v>
      </c>
      <c r="F303" s="594">
        <f>VLOOKUP(A303,MC!$A$10:'MC'!$J$2901,9,FALSE)</f>
        <v>18</v>
      </c>
      <c r="G303" s="577">
        <f>CPU!F1348</f>
        <v>15.76</v>
      </c>
      <c r="H303" s="577">
        <f t="shared" si="113"/>
        <v>15.76</v>
      </c>
      <c r="I303" s="596">
        <f>BDI!$F$21</f>
        <v>0.21299999999999999</v>
      </c>
      <c r="J303" s="597">
        <f t="shared" ref="J303" si="118">ROUND(H303*(1+I303),2)</f>
        <v>19.12</v>
      </c>
      <c r="K303" s="598">
        <f t="shared" ref="K303" si="119">ROUND(F303*J303,2)</f>
        <v>344.16</v>
      </c>
      <c r="M303" s="600"/>
      <c r="N303" s="601"/>
      <c r="O303" s="602"/>
      <c r="P303" s="602"/>
      <c r="Q303" s="602"/>
      <c r="R303" s="602"/>
      <c r="S303" s="602"/>
    </row>
    <row r="304" spans="1:19" s="16" customFormat="1" ht="15" x14ac:dyDescent="0.25">
      <c r="A304" s="593"/>
      <c r="B304" s="266"/>
      <c r="C304" s="607"/>
      <c r="D304" s="638" t="s">
        <v>11876</v>
      </c>
      <c r="E304" s="594"/>
      <c r="F304" s="594"/>
      <c r="G304" s="171"/>
      <c r="H304" s="171"/>
      <c r="I304" s="300"/>
      <c r="J304" s="301"/>
      <c r="K304" s="302"/>
      <c r="M304" s="109"/>
      <c r="N304"/>
      <c r="O304" s="5"/>
      <c r="P304" s="5"/>
      <c r="Q304" s="5"/>
      <c r="R304" s="5"/>
      <c r="S304" s="5"/>
    </row>
    <row r="305" spans="1:19" s="16" customFormat="1" ht="15.75" customHeight="1" x14ac:dyDescent="0.25">
      <c r="A305" s="593" t="s">
        <v>12142</v>
      </c>
      <c r="B305" s="607" t="s">
        <v>166</v>
      </c>
      <c r="C305" s="607">
        <v>91867</v>
      </c>
      <c r="D305" s="264" t="s">
        <v>11882</v>
      </c>
      <c r="E305" s="267" t="s">
        <v>47</v>
      </c>
      <c r="F305" s="594">
        <f>VLOOKUP(A305,MC!$A$10:'MC'!$J$2901,9,FALSE)</f>
        <v>499.75</v>
      </c>
      <c r="G305" s="171">
        <f>VLOOKUP(C305,Serviço02!$A$1:$D$6699,4,FALSE)</f>
        <v>6.77</v>
      </c>
      <c r="H305" s="171">
        <f t="shared" si="113"/>
        <v>6.77</v>
      </c>
      <c r="I305" s="300">
        <f>BDI!$F$21</f>
        <v>0.21299999999999999</v>
      </c>
      <c r="J305" s="301">
        <f t="shared" ref="J305:J309" si="120">ROUND(H305*(1+I305),2)</f>
        <v>8.2100000000000009</v>
      </c>
      <c r="K305" s="302">
        <f t="shared" ref="K305:K309" si="121">ROUND(F305*J305,2)</f>
        <v>4102.95</v>
      </c>
      <c r="M305" s="109"/>
      <c r="N305"/>
      <c r="O305" s="5"/>
      <c r="P305" s="5"/>
      <c r="Q305" s="5"/>
      <c r="R305" s="5"/>
      <c r="S305" s="5"/>
    </row>
    <row r="306" spans="1:19" s="16" customFormat="1" ht="23.45" customHeight="1" x14ac:dyDescent="0.25">
      <c r="A306" s="593" t="s">
        <v>12143</v>
      </c>
      <c r="B306" s="266" t="s">
        <v>166</v>
      </c>
      <c r="C306" s="266">
        <v>91868</v>
      </c>
      <c r="D306" s="264" t="s">
        <v>11883</v>
      </c>
      <c r="E306" s="267" t="s">
        <v>47</v>
      </c>
      <c r="F306" s="594">
        <f>VLOOKUP(A306,MC!$A$10:'MC'!$J$2901,9,FALSE)</f>
        <v>16.2</v>
      </c>
      <c r="G306" s="171">
        <f>VLOOKUP(C306,Serviço02!$A$1:$D$6699,4,FALSE)</f>
        <v>9.33</v>
      </c>
      <c r="H306" s="171">
        <f t="shared" si="113"/>
        <v>9.33</v>
      </c>
      <c r="I306" s="300">
        <f>BDI!$F$21</f>
        <v>0.21299999999999999</v>
      </c>
      <c r="J306" s="301">
        <f t="shared" si="120"/>
        <v>11.32</v>
      </c>
      <c r="K306" s="302">
        <f t="shared" si="121"/>
        <v>183.38</v>
      </c>
      <c r="M306" s="109"/>
      <c r="N306"/>
      <c r="O306" s="5"/>
      <c r="P306" s="5"/>
      <c r="Q306" s="5"/>
      <c r="R306" s="5"/>
      <c r="S306" s="5"/>
    </row>
    <row r="307" spans="1:19" s="16" customFormat="1" ht="15.75" customHeight="1" x14ac:dyDescent="0.25">
      <c r="A307" s="593" t="s">
        <v>12144</v>
      </c>
      <c r="B307" s="266" t="s">
        <v>166</v>
      </c>
      <c r="C307" s="266">
        <v>93008</v>
      </c>
      <c r="D307" s="264" t="s">
        <v>11884</v>
      </c>
      <c r="E307" s="267" t="s">
        <v>47</v>
      </c>
      <c r="F307" s="594">
        <f>VLOOKUP(A307,MC!$A$10:'MC'!$J$2901,9,FALSE)</f>
        <v>4.4000000000000004</v>
      </c>
      <c r="G307" s="171">
        <f>VLOOKUP(C307,Serviço02!$A$1:$D$6699,4,FALSE)</f>
        <v>11.5</v>
      </c>
      <c r="H307" s="171">
        <f t="shared" si="113"/>
        <v>11.5</v>
      </c>
      <c r="I307" s="300">
        <f>BDI!$F$21</f>
        <v>0.21299999999999999</v>
      </c>
      <c r="J307" s="301">
        <f t="shared" si="120"/>
        <v>13.95</v>
      </c>
      <c r="K307" s="302">
        <f t="shared" si="121"/>
        <v>61.38</v>
      </c>
      <c r="M307" s="109"/>
      <c r="N307"/>
      <c r="O307" s="5"/>
      <c r="P307" s="5"/>
      <c r="Q307" s="5"/>
      <c r="R307" s="5"/>
      <c r="S307" s="5"/>
    </row>
    <row r="308" spans="1:19" s="16" customFormat="1" ht="15.75" customHeight="1" x14ac:dyDescent="0.25">
      <c r="A308" s="593" t="s">
        <v>12145</v>
      </c>
      <c r="B308" s="266" t="s">
        <v>166</v>
      </c>
      <c r="C308" s="266">
        <v>93009</v>
      </c>
      <c r="D308" s="264" t="s">
        <v>11885</v>
      </c>
      <c r="E308" s="267" t="s">
        <v>47</v>
      </c>
      <c r="F308" s="594">
        <f>VLOOKUP(A308,MC!$A$10:'MC'!$J$2901,9,FALSE)</f>
        <v>17.5</v>
      </c>
      <c r="G308" s="171">
        <f>VLOOKUP(C308,Serviço02!$A$1:$D$6699,4,FALSE)</f>
        <v>16.77</v>
      </c>
      <c r="H308" s="171">
        <f t="shared" si="113"/>
        <v>16.77</v>
      </c>
      <c r="I308" s="300">
        <f>BDI!$F$21</f>
        <v>0.21299999999999999</v>
      </c>
      <c r="J308" s="301">
        <f t="shared" si="120"/>
        <v>20.34</v>
      </c>
      <c r="K308" s="302">
        <f t="shared" si="121"/>
        <v>355.95</v>
      </c>
      <c r="M308" s="109"/>
      <c r="N308"/>
      <c r="O308" s="5"/>
      <c r="P308" s="5"/>
      <c r="Q308" s="5"/>
      <c r="R308" s="5"/>
      <c r="S308" s="5"/>
    </row>
    <row r="309" spans="1:19" s="16" customFormat="1" ht="15.75" customHeight="1" x14ac:dyDescent="0.25">
      <c r="A309" s="593" t="s">
        <v>12146</v>
      </c>
      <c r="B309" s="266" t="s">
        <v>166</v>
      </c>
      <c r="C309" s="266">
        <v>93011</v>
      </c>
      <c r="D309" s="264" t="s">
        <v>11886</v>
      </c>
      <c r="E309" s="267" t="s">
        <v>47</v>
      </c>
      <c r="F309" s="594">
        <f>VLOOKUP(A309,MC!$A$10:'MC'!$J$2901,9,FALSE)</f>
        <v>24</v>
      </c>
      <c r="G309" s="171">
        <f>VLOOKUP(C309,Serviço02!$A$1:$D$6699,4,FALSE)</f>
        <v>28.28</v>
      </c>
      <c r="H309" s="171">
        <f t="shared" si="113"/>
        <v>28.28</v>
      </c>
      <c r="I309" s="300">
        <f>BDI!$F$21</f>
        <v>0.21299999999999999</v>
      </c>
      <c r="J309" s="301">
        <f t="shared" si="120"/>
        <v>34.299999999999997</v>
      </c>
      <c r="K309" s="302">
        <f t="shared" si="121"/>
        <v>823.2</v>
      </c>
      <c r="M309" s="109"/>
      <c r="N309"/>
      <c r="O309" s="5"/>
      <c r="P309" s="5"/>
      <c r="Q309" s="5"/>
      <c r="R309" s="5"/>
      <c r="S309" s="5"/>
    </row>
    <row r="310" spans="1:19" s="16" customFormat="1" ht="15.75" customHeight="1" x14ac:dyDescent="0.25">
      <c r="A310" s="593"/>
      <c r="B310" s="266"/>
      <c r="C310" s="266"/>
      <c r="D310" s="638" t="s">
        <v>11887</v>
      </c>
      <c r="E310" s="267"/>
      <c r="F310" s="594"/>
      <c r="G310" s="171"/>
      <c r="H310" s="171"/>
      <c r="I310" s="300"/>
      <c r="J310" s="301"/>
      <c r="K310" s="302"/>
      <c r="M310" s="109"/>
      <c r="N310"/>
      <c r="O310" s="5"/>
      <c r="P310" s="5"/>
      <c r="Q310" s="5"/>
      <c r="R310" s="5"/>
      <c r="S310" s="5"/>
    </row>
    <row r="311" spans="1:19" s="599" customFormat="1" ht="25.5" x14ac:dyDescent="0.25">
      <c r="A311" s="593" t="s">
        <v>12147</v>
      </c>
      <c r="B311" s="266" t="s">
        <v>163</v>
      </c>
      <c r="C311" s="266" t="str">
        <f>CPU!A2164</f>
        <v>CPU-78</v>
      </c>
      <c r="D311" s="264" t="s">
        <v>11888</v>
      </c>
      <c r="E311" s="267" t="s">
        <v>47</v>
      </c>
      <c r="F311" s="594">
        <f>VLOOKUP(A311,MC!$A$10:'MC'!$J$2901,9,FALSE)</f>
        <v>77.95</v>
      </c>
      <c r="G311" s="577">
        <f>CPU!F2192</f>
        <v>66.63</v>
      </c>
      <c r="H311" s="577">
        <f t="shared" si="113"/>
        <v>66.63</v>
      </c>
      <c r="I311" s="596">
        <f>BDI!$F$21</f>
        <v>0.21299999999999999</v>
      </c>
      <c r="J311" s="597">
        <f t="shared" ref="J311:J312" si="122">ROUND(H311*(1+I311),2)</f>
        <v>80.819999999999993</v>
      </c>
      <c r="K311" s="598">
        <f t="shared" ref="K311:K312" si="123">ROUND(F311*J311,2)</f>
        <v>6299.92</v>
      </c>
      <c r="M311" s="600"/>
      <c r="N311" s="601"/>
      <c r="O311" s="602"/>
      <c r="P311" s="602"/>
      <c r="Q311" s="602"/>
      <c r="R311" s="602"/>
      <c r="S311" s="602"/>
    </row>
    <row r="312" spans="1:19" s="599" customFormat="1" ht="25.5" x14ac:dyDescent="0.25">
      <c r="A312" s="593" t="s">
        <v>12148</v>
      </c>
      <c r="B312" s="266" t="s">
        <v>163</v>
      </c>
      <c r="C312" s="266" t="str">
        <f>CPU!A2194</f>
        <v>CPU-79</v>
      </c>
      <c r="D312" s="264" t="s">
        <v>11889</v>
      </c>
      <c r="E312" s="267" t="s">
        <v>47</v>
      </c>
      <c r="F312" s="594">
        <f>VLOOKUP(A312,MC!$A$10:'MC'!$J$2901,9,FALSE)</f>
        <v>7.15</v>
      </c>
      <c r="G312" s="577">
        <f>CPU!F2222</f>
        <v>95.02</v>
      </c>
      <c r="H312" s="577">
        <f t="shared" si="113"/>
        <v>95.02</v>
      </c>
      <c r="I312" s="596">
        <f>BDI!$F$21</f>
        <v>0.21299999999999999</v>
      </c>
      <c r="J312" s="597">
        <f t="shared" si="122"/>
        <v>115.26</v>
      </c>
      <c r="K312" s="598">
        <f t="shared" si="123"/>
        <v>824.11</v>
      </c>
      <c r="M312" s="600"/>
      <c r="N312" s="601"/>
      <c r="O312" s="602"/>
      <c r="P312" s="602"/>
      <c r="Q312" s="602"/>
      <c r="R312" s="602"/>
      <c r="S312" s="602"/>
    </row>
    <row r="313" spans="1:19" s="599" customFormat="1" ht="15.75" customHeight="1" x14ac:dyDescent="0.25">
      <c r="A313" s="593"/>
      <c r="B313" s="266"/>
      <c r="C313" s="266"/>
      <c r="D313" s="638" t="s">
        <v>11985</v>
      </c>
      <c r="E313" s="267"/>
      <c r="F313" s="594"/>
      <c r="G313" s="577"/>
      <c r="H313" s="577"/>
      <c r="I313" s="596"/>
      <c r="J313" s="597"/>
      <c r="K313" s="598"/>
      <c r="M313" s="600"/>
      <c r="N313" s="601"/>
      <c r="O313" s="602"/>
      <c r="P313" s="602"/>
      <c r="Q313" s="602"/>
      <c r="R313" s="602"/>
      <c r="S313" s="602"/>
    </row>
    <row r="314" spans="1:19" s="599" customFormat="1" ht="15.75" thickBot="1" x14ac:dyDescent="0.3">
      <c r="A314" s="593" t="s">
        <v>12149</v>
      </c>
      <c r="B314" s="266" t="s">
        <v>163</v>
      </c>
      <c r="C314" s="266" t="str">
        <f>CPU!A2224</f>
        <v>CPU-80</v>
      </c>
      <c r="D314" s="264" t="s">
        <v>11986</v>
      </c>
      <c r="E314" s="267" t="s">
        <v>47</v>
      </c>
      <c r="F314" s="594">
        <f>VLOOKUP(A314,MC!$A$10:'MC'!$J$2901,9,FALSE)</f>
        <v>75.45</v>
      </c>
      <c r="G314" s="577">
        <v>46.82</v>
      </c>
      <c r="H314" s="577">
        <f t="shared" si="113"/>
        <v>46.82</v>
      </c>
      <c r="I314" s="596">
        <f>BDI!$F$21</f>
        <v>0.21299999999999999</v>
      </c>
      <c r="J314" s="597">
        <f t="shared" ref="J314" si="124">ROUND(H314*(1+I314),2)</f>
        <v>56.79</v>
      </c>
      <c r="K314" s="598">
        <f t="shared" ref="K314" si="125">ROUND(F314*J314,2)</f>
        <v>4284.8100000000004</v>
      </c>
      <c r="M314" s="600"/>
      <c r="N314" s="601"/>
      <c r="O314" s="602"/>
      <c r="P314" s="602"/>
      <c r="Q314" s="602"/>
      <c r="R314" s="602"/>
      <c r="S314" s="602"/>
    </row>
    <row r="315" spans="1:19" ht="16.5" thickBot="1" x14ac:dyDescent="0.3">
      <c r="A315" s="820"/>
      <c r="B315" s="821"/>
      <c r="C315" s="821"/>
      <c r="D315" s="821"/>
      <c r="E315" s="821"/>
      <c r="F315" s="821"/>
      <c r="G315" s="25"/>
      <c r="H315" s="25"/>
      <c r="I315" s="25"/>
      <c r="J315" s="25"/>
      <c r="K315" s="27"/>
      <c r="N315"/>
      <c r="O315" s="5"/>
      <c r="P315" s="5"/>
      <c r="Q315" s="5"/>
      <c r="R315" s="5"/>
      <c r="S315" s="5"/>
    </row>
    <row r="316" spans="1:19" s="16" customFormat="1" ht="15.75" customHeight="1" thickBot="1" x14ac:dyDescent="0.3">
      <c r="A316" s="822" t="s">
        <v>221</v>
      </c>
      <c r="B316" s="823"/>
      <c r="C316" s="823"/>
      <c r="D316" s="823" t="s">
        <v>230</v>
      </c>
      <c r="E316" s="823"/>
      <c r="F316" s="823"/>
      <c r="G316" s="21"/>
      <c r="H316" s="21"/>
      <c r="I316" s="21"/>
      <c r="J316" s="21"/>
      <c r="K316" s="167">
        <f>SUM(K317:K324)</f>
        <v>31474.47</v>
      </c>
      <c r="M316" s="109"/>
      <c r="N316"/>
      <c r="O316" s="5"/>
      <c r="P316" s="5"/>
      <c r="Q316" s="5"/>
      <c r="R316" s="5"/>
      <c r="S316" s="5"/>
    </row>
    <row r="317" spans="1:19" s="16" customFormat="1" ht="15.75" customHeight="1" x14ac:dyDescent="0.25">
      <c r="A317" s="593" t="s">
        <v>222</v>
      </c>
      <c r="B317" s="607" t="s">
        <v>166</v>
      </c>
      <c r="C317" s="607">
        <v>91926</v>
      </c>
      <c r="D317" s="264" t="s">
        <v>11892</v>
      </c>
      <c r="E317" s="267" t="s">
        <v>47</v>
      </c>
      <c r="F317" s="594">
        <f>VLOOKUP(A317,MC!$A$10:'MC'!$J$2901,9,FALSE)</f>
        <v>2652.3</v>
      </c>
      <c r="G317" s="171">
        <f>VLOOKUP(C317,Serviço02!$A$1:$D$6699,4,FALSE)</f>
        <v>2.77</v>
      </c>
      <c r="H317" s="171">
        <f>G317</f>
        <v>2.77</v>
      </c>
      <c r="I317" s="300">
        <f>BDI!$F$21</f>
        <v>0.21299999999999999</v>
      </c>
      <c r="J317" s="301">
        <f t="shared" ref="J317:J324" si="126">ROUND(H317*(1+I317),2)</f>
        <v>3.36</v>
      </c>
      <c r="K317" s="302">
        <f t="shared" ref="K317:K324" si="127">ROUND(F317*J317,2)</f>
        <v>8911.73</v>
      </c>
      <c r="M317" s="109"/>
      <c r="N317"/>
      <c r="O317" s="5"/>
      <c r="P317" s="5"/>
      <c r="Q317" s="5"/>
      <c r="R317" s="5"/>
      <c r="S317" s="5"/>
    </row>
    <row r="318" spans="1:19" s="16" customFormat="1" ht="15.75" customHeight="1" x14ac:dyDescent="0.25">
      <c r="A318" s="593" t="s">
        <v>223</v>
      </c>
      <c r="B318" s="266" t="s">
        <v>166</v>
      </c>
      <c r="C318" s="266">
        <v>91928</v>
      </c>
      <c r="D318" s="264" t="s">
        <v>11893</v>
      </c>
      <c r="E318" s="267" t="s">
        <v>47</v>
      </c>
      <c r="F318" s="594">
        <f>VLOOKUP(A318,MC!$A$10:'MC'!$J$2901,9,FALSE)</f>
        <v>2225.4</v>
      </c>
      <c r="G318" s="171">
        <f>VLOOKUP(C318,Serviço02!$A$1:$D$6699,4,FALSE)</f>
        <v>4.4400000000000004</v>
      </c>
      <c r="H318" s="171">
        <f t="shared" ref="H318:H324" si="128">G318</f>
        <v>4.4400000000000004</v>
      </c>
      <c r="I318" s="300">
        <f>BDI!$F$21</f>
        <v>0.21299999999999999</v>
      </c>
      <c r="J318" s="301">
        <f t="shared" si="126"/>
        <v>5.39</v>
      </c>
      <c r="K318" s="302">
        <f t="shared" si="127"/>
        <v>11994.91</v>
      </c>
      <c r="M318" s="109"/>
      <c r="N318"/>
      <c r="O318" s="5"/>
      <c r="P318" s="5"/>
      <c r="Q318" s="5"/>
      <c r="R318" s="5"/>
      <c r="S318" s="5"/>
    </row>
    <row r="319" spans="1:19" s="16" customFormat="1" ht="15.75" customHeight="1" x14ac:dyDescent="0.25">
      <c r="A319" s="593" t="s">
        <v>224</v>
      </c>
      <c r="B319" s="266" t="s">
        <v>166</v>
      </c>
      <c r="C319" s="266">
        <v>91930</v>
      </c>
      <c r="D319" s="264" t="s">
        <v>11894</v>
      </c>
      <c r="E319" s="267" t="s">
        <v>47</v>
      </c>
      <c r="F319" s="594">
        <f>VLOOKUP(A319,MC!$A$10:'MC'!$J$2901,9,FALSE)</f>
        <v>351.5</v>
      </c>
      <c r="G319" s="171">
        <f>VLOOKUP(C319,Serviço02!$A$1:$D$6699,4,FALSE)</f>
        <v>6.05</v>
      </c>
      <c r="H319" s="171">
        <f t="shared" si="128"/>
        <v>6.05</v>
      </c>
      <c r="I319" s="300">
        <f>BDI!$F$21</f>
        <v>0.21299999999999999</v>
      </c>
      <c r="J319" s="301">
        <f t="shared" si="126"/>
        <v>7.34</v>
      </c>
      <c r="K319" s="302">
        <f t="shared" si="127"/>
        <v>2580.0100000000002</v>
      </c>
      <c r="M319" s="109"/>
      <c r="N319"/>
      <c r="O319" s="5"/>
      <c r="P319" s="5"/>
      <c r="Q319" s="5"/>
      <c r="R319" s="5"/>
      <c r="S319" s="5"/>
    </row>
    <row r="320" spans="1:19" s="16" customFormat="1" ht="15.75" customHeight="1" x14ac:dyDescent="0.25">
      <c r="A320" s="593" t="s">
        <v>225</v>
      </c>
      <c r="B320" s="266" t="s">
        <v>166</v>
      </c>
      <c r="C320" s="266">
        <v>91934</v>
      </c>
      <c r="D320" s="264" t="s">
        <v>11895</v>
      </c>
      <c r="E320" s="267" t="s">
        <v>47</v>
      </c>
      <c r="F320" s="594">
        <f>VLOOKUP(A320,MC!$A$10:'MC'!$J$2901,9,FALSE)</f>
        <v>4.4000000000000004</v>
      </c>
      <c r="G320" s="171">
        <f>VLOOKUP(C320,Serviço02!$A$1:$D$6699,4,FALSE)</f>
        <v>15.1</v>
      </c>
      <c r="H320" s="171">
        <f t="shared" si="128"/>
        <v>15.1</v>
      </c>
      <c r="I320" s="300">
        <f>BDI!$F$21</f>
        <v>0.21299999999999999</v>
      </c>
      <c r="J320" s="301">
        <f t="shared" si="126"/>
        <v>18.32</v>
      </c>
      <c r="K320" s="302">
        <f t="shared" si="127"/>
        <v>80.61</v>
      </c>
      <c r="M320" s="109"/>
      <c r="N320"/>
      <c r="O320" s="5"/>
      <c r="P320" s="5"/>
      <c r="Q320" s="5"/>
      <c r="R320" s="5"/>
      <c r="S320" s="5"/>
    </row>
    <row r="321" spans="1:19" s="16" customFormat="1" ht="15.75" customHeight="1" x14ac:dyDescent="0.25">
      <c r="A321" s="593" t="s">
        <v>226</v>
      </c>
      <c r="B321" s="266" t="s">
        <v>166</v>
      </c>
      <c r="C321" s="266">
        <v>92985</v>
      </c>
      <c r="D321" s="264" t="s">
        <v>11896</v>
      </c>
      <c r="E321" s="267" t="s">
        <v>47</v>
      </c>
      <c r="F321" s="594">
        <f>VLOOKUP(A321,MC!$A$10:'MC'!$J$2901,9,FALSE)</f>
        <v>35.1</v>
      </c>
      <c r="G321" s="171">
        <f>VLOOKUP(C321,Serviço02!$A$1:$D$6699,4,FALSE)</f>
        <v>23.04</v>
      </c>
      <c r="H321" s="171">
        <f t="shared" si="128"/>
        <v>23.04</v>
      </c>
      <c r="I321" s="300">
        <f>BDI!$F$21</f>
        <v>0.21299999999999999</v>
      </c>
      <c r="J321" s="301">
        <f t="shared" si="126"/>
        <v>27.95</v>
      </c>
      <c r="K321" s="302">
        <f t="shared" si="127"/>
        <v>981.05</v>
      </c>
      <c r="M321" s="109"/>
      <c r="N321"/>
      <c r="O321" s="5"/>
      <c r="P321" s="5"/>
      <c r="Q321" s="5"/>
      <c r="R321" s="5"/>
      <c r="S321" s="5"/>
    </row>
    <row r="322" spans="1:19" s="16" customFormat="1" ht="15.75" customHeight="1" x14ac:dyDescent="0.25">
      <c r="A322" s="593" t="s">
        <v>227</v>
      </c>
      <c r="B322" s="266" t="s">
        <v>166</v>
      </c>
      <c r="C322" s="266">
        <v>92989</v>
      </c>
      <c r="D322" s="264" t="s">
        <v>11897</v>
      </c>
      <c r="E322" s="267" t="s">
        <v>47</v>
      </c>
      <c r="F322" s="594">
        <f>VLOOKUP(A322,MC!$A$10:'MC'!$J$2901,9,FALSE)</f>
        <v>68.400000000000006</v>
      </c>
      <c r="G322" s="171">
        <f>VLOOKUP(C322,Serviço02!$A$1:$D$6699,4,FALSE)</f>
        <v>45.84</v>
      </c>
      <c r="H322" s="171">
        <f t="shared" si="128"/>
        <v>45.84</v>
      </c>
      <c r="I322" s="300">
        <f>BDI!$F$21</f>
        <v>0.21299999999999999</v>
      </c>
      <c r="J322" s="301">
        <f t="shared" si="126"/>
        <v>55.6</v>
      </c>
      <c r="K322" s="302">
        <f t="shared" si="127"/>
        <v>3803.04</v>
      </c>
      <c r="M322" s="109"/>
      <c r="N322"/>
      <c r="O322" s="5"/>
      <c r="P322" s="5"/>
      <c r="Q322" s="5"/>
      <c r="R322" s="5"/>
      <c r="S322" s="5"/>
    </row>
    <row r="323" spans="1:19" s="16" customFormat="1" ht="15.75" customHeight="1" x14ac:dyDescent="0.25">
      <c r="A323" s="593" t="s">
        <v>228</v>
      </c>
      <c r="B323" s="266" t="s">
        <v>166</v>
      </c>
      <c r="C323" s="266">
        <v>92990</v>
      </c>
      <c r="D323" s="264" t="s">
        <v>11898</v>
      </c>
      <c r="E323" s="267" t="s">
        <v>47</v>
      </c>
      <c r="F323" s="594">
        <f>VLOOKUP(A323,MC!$A$10:'MC'!$J$2901,9,FALSE)</f>
        <v>21</v>
      </c>
      <c r="G323" s="171">
        <f>VLOOKUP(C323,Serviço02!$A$1:$D$6699,4,FALSE)</f>
        <v>45.33</v>
      </c>
      <c r="H323" s="171">
        <f t="shared" si="128"/>
        <v>45.33</v>
      </c>
      <c r="I323" s="300">
        <f>BDI!$F$21</f>
        <v>0.21299999999999999</v>
      </c>
      <c r="J323" s="301">
        <f t="shared" si="126"/>
        <v>54.99</v>
      </c>
      <c r="K323" s="302">
        <f t="shared" si="127"/>
        <v>1154.79</v>
      </c>
      <c r="M323" s="109"/>
      <c r="N323"/>
      <c r="O323" s="5"/>
      <c r="P323" s="5"/>
      <c r="Q323" s="5"/>
      <c r="R323" s="5"/>
      <c r="S323" s="5"/>
    </row>
    <row r="324" spans="1:19" s="16" customFormat="1" ht="15.75" customHeight="1" thickBot="1" x14ac:dyDescent="0.3">
      <c r="A324" s="593" t="s">
        <v>229</v>
      </c>
      <c r="B324" s="266" t="s">
        <v>166</v>
      </c>
      <c r="C324" s="266">
        <v>92994</v>
      </c>
      <c r="D324" s="264" t="s">
        <v>11899</v>
      </c>
      <c r="E324" s="267" t="s">
        <v>47</v>
      </c>
      <c r="F324" s="594">
        <f>VLOOKUP(A324,MC!$A$10:'MC'!$J$2901,9,FALSE)</f>
        <v>21</v>
      </c>
      <c r="G324" s="171">
        <f>VLOOKUP(C324,Serviço02!$A$1:$D$6699,4,FALSE)</f>
        <v>77.27</v>
      </c>
      <c r="H324" s="171">
        <f t="shared" si="128"/>
        <v>77.27</v>
      </c>
      <c r="I324" s="300">
        <f>BDI!$F$21</f>
        <v>0.21299999999999999</v>
      </c>
      <c r="J324" s="301">
        <f t="shared" si="126"/>
        <v>93.73</v>
      </c>
      <c r="K324" s="302">
        <f t="shared" si="127"/>
        <v>1968.33</v>
      </c>
      <c r="M324" s="109"/>
      <c r="N324"/>
      <c r="O324" s="5"/>
      <c r="P324" s="5"/>
      <c r="Q324" s="5"/>
      <c r="R324" s="5"/>
      <c r="S324" s="5"/>
    </row>
    <row r="325" spans="1:19" ht="16.5" thickBot="1" x14ac:dyDescent="0.3">
      <c r="A325" s="696"/>
      <c r="B325" s="697"/>
      <c r="C325" s="697"/>
      <c r="D325" s="697"/>
      <c r="E325" s="697"/>
      <c r="F325" s="697"/>
      <c r="G325" s="25"/>
      <c r="H325" s="25"/>
      <c r="I325" s="25"/>
      <c r="J325" s="25"/>
      <c r="K325" s="27"/>
      <c r="N325"/>
      <c r="O325" s="5"/>
      <c r="P325" s="5"/>
      <c r="Q325" s="5"/>
      <c r="R325" s="5"/>
      <c r="S325" s="5"/>
    </row>
    <row r="326" spans="1:19" s="16" customFormat="1" ht="15.75" customHeight="1" thickBot="1" x14ac:dyDescent="0.3">
      <c r="A326" s="20" t="s">
        <v>231</v>
      </c>
      <c r="B326" s="21"/>
      <c r="C326" s="21"/>
      <c r="D326" s="21" t="s">
        <v>237</v>
      </c>
      <c r="E326" s="21"/>
      <c r="F326" s="21"/>
      <c r="G326" s="21"/>
      <c r="H326" s="21"/>
      <c r="I326" s="21"/>
      <c r="J326" s="21"/>
      <c r="K326" s="167">
        <f>SUM(K328:K343)</f>
        <v>4072.47</v>
      </c>
      <c r="M326" s="109"/>
      <c r="N326"/>
      <c r="O326" s="5"/>
      <c r="P326" s="5"/>
      <c r="Q326" s="5"/>
      <c r="R326" s="5"/>
      <c r="S326" s="5"/>
    </row>
    <row r="327" spans="1:19" s="16" customFormat="1" ht="15.75" customHeight="1" x14ac:dyDescent="0.25">
      <c r="A327" s="168"/>
      <c r="B327" s="165"/>
      <c r="C327" s="172"/>
      <c r="D327" s="248" t="s">
        <v>11900</v>
      </c>
      <c r="E327" s="169"/>
      <c r="F327" s="170"/>
      <c r="G327" s="171"/>
      <c r="H327" s="299"/>
      <c r="I327" s="299"/>
      <c r="J327" s="299"/>
      <c r="K327" s="176"/>
      <c r="M327" s="109"/>
      <c r="N327"/>
      <c r="O327" s="5"/>
      <c r="P327" s="5"/>
      <c r="Q327" s="5"/>
      <c r="R327" s="5"/>
      <c r="S327" s="5"/>
    </row>
    <row r="328" spans="1:19" s="16" customFormat="1" ht="15.75" customHeight="1" x14ac:dyDescent="0.25">
      <c r="A328" s="168" t="s">
        <v>232</v>
      </c>
      <c r="B328" s="161" t="s">
        <v>166</v>
      </c>
      <c r="C328" s="161">
        <v>91939</v>
      </c>
      <c r="D328" s="264" t="s">
        <v>11901</v>
      </c>
      <c r="E328" s="169" t="s">
        <v>11902</v>
      </c>
      <c r="F328" s="170">
        <f>VLOOKUP(A328,MC!$A$10:'MC'!$J$2901,9,FALSE)</f>
        <v>5</v>
      </c>
      <c r="G328" s="171">
        <f>VLOOKUP(C328,Serviço02!$A$1:$D$6699,4,FALSE)</f>
        <v>21.44</v>
      </c>
      <c r="H328" s="171">
        <f>G328</f>
        <v>21.44</v>
      </c>
      <c r="I328" s="300">
        <f>BDI!$F$21</f>
        <v>0.21299999999999999</v>
      </c>
      <c r="J328" s="301">
        <f t="shared" ref="J328:J330" si="129">ROUND(H328*(1+I328),2)</f>
        <v>26.01</v>
      </c>
      <c r="K328" s="302">
        <f t="shared" ref="K328:K330" si="130">ROUND(F328*J328,2)</f>
        <v>130.05000000000001</v>
      </c>
      <c r="M328" s="109"/>
      <c r="N328"/>
      <c r="O328" s="5"/>
      <c r="P328" s="5"/>
      <c r="Q328" s="5"/>
      <c r="R328" s="5"/>
      <c r="S328" s="5"/>
    </row>
    <row r="329" spans="1:19" s="16" customFormat="1" ht="15.75" customHeight="1" x14ac:dyDescent="0.25">
      <c r="A329" s="168" t="s">
        <v>233</v>
      </c>
      <c r="B329" s="166" t="s">
        <v>166</v>
      </c>
      <c r="C329" s="166">
        <v>91941</v>
      </c>
      <c r="D329" s="264" t="s">
        <v>11903</v>
      </c>
      <c r="E329" s="169" t="s">
        <v>11902</v>
      </c>
      <c r="F329" s="170">
        <f>VLOOKUP(A329,MC!$A$10:'MC'!$J$2901,9,FALSE)</f>
        <v>49</v>
      </c>
      <c r="G329" s="171">
        <f>VLOOKUP(C329,Serviço02!$A$1:$D$6699,4,FALSE)</f>
        <v>7.47</v>
      </c>
      <c r="H329" s="171">
        <f t="shared" ref="H329:H343" si="131">G329</f>
        <v>7.47</v>
      </c>
      <c r="I329" s="300">
        <f>BDI!$F$21</f>
        <v>0.21299999999999999</v>
      </c>
      <c r="J329" s="301">
        <f t="shared" si="129"/>
        <v>9.06</v>
      </c>
      <c r="K329" s="302">
        <f t="shared" si="130"/>
        <v>443.94</v>
      </c>
      <c r="M329" s="109"/>
      <c r="N329"/>
      <c r="O329" s="5"/>
      <c r="P329" s="5"/>
      <c r="Q329" s="5"/>
      <c r="R329" s="5"/>
      <c r="S329" s="5"/>
    </row>
    <row r="330" spans="1:19" s="16" customFormat="1" ht="15.75" customHeight="1" x14ac:dyDescent="0.25">
      <c r="A330" s="168" t="s">
        <v>12150</v>
      </c>
      <c r="B330" s="166" t="s">
        <v>166</v>
      </c>
      <c r="C330" s="166">
        <v>91940</v>
      </c>
      <c r="D330" s="264" t="s">
        <v>11904</v>
      </c>
      <c r="E330" s="169" t="s">
        <v>11902</v>
      </c>
      <c r="F330" s="170">
        <f>VLOOKUP(A330,MC!$A$10:'MC'!$J$2901,9,FALSE)</f>
        <v>21</v>
      </c>
      <c r="G330" s="171">
        <f>VLOOKUP(C330,Serviço02!$A$1:$D$6699,4,FALSE)</f>
        <v>11.28</v>
      </c>
      <c r="H330" s="171">
        <f t="shared" si="131"/>
        <v>11.28</v>
      </c>
      <c r="I330" s="300">
        <f>BDI!$F$21</f>
        <v>0.21299999999999999</v>
      </c>
      <c r="J330" s="301">
        <f t="shared" si="129"/>
        <v>13.68</v>
      </c>
      <c r="K330" s="302">
        <f t="shared" si="130"/>
        <v>287.27999999999997</v>
      </c>
      <c r="M330" s="109"/>
      <c r="N330"/>
      <c r="O330" s="5"/>
      <c r="P330" s="5"/>
      <c r="Q330" s="5"/>
      <c r="R330" s="5"/>
      <c r="S330" s="5"/>
    </row>
    <row r="331" spans="1:19" s="16" customFormat="1" ht="15.75" customHeight="1" x14ac:dyDescent="0.25">
      <c r="A331" s="168" t="s">
        <v>12151</v>
      </c>
      <c r="B331" s="166" t="s">
        <v>166</v>
      </c>
      <c r="C331" s="161">
        <v>91937</v>
      </c>
      <c r="D331" s="264" t="s">
        <v>11932</v>
      </c>
      <c r="E331" s="169" t="s">
        <v>11902</v>
      </c>
      <c r="F331" s="170">
        <f>VLOOKUP(A331,MC!$A$10:'MC'!$J$2901,9,FALSE)</f>
        <v>26</v>
      </c>
      <c r="G331" s="171">
        <f>VLOOKUP(C331,Serviço02!$A$1:$D$6699,4,FALSE)</f>
        <v>8.14</v>
      </c>
      <c r="H331" s="171">
        <f t="shared" si="131"/>
        <v>8.14</v>
      </c>
      <c r="I331" s="300">
        <f>BDI!$F$21</f>
        <v>0.21299999999999999</v>
      </c>
      <c r="J331" s="301">
        <f t="shared" ref="J331" si="132">ROUND(H331*(1+I331),2)</f>
        <v>9.8699999999999992</v>
      </c>
      <c r="K331" s="302">
        <f t="shared" ref="K331" si="133">ROUND(F331*J331,2)</f>
        <v>256.62</v>
      </c>
      <c r="M331" s="109"/>
      <c r="N331"/>
      <c r="O331" s="5"/>
      <c r="P331" s="5"/>
      <c r="Q331" s="5"/>
      <c r="R331" s="5"/>
      <c r="S331" s="5"/>
    </row>
    <row r="332" spans="1:19" s="16" customFormat="1" ht="15.75" customHeight="1" x14ac:dyDescent="0.25">
      <c r="A332" s="168"/>
      <c r="B332" s="166"/>
      <c r="C332" s="161"/>
      <c r="D332" s="638" t="s">
        <v>11905</v>
      </c>
      <c r="E332" s="169"/>
      <c r="F332" s="170"/>
      <c r="G332" s="171"/>
      <c r="H332" s="171">
        <f t="shared" si="131"/>
        <v>0</v>
      </c>
      <c r="I332" s="299"/>
      <c r="J332" s="299"/>
      <c r="K332" s="176"/>
      <c r="M332" s="109"/>
      <c r="N332"/>
      <c r="O332" s="5"/>
      <c r="P332" s="5"/>
      <c r="Q332" s="5"/>
      <c r="R332" s="5"/>
      <c r="S332" s="5"/>
    </row>
    <row r="333" spans="1:19" s="16" customFormat="1" ht="15.75" customHeight="1" x14ac:dyDescent="0.25">
      <c r="A333" s="168" t="s">
        <v>12152</v>
      </c>
      <c r="B333" s="166" t="s">
        <v>166</v>
      </c>
      <c r="C333" s="166">
        <v>91953</v>
      </c>
      <c r="D333" s="264" t="s">
        <v>11907</v>
      </c>
      <c r="E333" s="169" t="s">
        <v>11902</v>
      </c>
      <c r="F333" s="170">
        <f>VLOOKUP(A333,MC!$A$10:'MC'!$J$2901,9,FALSE)</f>
        <v>11</v>
      </c>
      <c r="G333" s="171">
        <f>VLOOKUP(C333,Serviço02!$A$1:$D$6699,4,FALSE)</f>
        <v>20.82</v>
      </c>
      <c r="H333" s="171">
        <f t="shared" si="131"/>
        <v>20.82</v>
      </c>
      <c r="I333" s="300">
        <f>BDI!$F$21</f>
        <v>0.21299999999999999</v>
      </c>
      <c r="J333" s="301">
        <f t="shared" ref="J333:J337" si="134">ROUND(H333*(1+I333),2)</f>
        <v>25.25</v>
      </c>
      <c r="K333" s="302">
        <f t="shared" ref="K333:K337" si="135">ROUND(F333*J333,2)</f>
        <v>277.75</v>
      </c>
      <c r="M333" s="109"/>
      <c r="N333"/>
      <c r="O333" s="5"/>
      <c r="P333" s="5"/>
      <c r="Q333" s="5"/>
      <c r="R333" s="5"/>
      <c r="S333" s="5"/>
    </row>
    <row r="334" spans="1:19" s="16" customFormat="1" ht="15.75" customHeight="1" x14ac:dyDescent="0.25">
      <c r="A334" s="168" t="s">
        <v>12153</v>
      </c>
      <c r="B334" s="166" t="s">
        <v>166</v>
      </c>
      <c r="C334" s="166">
        <v>91959</v>
      </c>
      <c r="D334" s="264" t="s">
        <v>11908</v>
      </c>
      <c r="E334" s="169" t="s">
        <v>11902</v>
      </c>
      <c r="F334" s="170">
        <f>VLOOKUP(A334,MC!$A$10:'MC'!$J$2901,9,FALSE)</f>
        <v>2</v>
      </c>
      <c r="G334" s="171">
        <f>VLOOKUP(C334,Serviço02!$A$1:$D$6699,4,FALSE)</f>
        <v>32.96</v>
      </c>
      <c r="H334" s="171">
        <f t="shared" si="131"/>
        <v>32.96</v>
      </c>
      <c r="I334" s="300">
        <f>BDI!$F$21</f>
        <v>0.21299999999999999</v>
      </c>
      <c r="J334" s="301">
        <f t="shared" si="134"/>
        <v>39.979999999999997</v>
      </c>
      <c r="K334" s="302">
        <f t="shared" si="135"/>
        <v>79.959999999999994</v>
      </c>
      <c r="M334" s="109"/>
      <c r="N334"/>
      <c r="O334" s="5"/>
      <c r="P334" s="5"/>
      <c r="Q334" s="5"/>
      <c r="R334" s="5"/>
      <c r="S334" s="5"/>
    </row>
    <row r="335" spans="1:19" s="16" customFormat="1" ht="15.75" customHeight="1" x14ac:dyDescent="0.25">
      <c r="A335" s="168" t="s">
        <v>12154</v>
      </c>
      <c r="B335" s="166" t="s">
        <v>166</v>
      </c>
      <c r="C335" s="166">
        <v>91967</v>
      </c>
      <c r="D335" s="264" t="s">
        <v>11909</v>
      </c>
      <c r="E335" s="169" t="s">
        <v>11902</v>
      </c>
      <c r="F335" s="170">
        <f>VLOOKUP(A335,MC!$A$10:'MC'!$J$2901,9,FALSE)</f>
        <v>1</v>
      </c>
      <c r="G335" s="171">
        <f>VLOOKUP(C335,Serviço02!$A$1:$D$6699,4,FALSE)</f>
        <v>45.09</v>
      </c>
      <c r="H335" s="171">
        <f t="shared" si="131"/>
        <v>45.09</v>
      </c>
      <c r="I335" s="300">
        <f>BDI!$F$21</f>
        <v>0.21299999999999999</v>
      </c>
      <c r="J335" s="301">
        <f t="shared" si="134"/>
        <v>54.69</v>
      </c>
      <c r="K335" s="302">
        <f t="shared" si="135"/>
        <v>54.69</v>
      </c>
      <c r="M335" s="109"/>
      <c r="N335" s="5"/>
      <c r="O335" s="5"/>
      <c r="P335" s="5"/>
      <c r="Q335" s="5"/>
      <c r="R335" s="5"/>
      <c r="S335" s="5"/>
    </row>
    <row r="336" spans="1:19" s="16" customFormat="1" ht="15.75" customHeight="1" x14ac:dyDescent="0.25">
      <c r="A336" s="168" t="s">
        <v>12155</v>
      </c>
      <c r="B336" s="166" t="s">
        <v>166</v>
      </c>
      <c r="C336" s="166">
        <v>91969</v>
      </c>
      <c r="D336" s="264" t="s">
        <v>11906</v>
      </c>
      <c r="E336" s="169" t="s">
        <v>11902</v>
      </c>
      <c r="F336" s="170">
        <f>VLOOKUP(A336,MC!$A$10:'MC'!$J$2901,9,FALSE)</f>
        <v>4</v>
      </c>
      <c r="G336" s="171">
        <f>VLOOKUP(C336,Serviço02!$A$1:$D$6699,4,FALSE)</f>
        <v>59.75</v>
      </c>
      <c r="H336" s="171">
        <f t="shared" si="131"/>
        <v>59.75</v>
      </c>
      <c r="I336" s="300">
        <f>BDI!$F$21</f>
        <v>0.21299999999999999</v>
      </c>
      <c r="J336" s="301">
        <f t="shared" si="134"/>
        <v>72.48</v>
      </c>
      <c r="K336" s="302">
        <f t="shared" si="135"/>
        <v>289.92</v>
      </c>
      <c r="M336" s="109"/>
      <c r="N336" s="5"/>
      <c r="O336" s="5"/>
      <c r="P336" s="5"/>
      <c r="Q336" s="5"/>
      <c r="R336" s="5"/>
      <c r="S336" s="5"/>
    </row>
    <row r="337" spans="1:19" s="16" customFormat="1" ht="31.15" customHeight="1" x14ac:dyDescent="0.25">
      <c r="A337" s="168" t="s">
        <v>12156</v>
      </c>
      <c r="B337" s="166" t="s">
        <v>166</v>
      </c>
      <c r="C337" s="166">
        <v>92023</v>
      </c>
      <c r="D337" s="264" t="s">
        <v>11915</v>
      </c>
      <c r="E337" s="169" t="s">
        <v>11902</v>
      </c>
      <c r="F337" s="170">
        <f>VLOOKUP(A337,MC!$A$10:'MC'!$J$2901,9,FALSE)</f>
        <v>3</v>
      </c>
      <c r="G337" s="171">
        <f>VLOOKUP(C337,Serviço02!$A$1:$D$6699,4,FALSE)</f>
        <v>36.85</v>
      </c>
      <c r="H337" s="171">
        <f t="shared" si="131"/>
        <v>36.85</v>
      </c>
      <c r="I337" s="300">
        <f>BDI!$F$21</f>
        <v>0.21299999999999999</v>
      </c>
      <c r="J337" s="301">
        <f t="shared" si="134"/>
        <v>44.7</v>
      </c>
      <c r="K337" s="302">
        <f t="shared" si="135"/>
        <v>134.1</v>
      </c>
      <c r="M337" s="109"/>
      <c r="N337" s="5"/>
      <c r="O337" s="5"/>
      <c r="P337" s="5"/>
      <c r="Q337" s="5"/>
      <c r="R337" s="5"/>
      <c r="S337" s="5"/>
    </row>
    <row r="338" spans="1:19" s="16" customFormat="1" ht="15.75" customHeight="1" x14ac:dyDescent="0.25">
      <c r="A338" s="168"/>
      <c r="B338" s="166"/>
      <c r="C338" s="166"/>
      <c r="D338" s="638" t="s">
        <v>11916</v>
      </c>
      <c r="E338" s="169"/>
      <c r="F338" s="170"/>
      <c r="G338" s="171"/>
      <c r="H338" s="171">
        <f t="shared" si="131"/>
        <v>0</v>
      </c>
      <c r="I338" s="299"/>
      <c r="J338" s="299"/>
      <c r="K338" s="176"/>
      <c r="M338" s="109"/>
      <c r="N338" s="5"/>
      <c r="O338" s="5"/>
      <c r="P338" s="5"/>
      <c r="Q338" s="5"/>
      <c r="R338" s="5"/>
      <c r="S338" s="5"/>
    </row>
    <row r="339" spans="1:19" s="16" customFormat="1" ht="15.75" customHeight="1" x14ac:dyDescent="0.25">
      <c r="A339" s="168" t="s">
        <v>12157</v>
      </c>
      <c r="B339" s="166" t="s">
        <v>166</v>
      </c>
      <c r="C339" s="166">
        <v>92000</v>
      </c>
      <c r="D339" s="264" t="s">
        <v>11917</v>
      </c>
      <c r="E339" s="169" t="s">
        <v>11902</v>
      </c>
      <c r="F339" s="170">
        <f>VLOOKUP(A339,MC!$A$10:'MC'!$J$2901,9,FALSE)</f>
        <v>23</v>
      </c>
      <c r="G339" s="171">
        <f>VLOOKUP(C339,Serviço02!$A$1:$D$6699,4,FALSE)</f>
        <v>22.02</v>
      </c>
      <c r="H339" s="171">
        <f t="shared" si="131"/>
        <v>22.02</v>
      </c>
      <c r="I339" s="300">
        <f>BDI!$F$21</f>
        <v>0.21299999999999999</v>
      </c>
      <c r="J339" s="301">
        <f t="shared" ref="J339:J342" si="136">ROUND(H339*(1+I339),2)</f>
        <v>26.71</v>
      </c>
      <c r="K339" s="302">
        <f t="shared" ref="K339:K342" si="137">ROUND(F339*J339,2)</f>
        <v>614.33000000000004</v>
      </c>
      <c r="M339" s="109"/>
      <c r="N339" s="5"/>
      <c r="O339" s="5"/>
      <c r="P339" s="5"/>
      <c r="Q339" s="5"/>
      <c r="R339" s="5"/>
      <c r="S339" s="5"/>
    </row>
    <row r="340" spans="1:19" s="16" customFormat="1" ht="15.75" customHeight="1" x14ac:dyDescent="0.25">
      <c r="A340" s="168" t="s">
        <v>12158</v>
      </c>
      <c r="B340" s="166" t="s">
        <v>166</v>
      </c>
      <c r="C340" s="166">
        <v>92008</v>
      </c>
      <c r="D340" s="264" t="s">
        <v>11919</v>
      </c>
      <c r="E340" s="169" t="s">
        <v>11902</v>
      </c>
      <c r="F340" s="170">
        <f>VLOOKUP(A340,MC!$A$10:'MC'!$J$2901,9,FALSE)</f>
        <v>21</v>
      </c>
      <c r="G340" s="171">
        <f>VLOOKUP(C340,Serviço02!$A$1:$D$6699,4,FALSE)</f>
        <v>35.33</v>
      </c>
      <c r="H340" s="171">
        <f t="shared" si="131"/>
        <v>35.33</v>
      </c>
      <c r="I340" s="300">
        <f>BDI!$F$21</f>
        <v>0.21299999999999999</v>
      </c>
      <c r="J340" s="301">
        <f t="shared" si="136"/>
        <v>42.86</v>
      </c>
      <c r="K340" s="302">
        <f t="shared" si="137"/>
        <v>900.06</v>
      </c>
      <c r="M340" s="109"/>
      <c r="N340" s="5"/>
      <c r="O340" s="5"/>
      <c r="P340" s="5"/>
      <c r="Q340" s="5"/>
      <c r="R340" s="5"/>
      <c r="S340" s="5"/>
    </row>
    <row r="341" spans="1:19" s="16" customFormat="1" ht="15.75" customHeight="1" x14ac:dyDescent="0.25">
      <c r="A341" s="168" t="s">
        <v>12159</v>
      </c>
      <c r="B341" s="166" t="s">
        <v>166</v>
      </c>
      <c r="C341" s="166">
        <v>92012</v>
      </c>
      <c r="D341" s="264" t="s">
        <v>11920</v>
      </c>
      <c r="E341" s="169" t="s">
        <v>11902</v>
      </c>
      <c r="F341" s="170">
        <f>VLOOKUP(A341,MC!$A$10:'MC'!$J$2901,9,FALSE)</f>
        <v>5</v>
      </c>
      <c r="G341" s="171">
        <f>VLOOKUP(C341,Serviço02!$A$1:$D$6699,4,FALSE)</f>
        <v>56.81</v>
      </c>
      <c r="H341" s="171">
        <f t="shared" si="131"/>
        <v>56.81</v>
      </c>
      <c r="I341" s="300">
        <f>BDI!$F$21</f>
        <v>0.21299999999999999</v>
      </c>
      <c r="J341" s="301">
        <f t="shared" si="136"/>
        <v>68.91</v>
      </c>
      <c r="K341" s="302">
        <f t="shared" si="137"/>
        <v>344.55</v>
      </c>
      <c r="M341" s="109"/>
      <c r="N341" s="5"/>
      <c r="O341" s="5"/>
      <c r="P341" s="5"/>
      <c r="Q341" s="5"/>
      <c r="R341" s="5"/>
      <c r="S341" s="5"/>
    </row>
    <row r="342" spans="1:19" s="16" customFormat="1" ht="15.75" customHeight="1" x14ac:dyDescent="0.25">
      <c r="A342" s="168" t="s">
        <v>12160</v>
      </c>
      <c r="B342" s="166" t="s">
        <v>166</v>
      </c>
      <c r="C342" s="166">
        <v>91992</v>
      </c>
      <c r="D342" s="264" t="s">
        <v>11918</v>
      </c>
      <c r="E342" s="169" t="s">
        <v>11902</v>
      </c>
      <c r="F342" s="170">
        <f>VLOOKUP(A342,MC!$A$10:'MC'!$J$2901,9,FALSE)</f>
        <v>5</v>
      </c>
      <c r="G342" s="171">
        <f>VLOOKUP(C342,Serviço02!$A$1:$D$6699,4,FALSE)</f>
        <v>31.77</v>
      </c>
      <c r="H342" s="171">
        <f t="shared" si="131"/>
        <v>31.77</v>
      </c>
      <c r="I342" s="300">
        <f>BDI!$F$21</f>
        <v>0.21299999999999999</v>
      </c>
      <c r="J342" s="301">
        <f t="shared" si="136"/>
        <v>38.54</v>
      </c>
      <c r="K342" s="302">
        <f t="shared" si="137"/>
        <v>192.7</v>
      </c>
      <c r="M342" s="109"/>
      <c r="N342" s="5"/>
      <c r="O342" s="5"/>
      <c r="P342" s="5"/>
      <c r="Q342" s="5"/>
      <c r="R342" s="5"/>
      <c r="S342" s="5"/>
    </row>
    <row r="343" spans="1:19" s="599" customFormat="1" ht="15.75" customHeight="1" thickBot="1" x14ac:dyDescent="0.3">
      <c r="A343" s="593" t="s">
        <v>12161</v>
      </c>
      <c r="B343" s="266" t="s">
        <v>22</v>
      </c>
      <c r="C343" s="266" t="str">
        <f>CPU!A1350</f>
        <v>CPU-48</v>
      </c>
      <c r="D343" s="264" t="s">
        <v>11933</v>
      </c>
      <c r="E343" s="267" t="s">
        <v>11902</v>
      </c>
      <c r="F343" s="594">
        <f>VLOOKUP(A343,MC!$A$10:'MC'!$J$2901,9,FALSE)</f>
        <v>2</v>
      </c>
      <c r="G343" s="577">
        <f>CPU!F1375</f>
        <v>27.42</v>
      </c>
      <c r="H343" s="577">
        <f t="shared" si="131"/>
        <v>27.42</v>
      </c>
      <c r="I343" s="596">
        <f>BDI!$F$21</f>
        <v>0.21299999999999999</v>
      </c>
      <c r="J343" s="597">
        <f t="shared" ref="J343" si="138">ROUND(H343*(1+I343),2)</f>
        <v>33.26</v>
      </c>
      <c r="K343" s="598">
        <f t="shared" ref="K343" si="139">ROUND(F343*J343,2)</f>
        <v>66.52</v>
      </c>
      <c r="M343" s="600"/>
      <c r="N343" s="602"/>
      <c r="O343" s="602"/>
      <c r="P343" s="602"/>
      <c r="Q343" s="602"/>
      <c r="R343" s="602"/>
      <c r="S343" s="602"/>
    </row>
    <row r="344" spans="1:19" ht="16.5" thickBot="1" x14ac:dyDescent="0.3">
      <c r="A344" s="696"/>
      <c r="B344" s="697"/>
      <c r="C344" s="697"/>
      <c r="D344" s="697"/>
      <c r="E344" s="697"/>
      <c r="F344" s="697"/>
      <c r="G344" s="25"/>
      <c r="H344" s="25"/>
      <c r="I344" s="25"/>
      <c r="J344" s="25"/>
      <c r="K344" s="27"/>
      <c r="N344"/>
      <c r="O344" s="5"/>
      <c r="P344" s="5"/>
      <c r="Q344" s="5"/>
      <c r="R344" s="5"/>
      <c r="S344" s="5"/>
    </row>
    <row r="345" spans="1:19" s="16" customFormat="1" ht="15.75" customHeight="1" thickBot="1" x14ac:dyDescent="0.3">
      <c r="A345" s="20" t="s">
        <v>234</v>
      </c>
      <c r="B345" s="21"/>
      <c r="C345" s="21"/>
      <c r="D345" s="21" t="s">
        <v>238</v>
      </c>
      <c r="E345" s="21"/>
      <c r="F345" s="21"/>
      <c r="G345" s="21"/>
      <c r="H345" s="21"/>
      <c r="I345" s="21"/>
      <c r="J345" s="21"/>
      <c r="K345" s="167">
        <f>SUM(K346:K355)</f>
        <v>3584.14</v>
      </c>
      <c r="M345" s="109"/>
      <c r="N345"/>
      <c r="O345" s="5"/>
      <c r="P345" s="5"/>
      <c r="Q345" s="5"/>
      <c r="R345" s="5"/>
      <c r="S345" s="5"/>
    </row>
    <row r="346" spans="1:19" s="16" customFormat="1" ht="15.75" customHeight="1" x14ac:dyDescent="0.25">
      <c r="A346" s="168" t="s">
        <v>235</v>
      </c>
      <c r="B346" s="166" t="s">
        <v>166</v>
      </c>
      <c r="C346" s="166">
        <v>93653</v>
      </c>
      <c r="D346" s="264" t="s">
        <v>11936</v>
      </c>
      <c r="E346" s="169" t="s">
        <v>18</v>
      </c>
      <c r="F346" s="170">
        <f>VLOOKUP(A346,MC!$A$10:'MC'!$J$2901,9,FALSE)</f>
        <v>12</v>
      </c>
      <c r="G346" s="171">
        <f>VLOOKUP(C346,Serviço02!$A$1:$D$6699,4,FALSE)</f>
        <v>8.9600000000000009</v>
      </c>
      <c r="H346" s="171">
        <f>G346</f>
        <v>8.9600000000000009</v>
      </c>
      <c r="I346" s="300">
        <f>BDI!$F$21</f>
        <v>0.21299999999999999</v>
      </c>
      <c r="J346" s="301">
        <f t="shared" ref="J346:J351" si="140">ROUND(H346*(1+I346),2)</f>
        <v>10.87</v>
      </c>
      <c r="K346" s="302">
        <f t="shared" ref="K346:K351" si="141">ROUND(F346*J346,2)</f>
        <v>130.44</v>
      </c>
      <c r="M346" s="109"/>
      <c r="N346" s="5"/>
      <c r="O346" s="5"/>
      <c r="P346" s="5"/>
      <c r="Q346" s="5"/>
      <c r="R346" s="5"/>
      <c r="S346" s="5"/>
    </row>
    <row r="347" spans="1:19" s="16" customFormat="1" ht="15.75" customHeight="1" x14ac:dyDescent="0.25">
      <c r="A347" s="168" t="s">
        <v>236</v>
      </c>
      <c r="B347" s="166" t="s">
        <v>166</v>
      </c>
      <c r="C347" s="166">
        <v>93654</v>
      </c>
      <c r="D347" s="264" t="s">
        <v>11937</v>
      </c>
      <c r="E347" s="169" t="s">
        <v>18</v>
      </c>
      <c r="F347" s="170">
        <f>VLOOKUP(A347,MC!$A$10:'MC'!$J$2901,9,FALSE)</f>
        <v>6</v>
      </c>
      <c r="G347" s="171">
        <f>VLOOKUP(C347,Serviço02!$A$1:$D$6699,4,FALSE)</f>
        <v>9.4600000000000009</v>
      </c>
      <c r="H347" s="171">
        <f t="shared" ref="H347:H355" si="142">G347</f>
        <v>9.4600000000000009</v>
      </c>
      <c r="I347" s="300">
        <f>BDI!$F$21</f>
        <v>0.21299999999999999</v>
      </c>
      <c r="J347" s="301">
        <f t="shared" si="140"/>
        <v>11.47</v>
      </c>
      <c r="K347" s="302">
        <f t="shared" si="141"/>
        <v>68.819999999999993</v>
      </c>
      <c r="M347" s="109"/>
      <c r="N347" s="5"/>
      <c r="O347" s="5"/>
      <c r="P347" s="5"/>
      <c r="Q347" s="5"/>
      <c r="R347" s="5"/>
      <c r="S347" s="5"/>
    </row>
    <row r="348" spans="1:19" s="16" customFormat="1" ht="15.75" customHeight="1" x14ac:dyDescent="0.25">
      <c r="A348" s="168" t="s">
        <v>12162</v>
      </c>
      <c r="B348" s="166" t="s">
        <v>166</v>
      </c>
      <c r="C348" s="166">
        <v>93660</v>
      </c>
      <c r="D348" s="264" t="s">
        <v>11938</v>
      </c>
      <c r="E348" s="169" t="s">
        <v>18</v>
      </c>
      <c r="F348" s="170">
        <f>VLOOKUP(A348,MC!$A$10:'MC'!$J$2901,9,FALSE)</f>
        <v>2</v>
      </c>
      <c r="G348" s="171">
        <f>VLOOKUP(C348,Serviço02!$A$1:$D$6699,4,FALSE)</f>
        <v>44.43</v>
      </c>
      <c r="H348" s="171">
        <f t="shared" si="142"/>
        <v>44.43</v>
      </c>
      <c r="I348" s="300">
        <f>BDI!$F$21</f>
        <v>0.21299999999999999</v>
      </c>
      <c r="J348" s="301">
        <f t="shared" si="140"/>
        <v>53.89</v>
      </c>
      <c r="K348" s="302">
        <f t="shared" si="141"/>
        <v>107.78</v>
      </c>
      <c r="M348" s="109"/>
      <c r="N348" s="5"/>
      <c r="O348" s="5"/>
      <c r="P348" s="5"/>
      <c r="Q348" s="5"/>
      <c r="R348" s="5"/>
      <c r="S348" s="5"/>
    </row>
    <row r="349" spans="1:19" s="16" customFormat="1" ht="15.75" customHeight="1" x14ac:dyDescent="0.25">
      <c r="A349" s="168" t="s">
        <v>12163</v>
      </c>
      <c r="B349" s="166" t="s">
        <v>166</v>
      </c>
      <c r="C349" s="166">
        <v>93662</v>
      </c>
      <c r="D349" s="264" t="s">
        <v>11939</v>
      </c>
      <c r="E349" s="169" t="s">
        <v>18</v>
      </c>
      <c r="F349" s="170">
        <f>VLOOKUP(A349,MC!$A$10:'MC'!$J$2901,9,FALSE)</f>
        <v>1</v>
      </c>
      <c r="G349" s="171">
        <f>VLOOKUP(C349,Serviço02!$A$1:$D$6699,4,FALSE)</f>
        <v>47.13</v>
      </c>
      <c r="H349" s="171">
        <f t="shared" si="142"/>
        <v>47.13</v>
      </c>
      <c r="I349" s="300">
        <f>BDI!$F$21</f>
        <v>0.21299999999999999</v>
      </c>
      <c r="J349" s="301">
        <f t="shared" si="140"/>
        <v>57.17</v>
      </c>
      <c r="K349" s="302">
        <f t="shared" si="141"/>
        <v>57.17</v>
      </c>
      <c r="M349" s="109"/>
      <c r="N349" s="5"/>
      <c r="O349" s="5"/>
      <c r="P349" s="5"/>
      <c r="Q349" s="5"/>
      <c r="R349" s="5"/>
      <c r="S349" s="5"/>
    </row>
    <row r="350" spans="1:19" s="16" customFormat="1" ht="15.75" customHeight="1" x14ac:dyDescent="0.25">
      <c r="A350" s="168" t="s">
        <v>12164</v>
      </c>
      <c r="B350" s="166" t="s">
        <v>166</v>
      </c>
      <c r="C350" s="166">
        <v>93663</v>
      </c>
      <c r="D350" s="264" t="s">
        <v>11940</v>
      </c>
      <c r="E350" s="169" t="s">
        <v>18</v>
      </c>
      <c r="F350" s="170">
        <f>VLOOKUP(A350,MC!$A$10:'MC'!$J$2901,9,FALSE)</f>
        <v>1</v>
      </c>
      <c r="G350" s="171">
        <f>VLOOKUP(C350,Serviço02!$A$1:$D$6699,4,FALSE)</f>
        <v>47.13</v>
      </c>
      <c r="H350" s="171">
        <f t="shared" si="142"/>
        <v>47.13</v>
      </c>
      <c r="I350" s="300">
        <f>BDI!$F$21</f>
        <v>0.21299999999999999</v>
      </c>
      <c r="J350" s="301">
        <f t="shared" si="140"/>
        <v>57.17</v>
      </c>
      <c r="K350" s="302">
        <f t="shared" si="141"/>
        <v>57.17</v>
      </c>
      <c r="M350" s="109"/>
      <c r="N350" s="5"/>
      <c r="O350" s="5"/>
      <c r="P350" s="5"/>
      <c r="Q350" s="5"/>
      <c r="R350" s="5"/>
      <c r="S350" s="5"/>
    </row>
    <row r="351" spans="1:19" s="16" customFormat="1" ht="15.75" customHeight="1" x14ac:dyDescent="0.25">
      <c r="A351" s="168" t="s">
        <v>12165</v>
      </c>
      <c r="B351" s="166" t="s">
        <v>166</v>
      </c>
      <c r="C351" s="166">
        <v>93667</v>
      </c>
      <c r="D351" s="264" t="s">
        <v>11941</v>
      </c>
      <c r="E351" s="169" t="s">
        <v>18</v>
      </c>
      <c r="F351" s="170">
        <f>VLOOKUP(A351,MC!$A$10:'MC'!$J$2901,9,FALSE)</f>
        <v>4</v>
      </c>
      <c r="G351" s="171">
        <f>VLOOKUP(C351,Serviço02!$A$1:$D$6699,4,FALSE)</f>
        <v>55.48</v>
      </c>
      <c r="H351" s="171">
        <f t="shared" si="142"/>
        <v>55.48</v>
      </c>
      <c r="I351" s="300">
        <f>BDI!$F$21</f>
        <v>0.21299999999999999</v>
      </c>
      <c r="J351" s="301">
        <f t="shared" si="140"/>
        <v>67.3</v>
      </c>
      <c r="K351" s="302">
        <f t="shared" si="141"/>
        <v>269.2</v>
      </c>
      <c r="M351" s="109"/>
      <c r="N351" s="5"/>
      <c r="O351" s="5"/>
      <c r="P351" s="5"/>
      <c r="Q351" s="5"/>
      <c r="R351" s="5"/>
      <c r="S351" s="5"/>
    </row>
    <row r="352" spans="1:19" s="599" customFormat="1" ht="15.75" customHeight="1" x14ac:dyDescent="0.25">
      <c r="A352" s="593" t="s">
        <v>12166</v>
      </c>
      <c r="B352" s="266" t="s">
        <v>22</v>
      </c>
      <c r="C352" s="266" t="str">
        <f>CPU!A1377</f>
        <v>CPU-49</v>
      </c>
      <c r="D352" s="264" t="s">
        <v>11952</v>
      </c>
      <c r="E352" s="267" t="s">
        <v>18</v>
      </c>
      <c r="F352" s="594">
        <f>VLOOKUP(A352,MC!$A$10:'MC'!$J$2901,9,FALSE)</f>
        <v>2</v>
      </c>
      <c r="G352" s="577">
        <f>CPU!F1402</f>
        <v>51.26</v>
      </c>
      <c r="H352" s="577">
        <f t="shared" si="142"/>
        <v>51.26</v>
      </c>
      <c r="I352" s="596">
        <f>BDI!$F$21</f>
        <v>0.21299999999999999</v>
      </c>
      <c r="J352" s="597">
        <f t="shared" ref="J352:J355" si="143">ROUND(H352*(1+I352),2)</f>
        <v>62.18</v>
      </c>
      <c r="K352" s="598">
        <f t="shared" ref="K352:K355" si="144">ROUND(F352*J352,2)</f>
        <v>124.36</v>
      </c>
      <c r="M352" s="600"/>
      <c r="N352" s="602"/>
      <c r="O352" s="602"/>
      <c r="P352" s="602"/>
      <c r="Q352" s="602"/>
      <c r="R352" s="602"/>
      <c r="S352" s="602"/>
    </row>
    <row r="353" spans="1:19" s="599" customFormat="1" ht="15.75" customHeight="1" x14ac:dyDescent="0.25">
      <c r="A353" s="593" t="s">
        <v>12167</v>
      </c>
      <c r="B353" s="266" t="s">
        <v>22</v>
      </c>
      <c r="C353" s="266" t="str">
        <f>CPU!A1404</f>
        <v>CPU-50</v>
      </c>
      <c r="D353" s="264" t="s">
        <v>11955</v>
      </c>
      <c r="E353" s="267" t="s">
        <v>18</v>
      </c>
      <c r="F353" s="594">
        <f>VLOOKUP(A353,MC!$A$10:'MC'!$J$2901,9,FALSE)</f>
        <v>2</v>
      </c>
      <c r="G353" s="577">
        <f>CPU!F1429</f>
        <v>249.88</v>
      </c>
      <c r="H353" s="577">
        <f t="shared" si="142"/>
        <v>249.88</v>
      </c>
      <c r="I353" s="596">
        <f>BDI!$F$21</f>
        <v>0.21299999999999999</v>
      </c>
      <c r="J353" s="597">
        <f t="shared" si="143"/>
        <v>303.10000000000002</v>
      </c>
      <c r="K353" s="598">
        <f t="shared" si="144"/>
        <v>606.20000000000005</v>
      </c>
      <c r="M353" s="600"/>
      <c r="N353" s="602"/>
      <c r="O353" s="602"/>
      <c r="P353" s="602"/>
      <c r="Q353" s="602"/>
      <c r="R353" s="602"/>
      <c r="S353" s="602"/>
    </row>
    <row r="354" spans="1:19" s="599" customFormat="1" ht="15.75" customHeight="1" x14ac:dyDescent="0.25">
      <c r="A354" s="593" t="s">
        <v>12168</v>
      </c>
      <c r="B354" s="266" t="s">
        <v>22</v>
      </c>
      <c r="C354" s="266" t="str">
        <f>CPU!A1431</f>
        <v>CPU-51</v>
      </c>
      <c r="D354" s="264" t="s">
        <v>11959</v>
      </c>
      <c r="E354" s="267" t="s">
        <v>18</v>
      </c>
      <c r="F354" s="594">
        <f>VLOOKUP(A354,MC!$A$10:'MC'!$J$2901,9,FALSE)</f>
        <v>2</v>
      </c>
      <c r="G354" s="577">
        <f>CPU!F1456</f>
        <v>255.78</v>
      </c>
      <c r="H354" s="577">
        <f t="shared" si="142"/>
        <v>255.78</v>
      </c>
      <c r="I354" s="596">
        <f>BDI!$F$21</f>
        <v>0.21299999999999999</v>
      </c>
      <c r="J354" s="597">
        <f t="shared" si="143"/>
        <v>310.26</v>
      </c>
      <c r="K354" s="598">
        <f t="shared" si="144"/>
        <v>620.52</v>
      </c>
      <c r="M354" s="600"/>
      <c r="N354" s="602"/>
      <c r="O354" s="602"/>
      <c r="P354" s="602"/>
      <c r="Q354" s="602"/>
      <c r="R354" s="602"/>
      <c r="S354" s="602"/>
    </row>
    <row r="355" spans="1:19" s="599" customFormat="1" ht="15.75" customHeight="1" thickBot="1" x14ac:dyDescent="0.3">
      <c r="A355" s="593" t="s">
        <v>12169</v>
      </c>
      <c r="B355" s="266" t="s">
        <v>22</v>
      </c>
      <c r="C355" s="266" t="str">
        <f>CPU!A1458</f>
        <v>CPU-52</v>
      </c>
      <c r="D355" s="264" t="s">
        <v>11960</v>
      </c>
      <c r="E355" s="267" t="s">
        <v>18</v>
      </c>
      <c r="F355" s="594">
        <f>VLOOKUP(A355,MC!$A$10:'MC'!$J$2901,9,FALSE)</f>
        <v>12</v>
      </c>
      <c r="G355" s="577">
        <f>CPU!F1483</f>
        <v>105.97</v>
      </c>
      <c r="H355" s="577">
        <f t="shared" si="142"/>
        <v>105.97</v>
      </c>
      <c r="I355" s="596">
        <f>BDI!$F$21</f>
        <v>0.21299999999999999</v>
      </c>
      <c r="J355" s="597">
        <f t="shared" si="143"/>
        <v>128.54</v>
      </c>
      <c r="K355" s="598">
        <f t="shared" si="144"/>
        <v>1542.48</v>
      </c>
      <c r="M355" s="600"/>
      <c r="N355" s="602"/>
      <c r="O355" s="602"/>
      <c r="P355" s="602"/>
      <c r="Q355" s="602"/>
      <c r="R355" s="602"/>
      <c r="S355" s="602"/>
    </row>
    <row r="356" spans="1:19" ht="16.5" thickBot="1" x14ac:dyDescent="0.3">
      <c r="A356" s="696"/>
      <c r="B356" s="697"/>
      <c r="C356" s="697"/>
      <c r="D356" s="697"/>
      <c r="E356" s="697"/>
      <c r="F356" s="697"/>
      <c r="G356" s="25"/>
      <c r="H356" s="25"/>
      <c r="I356" s="25"/>
      <c r="J356" s="25"/>
      <c r="K356" s="27"/>
      <c r="N356"/>
      <c r="O356" s="5"/>
      <c r="P356" s="5"/>
      <c r="Q356" s="5"/>
      <c r="R356" s="5"/>
      <c r="S356" s="5"/>
    </row>
    <row r="357" spans="1:19" s="16" customFormat="1" ht="15.75" customHeight="1" thickBot="1" x14ac:dyDescent="0.3">
      <c r="A357" s="20" t="s">
        <v>12170</v>
      </c>
      <c r="B357" s="21"/>
      <c r="C357" s="21"/>
      <c r="D357" s="21" t="s">
        <v>239</v>
      </c>
      <c r="E357" s="21"/>
      <c r="F357" s="21"/>
      <c r="G357" s="21"/>
      <c r="H357" s="21"/>
      <c r="I357" s="21"/>
      <c r="J357" s="21"/>
      <c r="K357" s="167">
        <f>SUM(K358:K360)</f>
        <v>4721.3999999999996</v>
      </c>
      <c r="M357" s="109"/>
      <c r="N357"/>
      <c r="O357" s="5"/>
      <c r="P357" s="5"/>
      <c r="Q357" s="5"/>
      <c r="R357" s="5"/>
      <c r="S357" s="5"/>
    </row>
    <row r="358" spans="1:19" s="599" customFormat="1" ht="25.5" x14ac:dyDescent="0.25">
      <c r="A358" s="593" t="s">
        <v>12171</v>
      </c>
      <c r="B358" s="266" t="s">
        <v>22</v>
      </c>
      <c r="C358" s="266" t="str">
        <f>CPU!A1485</f>
        <v>CPU-53</v>
      </c>
      <c r="D358" s="264" t="s">
        <v>13829</v>
      </c>
      <c r="E358" s="267" t="s">
        <v>18</v>
      </c>
      <c r="F358" s="594">
        <f>VLOOKUP(A358,MC!$A$10:'MC'!$J$2901,9,FALSE)</f>
        <v>1</v>
      </c>
      <c r="G358" s="577">
        <f>CPU!F1510</f>
        <v>1268.9100000000001</v>
      </c>
      <c r="H358" s="577">
        <f>G358</f>
        <v>1268.9100000000001</v>
      </c>
      <c r="I358" s="596">
        <f>BDI!$F$21</f>
        <v>0.21299999999999999</v>
      </c>
      <c r="J358" s="597">
        <f t="shared" ref="J358:J360" si="145">ROUND(H358*(1+I358),2)</f>
        <v>1539.19</v>
      </c>
      <c r="K358" s="598">
        <f t="shared" ref="K358:K360" si="146">ROUND(F358*J358,2)</f>
        <v>1539.19</v>
      </c>
      <c r="M358" s="600"/>
      <c r="N358" s="601"/>
      <c r="O358" s="602"/>
      <c r="P358" s="602"/>
      <c r="Q358" s="602"/>
      <c r="R358" s="602"/>
      <c r="S358" s="602"/>
    </row>
    <row r="359" spans="1:19" s="599" customFormat="1" ht="25.5" x14ac:dyDescent="0.25">
      <c r="A359" s="593" t="s">
        <v>12172</v>
      </c>
      <c r="B359" s="266" t="s">
        <v>22</v>
      </c>
      <c r="C359" s="266" t="str">
        <f>CPU!A1512</f>
        <v>CPU-54</v>
      </c>
      <c r="D359" s="264" t="s">
        <v>12245</v>
      </c>
      <c r="E359" s="267" t="s">
        <v>18</v>
      </c>
      <c r="F359" s="594">
        <f>VLOOKUP(A359,MC!$A$10:'MC'!$J$2901,9,FALSE)</f>
        <v>1</v>
      </c>
      <c r="G359" s="577">
        <f>CPU!F1537</f>
        <v>1281.83</v>
      </c>
      <c r="H359" s="577">
        <f t="shared" ref="H359:H360" si="147">G359</f>
        <v>1281.83</v>
      </c>
      <c r="I359" s="596">
        <f>BDI!$F$21</f>
        <v>0.21299999999999999</v>
      </c>
      <c r="J359" s="597">
        <f t="shared" si="145"/>
        <v>1554.86</v>
      </c>
      <c r="K359" s="598">
        <f t="shared" si="146"/>
        <v>1554.86</v>
      </c>
      <c r="M359" s="600"/>
      <c r="N359" s="601"/>
      <c r="O359" s="602"/>
      <c r="P359" s="602"/>
      <c r="Q359" s="602"/>
      <c r="R359" s="602"/>
      <c r="S359" s="602"/>
    </row>
    <row r="360" spans="1:19" s="599" customFormat="1" ht="26.25" thickBot="1" x14ac:dyDescent="0.3">
      <c r="A360" s="593" t="s">
        <v>12173</v>
      </c>
      <c r="B360" s="266" t="s">
        <v>22</v>
      </c>
      <c r="C360" s="266" t="str">
        <f>CPU!A1539</f>
        <v>CPU-55</v>
      </c>
      <c r="D360" s="264" t="s">
        <v>11962</v>
      </c>
      <c r="E360" s="267" t="s">
        <v>18</v>
      </c>
      <c r="F360" s="594">
        <f>VLOOKUP(A360,MC!$A$10:'MC'!$J$2901,9,FALSE)</f>
        <v>1</v>
      </c>
      <c r="G360" s="577">
        <f>CPU!F1565</f>
        <v>1341.59</v>
      </c>
      <c r="H360" s="577">
        <f t="shared" si="147"/>
        <v>1341.59</v>
      </c>
      <c r="I360" s="596">
        <f>BDI!$F$21</f>
        <v>0.21299999999999999</v>
      </c>
      <c r="J360" s="597">
        <f t="shared" si="145"/>
        <v>1627.35</v>
      </c>
      <c r="K360" s="598">
        <f t="shared" si="146"/>
        <v>1627.35</v>
      </c>
      <c r="M360" s="600"/>
      <c r="N360" s="601"/>
      <c r="O360" s="602"/>
      <c r="P360" s="602"/>
      <c r="Q360" s="602"/>
      <c r="R360" s="602"/>
      <c r="S360" s="602"/>
    </row>
    <row r="361" spans="1:19" ht="16.5" thickBot="1" x14ac:dyDescent="0.3">
      <c r="A361" s="696"/>
      <c r="B361" s="697"/>
      <c r="C361" s="697"/>
      <c r="D361" s="697"/>
      <c r="E361" s="697"/>
      <c r="F361" s="697"/>
      <c r="G361" s="25"/>
      <c r="H361" s="25"/>
      <c r="I361" s="25"/>
      <c r="J361" s="25"/>
      <c r="K361" s="27"/>
      <c r="N361"/>
      <c r="O361" s="5"/>
      <c r="P361" s="5"/>
      <c r="Q361" s="5"/>
      <c r="R361" s="5"/>
      <c r="S361" s="5"/>
    </row>
    <row r="362" spans="1:19" s="16" customFormat="1" ht="15.75" customHeight="1" thickBot="1" x14ac:dyDescent="0.3">
      <c r="A362" s="20" t="s">
        <v>12174</v>
      </c>
      <c r="B362" s="21"/>
      <c r="C362" s="21"/>
      <c r="D362" s="21" t="s">
        <v>240</v>
      </c>
      <c r="E362" s="21"/>
      <c r="F362" s="21"/>
      <c r="G362" s="21"/>
      <c r="H362" s="21"/>
      <c r="I362" s="21"/>
      <c r="J362" s="21"/>
      <c r="K362" s="167">
        <f>SUM(K363:K367)</f>
        <v>19829.75</v>
      </c>
      <c r="M362" s="109"/>
      <c r="N362"/>
      <c r="O362" s="5"/>
      <c r="P362" s="5"/>
      <c r="Q362" s="5"/>
      <c r="R362" s="5"/>
      <c r="S362" s="5"/>
    </row>
    <row r="363" spans="1:19" s="599" customFormat="1" ht="15" x14ac:dyDescent="0.25">
      <c r="A363" s="593" t="s">
        <v>12175</v>
      </c>
      <c r="B363" s="266" t="s">
        <v>22</v>
      </c>
      <c r="C363" s="266" t="str">
        <f>CPU!A1567</f>
        <v>CPU-56</v>
      </c>
      <c r="D363" s="264" t="s">
        <v>12008</v>
      </c>
      <c r="E363" s="267" t="s">
        <v>18</v>
      </c>
      <c r="F363" s="594">
        <f>VLOOKUP(A363,MC!$A$10:'MC'!$J$2901,9,FALSE)</f>
        <v>19</v>
      </c>
      <c r="G363" s="577">
        <f>CPU!F1592</f>
        <v>688.91</v>
      </c>
      <c r="H363" s="577">
        <f>G363</f>
        <v>688.91</v>
      </c>
      <c r="I363" s="596">
        <f>BDI!$F$21</f>
        <v>0.21299999999999999</v>
      </c>
      <c r="J363" s="597">
        <f t="shared" ref="J363" si="148">ROUND(H363*(1+I363),2)</f>
        <v>835.65</v>
      </c>
      <c r="K363" s="598">
        <f t="shared" ref="K363" si="149">ROUND(F363*J363,2)</f>
        <v>15877.35</v>
      </c>
      <c r="M363" s="600"/>
      <c r="N363" s="601"/>
      <c r="O363" s="602"/>
      <c r="P363" s="602"/>
      <c r="Q363" s="602"/>
      <c r="R363" s="602"/>
      <c r="S363" s="602"/>
    </row>
    <row r="364" spans="1:19" s="16" customFormat="1" ht="15" x14ac:dyDescent="0.25">
      <c r="A364" s="168" t="s">
        <v>12176</v>
      </c>
      <c r="B364" s="166" t="s">
        <v>166</v>
      </c>
      <c r="C364" s="166">
        <v>97585</v>
      </c>
      <c r="D364" s="264" t="s">
        <v>12009</v>
      </c>
      <c r="E364" s="169" t="s">
        <v>18</v>
      </c>
      <c r="F364" s="170">
        <f>VLOOKUP(A364,MC!$A$10:'MC'!$J$2901,9,FALSE)</f>
        <v>7</v>
      </c>
      <c r="G364" s="171">
        <f>VLOOKUP(C364,Serviço02!$A$1:$D$6699,4,FALSE)</f>
        <v>73.989999999999995</v>
      </c>
      <c r="H364" s="577">
        <f t="shared" ref="H364:H367" si="150">G364</f>
        <v>73.989999999999995</v>
      </c>
      <c r="I364" s="300">
        <f>BDI!$F$21</f>
        <v>0.21299999999999999</v>
      </c>
      <c r="J364" s="301">
        <f t="shared" ref="J364" si="151">ROUND(H364*(1+I364),2)</f>
        <v>89.75</v>
      </c>
      <c r="K364" s="302">
        <f t="shared" ref="K364" si="152">ROUND(F364*J364,2)</f>
        <v>628.25</v>
      </c>
      <c r="M364" s="109"/>
      <c r="N364"/>
      <c r="O364" s="5"/>
      <c r="P364" s="5"/>
      <c r="Q364" s="5"/>
      <c r="R364" s="5"/>
      <c r="S364" s="5"/>
    </row>
    <row r="365" spans="1:19" s="599" customFormat="1" ht="15" x14ac:dyDescent="0.25">
      <c r="A365" s="593" t="s">
        <v>12177</v>
      </c>
      <c r="B365" s="266" t="s">
        <v>22</v>
      </c>
      <c r="C365" s="266" t="str">
        <f>CPU!A1594</f>
        <v>CPU-57</v>
      </c>
      <c r="D365" s="264" t="s">
        <v>12010</v>
      </c>
      <c r="E365" s="267" t="s">
        <v>18</v>
      </c>
      <c r="F365" s="594">
        <f>VLOOKUP(A365,MC!$A$10:'MC'!$J$2901,9,FALSE)</f>
        <v>5</v>
      </c>
      <c r="G365" s="577">
        <f>CPU!F1619</f>
        <v>41.19</v>
      </c>
      <c r="H365" s="577">
        <f t="shared" si="150"/>
        <v>41.19</v>
      </c>
      <c r="I365" s="596">
        <f>BDI!$F$21</f>
        <v>0.21299999999999999</v>
      </c>
      <c r="J365" s="597">
        <f t="shared" ref="J365:J367" si="153">ROUND(H365*(1+I365),2)</f>
        <v>49.96</v>
      </c>
      <c r="K365" s="598">
        <f t="shared" ref="K365:K367" si="154">ROUND(F365*J365,2)</f>
        <v>249.8</v>
      </c>
      <c r="M365" s="600"/>
      <c r="N365" s="601"/>
      <c r="O365" s="602"/>
      <c r="P365" s="602"/>
      <c r="Q365" s="602"/>
      <c r="R365" s="602"/>
      <c r="S365" s="602"/>
    </row>
    <row r="366" spans="1:19" s="599" customFormat="1" ht="15" x14ac:dyDescent="0.25">
      <c r="A366" s="593" t="s">
        <v>12178</v>
      </c>
      <c r="B366" s="266" t="s">
        <v>22</v>
      </c>
      <c r="C366" s="266" t="str">
        <f>CPU!A1621</f>
        <v>CPU-58</v>
      </c>
      <c r="D366" s="264" t="s">
        <v>12011</v>
      </c>
      <c r="E366" s="267" t="s">
        <v>18</v>
      </c>
      <c r="F366" s="594">
        <f>VLOOKUP(A366,MC!$A$10:'MC'!$J$2901,9,FALSE)</f>
        <v>22</v>
      </c>
      <c r="G366" s="577">
        <f>CPU!F1646</f>
        <v>60.14</v>
      </c>
      <c r="H366" s="577">
        <f t="shared" si="150"/>
        <v>60.14</v>
      </c>
      <c r="I366" s="596">
        <f>BDI!$F$21</f>
        <v>0.21299999999999999</v>
      </c>
      <c r="J366" s="597">
        <f t="shared" si="153"/>
        <v>72.95</v>
      </c>
      <c r="K366" s="598">
        <f t="shared" si="154"/>
        <v>1604.9</v>
      </c>
      <c r="M366" s="600"/>
      <c r="N366" s="601"/>
      <c r="O366" s="602"/>
      <c r="P366" s="602"/>
      <c r="Q366" s="602"/>
      <c r="R366" s="602"/>
      <c r="S366" s="602"/>
    </row>
    <row r="367" spans="1:19" s="599" customFormat="1" ht="15.75" thickBot="1" x14ac:dyDescent="0.3">
      <c r="A367" s="593" t="s">
        <v>12179</v>
      </c>
      <c r="B367" s="266" t="s">
        <v>22</v>
      </c>
      <c r="C367" s="266" t="str">
        <f>CPU!A1648</f>
        <v>CPU-59</v>
      </c>
      <c r="D367" s="264" t="s">
        <v>12012</v>
      </c>
      <c r="E367" s="267" t="s">
        <v>18</v>
      </c>
      <c r="F367" s="594">
        <f>VLOOKUP(A367,MC!$A$10:'MC'!$J$2901,9,FALSE)</f>
        <v>5</v>
      </c>
      <c r="G367" s="577">
        <f>CPU!F1673</f>
        <v>242.28</v>
      </c>
      <c r="H367" s="577">
        <f t="shared" si="150"/>
        <v>242.28</v>
      </c>
      <c r="I367" s="596">
        <f>BDI!$F$21</f>
        <v>0.21299999999999999</v>
      </c>
      <c r="J367" s="597">
        <f t="shared" si="153"/>
        <v>293.89</v>
      </c>
      <c r="K367" s="598">
        <f t="shared" si="154"/>
        <v>1469.45</v>
      </c>
      <c r="M367" s="600"/>
      <c r="N367" s="601"/>
      <c r="O367" s="602"/>
      <c r="P367" s="602"/>
      <c r="Q367" s="602"/>
      <c r="R367" s="602"/>
      <c r="S367" s="602"/>
    </row>
    <row r="368" spans="1:19" ht="16.5" thickBot="1" x14ac:dyDescent="0.3">
      <c r="A368" s="696"/>
      <c r="B368" s="697"/>
      <c r="C368" s="697"/>
      <c r="D368" s="697"/>
      <c r="E368" s="697"/>
      <c r="F368" s="697"/>
      <c r="G368" s="25"/>
      <c r="H368" s="25"/>
      <c r="I368" s="25"/>
      <c r="J368" s="25"/>
      <c r="K368" s="27"/>
      <c r="N368"/>
      <c r="O368" s="5"/>
      <c r="P368" s="5"/>
      <c r="Q368" s="5"/>
      <c r="R368" s="5"/>
      <c r="S368" s="5"/>
    </row>
    <row r="369" spans="1:19" s="16" customFormat="1" ht="15.75" customHeight="1" thickBot="1" x14ac:dyDescent="0.3">
      <c r="A369" s="20" t="s">
        <v>12180</v>
      </c>
      <c r="B369" s="21"/>
      <c r="C369" s="21"/>
      <c r="D369" s="21" t="s">
        <v>11195</v>
      </c>
      <c r="E369" s="21"/>
      <c r="F369" s="21"/>
      <c r="G369" s="21"/>
      <c r="H369" s="21"/>
      <c r="I369" s="21"/>
      <c r="J369" s="21"/>
      <c r="K369" s="167">
        <f>SUM(K370:K373)</f>
        <v>2818.3599999999997</v>
      </c>
      <c r="M369" s="109"/>
      <c r="N369"/>
      <c r="O369" s="5"/>
      <c r="P369" s="5"/>
      <c r="Q369" s="5"/>
      <c r="R369" s="5"/>
      <c r="S369" s="5"/>
    </row>
    <row r="370" spans="1:19" s="599" customFormat="1" ht="15" x14ac:dyDescent="0.25">
      <c r="A370" s="593" t="s">
        <v>12181</v>
      </c>
      <c r="B370" s="266" t="s">
        <v>22</v>
      </c>
      <c r="C370" s="266" t="str">
        <f>CPU!A1675</f>
        <v>CPU-60</v>
      </c>
      <c r="D370" s="264" t="s">
        <v>11999</v>
      </c>
      <c r="E370" s="267" t="s">
        <v>47</v>
      </c>
      <c r="F370" s="594">
        <f>VLOOKUP(A370,MC!$A$10:'MC'!$J$2901,9,FALSE)</f>
        <v>40</v>
      </c>
      <c r="G370" s="577">
        <f>CPU!F1700</f>
        <v>40.99</v>
      </c>
      <c r="H370" s="577">
        <f>G370</f>
        <v>40.99</v>
      </c>
      <c r="I370" s="596">
        <f>BDI!$F$21</f>
        <v>0.21299999999999999</v>
      </c>
      <c r="J370" s="597">
        <f t="shared" ref="J370:J372" si="155">ROUND(H370*(1+I370),2)</f>
        <v>49.72</v>
      </c>
      <c r="K370" s="598">
        <f t="shared" ref="K370:K372" si="156">ROUND(F370*J370,2)</f>
        <v>1988.8</v>
      </c>
      <c r="M370" s="600"/>
      <c r="N370" s="601"/>
      <c r="O370" s="602"/>
      <c r="P370" s="602"/>
      <c r="Q370" s="602"/>
      <c r="R370" s="602"/>
      <c r="S370" s="602"/>
    </row>
    <row r="371" spans="1:19" s="599" customFormat="1" ht="25.5" x14ac:dyDescent="0.25">
      <c r="A371" s="593" t="s">
        <v>12182</v>
      </c>
      <c r="B371" s="266" t="s">
        <v>22</v>
      </c>
      <c r="C371" s="607" t="str">
        <f>CPU!A1702</f>
        <v>CPU-61</v>
      </c>
      <c r="D371" s="264" t="s">
        <v>11968</v>
      </c>
      <c r="E371" s="267" t="s">
        <v>10884</v>
      </c>
      <c r="F371" s="594">
        <f>VLOOKUP(A371,MC!$A$10:'MC'!$J$2901,9,FALSE)</f>
        <v>9</v>
      </c>
      <c r="G371" s="577">
        <f>CPU!F1727</f>
        <v>11.49</v>
      </c>
      <c r="H371" s="577">
        <f t="shared" ref="H371:H373" si="157">G371</f>
        <v>11.49</v>
      </c>
      <c r="I371" s="596">
        <f>BDI!$F$21</f>
        <v>0.21299999999999999</v>
      </c>
      <c r="J371" s="597">
        <f t="shared" si="155"/>
        <v>13.94</v>
      </c>
      <c r="K371" s="598">
        <f t="shared" si="156"/>
        <v>125.46</v>
      </c>
      <c r="M371" s="600"/>
      <c r="N371" s="601"/>
      <c r="O371" s="602"/>
      <c r="P371" s="602"/>
      <c r="Q371" s="602"/>
      <c r="R371" s="602"/>
      <c r="S371" s="602"/>
    </row>
    <row r="372" spans="1:19" s="16" customFormat="1" ht="15.75" customHeight="1" x14ac:dyDescent="0.25">
      <c r="A372" s="168" t="s">
        <v>12183</v>
      </c>
      <c r="B372" s="166" t="s">
        <v>166</v>
      </c>
      <c r="C372" s="166">
        <v>96985</v>
      </c>
      <c r="D372" s="264" t="s">
        <v>11969</v>
      </c>
      <c r="E372" s="169" t="s">
        <v>10884</v>
      </c>
      <c r="F372" s="170">
        <f>VLOOKUP(A372,MC!$A$10:'MC'!$J$2901,9,FALSE)</f>
        <v>9</v>
      </c>
      <c r="G372" s="171">
        <f>VLOOKUP(C372,Serviço02!$A$1:$D$6699,4,FALSE)</f>
        <v>53.34</v>
      </c>
      <c r="H372" s="577">
        <f t="shared" si="157"/>
        <v>53.34</v>
      </c>
      <c r="I372" s="300">
        <f>BDI!$F$21</f>
        <v>0.21299999999999999</v>
      </c>
      <c r="J372" s="301">
        <f t="shared" si="155"/>
        <v>64.7</v>
      </c>
      <c r="K372" s="302">
        <f t="shared" si="156"/>
        <v>582.29999999999995</v>
      </c>
      <c r="M372" s="109"/>
      <c r="N372"/>
      <c r="O372" s="5"/>
      <c r="P372" s="5"/>
      <c r="Q372" s="5"/>
      <c r="R372" s="5"/>
      <c r="S372" s="5"/>
    </row>
    <row r="373" spans="1:19" s="16" customFormat="1" ht="15.75" customHeight="1" thickBot="1" x14ac:dyDescent="0.3">
      <c r="A373" s="168" t="s">
        <v>12184</v>
      </c>
      <c r="B373" s="166" t="s">
        <v>166</v>
      </c>
      <c r="C373" s="166">
        <v>98111</v>
      </c>
      <c r="D373" s="264" t="s">
        <v>11972</v>
      </c>
      <c r="E373" s="169" t="s">
        <v>10884</v>
      </c>
      <c r="F373" s="170">
        <f>VLOOKUP(A373,MC!$A$10:'MC'!$J$2901,9,FALSE)</f>
        <v>5</v>
      </c>
      <c r="G373" s="171">
        <f>VLOOKUP(C373,Serviço02!$A$1:$D$6699,4,FALSE)</f>
        <v>20.079999999999998</v>
      </c>
      <c r="H373" s="577">
        <f t="shared" si="157"/>
        <v>20.079999999999998</v>
      </c>
      <c r="I373" s="300">
        <f>BDI!$F$21</f>
        <v>0.21299999999999999</v>
      </c>
      <c r="J373" s="301">
        <f t="shared" ref="J373" si="158">ROUND(H373*(1+I373),2)</f>
        <v>24.36</v>
      </c>
      <c r="K373" s="302">
        <f t="shared" ref="K373" si="159">ROUND(F373*J373,2)</f>
        <v>121.8</v>
      </c>
      <c r="M373" s="109"/>
      <c r="N373"/>
      <c r="O373" s="5"/>
      <c r="P373" s="5"/>
      <c r="Q373" s="5"/>
      <c r="R373" s="5"/>
      <c r="S373" s="5"/>
    </row>
    <row r="374" spans="1:19" ht="16.5" thickBot="1" x14ac:dyDescent="0.3">
      <c r="A374" s="696"/>
      <c r="B374" s="697"/>
      <c r="C374" s="697"/>
      <c r="D374" s="697"/>
      <c r="E374" s="697"/>
      <c r="F374" s="697"/>
      <c r="G374" s="25"/>
      <c r="H374" s="25"/>
      <c r="I374" s="25"/>
      <c r="J374" s="25"/>
      <c r="K374" s="27"/>
      <c r="N374"/>
      <c r="O374" s="5"/>
      <c r="P374" s="5"/>
      <c r="Q374" s="5"/>
      <c r="R374" s="5"/>
      <c r="S374" s="5"/>
    </row>
    <row r="375" spans="1:19" s="16" customFormat="1" ht="15.75" customHeight="1" thickBot="1" x14ac:dyDescent="0.3">
      <c r="A375" s="20" t="s">
        <v>12185</v>
      </c>
      <c r="B375" s="21"/>
      <c r="C375" s="21"/>
      <c r="D375" s="21" t="s">
        <v>11193</v>
      </c>
      <c r="E375" s="21"/>
      <c r="F375" s="21"/>
      <c r="G375" s="21"/>
      <c r="H375" s="21"/>
      <c r="I375" s="21"/>
      <c r="J375" s="21"/>
      <c r="K375" s="167">
        <f>SUM(K376:K380)</f>
        <v>2289.09</v>
      </c>
      <c r="M375" s="109"/>
      <c r="N375"/>
      <c r="O375" s="5"/>
      <c r="P375" s="5"/>
      <c r="Q375" s="5"/>
      <c r="R375" s="5"/>
      <c r="S375" s="5"/>
    </row>
    <row r="376" spans="1:19" s="16" customFormat="1" ht="15.75" customHeight="1" x14ac:dyDescent="0.25">
      <c r="A376" s="168" t="s">
        <v>12186</v>
      </c>
      <c r="B376" s="166" t="s">
        <v>166</v>
      </c>
      <c r="C376" s="166">
        <v>90447</v>
      </c>
      <c r="D376" s="264" t="s">
        <v>11683</v>
      </c>
      <c r="E376" s="169" t="s">
        <v>47</v>
      </c>
      <c r="F376" s="170">
        <f>VLOOKUP(A376,MC!$A$10:'MC'!$J$2901,9,FALSE)</f>
        <v>172</v>
      </c>
      <c r="G376" s="171">
        <f>VLOOKUP(C376,Serviço02!$A$1:$D$6699,4,FALSE)</f>
        <v>5.0999999999999996</v>
      </c>
      <c r="H376" s="171">
        <f>G376</f>
        <v>5.0999999999999996</v>
      </c>
      <c r="I376" s="300">
        <f>BDI!$F$21</f>
        <v>0.21299999999999999</v>
      </c>
      <c r="J376" s="301">
        <f t="shared" ref="J376:J380" si="160">ROUND(H376*(1+I376),2)</f>
        <v>6.19</v>
      </c>
      <c r="K376" s="302">
        <f t="shared" ref="K376:K380" si="161">ROUND(F376*J376,2)</f>
        <v>1064.68</v>
      </c>
      <c r="M376" s="109"/>
      <c r="N376"/>
      <c r="O376" s="5"/>
      <c r="P376" s="5"/>
      <c r="Q376" s="5"/>
      <c r="R376" s="5"/>
      <c r="S376" s="5"/>
    </row>
    <row r="377" spans="1:19" s="599" customFormat="1" ht="15.75" customHeight="1" x14ac:dyDescent="0.25">
      <c r="A377" s="593" t="s">
        <v>12187</v>
      </c>
      <c r="B377" s="266" t="s">
        <v>22</v>
      </c>
      <c r="C377" s="266" t="str">
        <f>CPU!A1242</f>
        <v>CPU-44</v>
      </c>
      <c r="D377" s="264" t="s">
        <v>11188</v>
      </c>
      <c r="E377" s="267" t="s">
        <v>47</v>
      </c>
      <c r="F377" s="594">
        <f>VLOOKUP(A377,MC!$A$10:'MC'!$J$2901,9,FALSE)</f>
        <v>172</v>
      </c>
      <c r="G377" s="577">
        <f>CPU!F1267</f>
        <v>4.8499999999999996</v>
      </c>
      <c r="H377" s="577">
        <f t="shared" ref="H377:H380" si="162">G377</f>
        <v>4.8499999999999996</v>
      </c>
      <c r="I377" s="596">
        <f>BDI!$F$21</f>
        <v>0.21299999999999999</v>
      </c>
      <c r="J377" s="597">
        <f t="shared" si="160"/>
        <v>5.88</v>
      </c>
      <c r="K377" s="598">
        <f t="shared" si="161"/>
        <v>1011.36</v>
      </c>
      <c r="M377" s="600"/>
      <c r="N377" s="601"/>
      <c r="O377" s="602"/>
      <c r="P377" s="602"/>
      <c r="Q377" s="602"/>
      <c r="R377" s="602"/>
      <c r="S377" s="602"/>
    </row>
    <row r="378" spans="1:19" s="16" customFormat="1" ht="15.75" customHeight="1" x14ac:dyDescent="0.25">
      <c r="A378" s="168" t="s">
        <v>12188</v>
      </c>
      <c r="B378" s="166" t="s">
        <v>166</v>
      </c>
      <c r="C378" s="166">
        <v>91222</v>
      </c>
      <c r="D378" s="264" t="s">
        <v>11679</v>
      </c>
      <c r="E378" s="169" t="s">
        <v>47</v>
      </c>
      <c r="F378" s="170">
        <f>VLOOKUP(A378,MC!$A$10:'MC'!$J$2901,9,FALSE)</f>
        <v>6</v>
      </c>
      <c r="G378" s="171">
        <f>VLOOKUP(C378,Serviço02!$A$1:$D$6699,4,FALSE)</f>
        <v>10.63</v>
      </c>
      <c r="H378" s="171">
        <f t="shared" si="162"/>
        <v>10.63</v>
      </c>
      <c r="I378" s="300">
        <f>BDI!$F$21</f>
        <v>0.21299999999999999</v>
      </c>
      <c r="J378" s="301">
        <f t="shared" si="160"/>
        <v>12.89</v>
      </c>
      <c r="K378" s="302">
        <f t="shared" si="161"/>
        <v>77.34</v>
      </c>
      <c r="M378" s="109"/>
      <c r="N378" s="5"/>
      <c r="O378" s="5"/>
      <c r="P378" s="5"/>
      <c r="Q378" s="5"/>
      <c r="R378" s="5"/>
      <c r="S378" s="5"/>
    </row>
    <row r="379" spans="1:19" s="599" customFormat="1" ht="25.5" x14ac:dyDescent="0.25">
      <c r="A379" s="593" t="s">
        <v>12189</v>
      </c>
      <c r="B379" s="266" t="s">
        <v>22</v>
      </c>
      <c r="C379" s="266" t="str">
        <f>CPU!A1729</f>
        <v>CPU-62</v>
      </c>
      <c r="D379" s="264" t="s">
        <v>11684</v>
      </c>
      <c r="E379" s="267" t="s">
        <v>47</v>
      </c>
      <c r="F379" s="594">
        <f>VLOOKUP(A379,MC!$A$10:'MC'!$J$2901,9,FALSE)</f>
        <v>6</v>
      </c>
      <c r="G379" s="577">
        <f>CPU!F1754</f>
        <v>8.18</v>
      </c>
      <c r="H379" s="577">
        <f t="shared" si="162"/>
        <v>8.18</v>
      </c>
      <c r="I379" s="596">
        <f>BDI!$F$21</f>
        <v>0.21299999999999999</v>
      </c>
      <c r="J379" s="597">
        <f t="shared" si="160"/>
        <v>9.92</v>
      </c>
      <c r="K379" s="598">
        <f t="shared" si="161"/>
        <v>59.52</v>
      </c>
      <c r="M379" s="600"/>
      <c r="N379" s="601"/>
      <c r="O379" s="602"/>
      <c r="P379" s="602"/>
      <c r="Q379" s="602"/>
      <c r="R379" s="602"/>
      <c r="S379" s="602"/>
    </row>
    <row r="380" spans="1:19" s="599" customFormat="1" ht="15.75" customHeight="1" thickBot="1" x14ac:dyDescent="0.3">
      <c r="A380" s="593" t="s">
        <v>12190</v>
      </c>
      <c r="B380" s="266" t="s">
        <v>22</v>
      </c>
      <c r="C380" s="266" t="str">
        <f>CPU!A1756</f>
        <v>CPU-63</v>
      </c>
      <c r="D380" s="264" t="s">
        <v>11685</v>
      </c>
      <c r="E380" s="267" t="s">
        <v>164</v>
      </c>
      <c r="F380" s="594">
        <f>VLOOKUP(A380,MC!$A$10:'MC'!$J$2901,9,FALSE)</f>
        <v>0.91</v>
      </c>
      <c r="G380" s="577">
        <f>CPU!F1781</f>
        <v>69.02</v>
      </c>
      <c r="H380" s="577">
        <f t="shared" si="162"/>
        <v>69.02</v>
      </c>
      <c r="I380" s="596">
        <f>BDI!$F$21</f>
        <v>0.21299999999999999</v>
      </c>
      <c r="J380" s="597">
        <f t="shared" si="160"/>
        <v>83.72</v>
      </c>
      <c r="K380" s="598">
        <f t="shared" si="161"/>
        <v>76.19</v>
      </c>
      <c r="M380" s="600"/>
      <c r="N380" s="601"/>
      <c r="O380" s="602"/>
      <c r="P380" s="602"/>
      <c r="Q380" s="602"/>
      <c r="R380" s="602"/>
      <c r="S380" s="602"/>
    </row>
    <row r="381" spans="1:19" ht="16.5" thickBot="1" x14ac:dyDescent="0.3">
      <c r="A381" s="260"/>
      <c r="B381" s="261"/>
      <c r="C381" s="261"/>
      <c r="D381" s="261"/>
      <c r="E381" s="261"/>
      <c r="F381" s="261"/>
      <c r="G381" s="25"/>
      <c r="H381" s="25"/>
      <c r="I381" s="25"/>
      <c r="J381" s="25"/>
      <c r="K381" s="27"/>
      <c r="N381"/>
      <c r="O381" s="5"/>
      <c r="P381" s="5"/>
      <c r="Q381" s="5"/>
      <c r="R381" s="5"/>
      <c r="S381" s="5"/>
    </row>
    <row r="382" spans="1:19" s="16" customFormat="1" ht="15.75" customHeight="1" thickBot="1" x14ac:dyDescent="0.3">
      <c r="A382" s="20" t="s">
        <v>12191</v>
      </c>
      <c r="B382" s="21"/>
      <c r="C382" s="21"/>
      <c r="D382" s="21" t="s">
        <v>11196</v>
      </c>
      <c r="E382" s="21"/>
      <c r="F382" s="21"/>
      <c r="G382" s="21"/>
      <c r="H382" s="21"/>
      <c r="I382" s="21"/>
      <c r="J382" s="21"/>
      <c r="K382" s="167">
        <f>SUM(K383:K384)</f>
        <v>217.07</v>
      </c>
      <c r="M382" s="109"/>
      <c r="N382" s="5"/>
      <c r="O382" s="5"/>
      <c r="P382" s="5"/>
      <c r="Q382" s="5"/>
      <c r="R382" s="5"/>
      <c r="S382" s="5"/>
    </row>
    <row r="383" spans="1:19" s="16" customFormat="1" ht="15.75" customHeight="1" x14ac:dyDescent="0.25">
      <c r="A383" s="168" t="s">
        <v>12192</v>
      </c>
      <c r="B383" s="166" t="s">
        <v>166</v>
      </c>
      <c r="C383" s="166">
        <v>93358</v>
      </c>
      <c r="D383" s="264" t="s">
        <v>10982</v>
      </c>
      <c r="E383" s="169" t="s">
        <v>41</v>
      </c>
      <c r="F383" s="170">
        <f>VLOOKUP(A383,MC!$A$10:'MC'!$J$2901,9,FALSE)</f>
        <v>1.9899999999999998</v>
      </c>
      <c r="G383" s="171">
        <f>VLOOKUP(C383,Serviço02!$A$1:$D$6699,4,FALSE)</f>
        <v>67.010000000000005</v>
      </c>
      <c r="H383" s="171">
        <f>G383</f>
        <v>67.010000000000005</v>
      </c>
      <c r="I383" s="300">
        <f>BDI!$F$21</f>
        <v>0.21299999999999999</v>
      </c>
      <c r="J383" s="301">
        <f t="shared" ref="J383:J384" si="163">ROUND(H383*(1+I383),2)</f>
        <v>81.28</v>
      </c>
      <c r="K383" s="302">
        <f t="shared" ref="K383:K384" si="164">ROUND(F383*J383,2)</f>
        <v>161.75</v>
      </c>
      <c r="M383" s="109"/>
      <c r="N383"/>
      <c r="O383" s="5"/>
      <c r="P383" s="5"/>
      <c r="Q383" s="5"/>
      <c r="R383" s="5"/>
      <c r="S383" s="5"/>
    </row>
    <row r="384" spans="1:19" s="16" customFormat="1" ht="15.75" customHeight="1" thickBot="1" x14ac:dyDescent="0.3">
      <c r="A384" s="168" t="s">
        <v>12193</v>
      </c>
      <c r="B384" s="166" t="s">
        <v>166</v>
      </c>
      <c r="C384" s="166">
        <v>93382</v>
      </c>
      <c r="D384" s="264" t="s">
        <v>11682</v>
      </c>
      <c r="E384" s="169" t="s">
        <v>41</v>
      </c>
      <c r="F384" s="170">
        <f>VLOOKUP(A384,MC!$A$10:'MC'!$J$2901,9,FALSE)</f>
        <v>1.78</v>
      </c>
      <c r="G384" s="171">
        <f>VLOOKUP(C384,Serviço02!$A$1:$D$6699,4,FALSE)</f>
        <v>25.62</v>
      </c>
      <c r="H384" s="171">
        <f>G384</f>
        <v>25.62</v>
      </c>
      <c r="I384" s="300">
        <f>BDI!$F$21</f>
        <v>0.21299999999999999</v>
      </c>
      <c r="J384" s="301">
        <f t="shared" si="163"/>
        <v>31.08</v>
      </c>
      <c r="K384" s="302">
        <f t="shared" si="164"/>
        <v>55.32</v>
      </c>
      <c r="M384" s="109"/>
      <c r="N384"/>
      <c r="O384" s="5"/>
      <c r="P384" s="5"/>
      <c r="Q384" s="5"/>
      <c r="R384" s="5"/>
      <c r="S384" s="5"/>
    </row>
    <row r="385" spans="1:19" ht="16.5" thickBot="1" x14ac:dyDescent="0.3">
      <c r="A385" s="260"/>
      <c r="B385" s="261"/>
      <c r="C385" s="261"/>
      <c r="D385" s="261"/>
      <c r="E385" s="261"/>
      <c r="F385" s="261"/>
      <c r="G385" s="25"/>
      <c r="H385" s="25"/>
      <c r="I385" s="25"/>
      <c r="J385" s="25"/>
      <c r="K385" s="27"/>
      <c r="N385"/>
      <c r="O385" s="5"/>
      <c r="P385" s="5"/>
      <c r="Q385" s="5"/>
      <c r="R385" s="5"/>
      <c r="S385" s="5"/>
    </row>
    <row r="386" spans="1:19" s="16" customFormat="1" ht="15.75" customHeight="1" thickBot="1" x14ac:dyDescent="0.3">
      <c r="A386" s="17" t="s">
        <v>94</v>
      </c>
      <c r="B386" s="18"/>
      <c r="C386" s="18"/>
      <c r="D386" s="116" t="s">
        <v>12030</v>
      </c>
      <c r="E386" s="18"/>
      <c r="F386" s="18"/>
      <c r="G386" s="18"/>
      <c r="H386" s="18"/>
      <c r="I386" s="18"/>
      <c r="J386" s="18"/>
      <c r="K386" s="120">
        <f>SUM(K387,K398,K406,K415)</f>
        <v>25383.45</v>
      </c>
      <c r="M386" s="109"/>
      <c r="N386"/>
      <c r="O386" s="5"/>
      <c r="P386" s="5"/>
      <c r="Q386" s="5"/>
      <c r="R386" s="5"/>
      <c r="S386" s="5"/>
    </row>
    <row r="387" spans="1:19" s="16" customFormat="1" ht="15.75" customHeight="1" thickBot="1" x14ac:dyDescent="0.3">
      <c r="A387" s="20" t="s">
        <v>243</v>
      </c>
      <c r="B387" s="21"/>
      <c r="C387" s="21"/>
      <c r="D387" s="21" t="s">
        <v>11861</v>
      </c>
      <c r="E387" s="21"/>
      <c r="F387" s="21"/>
      <c r="G387" s="21"/>
      <c r="H387" s="21"/>
      <c r="I387" s="21"/>
      <c r="J387" s="21"/>
      <c r="K387" s="167">
        <f>SUM(K389:K396)</f>
        <v>14407.53</v>
      </c>
      <c r="M387" s="109"/>
      <c r="N387"/>
      <c r="O387" s="5"/>
      <c r="P387" s="5"/>
      <c r="Q387" s="5"/>
      <c r="R387" s="5"/>
      <c r="S387" s="5"/>
    </row>
    <row r="388" spans="1:19" s="16" customFormat="1" ht="15.75" customHeight="1" x14ac:dyDescent="0.25">
      <c r="A388" s="168"/>
      <c r="B388" s="165"/>
      <c r="C388" s="172"/>
      <c r="D388" s="248" t="s">
        <v>11987</v>
      </c>
      <c r="E388" s="169"/>
      <c r="F388" s="170"/>
      <c r="G388" s="171"/>
      <c r="H388" s="299"/>
      <c r="I388" s="299"/>
      <c r="J388" s="299"/>
      <c r="K388" s="176"/>
      <c r="M388" s="109"/>
      <c r="N388"/>
      <c r="O388" s="5"/>
      <c r="P388" s="5"/>
      <c r="Q388" s="5"/>
      <c r="R388" s="5"/>
      <c r="S388" s="5"/>
    </row>
    <row r="389" spans="1:19" s="16" customFormat="1" ht="25.5" x14ac:dyDescent="0.25">
      <c r="A389" s="168" t="s">
        <v>241</v>
      </c>
      <c r="B389" s="166" t="s">
        <v>166</v>
      </c>
      <c r="C389" s="166">
        <v>91884</v>
      </c>
      <c r="D389" s="264" t="s">
        <v>11872</v>
      </c>
      <c r="E389" s="170" t="s">
        <v>10884</v>
      </c>
      <c r="F389" s="170">
        <f>VLOOKUP(A389,MC!$A$10:'MC'!$J$2901,9,FALSE)</f>
        <v>123</v>
      </c>
      <c r="G389" s="171">
        <f>VLOOKUP(C389,Serviço02!$A$1:$D$6699,4,FALSE)</f>
        <v>6.72</v>
      </c>
      <c r="H389" s="171">
        <f>G389</f>
        <v>6.72</v>
      </c>
      <c r="I389" s="300">
        <f>BDI!$F$21</f>
        <v>0.21299999999999999</v>
      </c>
      <c r="J389" s="301">
        <f t="shared" ref="J389" si="165">ROUND(H389*(1+I389),2)</f>
        <v>8.15</v>
      </c>
      <c r="K389" s="302">
        <f t="shared" ref="K389" si="166">ROUND(F389*J389,2)</f>
        <v>1002.45</v>
      </c>
      <c r="M389" s="109"/>
      <c r="N389"/>
      <c r="O389" s="5"/>
      <c r="P389" s="5"/>
      <c r="Q389" s="5"/>
      <c r="R389" s="5"/>
      <c r="S389" s="5"/>
    </row>
    <row r="390" spans="1:19" s="16" customFormat="1" ht="25.5" x14ac:dyDescent="0.25">
      <c r="A390" s="168" t="s">
        <v>11694</v>
      </c>
      <c r="B390" s="166" t="s">
        <v>166</v>
      </c>
      <c r="C390" s="166">
        <v>91890</v>
      </c>
      <c r="D390" s="264" t="s">
        <v>11988</v>
      </c>
      <c r="E390" s="170" t="s">
        <v>10884</v>
      </c>
      <c r="F390" s="170">
        <f>VLOOKUP(A390,MC!$A$10:'MC'!$J$2901,9,FALSE)</f>
        <v>42</v>
      </c>
      <c r="G390" s="171">
        <f>VLOOKUP(C390,Serviço02!$A$1:$D$6699,4,FALSE)</f>
        <v>7.79</v>
      </c>
      <c r="H390" s="171">
        <f t="shared" ref="H390:H396" si="167">G390</f>
        <v>7.79</v>
      </c>
      <c r="I390" s="300">
        <f>BDI!$F$21</f>
        <v>0.21299999999999999</v>
      </c>
      <c r="J390" s="301">
        <f t="shared" ref="J390" si="168">ROUND(H390*(1+I390),2)</f>
        <v>9.4499999999999993</v>
      </c>
      <c r="K390" s="302">
        <f t="shared" ref="K390" si="169">ROUND(F390*J390,2)</f>
        <v>396.9</v>
      </c>
      <c r="M390" s="109"/>
      <c r="N390"/>
      <c r="O390" s="5"/>
      <c r="P390" s="5"/>
      <c r="Q390" s="5"/>
      <c r="R390" s="5"/>
      <c r="S390" s="5"/>
    </row>
    <row r="391" spans="1:19" s="16" customFormat="1" ht="15.75" customHeight="1" x14ac:dyDescent="0.25">
      <c r="A391" s="168"/>
      <c r="B391" s="165"/>
      <c r="C391" s="172"/>
      <c r="D391" s="248" t="s">
        <v>11876</v>
      </c>
      <c r="E391" s="169"/>
      <c r="F391" s="170"/>
      <c r="G391" s="171"/>
      <c r="H391" s="171">
        <f t="shared" si="167"/>
        <v>0</v>
      </c>
      <c r="I391" s="299"/>
      <c r="J391" s="299"/>
      <c r="K391" s="176"/>
      <c r="M391" s="109"/>
      <c r="N391"/>
      <c r="O391" s="5"/>
      <c r="P391" s="5"/>
      <c r="Q391" s="5"/>
      <c r="R391" s="5"/>
      <c r="S391" s="5"/>
    </row>
    <row r="392" spans="1:19" s="16" customFormat="1" ht="15.75" customHeight="1" x14ac:dyDescent="0.25">
      <c r="A392" s="168" t="s">
        <v>11695</v>
      </c>
      <c r="B392" s="161" t="s">
        <v>166</v>
      </c>
      <c r="C392" s="161">
        <v>91867</v>
      </c>
      <c r="D392" s="264" t="s">
        <v>11882</v>
      </c>
      <c r="E392" s="169" t="s">
        <v>47</v>
      </c>
      <c r="F392" s="170">
        <f>VLOOKUP(A392,MC!$A$10:'MC'!$J$2901,9,FALSE)</f>
        <v>246</v>
      </c>
      <c r="G392" s="171">
        <f>VLOOKUP(C392,Serviço02!$A$1:$D$6699,4,FALSE)</f>
        <v>6.77</v>
      </c>
      <c r="H392" s="171">
        <f t="shared" si="167"/>
        <v>6.77</v>
      </c>
      <c r="I392" s="300">
        <f>BDI!$F$21</f>
        <v>0.21299999999999999</v>
      </c>
      <c r="J392" s="301">
        <f t="shared" ref="J392" si="170">ROUND(H392*(1+I392),2)</f>
        <v>8.2100000000000009</v>
      </c>
      <c r="K392" s="302">
        <f t="shared" ref="K392" si="171">ROUND(F392*J392,2)</f>
        <v>2019.66</v>
      </c>
      <c r="M392" s="109"/>
      <c r="N392"/>
      <c r="O392" s="5"/>
      <c r="P392" s="5"/>
      <c r="Q392" s="5"/>
      <c r="R392" s="5"/>
      <c r="S392" s="5"/>
    </row>
    <row r="393" spans="1:19" s="16" customFormat="1" ht="15.75" customHeight="1" x14ac:dyDescent="0.25">
      <c r="A393" s="168"/>
      <c r="B393" s="165"/>
      <c r="C393" s="172"/>
      <c r="D393" s="248" t="s">
        <v>11887</v>
      </c>
      <c r="E393" s="169"/>
      <c r="F393" s="170"/>
      <c r="G393" s="171"/>
      <c r="H393" s="171"/>
      <c r="I393" s="299"/>
      <c r="J393" s="299"/>
      <c r="K393" s="176"/>
      <c r="M393" s="109"/>
      <c r="N393"/>
      <c r="O393" s="5"/>
      <c r="P393" s="5"/>
      <c r="Q393" s="5"/>
      <c r="R393" s="5"/>
      <c r="S393" s="5"/>
    </row>
    <row r="394" spans="1:19" s="599" customFormat="1" ht="25.5" x14ac:dyDescent="0.25">
      <c r="A394" s="593" t="s">
        <v>11696</v>
      </c>
      <c r="B394" s="266" t="s">
        <v>163</v>
      </c>
      <c r="C394" s="266" t="str">
        <f>CPU!A2164</f>
        <v>CPU-78</v>
      </c>
      <c r="D394" s="264" t="s">
        <v>11888</v>
      </c>
      <c r="E394" s="267" t="s">
        <v>47</v>
      </c>
      <c r="F394" s="594">
        <f>VLOOKUP(A394,MC!$A$10:'MC'!$J$2901,9,FALSE)</f>
        <v>81</v>
      </c>
      <c r="G394" s="577">
        <f>CPU!F2192</f>
        <v>66.63</v>
      </c>
      <c r="H394" s="577">
        <f t="shared" si="167"/>
        <v>66.63</v>
      </c>
      <c r="I394" s="596">
        <f>BDI!$F$21</f>
        <v>0.21299999999999999</v>
      </c>
      <c r="J394" s="597">
        <f t="shared" ref="J394" si="172">ROUND(H394*(1+I394),2)</f>
        <v>80.819999999999993</v>
      </c>
      <c r="K394" s="598">
        <f t="shared" ref="K394" si="173">ROUND(F394*J394,2)</f>
        <v>6546.42</v>
      </c>
      <c r="M394" s="600"/>
      <c r="N394" s="602"/>
      <c r="O394" s="602"/>
      <c r="P394" s="602"/>
      <c r="Q394" s="602"/>
      <c r="R394" s="602"/>
      <c r="S394" s="602"/>
    </row>
    <row r="395" spans="1:19" s="16" customFormat="1" ht="15.75" customHeight="1" x14ac:dyDescent="0.25">
      <c r="A395" s="168"/>
      <c r="B395" s="165"/>
      <c r="C395" s="172"/>
      <c r="D395" s="248" t="s">
        <v>11991</v>
      </c>
      <c r="E395" s="169"/>
      <c r="F395" s="170"/>
      <c r="G395" s="171"/>
      <c r="H395" s="171"/>
      <c r="I395" s="299"/>
      <c r="J395" s="299"/>
      <c r="K395" s="176"/>
      <c r="M395" s="109"/>
      <c r="N395"/>
      <c r="O395" s="5"/>
      <c r="P395" s="5"/>
      <c r="Q395" s="5"/>
      <c r="R395" s="5"/>
      <c r="S395" s="5"/>
    </row>
    <row r="396" spans="1:19" s="16" customFormat="1" ht="13.5" thickBot="1" x14ac:dyDescent="0.3">
      <c r="A396" s="168" t="s">
        <v>11697</v>
      </c>
      <c r="B396" s="166" t="s">
        <v>166</v>
      </c>
      <c r="C396" s="166">
        <v>98297</v>
      </c>
      <c r="D396" s="264" t="s">
        <v>11992</v>
      </c>
      <c r="E396" s="169" t="s">
        <v>47</v>
      </c>
      <c r="F396" s="818">
        <f>VLOOKUP(A396,MC!$A$10:'MC'!$J$2901,9,FALSE)</f>
        <v>2010</v>
      </c>
      <c r="G396" s="171">
        <f>VLOOKUP(C396,Serviço02!$A$1:$D$6699,4,FALSE)</f>
        <v>1.82</v>
      </c>
      <c r="H396" s="171">
        <f t="shared" si="167"/>
        <v>1.82</v>
      </c>
      <c r="I396" s="300">
        <f>BDI!$F$21</f>
        <v>0.21299999999999999</v>
      </c>
      <c r="J396" s="301">
        <f t="shared" ref="J396" si="174">ROUND(H396*(1+I396),2)</f>
        <v>2.21</v>
      </c>
      <c r="K396" s="302">
        <f t="shared" ref="K396" si="175">ROUND(F396*J396,2)</f>
        <v>4442.1000000000004</v>
      </c>
      <c r="M396" s="109"/>
      <c r="N396" s="5"/>
      <c r="O396" s="5"/>
      <c r="P396" s="5"/>
      <c r="Q396" s="5"/>
      <c r="R396" s="5"/>
      <c r="S396" s="5"/>
    </row>
    <row r="397" spans="1:19" ht="16.5" thickBot="1" x14ac:dyDescent="0.3">
      <c r="A397" s="696"/>
      <c r="B397" s="697"/>
      <c r="C397" s="697"/>
      <c r="D397" s="697"/>
      <c r="E397" s="697"/>
      <c r="F397" s="697"/>
      <c r="G397" s="25"/>
      <c r="H397" s="25"/>
      <c r="I397" s="25"/>
      <c r="J397" s="25"/>
      <c r="K397" s="27"/>
      <c r="N397"/>
      <c r="O397" s="5"/>
      <c r="P397" s="5"/>
      <c r="Q397" s="5"/>
      <c r="R397" s="5"/>
      <c r="S397" s="5"/>
    </row>
    <row r="398" spans="1:19" s="16" customFormat="1" ht="15.75" customHeight="1" thickBot="1" x14ac:dyDescent="0.3">
      <c r="A398" s="20" t="s">
        <v>11197</v>
      </c>
      <c r="B398" s="21"/>
      <c r="C398" s="21"/>
      <c r="D398" s="21" t="s">
        <v>11199</v>
      </c>
      <c r="E398" s="21"/>
      <c r="F398" s="21"/>
      <c r="G398" s="21"/>
      <c r="H398" s="21"/>
      <c r="I398" s="21"/>
      <c r="J398" s="21"/>
      <c r="K398" s="167">
        <f>SUM(K400:K404)</f>
        <v>2940.42</v>
      </c>
      <c r="M398" s="109"/>
      <c r="N398"/>
      <c r="O398" s="5"/>
      <c r="P398" s="5"/>
      <c r="Q398" s="5"/>
      <c r="R398" s="5"/>
      <c r="S398" s="5"/>
    </row>
    <row r="399" spans="1:19" s="16" customFormat="1" ht="15.75" customHeight="1" x14ac:dyDescent="0.25">
      <c r="A399" s="168"/>
      <c r="B399" s="165"/>
      <c r="C399" s="172"/>
      <c r="D399" s="248" t="s">
        <v>11993</v>
      </c>
      <c r="E399" s="169"/>
      <c r="F399" s="170"/>
      <c r="G399" s="171"/>
      <c r="H399" s="299"/>
      <c r="I399" s="299"/>
      <c r="J399" s="299"/>
      <c r="K399" s="176"/>
      <c r="M399" s="109"/>
      <c r="N399"/>
      <c r="O399" s="5"/>
      <c r="P399" s="5"/>
      <c r="Q399" s="5"/>
      <c r="R399" s="5"/>
      <c r="S399" s="5"/>
    </row>
    <row r="400" spans="1:19" s="16" customFormat="1" ht="15.75" customHeight="1" x14ac:dyDescent="0.25">
      <c r="A400" s="168" t="s">
        <v>11198</v>
      </c>
      <c r="B400" s="161" t="s">
        <v>166</v>
      </c>
      <c r="C400" s="161">
        <v>91939</v>
      </c>
      <c r="D400" s="264" t="s">
        <v>11901</v>
      </c>
      <c r="E400" s="169" t="s">
        <v>11902</v>
      </c>
      <c r="F400" s="170">
        <f>VLOOKUP(A400,MC!$A$10:'MC'!$J$2901,9,FALSE)</f>
        <v>37</v>
      </c>
      <c r="G400" s="171">
        <f>VLOOKUP(C400,Serviço02!$A$1:$D$6699,4,FALSE)</f>
        <v>21.44</v>
      </c>
      <c r="H400" s="171">
        <f>G400</f>
        <v>21.44</v>
      </c>
      <c r="I400" s="300">
        <f>BDI!$F$21</f>
        <v>0.21299999999999999</v>
      </c>
      <c r="J400" s="301">
        <f t="shared" ref="J400:J401" si="176">ROUND(H400*(1+I400),2)</f>
        <v>26.01</v>
      </c>
      <c r="K400" s="302">
        <f t="shared" ref="K400:K401" si="177">ROUND(F400*J400,2)</f>
        <v>962.37</v>
      </c>
      <c r="M400" s="109"/>
      <c r="N400"/>
      <c r="O400" s="5"/>
      <c r="P400" s="5"/>
      <c r="Q400" s="5"/>
      <c r="R400" s="5"/>
      <c r="S400" s="5"/>
    </row>
    <row r="401" spans="1:19" s="16" customFormat="1" ht="15.75" customHeight="1" x14ac:dyDescent="0.25">
      <c r="A401" s="168" t="s">
        <v>11200</v>
      </c>
      <c r="B401" s="166" t="s">
        <v>166</v>
      </c>
      <c r="C401" s="166">
        <v>91941</v>
      </c>
      <c r="D401" s="264" t="s">
        <v>11903</v>
      </c>
      <c r="E401" s="169" t="s">
        <v>11902</v>
      </c>
      <c r="F401" s="170">
        <f>VLOOKUP(A401,MC!$A$10:'MC'!$J$2901,9,FALSE)</f>
        <v>10</v>
      </c>
      <c r="G401" s="171">
        <f>VLOOKUP(C401,Serviço02!$A$1:$D$6699,4,FALSE)</f>
        <v>7.47</v>
      </c>
      <c r="H401" s="171">
        <f t="shared" ref="H401:H404" si="178">G401</f>
        <v>7.47</v>
      </c>
      <c r="I401" s="300">
        <f>BDI!$F$21</f>
        <v>0.21299999999999999</v>
      </c>
      <c r="J401" s="301">
        <f t="shared" si="176"/>
        <v>9.06</v>
      </c>
      <c r="K401" s="302">
        <f t="shared" si="177"/>
        <v>90.6</v>
      </c>
      <c r="M401" s="109"/>
      <c r="N401"/>
      <c r="O401" s="5"/>
      <c r="P401" s="5"/>
      <c r="Q401" s="5"/>
      <c r="R401" s="5"/>
      <c r="S401" s="5"/>
    </row>
    <row r="402" spans="1:19" s="16" customFormat="1" ht="15.75" customHeight="1" x14ac:dyDescent="0.25">
      <c r="A402" s="168"/>
      <c r="B402" s="165"/>
      <c r="C402" s="172"/>
      <c r="D402" s="248" t="s">
        <v>11916</v>
      </c>
      <c r="E402" s="169"/>
      <c r="F402" s="170"/>
      <c r="G402" s="171"/>
      <c r="H402" s="171"/>
      <c r="I402" s="299"/>
      <c r="J402" s="299"/>
      <c r="K402" s="176"/>
      <c r="M402" s="109"/>
      <c r="N402"/>
      <c r="O402" s="5"/>
      <c r="P402" s="5"/>
      <c r="Q402" s="5"/>
      <c r="R402" s="5"/>
      <c r="S402" s="5"/>
    </row>
    <row r="403" spans="1:19" s="599" customFormat="1" ht="15.75" customHeight="1" x14ac:dyDescent="0.25">
      <c r="A403" s="593" t="s">
        <v>11201</v>
      </c>
      <c r="B403" s="266" t="s">
        <v>22</v>
      </c>
      <c r="C403" s="266" t="str">
        <f>CPU!A1783</f>
        <v>CPU-64</v>
      </c>
      <c r="D403" s="264" t="s">
        <v>11994</v>
      </c>
      <c r="E403" s="267" t="s">
        <v>11902</v>
      </c>
      <c r="F403" s="594">
        <f>VLOOKUP(A403,MC!$A$10:'MC'!$J$2901,9,FALSE)</f>
        <v>27</v>
      </c>
      <c r="G403" s="577">
        <f>CPU!F1808</f>
        <v>26.01</v>
      </c>
      <c r="H403" s="577">
        <f t="shared" si="178"/>
        <v>26.01</v>
      </c>
      <c r="I403" s="596">
        <f>BDI!$F$21</f>
        <v>0.21299999999999999</v>
      </c>
      <c r="J403" s="597">
        <f t="shared" ref="J403:J404" si="179">ROUND(H403*(1+I403),2)</f>
        <v>31.55</v>
      </c>
      <c r="K403" s="598">
        <f t="shared" ref="K403:K404" si="180">ROUND(F403*J403,2)</f>
        <v>851.85</v>
      </c>
      <c r="M403" s="600"/>
      <c r="N403" s="601"/>
      <c r="O403" s="602"/>
      <c r="P403" s="602"/>
      <c r="Q403" s="602"/>
      <c r="R403" s="602"/>
      <c r="S403" s="602"/>
    </row>
    <row r="404" spans="1:19" s="599" customFormat="1" ht="15.75" customHeight="1" thickBot="1" x14ac:dyDescent="0.3">
      <c r="A404" s="593" t="s">
        <v>11202</v>
      </c>
      <c r="B404" s="266" t="s">
        <v>22</v>
      </c>
      <c r="C404" s="266" t="str">
        <f>CPU!A1810</f>
        <v>CPU-65</v>
      </c>
      <c r="D404" s="264" t="s">
        <v>11995</v>
      </c>
      <c r="E404" s="267" t="s">
        <v>11902</v>
      </c>
      <c r="F404" s="594">
        <f>VLOOKUP(A404,MC!$A$10:'MC'!$J$2901,9,FALSE)</f>
        <v>20</v>
      </c>
      <c r="G404" s="577">
        <f>CPU!F1835</f>
        <v>42.69</v>
      </c>
      <c r="H404" s="577">
        <f t="shared" si="178"/>
        <v>42.69</v>
      </c>
      <c r="I404" s="596">
        <f>BDI!$F$21</f>
        <v>0.21299999999999999</v>
      </c>
      <c r="J404" s="597">
        <f t="shared" si="179"/>
        <v>51.78</v>
      </c>
      <c r="K404" s="598">
        <f t="shared" si="180"/>
        <v>1035.5999999999999</v>
      </c>
      <c r="M404" s="600"/>
      <c r="N404" s="601"/>
      <c r="O404" s="602"/>
      <c r="P404" s="602"/>
      <c r="Q404" s="602"/>
      <c r="R404" s="602"/>
      <c r="S404" s="602"/>
    </row>
    <row r="405" spans="1:19" ht="16.5" thickBot="1" x14ac:dyDescent="0.3">
      <c r="A405" s="260"/>
      <c r="B405" s="261"/>
      <c r="C405" s="261"/>
      <c r="D405" s="261"/>
      <c r="E405" s="261"/>
      <c r="F405" s="261"/>
      <c r="G405" s="25"/>
      <c r="H405" s="25"/>
      <c r="I405" s="25"/>
      <c r="J405" s="25"/>
      <c r="K405" s="27"/>
      <c r="N405"/>
      <c r="O405" s="5"/>
      <c r="P405" s="5"/>
      <c r="Q405" s="5"/>
      <c r="R405" s="5"/>
      <c r="S405" s="5"/>
    </row>
    <row r="406" spans="1:19" s="16" customFormat="1" ht="15.75" customHeight="1" thickBot="1" x14ac:dyDescent="0.3">
      <c r="A406" s="20" t="s">
        <v>11203</v>
      </c>
      <c r="B406" s="21"/>
      <c r="C406" s="21"/>
      <c r="D406" s="21" t="s">
        <v>12031</v>
      </c>
      <c r="E406" s="21"/>
      <c r="F406" s="21"/>
      <c r="G406" s="21"/>
      <c r="H406" s="21"/>
      <c r="I406" s="21"/>
      <c r="J406" s="21"/>
      <c r="K406" s="167">
        <f>SUM(K407:K413)</f>
        <v>7575.63</v>
      </c>
      <c r="M406" s="109"/>
      <c r="N406"/>
      <c r="O406" s="5"/>
      <c r="P406" s="5"/>
      <c r="Q406" s="5"/>
      <c r="R406" s="5"/>
      <c r="S406" s="5"/>
    </row>
    <row r="407" spans="1:19" s="599" customFormat="1" ht="18.75" customHeight="1" x14ac:dyDescent="0.25">
      <c r="A407" s="593" t="s">
        <v>11204</v>
      </c>
      <c r="B407" s="266" t="s">
        <v>22</v>
      </c>
      <c r="C407" s="266" t="str">
        <f>CPU!A1837</f>
        <v>CPU-66</v>
      </c>
      <c r="D407" s="264" t="s">
        <v>12032</v>
      </c>
      <c r="E407" s="267" t="s">
        <v>11902</v>
      </c>
      <c r="F407" s="594">
        <f>VLOOKUP(A407,MC!$A$10:'MC'!$J$2901,9,FALSE)</f>
        <v>1</v>
      </c>
      <c r="G407" s="577">
        <f>CPU!F1862</f>
        <v>887</v>
      </c>
      <c r="H407" s="577">
        <f>G407</f>
        <v>887</v>
      </c>
      <c r="I407" s="596">
        <f>BDI!$F$21</f>
        <v>0.21299999999999999</v>
      </c>
      <c r="J407" s="597">
        <f t="shared" ref="J407:J409" si="181">ROUND(H407*(1+I407),2)</f>
        <v>1075.93</v>
      </c>
      <c r="K407" s="598">
        <f t="shared" ref="K407:K409" si="182">ROUND(F407*J407,2)</f>
        <v>1075.93</v>
      </c>
      <c r="M407" s="600"/>
      <c r="N407" s="601"/>
      <c r="O407" s="602"/>
      <c r="P407" s="602"/>
      <c r="Q407" s="602"/>
      <c r="R407" s="602"/>
      <c r="S407" s="602"/>
    </row>
    <row r="408" spans="1:19" s="599" customFormat="1" ht="18.75" customHeight="1" x14ac:dyDescent="0.25">
      <c r="A408" s="593" t="s">
        <v>11205</v>
      </c>
      <c r="B408" s="266" t="s">
        <v>22</v>
      </c>
      <c r="C408" s="266" t="str">
        <f>CPU!A1864</f>
        <v>CPU-67</v>
      </c>
      <c r="D408" s="264" t="s">
        <v>12033</v>
      </c>
      <c r="E408" s="267" t="s">
        <v>11902</v>
      </c>
      <c r="F408" s="594">
        <f>VLOOKUP(A408,MC!$A$10:'MC'!$J$2901,9,FALSE)</f>
        <v>3</v>
      </c>
      <c r="G408" s="577">
        <f>CPU!F1889</f>
        <v>981.1</v>
      </c>
      <c r="H408" s="577">
        <f t="shared" ref="H408:H413" si="183">G408</f>
        <v>981.1</v>
      </c>
      <c r="I408" s="596">
        <f>BDI!$F$21</f>
        <v>0.21299999999999999</v>
      </c>
      <c r="J408" s="597">
        <f t="shared" si="181"/>
        <v>1190.07</v>
      </c>
      <c r="K408" s="598">
        <f t="shared" si="182"/>
        <v>3570.21</v>
      </c>
      <c r="M408" s="600"/>
      <c r="N408" s="601"/>
      <c r="O408" s="602"/>
      <c r="P408" s="602"/>
      <c r="Q408" s="602"/>
      <c r="R408" s="602"/>
      <c r="S408" s="602"/>
    </row>
    <row r="409" spans="1:19" s="16" customFormat="1" ht="15.75" customHeight="1" x14ac:dyDescent="0.25">
      <c r="A409" s="168" t="s">
        <v>11698</v>
      </c>
      <c r="B409" s="166" t="s">
        <v>166</v>
      </c>
      <c r="C409" s="166">
        <v>98302</v>
      </c>
      <c r="D409" s="264" t="s">
        <v>12044</v>
      </c>
      <c r="E409" s="169" t="s">
        <v>11902</v>
      </c>
      <c r="F409" s="170">
        <f>VLOOKUP(A409,MC!$A$10:'MC'!$J$2901,9,FALSE)</f>
        <v>3</v>
      </c>
      <c r="G409" s="171">
        <f>VLOOKUP(C409,Serviço02!$A$1:$D$6699,4,FALSE)</f>
        <v>527.77</v>
      </c>
      <c r="H409" s="577">
        <f t="shared" si="183"/>
        <v>527.77</v>
      </c>
      <c r="I409" s="300">
        <f>BDI!$F$21</f>
        <v>0.21299999999999999</v>
      </c>
      <c r="J409" s="301">
        <f t="shared" si="181"/>
        <v>640.19000000000005</v>
      </c>
      <c r="K409" s="302">
        <f t="shared" si="182"/>
        <v>1920.57</v>
      </c>
      <c r="M409" s="109"/>
      <c r="N409"/>
      <c r="O409" s="5"/>
      <c r="P409" s="5"/>
      <c r="Q409" s="5"/>
      <c r="R409" s="5"/>
      <c r="S409" s="5"/>
    </row>
    <row r="410" spans="1:19" s="599" customFormat="1" ht="15.75" customHeight="1" x14ac:dyDescent="0.25">
      <c r="A410" s="593" t="s">
        <v>11699</v>
      </c>
      <c r="B410" s="266" t="s">
        <v>22</v>
      </c>
      <c r="C410" s="266" t="str">
        <f>CPU!A1891</f>
        <v>CPU-68</v>
      </c>
      <c r="D410" s="264" t="s">
        <v>12035</v>
      </c>
      <c r="E410" s="267" t="s">
        <v>11902</v>
      </c>
      <c r="F410" s="594">
        <f>VLOOKUP(A410,MC!$A$10:'MC'!$J$2901,9,FALSE)</f>
        <v>1</v>
      </c>
      <c r="G410" s="577">
        <f>CPU!F1916</f>
        <v>199.59</v>
      </c>
      <c r="H410" s="577">
        <f t="shared" si="183"/>
        <v>199.59</v>
      </c>
      <c r="I410" s="596">
        <f>BDI!$F$21</f>
        <v>0.21299999999999999</v>
      </c>
      <c r="J410" s="597">
        <f t="shared" ref="J410:J413" si="184">ROUND(H410*(1+I410),2)</f>
        <v>242.1</v>
      </c>
      <c r="K410" s="598">
        <f t="shared" ref="K410:K413" si="185">ROUND(F410*J410,2)</f>
        <v>242.1</v>
      </c>
      <c r="M410" s="600"/>
      <c r="N410" s="601"/>
      <c r="O410" s="602"/>
      <c r="P410" s="602"/>
      <c r="Q410" s="602"/>
      <c r="R410" s="602"/>
      <c r="S410" s="602"/>
    </row>
    <row r="411" spans="1:19" s="599" customFormat="1" ht="15.75" customHeight="1" x14ac:dyDescent="0.25">
      <c r="A411" s="593" t="s">
        <v>11700</v>
      </c>
      <c r="B411" s="266" t="s">
        <v>22</v>
      </c>
      <c r="C411" s="266" t="str">
        <f>CPU!A1918</f>
        <v>CPU-69</v>
      </c>
      <c r="D411" s="264" t="s">
        <v>12037</v>
      </c>
      <c r="E411" s="267" t="s">
        <v>11902</v>
      </c>
      <c r="F411" s="594">
        <f>VLOOKUP(A411,MC!$A$10:'MC'!$J$2901,9,FALSE)</f>
        <v>6</v>
      </c>
      <c r="G411" s="577">
        <f>CPU!F1943</f>
        <v>25.97</v>
      </c>
      <c r="H411" s="577">
        <f t="shared" si="183"/>
        <v>25.97</v>
      </c>
      <c r="I411" s="596">
        <f>BDI!$F$21</f>
        <v>0.21299999999999999</v>
      </c>
      <c r="J411" s="597">
        <f t="shared" si="184"/>
        <v>31.5</v>
      </c>
      <c r="K411" s="598">
        <f t="shared" si="185"/>
        <v>189</v>
      </c>
      <c r="M411" s="600"/>
      <c r="N411" s="601"/>
      <c r="O411" s="602"/>
      <c r="P411" s="602"/>
      <c r="Q411" s="602"/>
      <c r="R411" s="602"/>
      <c r="S411" s="602"/>
    </row>
    <row r="412" spans="1:19" s="599" customFormat="1" ht="15.75" customHeight="1" x14ac:dyDescent="0.25">
      <c r="A412" s="593" t="s">
        <v>11701</v>
      </c>
      <c r="B412" s="266" t="s">
        <v>22</v>
      </c>
      <c r="C412" s="266" t="str">
        <f>CPU!A1945</f>
        <v>CPU-70</v>
      </c>
      <c r="D412" s="264" t="s">
        <v>12038</v>
      </c>
      <c r="E412" s="267" t="s">
        <v>11902</v>
      </c>
      <c r="F412" s="594">
        <f>VLOOKUP(A412,MC!$A$10:'MC'!$J$2901,9,FALSE)</f>
        <v>1</v>
      </c>
      <c r="G412" s="577">
        <f>CPU!F1971</f>
        <v>238.07</v>
      </c>
      <c r="H412" s="577">
        <f t="shared" si="183"/>
        <v>238.07</v>
      </c>
      <c r="I412" s="596">
        <f>BDI!$F$21</f>
        <v>0.21299999999999999</v>
      </c>
      <c r="J412" s="597">
        <f t="shared" si="184"/>
        <v>288.77999999999997</v>
      </c>
      <c r="K412" s="598">
        <f t="shared" si="185"/>
        <v>288.77999999999997</v>
      </c>
      <c r="M412" s="600"/>
      <c r="N412" s="601"/>
      <c r="O412" s="602"/>
      <c r="P412" s="602"/>
      <c r="Q412" s="602"/>
      <c r="R412" s="602"/>
      <c r="S412" s="602"/>
    </row>
    <row r="413" spans="1:19" s="599" customFormat="1" ht="15.75" customHeight="1" thickBot="1" x14ac:dyDescent="0.3">
      <c r="A413" s="593" t="s">
        <v>11702</v>
      </c>
      <c r="B413" s="266" t="s">
        <v>22</v>
      </c>
      <c r="C413" s="266" t="str">
        <f>CPU!A1973</f>
        <v>CPU-71</v>
      </c>
      <c r="D413" s="264" t="s">
        <v>12039</v>
      </c>
      <c r="E413" s="267" t="s">
        <v>11902</v>
      </c>
      <c r="F413" s="594">
        <f>VLOOKUP(A413,MC!$A$10:'MC'!$J$2901,9,FALSE)</f>
        <v>2</v>
      </c>
      <c r="G413" s="577">
        <f>CPU!F1998</f>
        <v>119.14</v>
      </c>
      <c r="H413" s="577">
        <f t="shared" si="183"/>
        <v>119.14</v>
      </c>
      <c r="I413" s="596">
        <f>BDI!$F$21</f>
        <v>0.21299999999999999</v>
      </c>
      <c r="J413" s="597">
        <f t="shared" si="184"/>
        <v>144.52000000000001</v>
      </c>
      <c r="K413" s="598">
        <f t="shared" si="185"/>
        <v>289.04000000000002</v>
      </c>
      <c r="M413" s="600"/>
      <c r="N413" s="601"/>
      <c r="O413" s="602"/>
      <c r="P413" s="602"/>
      <c r="Q413" s="602"/>
      <c r="R413" s="602"/>
      <c r="S413" s="602"/>
    </row>
    <row r="414" spans="1:19" ht="16.5" thickBot="1" x14ac:dyDescent="0.3">
      <c r="A414" s="314"/>
      <c r="B414" s="315"/>
      <c r="C414" s="315"/>
      <c r="D414" s="315"/>
      <c r="E414" s="315"/>
      <c r="F414" s="315"/>
      <c r="G414" s="25"/>
      <c r="H414" s="25"/>
      <c r="I414" s="25"/>
      <c r="J414" s="25"/>
      <c r="K414" s="27"/>
      <c r="N414"/>
      <c r="O414" s="5"/>
      <c r="P414" s="5"/>
      <c r="Q414" s="5"/>
      <c r="R414" s="5"/>
      <c r="S414" s="5"/>
    </row>
    <row r="415" spans="1:19" s="16" customFormat="1" ht="15.75" customHeight="1" thickBot="1" x14ac:dyDescent="0.3">
      <c r="A415" s="20" t="s">
        <v>11703</v>
      </c>
      <c r="B415" s="21"/>
      <c r="C415" s="21"/>
      <c r="D415" s="21" t="s">
        <v>11193</v>
      </c>
      <c r="E415" s="21"/>
      <c r="F415" s="21"/>
      <c r="G415" s="21"/>
      <c r="H415" s="21"/>
      <c r="I415" s="21"/>
      <c r="J415" s="21"/>
      <c r="K415" s="167">
        <f>SUM(K416:K417)</f>
        <v>459.87</v>
      </c>
      <c r="M415" s="109"/>
      <c r="N415" s="5"/>
      <c r="O415" s="5"/>
      <c r="P415" s="5"/>
      <c r="Q415" s="5"/>
      <c r="R415" s="5"/>
      <c r="S415" s="5"/>
    </row>
    <row r="416" spans="1:19" s="16" customFormat="1" ht="15.75" customHeight="1" x14ac:dyDescent="0.25">
      <c r="A416" s="168" t="s">
        <v>11704</v>
      </c>
      <c r="B416" s="166" t="s">
        <v>166</v>
      </c>
      <c r="C416" s="166">
        <v>90447</v>
      </c>
      <c r="D416" s="264" t="s">
        <v>11683</v>
      </c>
      <c r="E416" s="169" t="s">
        <v>47</v>
      </c>
      <c r="F416" s="170">
        <f>VLOOKUP(A416,MC!$A$10:'MC'!$J$2901,9,FALSE)</f>
        <v>38.1</v>
      </c>
      <c r="G416" s="171">
        <f>VLOOKUP(C416,Serviço02!$A$1:$D$6699,4,FALSE)</f>
        <v>5.0999999999999996</v>
      </c>
      <c r="H416" s="171">
        <f>G416</f>
        <v>5.0999999999999996</v>
      </c>
      <c r="I416" s="300">
        <f>BDI!$F$21</f>
        <v>0.21299999999999999</v>
      </c>
      <c r="J416" s="301">
        <f t="shared" ref="J416" si="186">ROUND(H416*(1+I416),2)</f>
        <v>6.19</v>
      </c>
      <c r="K416" s="302">
        <f t="shared" ref="K416" si="187">ROUND(F416*J416,2)</f>
        <v>235.84</v>
      </c>
      <c r="M416" s="109"/>
      <c r="N416"/>
      <c r="O416" s="5"/>
      <c r="P416" s="5"/>
      <c r="Q416" s="5"/>
      <c r="R416" s="5"/>
      <c r="S416" s="5"/>
    </row>
    <row r="417" spans="1:19" s="599" customFormat="1" ht="15.75" customHeight="1" thickBot="1" x14ac:dyDescent="0.3">
      <c r="A417" s="593" t="s">
        <v>11705</v>
      </c>
      <c r="B417" s="266" t="s">
        <v>22</v>
      </c>
      <c r="C417" s="266" t="str">
        <f>CPU!A1242</f>
        <v>CPU-44</v>
      </c>
      <c r="D417" s="264" t="s">
        <v>11188</v>
      </c>
      <c r="E417" s="267" t="s">
        <v>47</v>
      </c>
      <c r="F417" s="594">
        <f>VLOOKUP(A417,MC!$A$10:'MC'!$J$2901,9,FALSE)</f>
        <v>38.1</v>
      </c>
      <c r="G417" s="577">
        <f>CPU!F1267</f>
        <v>4.8499999999999996</v>
      </c>
      <c r="H417" s="577">
        <f>G417</f>
        <v>4.8499999999999996</v>
      </c>
      <c r="I417" s="596">
        <f>BDI!$F$21</f>
        <v>0.21299999999999999</v>
      </c>
      <c r="J417" s="597">
        <f t="shared" ref="J417" si="188">ROUND(H417*(1+I417),2)</f>
        <v>5.88</v>
      </c>
      <c r="K417" s="598">
        <f t="shared" ref="K417" si="189">ROUND(F417*J417,2)</f>
        <v>224.03</v>
      </c>
      <c r="M417" s="600"/>
      <c r="N417" s="601"/>
      <c r="O417" s="602"/>
      <c r="P417" s="602"/>
      <c r="Q417" s="602"/>
      <c r="R417" s="602"/>
      <c r="S417" s="602"/>
    </row>
    <row r="418" spans="1:19" ht="16.5" thickBot="1" x14ac:dyDescent="0.3">
      <c r="A418" s="260"/>
      <c r="B418" s="261"/>
      <c r="C418" s="261"/>
      <c r="D418" s="261"/>
      <c r="E418" s="261"/>
      <c r="F418" s="261"/>
      <c r="G418" s="25"/>
      <c r="H418" s="25"/>
      <c r="I418" s="25"/>
      <c r="J418" s="25"/>
      <c r="K418" s="27"/>
      <c r="N418"/>
      <c r="O418" s="5"/>
      <c r="P418" s="5"/>
      <c r="Q418" s="5"/>
      <c r="R418" s="5"/>
      <c r="S418" s="5"/>
    </row>
    <row r="419" spans="1:19" s="16" customFormat="1" ht="15.75" customHeight="1" thickBot="1" x14ac:dyDescent="0.3">
      <c r="A419" s="17" t="s">
        <v>95</v>
      </c>
      <c r="B419" s="18"/>
      <c r="C419" s="18"/>
      <c r="D419" s="116" t="s">
        <v>168</v>
      </c>
      <c r="E419" s="18"/>
      <c r="F419" s="18"/>
      <c r="G419" s="18"/>
      <c r="H419" s="18"/>
      <c r="I419" s="18"/>
      <c r="J419" s="18"/>
      <c r="K419" s="120">
        <f>SUM(K420)</f>
        <v>5490.27</v>
      </c>
      <c r="M419" s="109"/>
      <c r="N419" s="5"/>
      <c r="O419" s="5"/>
      <c r="P419" s="5"/>
      <c r="Q419" s="5"/>
      <c r="R419" s="5"/>
      <c r="S419" s="5"/>
    </row>
    <row r="420" spans="1:19" s="16" customFormat="1" ht="15.75" customHeight="1" thickBot="1" x14ac:dyDescent="0.3">
      <c r="A420" s="20" t="s">
        <v>11206</v>
      </c>
      <c r="B420" s="21"/>
      <c r="C420" s="21"/>
      <c r="D420" s="21" t="s">
        <v>242</v>
      </c>
      <c r="E420" s="21"/>
      <c r="F420" s="21"/>
      <c r="G420" s="21"/>
      <c r="H420" s="21"/>
      <c r="I420" s="21"/>
      <c r="J420" s="21"/>
      <c r="K420" s="167">
        <f>SUM(K421:K421)</f>
        <v>5490.27</v>
      </c>
      <c r="M420" s="109"/>
      <c r="N420" s="5"/>
      <c r="O420" s="5"/>
      <c r="P420" s="5"/>
      <c r="Q420" s="5"/>
      <c r="R420" s="5"/>
      <c r="S420" s="5"/>
    </row>
    <row r="421" spans="1:19" s="599" customFormat="1" ht="15.75" customHeight="1" thickBot="1" x14ac:dyDescent="0.3">
      <c r="A421" s="593" t="s">
        <v>11207</v>
      </c>
      <c r="B421" s="266" t="s">
        <v>22</v>
      </c>
      <c r="C421" s="266" t="str">
        <f>CPU!A2000</f>
        <v>CPU-72</v>
      </c>
      <c r="D421" s="264" t="s">
        <v>11689</v>
      </c>
      <c r="E421" s="267" t="s">
        <v>164</v>
      </c>
      <c r="F421" s="594">
        <f>VLOOKUP(A421,MC!$A$10:'MC'!$J$2901,9,FALSE)</f>
        <v>477</v>
      </c>
      <c r="G421" s="577">
        <f>CPU!F2025</f>
        <v>9.49</v>
      </c>
      <c r="H421" s="577">
        <f>G421</f>
        <v>9.49</v>
      </c>
      <c r="I421" s="596">
        <f>BDI!$F$21</f>
        <v>0.21299999999999999</v>
      </c>
      <c r="J421" s="597">
        <f t="shared" ref="J421" si="190">ROUND(H421*(1+I421),2)</f>
        <v>11.51</v>
      </c>
      <c r="K421" s="598">
        <f t="shared" ref="K421" si="191">ROUND(F421*J421,2)</f>
        <v>5490.27</v>
      </c>
      <c r="M421" s="600"/>
      <c r="N421" s="602"/>
      <c r="O421" s="602"/>
      <c r="P421" s="602"/>
      <c r="Q421" s="602"/>
      <c r="R421" s="602"/>
      <c r="S421" s="602"/>
    </row>
    <row r="422" spans="1:19" ht="16.5" thickBot="1" x14ac:dyDescent="0.3">
      <c r="A422" s="696"/>
      <c r="B422" s="697"/>
      <c r="C422" s="697"/>
      <c r="D422" s="697"/>
      <c r="E422" s="697"/>
      <c r="F422" s="697"/>
      <c r="G422" s="25"/>
      <c r="H422" s="25"/>
      <c r="I422" s="25"/>
      <c r="J422" s="25"/>
      <c r="K422" s="27"/>
      <c r="R422" s="5"/>
      <c r="S422" s="5"/>
    </row>
    <row r="423" spans="1:19" ht="20.100000000000001" customHeight="1" thickBot="1" x14ac:dyDescent="0.3">
      <c r="A423" s="698" t="s">
        <v>98</v>
      </c>
      <c r="B423" s="699"/>
      <c r="C423" s="699"/>
      <c r="D423" s="699"/>
      <c r="E423" s="699"/>
      <c r="F423" s="699"/>
      <c r="G423" s="700">
        <f>SUM(K8,K16,K48,K55,K91,K101,K110,K128,K146,K155,K178,K191,K266,K296,K386,K419)</f>
        <v>1066003.1067142687</v>
      </c>
      <c r="H423" s="701"/>
      <c r="I423" s="701"/>
      <c r="J423" s="701"/>
      <c r="K423" s="702"/>
      <c r="R423" s="5"/>
      <c r="S423" s="5"/>
    </row>
    <row r="424" spans="1:19" ht="20.100000000000001" customHeight="1" thickBot="1" x14ac:dyDescent="0.3">
      <c r="A424" s="698" t="s">
        <v>99</v>
      </c>
      <c r="B424" s="699"/>
      <c r="C424" s="699"/>
      <c r="D424" s="699"/>
      <c r="E424" s="699"/>
      <c r="F424" s="699"/>
      <c r="G424" s="700">
        <f>ROUND(G423/477,2)</f>
        <v>2234.81</v>
      </c>
      <c r="H424" s="701"/>
      <c r="I424" s="701"/>
      <c r="J424" s="701"/>
      <c r="K424" s="702"/>
      <c r="R424" s="5"/>
      <c r="S424" s="5"/>
    </row>
    <row r="425" spans="1:19" ht="15.75" customHeight="1" x14ac:dyDescent="0.25">
      <c r="A425" s="30"/>
      <c r="B425" s="31"/>
      <c r="C425" s="31"/>
      <c r="D425" s="31"/>
      <c r="E425" s="31"/>
      <c r="F425" s="31"/>
      <c r="G425" s="31"/>
      <c r="H425" s="31"/>
      <c r="I425" s="31"/>
      <c r="J425" s="31"/>
      <c r="K425" s="31"/>
    </row>
    <row r="426" spans="1:19" x14ac:dyDescent="0.25">
      <c r="A426" s="30"/>
      <c r="B426" s="31"/>
      <c r="C426" s="31"/>
      <c r="D426" s="31"/>
      <c r="E426" s="31"/>
      <c r="F426" s="31"/>
      <c r="G426" s="31"/>
      <c r="H426" s="31"/>
      <c r="I426" s="31"/>
      <c r="J426" s="31"/>
      <c r="K426" s="31"/>
    </row>
    <row r="427" spans="1:19" x14ac:dyDescent="0.25">
      <c r="A427" s="30"/>
      <c r="B427" s="31"/>
      <c r="C427" s="31"/>
      <c r="D427" s="31"/>
      <c r="E427" s="31"/>
      <c r="F427" s="31"/>
      <c r="G427" s="31"/>
      <c r="H427" s="31"/>
      <c r="I427" s="31"/>
      <c r="J427" s="31"/>
      <c r="K427" s="31"/>
    </row>
    <row r="428" spans="1:19" x14ac:dyDescent="0.25">
      <c r="A428" s="30"/>
      <c r="B428" s="30"/>
      <c r="C428" s="30"/>
      <c r="D428" s="31"/>
      <c r="E428" s="30"/>
      <c r="F428" s="32"/>
      <c r="G428" s="33"/>
      <c r="H428" s="33"/>
      <c r="I428" s="33"/>
      <c r="J428" s="33"/>
      <c r="K428" s="33"/>
    </row>
    <row r="429" spans="1:19" x14ac:dyDescent="0.25">
      <c r="A429" s="30"/>
      <c r="B429" s="30"/>
      <c r="C429" s="30"/>
      <c r="D429" s="31"/>
      <c r="E429" s="30"/>
      <c r="F429" s="32"/>
      <c r="G429" s="33"/>
      <c r="H429" s="33"/>
      <c r="I429" s="33"/>
      <c r="J429" s="33"/>
      <c r="K429" s="33"/>
      <c r="N429" s="31"/>
      <c r="O429" s="31"/>
      <c r="P429" s="31"/>
      <c r="Q429" s="31"/>
    </row>
    <row r="430" spans="1:19" x14ac:dyDescent="0.25">
      <c r="A430" s="30"/>
      <c r="B430" s="30"/>
      <c r="C430" s="30"/>
      <c r="D430" s="31"/>
      <c r="E430" s="30"/>
      <c r="F430" s="32"/>
      <c r="G430" s="33"/>
      <c r="H430" s="33"/>
      <c r="I430" s="33"/>
      <c r="J430" s="33"/>
      <c r="K430" s="33"/>
    </row>
    <row r="431" spans="1:19" x14ac:dyDescent="0.25">
      <c r="A431" s="30"/>
      <c r="B431" s="30"/>
      <c r="C431" s="30"/>
      <c r="D431" s="31"/>
      <c r="E431" s="30"/>
      <c r="F431" s="32"/>
      <c r="G431" s="33"/>
      <c r="H431" s="33"/>
      <c r="I431" s="33"/>
      <c r="J431" s="33"/>
      <c r="K431" s="33"/>
    </row>
    <row r="432" spans="1:19" s="31" customFormat="1" x14ac:dyDescent="0.25">
      <c r="A432" s="30"/>
      <c r="B432" s="30"/>
      <c r="C432" s="30"/>
      <c r="E432" s="30"/>
      <c r="F432" s="32"/>
      <c r="G432" s="33"/>
      <c r="H432" s="33"/>
      <c r="I432" s="33"/>
      <c r="J432" s="33"/>
      <c r="K432" s="33"/>
      <c r="N432" s="19"/>
      <c r="O432" s="19"/>
      <c r="P432" s="19"/>
      <c r="Q432" s="19"/>
    </row>
    <row r="433" spans="1:11" s="31" customFormat="1" x14ac:dyDescent="0.25">
      <c r="A433" s="30"/>
      <c r="B433" s="30"/>
      <c r="C433" s="30"/>
      <c r="E433" s="30"/>
      <c r="F433" s="32"/>
      <c r="G433" s="33"/>
      <c r="H433" s="33"/>
      <c r="I433" s="33"/>
      <c r="J433" s="33"/>
      <c r="K433" s="33"/>
    </row>
    <row r="434" spans="1:11" s="31" customFormat="1" x14ac:dyDescent="0.25">
      <c r="A434" s="30"/>
      <c r="B434" s="30"/>
      <c r="C434" s="30"/>
      <c r="E434" s="30"/>
      <c r="F434" s="32"/>
      <c r="G434" s="33"/>
      <c r="H434" s="33"/>
      <c r="I434" s="33"/>
      <c r="J434" s="33"/>
      <c r="K434" s="33"/>
    </row>
    <row r="436" spans="1:11" x14ac:dyDescent="0.25">
      <c r="K436" s="29">
        <v>499896</v>
      </c>
    </row>
    <row r="437" spans="1:11" x14ac:dyDescent="0.25">
      <c r="K437" s="29">
        <f>G423-K436</f>
        <v>566107.10671426868</v>
      </c>
    </row>
  </sheetData>
  <mergeCells count="46">
    <mergeCell ref="A255:F255"/>
    <mergeCell ref="A315:F315"/>
    <mergeCell ref="A374:F374"/>
    <mergeCell ref="A422:F422"/>
    <mergeCell ref="A325:F325"/>
    <mergeCell ref="A344:F344"/>
    <mergeCell ref="A356:F356"/>
    <mergeCell ref="A361:F361"/>
    <mergeCell ref="A368:F368"/>
    <mergeCell ref="A397:F397"/>
    <mergeCell ref="A159:F159"/>
    <mergeCell ref="A169:F169"/>
    <mergeCell ref="A230:F230"/>
    <mergeCell ref="A245:F245"/>
    <mergeCell ref="A251:F251"/>
    <mergeCell ref="A6:K6"/>
    <mergeCell ref="A42:F42"/>
    <mergeCell ref="A54:F54"/>
    <mergeCell ref="A47:F47"/>
    <mergeCell ref="C2:D2"/>
    <mergeCell ref="A65:F65"/>
    <mergeCell ref="A424:F424"/>
    <mergeCell ref="G424:K424"/>
    <mergeCell ref="A423:F423"/>
    <mergeCell ref="G423:K423"/>
    <mergeCell ref="A132:F132"/>
    <mergeCell ref="A135:F135"/>
    <mergeCell ref="A138:F138"/>
    <mergeCell ref="A141:F141"/>
    <mergeCell ref="A177:F177"/>
    <mergeCell ref="A183:F183"/>
    <mergeCell ref="A186:F186"/>
    <mergeCell ref="A202:F202"/>
    <mergeCell ref="A145:F145"/>
    <mergeCell ref="A151:F151"/>
    <mergeCell ref="A154:F154"/>
    <mergeCell ref="A100:F100"/>
    <mergeCell ref="A127:F127"/>
    <mergeCell ref="A71:F71"/>
    <mergeCell ref="A80:F80"/>
    <mergeCell ref="A90:F90"/>
    <mergeCell ref="A106:F106"/>
    <mergeCell ref="A109:F109"/>
    <mergeCell ref="A115:F115"/>
    <mergeCell ref="A119:F119"/>
    <mergeCell ref="A123:F123"/>
  </mergeCells>
  <phoneticPr fontId="34" type="noConversion"/>
  <hyperlinks>
    <hyperlink ref="C39" r:id="rId1" display="javascript:__doPostBack('ctl00$MainContent$gvServicos$ctl03$lnkBtnCodigo','')" xr:uid="{00000000-0004-0000-0000-000000000000}"/>
    <hyperlink ref="C144" r:id="rId2" display="javascript:__doPostBack('ctl00$MainContent$gvServicos$ctl26$lnkBtnCodigo','')" xr:uid="{00000000-0004-0000-0000-000001000000}"/>
    <hyperlink ref="C125" r:id="rId3" display="javascript:__doPostBack('ctl00$MainContent$gvServicos$ctl24$lnkBtnCodigo','')" xr:uid="{00000000-0004-0000-0000-000002000000}"/>
    <hyperlink ref="C220" r:id="rId4" display="javascript:__doPostBack('ctl00$MainContent$gvServicos$ctl79$lnkBtnCodigo','')" xr:uid="{00000000-0004-0000-0000-000003000000}"/>
    <hyperlink ref="C221" r:id="rId5" display="javascript:__doPostBack('ctl00$MainContent$gvServicos$ctl80$lnkBtnCodigo','')" xr:uid="{00000000-0004-0000-0000-000004000000}"/>
    <hyperlink ref="C223" r:id="rId6" display="javascript:__doPostBack('ctl00$MainContent$gvServicos$ctl13$lnkBtnCodigo','')" xr:uid="{00000000-0004-0000-0000-000005000000}"/>
    <hyperlink ref="C224" r:id="rId7" display="javascript:__doPostBack('ctl00$MainContent$gvServicos$ctl15$lnkBtnCodigo','')" xr:uid="{00000000-0004-0000-0000-000006000000}"/>
    <hyperlink ref="C225" r:id="rId8" display="javascript:__doPostBack('ctl00$MainContent$gvServicos$ctl09$lnkBtnCodigo','')" xr:uid="{00000000-0004-0000-0000-000007000000}"/>
  </hyperlinks>
  <printOptions horizontalCentered="1"/>
  <pageMargins left="0.51181102362204722" right="0.51181102362204722" top="1.1811023622047245" bottom="0.62992125984251968" header="0.19685039370078741" footer="0.15748031496062992"/>
  <pageSetup paperSize="9" scale="57" orientation="landscape" r:id="rId9"/>
  <headerFooter>
    <oddHeader>&amp;L
CNPJ: 27.651.907/0001-77&amp;C&amp;G&amp;R
IE: 00000004780094</oddHeader>
    <oddFooter>&amp;CAv. Abunã, 2914 – Sala D – Liberdade – Porto Velho – Rondônia – Brasil – CEP 76.803-888
+55 69 99283 9999  +55 69 4141 6641
proj.nova@outlook.com&amp;RPágina &amp;P de &amp;N</oddFooter>
  </headerFooter>
  <rowBreaks count="9" manualBreakCount="9">
    <brk id="45" max="10" man="1"/>
    <brk id="90" max="10" man="1"/>
    <brk id="132" max="10" man="1"/>
    <brk id="210" max="10" man="1"/>
    <brk id="245" max="10" man="1"/>
    <brk id="287" max="10" man="1"/>
    <brk id="325" max="10" man="1"/>
    <brk id="368" max="10" man="1"/>
    <brk id="413" max="10" man="1"/>
  </rowBreaks>
  <drawing r:id="rId10"/>
  <legacyDrawingHF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8"/>
  <dimension ref="A1:D5335"/>
  <sheetViews>
    <sheetView workbookViewId="0">
      <selection activeCell="D7" sqref="D7"/>
    </sheetView>
  </sheetViews>
  <sheetFormatPr defaultRowHeight="12.75" x14ac:dyDescent="0.2"/>
  <cols>
    <col min="1" max="1" width="10.5703125" style="304" customWidth="1"/>
    <col min="2" max="2" width="78.140625" style="304" customWidth="1"/>
    <col min="3" max="3" width="21.140625" style="304" customWidth="1"/>
    <col min="4" max="4" width="22.28515625" style="304" customWidth="1"/>
    <col min="5" max="256" width="9.140625" style="304"/>
    <col min="257" max="257" width="10.5703125" style="304" customWidth="1"/>
    <col min="258" max="258" width="78.140625" style="304" customWidth="1"/>
    <col min="259" max="259" width="21.140625" style="304" customWidth="1"/>
    <col min="260" max="260" width="22.28515625" style="304" customWidth="1"/>
    <col min="261" max="512" width="9.140625" style="304"/>
    <col min="513" max="513" width="10.5703125" style="304" customWidth="1"/>
    <col min="514" max="514" width="78.140625" style="304" customWidth="1"/>
    <col min="515" max="515" width="21.140625" style="304" customWidth="1"/>
    <col min="516" max="516" width="22.28515625" style="304" customWidth="1"/>
    <col min="517" max="768" width="9.140625" style="304"/>
    <col min="769" max="769" width="10.5703125" style="304" customWidth="1"/>
    <col min="770" max="770" width="78.140625" style="304" customWidth="1"/>
    <col min="771" max="771" width="21.140625" style="304" customWidth="1"/>
    <col min="772" max="772" width="22.28515625" style="304" customWidth="1"/>
    <col min="773" max="1024" width="9.140625" style="304"/>
    <col min="1025" max="1025" width="10.5703125" style="304" customWidth="1"/>
    <col min="1026" max="1026" width="78.140625" style="304" customWidth="1"/>
    <col min="1027" max="1027" width="21.140625" style="304" customWidth="1"/>
    <col min="1028" max="1028" width="22.28515625" style="304" customWidth="1"/>
    <col min="1029" max="1280" width="9.140625" style="304"/>
    <col min="1281" max="1281" width="10.5703125" style="304" customWidth="1"/>
    <col min="1282" max="1282" width="78.140625" style="304" customWidth="1"/>
    <col min="1283" max="1283" width="21.140625" style="304" customWidth="1"/>
    <col min="1284" max="1284" width="22.28515625" style="304" customWidth="1"/>
    <col min="1285" max="1536" width="9.140625" style="304"/>
    <col min="1537" max="1537" width="10.5703125" style="304" customWidth="1"/>
    <col min="1538" max="1538" width="78.140625" style="304" customWidth="1"/>
    <col min="1539" max="1539" width="21.140625" style="304" customWidth="1"/>
    <col min="1540" max="1540" width="22.28515625" style="304" customWidth="1"/>
    <col min="1541" max="1792" width="9.140625" style="304"/>
    <col min="1793" max="1793" width="10.5703125" style="304" customWidth="1"/>
    <col min="1794" max="1794" width="78.140625" style="304" customWidth="1"/>
    <col min="1795" max="1795" width="21.140625" style="304" customWidth="1"/>
    <col min="1796" max="1796" width="22.28515625" style="304" customWidth="1"/>
    <col min="1797" max="2048" width="9.140625" style="304"/>
    <col min="2049" max="2049" width="10.5703125" style="304" customWidth="1"/>
    <col min="2050" max="2050" width="78.140625" style="304" customWidth="1"/>
    <col min="2051" max="2051" width="21.140625" style="304" customWidth="1"/>
    <col min="2052" max="2052" width="22.28515625" style="304" customWidth="1"/>
    <col min="2053" max="2304" width="9.140625" style="304"/>
    <col min="2305" max="2305" width="10.5703125" style="304" customWidth="1"/>
    <col min="2306" max="2306" width="78.140625" style="304" customWidth="1"/>
    <col min="2307" max="2307" width="21.140625" style="304" customWidth="1"/>
    <col min="2308" max="2308" width="22.28515625" style="304" customWidth="1"/>
    <col min="2309" max="2560" width="9.140625" style="304"/>
    <col min="2561" max="2561" width="10.5703125" style="304" customWidth="1"/>
    <col min="2562" max="2562" width="78.140625" style="304" customWidth="1"/>
    <col min="2563" max="2563" width="21.140625" style="304" customWidth="1"/>
    <col min="2564" max="2564" width="22.28515625" style="304" customWidth="1"/>
    <col min="2565" max="2816" width="9.140625" style="304"/>
    <col min="2817" max="2817" width="10.5703125" style="304" customWidth="1"/>
    <col min="2818" max="2818" width="78.140625" style="304" customWidth="1"/>
    <col min="2819" max="2819" width="21.140625" style="304" customWidth="1"/>
    <col min="2820" max="2820" width="22.28515625" style="304" customWidth="1"/>
    <col min="2821" max="3072" width="9.140625" style="304"/>
    <col min="3073" max="3073" width="10.5703125" style="304" customWidth="1"/>
    <col min="3074" max="3074" width="78.140625" style="304" customWidth="1"/>
    <col min="3075" max="3075" width="21.140625" style="304" customWidth="1"/>
    <col min="3076" max="3076" width="22.28515625" style="304" customWidth="1"/>
    <col min="3077" max="3328" width="9.140625" style="304"/>
    <col min="3329" max="3329" width="10.5703125" style="304" customWidth="1"/>
    <col min="3330" max="3330" width="78.140625" style="304" customWidth="1"/>
    <col min="3331" max="3331" width="21.140625" style="304" customWidth="1"/>
    <col min="3332" max="3332" width="22.28515625" style="304" customWidth="1"/>
    <col min="3333" max="3584" width="9.140625" style="304"/>
    <col min="3585" max="3585" width="10.5703125" style="304" customWidth="1"/>
    <col min="3586" max="3586" width="78.140625" style="304" customWidth="1"/>
    <col min="3587" max="3587" width="21.140625" style="304" customWidth="1"/>
    <col min="3588" max="3588" width="22.28515625" style="304" customWidth="1"/>
    <col min="3589" max="3840" width="9.140625" style="304"/>
    <col min="3841" max="3841" width="10.5703125" style="304" customWidth="1"/>
    <col min="3842" max="3842" width="78.140625" style="304" customWidth="1"/>
    <col min="3843" max="3843" width="21.140625" style="304" customWidth="1"/>
    <col min="3844" max="3844" width="22.28515625" style="304" customWidth="1"/>
    <col min="3845" max="4096" width="9.140625" style="304"/>
    <col min="4097" max="4097" width="10.5703125" style="304" customWidth="1"/>
    <col min="4098" max="4098" width="78.140625" style="304" customWidth="1"/>
    <col min="4099" max="4099" width="21.140625" style="304" customWidth="1"/>
    <col min="4100" max="4100" width="22.28515625" style="304" customWidth="1"/>
    <col min="4101" max="4352" width="9.140625" style="304"/>
    <col min="4353" max="4353" width="10.5703125" style="304" customWidth="1"/>
    <col min="4354" max="4354" width="78.140625" style="304" customWidth="1"/>
    <col min="4355" max="4355" width="21.140625" style="304" customWidth="1"/>
    <col min="4356" max="4356" width="22.28515625" style="304" customWidth="1"/>
    <col min="4357" max="4608" width="9.140625" style="304"/>
    <col min="4609" max="4609" width="10.5703125" style="304" customWidth="1"/>
    <col min="4610" max="4610" width="78.140625" style="304" customWidth="1"/>
    <col min="4611" max="4611" width="21.140625" style="304" customWidth="1"/>
    <col min="4612" max="4612" width="22.28515625" style="304" customWidth="1"/>
    <col min="4613" max="4864" width="9.140625" style="304"/>
    <col min="4865" max="4865" width="10.5703125" style="304" customWidth="1"/>
    <col min="4866" max="4866" width="78.140625" style="304" customWidth="1"/>
    <col min="4867" max="4867" width="21.140625" style="304" customWidth="1"/>
    <col min="4868" max="4868" width="22.28515625" style="304" customWidth="1"/>
    <col min="4869" max="5120" width="9.140625" style="304"/>
    <col min="5121" max="5121" width="10.5703125" style="304" customWidth="1"/>
    <col min="5122" max="5122" width="78.140625" style="304" customWidth="1"/>
    <col min="5123" max="5123" width="21.140625" style="304" customWidth="1"/>
    <col min="5124" max="5124" width="22.28515625" style="304" customWidth="1"/>
    <col min="5125" max="5376" width="9.140625" style="304"/>
    <col min="5377" max="5377" width="10.5703125" style="304" customWidth="1"/>
    <col min="5378" max="5378" width="78.140625" style="304" customWidth="1"/>
    <col min="5379" max="5379" width="21.140625" style="304" customWidth="1"/>
    <col min="5380" max="5380" width="22.28515625" style="304" customWidth="1"/>
    <col min="5381" max="5632" width="9.140625" style="304"/>
    <col min="5633" max="5633" width="10.5703125" style="304" customWidth="1"/>
    <col min="5634" max="5634" width="78.140625" style="304" customWidth="1"/>
    <col min="5635" max="5635" width="21.140625" style="304" customWidth="1"/>
    <col min="5636" max="5636" width="22.28515625" style="304" customWidth="1"/>
    <col min="5637" max="5888" width="9.140625" style="304"/>
    <col min="5889" max="5889" width="10.5703125" style="304" customWidth="1"/>
    <col min="5890" max="5890" width="78.140625" style="304" customWidth="1"/>
    <col min="5891" max="5891" width="21.140625" style="304" customWidth="1"/>
    <col min="5892" max="5892" width="22.28515625" style="304" customWidth="1"/>
    <col min="5893" max="6144" width="9.140625" style="304"/>
    <col min="6145" max="6145" width="10.5703125" style="304" customWidth="1"/>
    <col min="6146" max="6146" width="78.140625" style="304" customWidth="1"/>
    <col min="6147" max="6147" width="21.140625" style="304" customWidth="1"/>
    <col min="6148" max="6148" width="22.28515625" style="304" customWidth="1"/>
    <col min="6149" max="6400" width="9.140625" style="304"/>
    <col min="6401" max="6401" width="10.5703125" style="304" customWidth="1"/>
    <col min="6402" max="6402" width="78.140625" style="304" customWidth="1"/>
    <col min="6403" max="6403" width="21.140625" style="304" customWidth="1"/>
    <col min="6404" max="6404" width="22.28515625" style="304" customWidth="1"/>
    <col min="6405" max="6656" width="9.140625" style="304"/>
    <col min="6657" max="6657" width="10.5703125" style="304" customWidth="1"/>
    <col min="6658" max="6658" width="78.140625" style="304" customWidth="1"/>
    <col min="6659" max="6659" width="21.140625" style="304" customWidth="1"/>
    <col min="6660" max="6660" width="22.28515625" style="304" customWidth="1"/>
    <col min="6661" max="6912" width="9.140625" style="304"/>
    <col min="6913" max="6913" width="10.5703125" style="304" customWidth="1"/>
    <col min="6914" max="6914" width="78.140625" style="304" customWidth="1"/>
    <col min="6915" max="6915" width="21.140625" style="304" customWidth="1"/>
    <col min="6916" max="6916" width="22.28515625" style="304" customWidth="1"/>
    <col min="6917" max="7168" width="9.140625" style="304"/>
    <col min="7169" max="7169" width="10.5703125" style="304" customWidth="1"/>
    <col min="7170" max="7170" width="78.140625" style="304" customWidth="1"/>
    <col min="7171" max="7171" width="21.140625" style="304" customWidth="1"/>
    <col min="7172" max="7172" width="22.28515625" style="304" customWidth="1"/>
    <col min="7173" max="7424" width="9.140625" style="304"/>
    <col min="7425" max="7425" width="10.5703125" style="304" customWidth="1"/>
    <col min="7426" max="7426" width="78.140625" style="304" customWidth="1"/>
    <col min="7427" max="7427" width="21.140625" style="304" customWidth="1"/>
    <col min="7428" max="7428" width="22.28515625" style="304" customWidth="1"/>
    <col min="7429" max="7680" width="9.140625" style="304"/>
    <col min="7681" max="7681" width="10.5703125" style="304" customWidth="1"/>
    <col min="7682" max="7682" width="78.140625" style="304" customWidth="1"/>
    <col min="7683" max="7683" width="21.140625" style="304" customWidth="1"/>
    <col min="7684" max="7684" width="22.28515625" style="304" customWidth="1"/>
    <col min="7685" max="7936" width="9.140625" style="304"/>
    <col min="7937" max="7937" width="10.5703125" style="304" customWidth="1"/>
    <col min="7938" max="7938" width="78.140625" style="304" customWidth="1"/>
    <col min="7939" max="7939" width="21.140625" style="304" customWidth="1"/>
    <col min="7940" max="7940" width="22.28515625" style="304" customWidth="1"/>
    <col min="7941" max="8192" width="9.140625" style="304"/>
    <col min="8193" max="8193" width="10.5703125" style="304" customWidth="1"/>
    <col min="8194" max="8194" width="78.140625" style="304" customWidth="1"/>
    <col min="8195" max="8195" width="21.140625" style="304" customWidth="1"/>
    <col min="8196" max="8196" width="22.28515625" style="304" customWidth="1"/>
    <col min="8197" max="8448" width="9.140625" style="304"/>
    <col min="8449" max="8449" width="10.5703125" style="304" customWidth="1"/>
    <col min="8450" max="8450" width="78.140625" style="304" customWidth="1"/>
    <col min="8451" max="8451" width="21.140625" style="304" customWidth="1"/>
    <col min="8452" max="8452" width="22.28515625" style="304" customWidth="1"/>
    <col min="8453" max="8704" width="9.140625" style="304"/>
    <col min="8705" max="8705" width="10.5703125" style="304" customWidth="1"/>
    <col min="8706" max="8706" width="78.140625" style="304" customWidth="1"/>
    <col min="8707" max="8707" width="21.140625" style="304" customWidth="1"/>
    <col min="8708" max="8708" width="22.28515625" style="304" customWidth="1"/>
    <col min="8709" max="8960" width="9.140625" style="304"/>
    <col min="8961" max="8961" width="10.5703125" style="304" customWidth="1"/>
    <col min="8962" max="8962" width="78.140625" style="304" customWidth="1"/>
    <col min="8963" max="8963" width="21.140625" style="304" customWidth="1"/>
    <col min="8964" max="8964" width="22.28515625" style="304" customWidth="1"/>
    <col min="8965" max="9216" width="9.140625" style="304"/>
    <col min="9217" max="9217" width="10.5703125" style="304" customWidth="1"/>
    <col min="9218" max="9218" width="78.140625" style="304" customWidth="1"/>
    <col min="9219" max="9219" width="21.140625" style="304" customWidth="1"/>
    <col min="9220" max="9220" width="22.28515625" style="304" customWidth="1"/>
    <col min="9221" max="9472" width="9.140625" style="304"/>
    <col min="9473" max="9473" width="10.5703125" style="304" customWidth="1"/>
    <col min="9474" max="9474" width="78.140625" style="304" customWidth="1"/>
    <col min="9475" max="9475" width="21.140625" style="304" customWidth="1"/>
    <col min="9476" max="9476" width="22.28515625" style="304" customWidth="1"/>
    <col min="9477" max="9728" width="9.140625" style="304"/>
    <col min="9729" max="9729" width="10.5703125" style="304" customWidth="1"/>
    <col min="9730" max="9730" width="78.140625" style="304" customWidth="1"/>
    <col min="9731" max="9731" width="21.140625" style="304" customWidth="1"/>
    <col min="9732" max="9732" width="22.28515625" style="304" customWidth="1"/>
    <col min="9733" max="9984" width="9.140625" style="304"/>
    <col min="9985" max="9985" width="10.5703125" style="304" customWidth="1"/>
    <col min="9986" max="9986" width="78.140625" style="304" customWidth="1"/>
    <col min="9987" max="9987" width="21.140625" style="304" customWidth="1"/>
    <col min="9988" max="9988" width="22.28515625" style="304" customWidth="1"/>
    <col min="9989" max="10240" width="9.140625" style="304"/>
    <col min="10241" max="10241" width="10.5703125" style="304" customWidth="1"/>
    <col min="10242" max="10242" width="78.140625" style="304" customWidth="1"/>
    <col min="10243" max="10243" width="21.140625" style="304" customWidth="1"/>
    <col min="10244" max="10244" width="22.28515625" style="304" customWidth="1"/>
    <col min="10245" max="10496" width="9.140625" style="304"/>
    <col min="10497" max="10497" width="10.5703125" style="304" customWidth="1"/>
    <col min="10498" max="10498" width="78.140625" style="304" customWidth="1"/>
    <col min="10499" max="10499" width="21.140625" style="304" customWidth="1"/>
    <col min="10500" max="10500" width="22.28515625" style="304" customWidth="1"/>
    <col min="10501" max="10752" width="9.140625" style="304"/>
    <col min="10753" max="10753" width="10.5703125" style="304" customWidth="1"/>
    <col min="10754" max="10754" width="78.140625" style="304" customWidth="1"/>
    <col min="10755" max="10755" width="21.140625" style="304" customWidth="1"/>
    <col min="10756" max="10756" width="22.28515625" style="304" customWidth="1"/>
    <col min="10757" max="11008" width="9.140625" style="304"/>
    <col min="11009" max="11009" width="10.5703125" style="304" customWidth="1"/>
    <col min="11010" max="11010" width="78.140625" style="304" customWidth="1"/>
    <col min="11011" max="11011" width="21.140625" style="304" customWidth="1"/>
    <col min="11012" max="11012" width="22.28515625" style="304" customWidth="1"/>
    <col min="11013" max="11264" width="9.140625" style="304"/>
    <col min="11265" max="11265" width="10.5703125" style="304" customWidth="1"/>
    <col min="11266" max="11266" width="78.140625" style="304" customWidth="1"/>
    <col min="11267" max="11267" width="21.140625" style="304" customWidth="1"/>
    <col min="11268" max="11268" width="22.28515625" style="304" customWidth="1"/>
    <col min="11269" max="11520" width="9.140625" style="304"/>
    <col min="11521" max="11521" width="10.5703125" style="304" customWidth="1"/>
    <col min="11522" max="11522" width="78.140625" style="304" customWidth="1"/>
    <col min="11523" max="11523" width="21.140625" style="304" customWidth="1"/>
    <col min="11524" max="11524" width="22.28515625" style="304" customWidth="1"/>
    <col min="11525" max="11776" width="9.140625" style="304"/>
    <col min="11777" max="11777" width="10.5703125" style="304" customWidth="1"/>
    <col min="11778" max="11778" width="78.140625" style="304" customWidth="1"/>
    <col min="11779" max="11779" width="21.140625" style="304" customWidth="1"/>
    <col min="11780" max="11780" width="22.28515625" style="304" customWidth="1"/>
    <col min="11781" max="12032" width="9.140625" style="304"/>
    <col min="12033" max="12033" width="10.5703125" style="304" customWidth="1"/>
    <col min="12034" max="12034" width="78.140625" style="304" customWidth="1"/>
    <col min="12035" max="12035" width="21.140625" style="304" customWidth="1"/>
    <col min="12036" max="12036" width="22.28515625" style="304" customWidth="1"/>
    <col min="12037" max="12288" width="9.140625" style="304"/>
    <col min="12289" max="12289" width="10.5703125" style="304" customWidth="1"/>
    <col min="12290" max="12290" width="78.140625" style="304" customWidth="1"/>
    <col min="12291" max="12291" width="21.140625" style="304" customWidth="1"/>
    <col min="12292" max="12292" width="22.28515625" style="304" customWidth="1"/>
    <col min="12293" max="12544" width="9.140625" style="304"/>
    <col min="12545" max="12545" width="10.5703125" style="304" customWidth="1"/>
    <col min="12546" max="12546" width="78.140625" style="304" customWidth="1"/>
    <col min="12547" max="12547" width="21.140625" style="304" customWidth="1"/>
    <col min="12548" max="12548" width="22.28515625" style="304" customWidth="1"/>
    <col min="12549" max="12800" width="9.140625" style="304"/>
    <col min="12801" max="12801" width="10.5703125" style="304" customWidth="1"/>
    <col min="12802" max="12802" width="78.140625" style="304" customWidth="1"/>
    <col min="12803" max="12803" width="21.140625" style="304" customWidth="1"/>
    <col min="12804" max="12804" width="22.28515625" style="304" customWidth="1"/>
    <col min="12805" max="13056" width="9.140625" style="304"/>
    <col min="13057" max="13057" width="10.5703125" style="304" customWidth="1"/>
    <col min="13058" max="13058" width="78.140625" style="304" customWidth="1"/>
    <col min="13059" max="13059" width="21.140625" style="304" customWidth="1"/>
    <col min="13060" max="13060" width="22.28515625" style="304" customWidth="1"/>
    <col min="13061" max="13312" width="9.140625" style="304"/>
    <col min="13313" max="13313" width="10.5703125" style="304" customWidth="1"/>
    <col min="13314" max="13314" width="78.140625" style="304" customWidth="1"/>
    <col min="13315" max="13315" width="21.140625" style="304" customWidth="1"/>
    <col min="13316" max="13316" width="22.28515625" style="304" customWidth="1"/>
    <col min="13317" max="13568" width="9.140625" style="304"/>
    <col min="13569" max="13569" width="10.5703125" style="304" customWidth="1"/>
    <col min="13570" max="13570" width="78.140625" style="304" customWidth="1"/>
    <col min="13571" max="13571" width="21.140625" style="304" customWidth="1"/>
    <col min="13572" max="13572" width="22.28515625" style="304" customWidth="1"/>
    <col min="13573" max="13824" width="9.140625" style="304"/>
    <col min="13825" max="13825" width="10.5703125" style="304" customWidth="1"/>
    <col min="13826" max="13826" width="78.140625" style="304" customWidth="1"/>
    <col min="13827" max="13827" width="21.140625" style="304" customWidth="1"/>
    <col min="13828" max="13828" width="22.28515625" style="304" customWidth="1"/>
    <col min="13829" max="14080" width="9.140625" style="304"/>
    <col min="14081" max="14081" width="10.5703125" style="304" customWidth="1"/>
    <col min="14082" max="14082" width="78.140625" style="304" customWidth="1"/>
    <col min="14083" max="14083" width="21.140625" style="304" customWidth="1"/>
    <col min="14084" max="14084" width="22.28515625" style="304" customWidth="1"/>
    <col min="14085" max="14336" width="9.140625" style="304"/>
    <col min="14337" max="14337" width="10.5703125" style="304" customWidth="1"/>
    <col min="14338" max="14338" width="78.140625" style="304" customWidth="1"/>
    <col min="14339" max="14339" width="21.140625" style="304" customWidth="1"/>
    <col min="14340" max="14340" width="22.28515625" style="304" customWidth="1"/>
    <col min="14341" max="14592" width="9.140625" style="304"/>
    <col min="14593" max="14593" width="10.5703125" style="304" customWidth="1"/>
    <col min="14594" max="14594" width="78.140625" style="304" customWidth="1"/>
    <col min="14595" max="14595" width="21.140625" style="304" customWidth="1"/>
    <col min="14596" max="14596" width="22.28515625" style="304" customWidth="1"/>
    <col min="14597" max="14848" width="9.140625" style="304"/>
    <col min="14849" max="14849" width="10.5703125" style="304" customWidth="1"/>
    <col min="14850" max="14850" width="78.140625" style="304" customWidth="1"/>
    <col min="14851" max="14851" width="21.140625" style="304" customWidth="1"/>
    <col min="14852" max="14852" width="22.28515625" style="304" customWidth="1"/>
    <col min="14853" max="15104" width="9.140625" style="304"/>
    <col min="15105" max="15105" width="10.5703125" style="304" customWidth="1"/>
    <col min="15106" max="15106" width="78.140625" style="304" customWidth="1"/>
    <col min="15107" max="15107" width="21.140625" style="304" customWidth="1"/>
    <col min="15108" max="15108" width="22.28515625" style="304" customWidth="1"/>
    <col min="15109" max="15360" width="9.140625" style="304"/>
    <col min="15361" max="15361" width="10.5703125" style="304" customWidth="1"/>
    <col min="15362" max="15362" width="78.140625" style="304" customWidth="1"/>
    <col min="15363" max="15363" width="21.140625" style="304" customWidth="1"/>
    <col min="15364" max="15364" width="22.28515625" style="304" customWidth="1"/>
    <col min="15365" max="15616" width="9.140625" style="304"/>
    <col min="15617" max="15617" width="10.5703125" style="304" customWidth="1"/>
    <col min="15618" max="15618" width="78.140625" style="304" customWidth="1"/>
    <col min="15619" max="15619" width="21.140625" style="304" customWidth="1"/>
    <col min="15620" max="15620" width="22.28515625" style="304" customWidth="1"/>
    <col min="15621" max="15872" width="9.140625" style="304"/>
    <col min="15873" max="15873" width="10.5703125" style="304" customWidth="1"/>
    <col min="15874" max="15874" width="78.140625" style="304" customWidth="1"/>
    <col min="15875" max="15875" width="21.140625" style="304" customWidth="1"/>
    <col min="15876" max="15876" width="22.28515625" style="304" customWidth="1"/>
    <col min="15877" max="16128" width="9.140625" style="304"/>
    <col min="16129" max="16129" width="10.5703125" style="304" customWidth="1"/>
    <col min="16130" max="16130" width="78.140625" style="304" customWidth="1"/>
    <col min="16131" max="16131" width="21.140625" style="304" customWidth="1"/>
    <col min="16132" max="16132" width="22.28515625" style="304" customWidth="1"/>
    <col min="16133" max="16384" width="9.140625" style="304"/>
  </cols>
  <sheetData>
    <row r="1" spans="1:4" x14ac:dyDescent="0.2">
      <c r="A1" s="304" t="s">
        <v>5548</v>
      </c>
    </row>
    <row r="2" spans="1:4" x14ac:dyDescent="0.2">
      <c r="A2" s="304" t="s">
        <v>5549</v>
      </c>
    </row>
    <row r="3" spans="1:4" ht="15" x14ac:dyDescent="0.25">
      <c r="A3" t="s">
        <v>11867</v>
      </c>
      <c r="B3"/>
    </row>
    <row r="4" spans="1:4" ht="15" x14ac:dyDescent="0.25">
      <c r="A4" t="s">
        <v>5550</v>
      </c>
      <c r="B4"/>
    </row>
    <row r="5" spans="1:4" ht="15" x14ac:dyDescent="0.25">
      <c r="A5" t="s">
        <v>12249</v>
      </c>
      <c r="B5"/>
    </row>
    <row r="6" spans="1:4" x14ac:dyDescent="0.2">
      <c r="A6" s="304" t="s">
        <v>5549</v>
      </c>
    </row>
    <row r="7" spans="1:4" x14ac:dyDescent="0.2">
      <c r="A7" s="304" t="s">
        <v>5551</v>
      </c>
      <c r="B7" s="304" t="s">
        <v>5552</v>
      </c>
      <c r="C7" s="304" t="s">
        <v>27</v>
      </c>
      <c r="D7" s="304" t="s">
        <v>5553</v>
      </c>
    </row>
    <row r="8" spans="1:4" ht="15" x14ac:dyDescent="0.25">
      <c r="A8" s="304">
        <v>7325</v>
      </c>
      <c r="B8" s="304" t="s">
        <v>11243</v>
      </c>
      <c r="C8" s="304" t="s">
        <v>5626</v>
      </c>
      <c r="D8" s="540">
        <v>6.04</v>
      </c>
    </row>
    <row r="9" spans="1:4" ht="15" x14ac:dyDescent="0.25">
      <c r="A9" s="304">
        <v>39847</v>
      </c>
      <c r="B9" s="304" t="s">
        <v>5554</v>
      </c>
      <c r="C9" s="304" t="s">
        <v>5555</v>
      </c>
      <c r="D9" s="541">
        <v>1337.16</v>
      </c>
    </row>
    <row r="10" spans="1:4" ht="15" x14ac:dyDescent="0.25">
      <c r="A10" s="304">
        <v>39844</v>
      </c>
      <c r="B10" s="304" t="s">
        <v>5556</v>
      </c>
      <c r="C10" s="304" t="s">
        <v>5555</v>
      </c>
      <c r="D10" s="541">
        <v>1973.39</v>
      </c>
    </row>
    <row r="11" spans="1:4" ht="15" x14ac:dyDescent="0.25">
      <c r="A11" s="304">
        <v>39846</v>
      </c>
      <c r="B11" s="304" t="s">
        <v>5557</v>
      </c>
      <c r="C11" s="304" t="s">
        <v>5555</v>
      </c>
      <c r="D11" s="541">
        <v>1205.7</v>
      </c>
    </row>
    <row r="12" spans="1:4" ht="15" x14ac:dyDescent="0.25">
      <c r="A12" s="304">
        <v>39838</v>
      </c>
      <c r="B12" s="304" t="s">
        <v>5558</v>
      </c>
      <c r="C12" s="304" t="s">
        <v>5555</v>
      </c>
      <c r="D12" s="541">
        <v>3341.79</v>
      </c>
    </row>
    <row r="13" spans="1:4" ht="15" x14ac:dyDescent="0.25">
      <c r="A13" s="304">
        <v>39839</v>
      </c>
      <c r="B13" s="304" t="s">
        <v>5559</v>
      </c>
      <c r="C13" s="304" t="s">
        <v>5555</v>
      </c>
      <c r="D13" s="541">
        <v>3491.42</v>
      </c>
    </row>
    <row r="14" spans="1:4" ht="15" x14ac:dyDescent="0.25">
      <c r="A14" s="304">
        <v>39841</v>
      </c>
      <c r="B14" s="304" t="s">
        <v>5560</v>
      </c>
      <c r="C14" s="304" t="s">
        <v>5555</v>
      </c>
      <c r="D14" s="541">
        <v>4731.05</v>
      </c>
    </row>
    <row r="15" spans="1:4" ht="15" x14ac:dyDescent="0.25">
      <c r="A15" s="304">
        <v>39842</v>
      </c>
      <c r="B15" s="304" t="s">
        <v>5561</v>
      </c>
      <c r="C15" s="304" t="s">
        <v>5555</v>
      </c>
      <c r="D15" s="541">
        <v>6010.2</v>
      </c>
    </row>
    <row r="16" spans="1:4" ht="15" x14ac:dyDescent="0.25">
      <c r="A16" s="304">
        <v>39843</v>
      </c>
      <c r="B16" s="304" t="s">
        <v>5562</v>
      </c>
      <c r="C16" s="304" t="s">
        <v>5555</v>
      </c>
      <c r="D16" s="541">
        <v>6634.59</v>
      </c>
    </row>
    <row r="17" spans="1:4" ht="15" x14ac:dyDescent="0.25">
      <c r="A17" s="304">
        <v>2404</v>
      </c>
      <c r="B17" s="304" t="s">
        <v>5563</v>
      </c>
      <c r="C17" s="304" t="s">
        <v>5564</v>
      </c>
      <c r="D17" s="540">
        <v>80.349999999999994</v>
      </c>
    </row>
    <row r="18" spans="1:4" ht="15" x14ac:dyDescent="0.25">
      <c r="A18" s="304">
        <v>2720</v>
      </c>
      <c r="B18" s="304" t="s">
        <v>5565</v>
      </c>
      <c r="C18" s="304" t="s">
        <v>5566</v>
      </c>
      <c r="D18" s="540">
        <v>111.8</v>
      </c>
    </row>
    <row r="19" spans="1:4" ht="15" x14ac:dyDescent="0.25">
      <c r="A19" s="304">
        <v>2719</v>
      </c>
      <c r="B19" s="304" t="s">
        <v>5567</v>
      </c>
      <c r="C19" s="304" t="s">
        <v>5566</v>
      </c>
      <c r="D19" s="540">
        <v>94.73</v>
      </c>
    </row>
    <row r="20" spans="1:4" ht="15" x14ac:dyDescent="0.25">
      <c r="A20" s="304">
        <v>3378</v>
      </c>
      <c r="B20" s="304" t="s">
        <v>5568</v>
      </c>
      <c r="C20" s="304" t="s">
        <v>5555</v>
      </c>
      <c r="D20" s="540">
        <v>72.849999999999994</v>
      </c>
    </row>
    <row r="21" spans="1:4" ht="15" x14ac:dyDescent="0.25">
      <c r="A21" s="304">
        <v>3380</v>
      </c>
      <c r="B21" s="304" t="s">
        <v>5569</v>
      </c>
      <c r="C21" s="304" t="s">
        <v>5555</v>
      </c>
      <c r="D21" s="540">
        <v>51</v>
      </c>
    </row>
    <row r="22" spans="1:4" ht="15" x14ac:dyDescent="0.25">
      <c r="A22" s="304">
        <v>3379</v>
      </c>
      <c r="B22" s="304" t="s">
        <v>5570</v>
      </c>
      <c r="C22" s="304" t="s">
        <v>5555</v>
      </c>
      <c r="D22" s="540">
        <v>49.24</v>
      </c>
    </row>
    <row r="23" spans="1:4" ht="15" x14ac:dyDescent="0.25">
      <c r="A23" s="304">
        <v>3346</v>
      </c>
      <c r="B23" s="304" t="s">
        <v>11244</v>
      </c>
      <c r="C23" s="304" t="s">
        <v>5566</v>
      </c>
      <c r="D23" s="540">
        <v>13.5</v>
      </c>
    </row>
    <row r="24" spans="1:4" ht="15" x14ac:dyDescent="0.25">
      <c r="A24" s="304">
        <v>3348</v>
      </c>
      <c r="B24" s="304" t="s">
        <v>11245</v>
      </c>
      <c r="C24" s="304" t="s">
        <v>5566</v>
      </c>
      <c r="D24" s="540">
        <v>16.149999999999999</v>
      </c>
    </row>
    <row r="25" spans="1:4" ht="15" x14ac:dyDescent="0.25">
      <c r="A25" s="304">
        <v>3345</v>
      </c>
      <c r="B25" s="304" t="s">
        <v>11246</v>
      </c>
      <c r="C25" s="304" t="s">
        <v>5566</v>
      </c>
      <c r="D25" s="540">
        <v>10.43</v>
      </c>
    </row>
    <row r="26" spans="1:4" ht="15" x14ac:dyDescent="0.25">
      <c r="A26" s="304">
        <v>39833</v>
      </c>
      <c r="B26" s="304" t="s">
        <v>11247</v>
      </c>
      <c r="C26" s="304" t="s">
        <v>5566</v>
      </c>
      <c r="D26" s="540">
        <v>22.12</v>
      </c>
    </row>
    <row r="27" spans="1:4" ht="15" x14ac:dyDescent="0.25">
      <c r="A27" s="304">
        <v>39834</v>
      </c>
      <c r="B27" s="304" t="s">
        <v>11248</v>
      </c>
      <c r="C27" s="304" t="s">
        <v>5566</v>
      </c>
      <c r="D27" s="540">
        <v>37.96</v>
      </c>
    </row>
    <row r="28" spans="1:4" ht="15" x14ac:dyDescent="0.25">
      <c r="A28" s="304">
        <v>39835</v>
      </c>
      <c r="B28" s="304" t="s">
        <v>11249</v>
      </c>
      <c r="C28" s="304" t="s">
        <v>5566</v>
      </c>
      <c r="D28" s="540">
        <v>46.28</v>
      </c>
    </row>
    <row r="29" spans="1:4" ht="15" x14ac:dyDescent="0.25">
      <c r="A29" s="304">
        <v>13382</v>
      </c>
      <c r="B29" s="304" t="s">
        <v>5571</v>
      </c>
      <c r="C29" s="304" t="s">
        <v>5555</v>
      </c>
      <c r="D29" s="540">
        <v>269.08999999999997</v>
      </c>
    </row>
    <row r="30" spans="1:4" ht="15" x14ac:dyDescent="0.25">
      <c r="A30" s="304">
        <v>4126</v>
      </c>
      <c r="B30" s="304" t="s">
        <v>5572</v>
      </c>
      <c r="C30" s="304" t="s">
        <v>5555</v>
      </c>
      <c r="D30" s="540">
        <v>209.97</v>
      </c>
    </row>
    <row r="31" spans="1:4" ht="15" x14ac:dyDescent="0.25">
      <c r="A31" s="304">
        <v>10615</v>
      </c>
      <c r="B31" s="304" t="s">
        <v>5573</v>
      </c>
      <c r="C31" s="304" t="s">
        <v>5555</v>
      </c>
      <c r="D31" s="541">
        <v>41000</v>
      </c>
    </row>
    <row r="32" spans="1:4" ht="15" x14ac:dyDescent="0.25">
      <c r="A32" s="304">
        <v>21136</v>
      </c>
      <c r="B32" s="304" t="s">
        <v>5574</v>
      </c>
      <c r="C32" s="304" t="s">
        <v>5575</v>
      </c>
      <c r="D32" s="540">
        <v>11.84</v>
      </c>
    </row>
    <row r="33" spans="1:4" ht="15" x14ac:dyDescent="0.25">
      <c r="A33" s="304">
        <v>21128</v>
      </c>
      <c r="B33" s="304" t="s">
        <v>5576</v>
      </c>
      <c r="C33" s="304" t="s">
        <v>5575</v>
      </c>
      <c r="D33" s="540">
        <v>9.16</v>
      </c>
    </row>
    <row r="34" spans="1:4" ht="15" x14ac:dyDescent="0.25">
      <c r="A34" s="304">
        <v>21130</v>
      </c>
      <c r="B34" s="304" t="s">
        <v>5577</v>
      </c>
      <c r="C34" s="304" t="s">
        <v>5575</v>
      </c>
      <c r="D34" s="540">
        <v>23.13</v>
      </c>
    </row>
    <row r="35" spans="1:4" ht="15" x14ac:dyDescent="0.25">
      <c r="A35" s="304">
        <v>21135</v>
      </c>
      <c r="B35" s="304" t="s">
        <v>5578</v>
      </c>
      <c r="C35" s="304" t="s">
        <v>5575</v>
      </c>
      <c r="D35" s="540">
        <v>22.77</v>
      </c>
    </row>
    <row r="36" spans="1:4" ht="15" x14ac:dyDescent="0.25">
      <c r="A36" s="304">
        <v>38605</v>
      </c>
      <c r="B36" s="304" t="s">
        <v>5579</v>
      </c>
      <c r="C36" s="304" t="s">
        <v>5555</v>
      </c>
      <c r="D36" s="540">
        <v>117.28</v>
      </c>
    </row>
    <row r="37" spans="1:4" ht="15" x14ac:dyDescent="0.25">
      <c r="A37" s="304">
        <v>11270</v>
      </c>
      <c r="B37" s="304" t="s">
        <v>5580</v>
      </c>
      <c r="C37" s="304" t="s">
        <v>5555</v>
      </c>
      <c r="D37" s="540">
        <v>1.92</v>
      </c>
    </row>
    <row r="38" spans="1:4" ht="15" x14ac:dyDescent="0.25">
      <c r="A38" s="304">
        <v>412</v>
      </c>
      <c r="B38" s="304" t="s">
        <v>5581</v>
      </c>
      <c r="C38" s="304" t="s">
        <v>5555</v>
      </c>
      <c r="D38" s="540">
        <v>0.56000000000000005</v>
      </c>
    </row>
    <row r="39" spans="1:4" ht="15" x14ac:dyDescent="0.25">
      <c r="A39" s="304">
        <v>414</v>
      </c>
      <c r="B39" s="304" t="s">
        <v>5582</v>
      </c>
      <c r="C39" s="304" t="s">
        <v>5555</v>
      </c>
      <c r="D39" s="540">
        <v>0.03</v>
      </c>
    </row>
    <row r="40" spans="1:4" ht="15" x14ac:dyDescent="0.25">
      <c r="A40" s="304">
        <v>410</v>
      </c>
      <c r="B40" s="304" t="s">
        <v>5583</v>
      </c>
      <c r="C40" s="304" t="s">
        <v>5555</v>
      </c>
      <c r="D40" s="540">
        <v>0.08</v>
      </c>
    </row>
    <row r="41" spans="1:4" ht="15" x14ac:dyDescent="0.25">
      <c r="A41" s="304">
        <v>411</v>
      </c>
      <c r="B41" s="304" t="s">
        <v>5584</v>
      </c>
      <c r="C41" s="304" t="s">
        <v>5555</v>
      </c>
      <c r="D41" s="540">
        <v>0.11</v>
      </c>
    </row>
    <row r="42" spans="1:4" ht="15" x14ac:dyDescent="0.25">
      <c r="A42" s="304">
        <v>408</v>
      </c>
      <c r="B42" s="304" t="s">
        <v>5585</v>
      </c>
      <c r="C42" s="304" t="s">
        <v>5555</v>
      </c>
      <c r="D42" s="540">
        <v>0.54</v>
      </c>
    </row>
    <row r="43" spans="1:4" ht="15" x14ac:dyDescent="0.25">
      <c r="A43" s="304">
        <v>39131</v>
      </c>
      <c r="B43" s="304" t="s">
        <v>5586</v>
      </c>
      <c r="C43" s="304" t="s">
        <v>5555</v>
      </c>
      <c r="D43" s="540">
        <v>4.05</v>
      </c>
    </row>
    <row r="44" spans="1:4" ht="15" x14ac:dyDescent="0.25">
      <c r="A44" s="304">
        <v>394</v>
      </c>
      <c r="B44" s="304" t="s">
        <v>5587</v>
      </c>
      <c r="C44" s="304" t="s">
        <v>5555</v>
      </c>
      <c r="D44" s="540">
        <v>4.0999999999999996</v>
      </c>
    </row>
    <row r="45" spans="1:4" ht="15" x14ac:dyDescent="0.25">
      <c r="A45" s="304">
        <v>39130</v>
      </c>
      <c r="B45" s="304" t="s">
        <v>5588</v>
      </c>
      <c r="C45" s="304" t="s">
        <v>5555</v>
      </c>
      <c r="D45" s="540">
        <v>3.69</v>
      </c>
    </row>
    <row r="46" spans="1:4" ht="15" x14ac:dyDescent="0.25">
      <c r="A46" s="304">
        <v>395</v>
      </c>
      <c r="B46" s="304" t="s">
        <v>5589</v>
      </c>
      <c r="C46" s="304" t="s">
        <v>5555</v>
      </c>
      <c r="D46" s="540">
        <v>3.94</v>
      </c>
    </row>
    <row r="47" spans="1:4" ht="15" x14ac:dyDescent="0.25">
      <c r="A47" s="304">
        <v>39127</v>
      </c>
      <c r="B47" s="304" t="s">
        <v>5590</v>
      </c>
      <c r="C47" s="304" t="s">
        <v>5555</v>
      </c>
      <c r="D47" s="540">
        <v>1.94</v>
      </c>
    </row>
    <row r="48" spans="1:4" ht="15" x14ac:dyDescent="0.25">
      <c r="A48" s="304">
        <v>392</v>
      </c>
      <c r="B48" s="304" t="s">
        <v>5591</v>
      </c>
      <c r="C48" s="304" t="s">
        <v>5555</v>
      </c>
      <c r="D48" s="540">
        <v>2</v>
      </c>
    </row>
    <row r="49" spans="1:4" ht="15" x14ac:dyDescent="0.25">
      <c r="A49" s="304">
        <v>39129</v>
      </c>
      <c r="B49" s="304" t="s">
        <v>5592</v>
      </c>
      <c r="C49" s="304" t="s">
        <v>5555</v>
      </c>
      <c r="D49" s="540">
        <v>2.27</v>
      </c>
    </row>
    <row r="50" spans="1:4" ht="15" x14ac:dyDescent="0.25">
      <c r="A50" s="304">
        <v>393</v>
      </c>
      <c r="B50" s="304" t="s">
        <v>5593</v>
      </c>
      <c r="C50" s="304" t="s">
        <v>5555</v>
      </c>
      <c r="D50" s="540">
        <v>2.38</v>
      </c>
    </row>
    <row r="51" spans="1:4" ht="15" x14ac:dyDescent="0.25">
      <c r="A51" s="304">
        <v>39133</v>
      </c>
      <c r="B51" s="304" t="s">
        <v>5594</v>
      </c>
      <c r="C51" s="304" t="s">
        <v>5555</v>
      </c>
      <c r="D51" s="540">
        <v>5.31</v>
      </c>
    </row>
    <row r="52" spans="1:4" ht="15" x14ac:dyDescent="0.25">
      <c r="A52" s="304">
        <v>397</v>
      </c>
      <c r="B52" s="304" t="s">
        <v>5595</v>
      </c>
      <c r="C52" s="304" t="s">
        <v>5555</v>
      </c>
      <c r="D52" s="540">
        <v>5.87</v>
      </c>
    </row>
    <row r="53" spans="1:4" ht="15" x14ac:dyDescent="0.25">
      <c r="A53" s="304">
        <v>39132</v>
      </c>
      <c r="B53" s="304" t="s">
        <v>5596</v>
      </c>
      <c r="C53" s="304" t="s">
        <v>5555</v>
      </c>
      <c r="D53" s="540">
        <v>4.25</v>
      </c>
    </row>
    <row r="54" spans="1:4" ht="15" x14ac:dyDescent="0.25">
      <c r="A54" s="304">
        <v>396</v>
      </c>
      <c r="B54" s="304" t="s">
        <v>5597</v>
      </c>
      <c r="C54" s="304" t="s">
        <v>5555</v>
      </c>
      <c r="D54" s="540">
        <v>4.55</v>
      </c>
    </row>
    <row r="55" spans="1:4" ht="15" x14ac:dyDescent="0.25">
      <c r="A55" s="304">
        <v>39135</v>
      </c>
      <c r="B55" s="304" t="s">
        <v>5598</v>
      </c>
      <c r="C55" s="304" t="s">
        <v>5555</v>
      </c>
      <c r="D55" s="540">
        <v>8.5</v>
      </c>
    </row>
    <row r="56" spans="1:4" ht="15" x14ac:dyDescent="0.25">
      <c r="A56" s="304">
        <v>39128</v>
      </c>
      <c r="B56" s="304" t="s">
        <v>5599</v>
      </c>
      <c r="C56" s="304" t="s">
        <v>5555</v>
      </c>
      <c r="D56" s="540">
        <v>2.12</v>
      </c>
    </row>
    <row r="57" spans="1:4" ht="15" x14ac:dyDescent="0.25">
      <c r="A57" s="304">
        <v>400</v>
      </c>
      <c r="B57" s="304" t="s">
        <v>5600</v>
      </c>
      <c r="C57" s="304" t="s">
        <v>5555</v>
      </c>
      <c r="D57" s="540">
        <v>2.0699999999999998</v>
      </c>
    </row>
    <row r="58" spans="1:4" ht="15" x14ac:dyDescent="0.25">
      <c r="A58" s="304">
        <v>39125</v>
      </c>
      <c r="B58" s="304" t="s">
        <v>5601</v>
      </c>
      <c r="C58" s="304" t="s">
        <v>5555</v>
      </c>
      <c r="D58" s="540">
        <v>2.12</v>
      </c>
    </row>
    <row r="59" spans="1:4" ht="15" x14ac:dyDescent="0.25">
      <c r="A59" s="304">
        <v>39134</v>
      </c>
      <c r="B59" s="304" t="s">
        <v>5602</v>
      </c>
      <c r="C59" s="304" t="s">
        <v>5555</v>
      </c>
      <c r="D59" s="540">
        <v>7.08</v>
      </c>
    </row>
    <row r="60" spans="1:4" ht="15" x14ac:dyDescent="0.25">
      <c r="A60" s="304">
        <v>398</v>
      </c>
      <c r="B60" s="304" t="s">
        <v>5603</v>
      </c>
      <c r="C60" s="304" t="s">
        <v>5555</v>
      </c>
      <c r="D60" s="540">
        <v>6.53</v>
      </c>
    </row>
    <row r="61" spans="1:4" ht="15" x14ac:dyDescent="0.25">
      <c r="A61" s="304">
        <v>39126</v>
      </c>
      <c r="B61" s="304" t="s">
        <v>5604</v>
      </c>
      <c r="C61" s="304" t="s">
        <v>5555</v>
      </c>
      <c r="D61" s="540">
        <v>9.57</v>
      </c>
    </row>
    <row r="62" spans="1:4" ht="15" x14ac:dyDescent="0.25">
      <c r="A62" s="304">
        <v>399</v>
      </c>
      <c r="B62" s="304" t="s">
        <v>5605</v>
      </c>
      <c r="C62" s="304" t="s">
        <v>5555</v>
      </c>
      <c r="D62" s="540">
        <v>8.43</v>
      </c>
    </row>
    <row r="63" spans="1:4" ht="15" x14ac:dyDescent="0.25">
      <c r="A63" s="304">
        <v>39158</v>
      </c>
      <c r="B63" s="304" t="s">
        <v>5606</v>
      </c>
      <c r="C63" s="304" t="s">
        <v>5555</v>
      </c>
      <c r="D63" s="540">
        <v>22.63</v>
      </c>
    </row>
    <row r="64" spans="1:4" ht="15" x14ac:dyDescent="0.25">
      <c r="A64" s="304">
        <v>39141</v>
      </c>
      <c r="B64" s="304" t="s">
        <v>5607</v>
      </c>
      <c r="C64" s="304" t="s">
        <v>5555</v>
      </c>
      <c r="D64" s="540">
        <v>1.64</v>
      </c>
    </row>
    <row r="65" spans="1:4" ht="15" x14ac:dyDescent="0.25">
      <c r="A65" s="304">
        <v>39140</v>
      </c>
      <c r="B65" s="304" t="s">
        <v>5608</v>
      </c>
      <c r="C65" s="304" t="s">
        <v>5555</v>
      </c>
      <c r="D65" s="540">
        <v>1.49</v>
      </c>
    </row>
    <row r="66" spans="1:4" ht="15" x14ac:dyDescent="0.25">
      <c r="A66" s="304">
        <v>39137</v>
      </c>
      <c r="B66" s="304" t="s">
        <v>5609</v>
      </c>
      <c r="C66" s="304" t="s">
        <v>5555</v>
      </c>
      <c r="D66" s="540">
        <v>0.86</v>
      </c>
    </row>
    <row r="67" spans="1:4" ht="15" x14ac:dyDescent="0.25">
      <c r="A67" s="304">
        <v>39139</v>
      </c>
      <c r="B67" s="304" t="s">
        <v>5610</v>
      </c>
      <c r="C67" s="304" t="s">
        <v>5555</v>
      </c>
      <c r="D67" s="540">
        <v>1.24</v>
      </c>
    </row>
    <row r="68" spans="1:4" ht="15" x14ac:dyDescent="0.25">
      <c r="A68" s="304">
        <v>39143</v>
      </c>
      <c r="B68" s="304" t="s">
        <v>5611</v>
      </c>
      <c r="C68" s="304" t="s">
        <v>5555</v>
      </c>
      <c r="D68" s="540">
        <v>3.39</v>
      </c>
    </row>
    <row r="69" spans="1:4" ht="15" x14ac:dyDescent="0.25">
      <c r="A69" s="304">
        <v>39142</v>
      </c>
      <c r="B69" s="304" t="s">
        <v>5612</v>
      </c>
      <c r="C69" s="304" t="s">
        <v>5555</v>
      </c>
      <c r="D69" s="540">
        <v>2.4300000000000002</v>
      </c>
    </row>
    <row r="70" spans="1:4" ht="15" x14ac:dyDescent="0.25">
      <c r="A70" s="304">
        <v>39138</v>
      </c>
      <c r="B70" s="304" t="s">
        <v>5613</v>
      </c>
      <c r="C70" s="304" t="s">
        <v>5555</v>
      </c>
      <c r="D70" s="540">
        <v>0.91</v>
      </c>
    </row>
    <row r="71" spans="1:4" ht="15" x14ac:dyDescent="0.25">
      <c r="A71" s="304">
        <v>39136</v>
      </c>
      <c r="B71" s="304" t="s">
        <v>5614</v>
      </c>
      <c r="C71" s="304" t="s">
        <v>5555</v>
      </c>
      <c r="D71" s="540">
        <v>0.6</v>
      </c>
    </row>
    <row r="72" spans="1:4" ht="15" x14ac:dyDescent="0.25">
      <c r="A72" s="304">
        <v>39144</v>
      </c>
      <c r="B72" s="304" t="s">
        <v>5615</v>
      </c>
      <c r="C72" s="304" t="s">
        <v>5555</v>
      </c>
      <c r="D72" s="540">
        <v>3.94</v>
      </c>
    </row>
    <row r="73" spans="1:4" ht="15" x14ac:dyDescent="0.25">
      <c r="A73" s="304">
        <v>39145</v>
      </c>
      <c r="B73" s="304" t="s">
        <v>5616</v>
      </c>
      <c r="C73" s="304" t="s">
        <v>5555</v>
      </c>
      <c r="D73" s="540">
        <v>6.5</v>
      </c>
    </row>
    <row r="74" spans="1:4" ht="15" x14ac:dyDescent="0.25">
      <c r="A74" s="304">
        <v>12615</v>
      </c>
      <c r="B74" s="304" t="s">
        <v>5617</v>
      </c>
      <c r="C74" s="304" t="s">
        <v>5555</v>
      </c>
      <c r="D74" s="540">
        <v>3.7</v>
      </c>
    </row>
    <row r="75" spans="1:4" ht="15" x14ac:dyDescent="0.25">
      <c r="A75" s="304">
        <v>11927</v>
      </c>
      <c r="B75" s="304" t="s">
        <v>5618</v>
      </c>
      <c r="C75" s="304" t="s">
        <v>5555</v>
      </c>
      <c r="D75" s="540">
        <v>5.73</v>
      </c>
    </row>
    <row r="76" spans="1:4" ht="15" x14ac:dyDescent="0.25">
      <c r="A76" s="304">
        <v>11928</v>
      </c>
      <c r="B76" s="304" t="s">
        <v>5619</v>
      </c>
      <c r="C76" s="304" t="s">
        <v>5555</v>
      </c>
      <c r="D76" s="540">
        <v>6.56</v>
      </c>
    </row>
    <row r="77" spans="1:4" ht="15" x14ac:dyDescent="0.25">
      <c r="A77" s="304">
        <v>11929</v>
      </c>
      <c r="B77" s="304" t="s">
        <v>5620</v>
      </c>
      <c r="C77" s="304" t="s">
        <v>5555</v>
      </c>
      <c r="D77" s="540">
        <v>10.15</v>
      </c>
    </row>
    <row r="78" spans="1:4" ht="15" x14ac:dyDescent="0.25">
      <c r="A78" s="304">
        <v>36801</v>
      </c>
      <c r="B78" s="304" t="s">
        <v>5621</v>
      </c>
      <c r="C78" s="304" t="s">
        <v>5555</v>
      </c>
      <c r="D78" s="540">
        <v>19.64</v>
      </c>
    </row>
    <row r="79" spans="1:4" ht="15" x14ac:dyDescent="0.25">
      <c r="A79" s="304">
        <v>36246</v>
      </c>
      <c r="B79" s="304" t="s">
        <v>5622</v>
      </c>
      <c r="C79" s="304" t="s">
        <v>5575</v>
      </c>
      <c r="D79" s="540">
        <v>2.34</v>
      </c>
    </row>
    <row r="80" spans="1:4" ht="15" x14ac:dyDescent="0.25">
      <c r="A80" s="304">
        <v>37600</v>
      </c>
      <c r="B80" s="304" t="s">
        <v>5623</v>
      </c>
      <c r="C80" s="304" t="s">
        <v>5555</v>
      </c>
      <c r="D80" s="540">
        <v>51.99</v>
      </c>
    </row>
    <row r="81" spans="1:4" ht="15" x14ac:dyDescent="0.25">
      <c r="A81" s="304">
        <v>37599</v>
      </c>
      <c r="B81" s="304" t="s">
        <v>5624</v>
      </c>
      <c r="C81" s="304" t="s">
        <v>5555</v>
      </c>
      <c r="D81" s="540">
        <v>48.39</v>
      </c>
    </row>
    <row r="82" spans="1:4" ht="15" x14ac:dyDescent="0.25">
      <c r="A82" s="304">
        <v>1</v>
      </c>
      <c r="B82" s="304" t="s">
        <v>5625</v>
      </c>
      <c r="C82" s="304" t="s">
        <v>5626</v>
      </c>
      <c r="D82" s="540">
        <v>37.5</v>
      </c>
    </row>
    <row r="83" spans="1:4" ht="15" x14ac:dyDescent="0.25">
      <c r="A83" s="304">
        <v>3</v>
      </c>
      <c r="B83" s="304" t="s">
        <v>5627</v>
      </c>
      <c r="C83" s="304" t="s">
        <v>5628</v>
      </c>
      <c r="D83" s="540">
        <v>4.26</v>
      </c>
    </row>
    <row r="84" spans="1:4" ht="15" x14ac:dyDescent="0.25">
      <c r="A84" s="304">
        <v>26</v>
      </c>
      <c r="B84" s="304" t="s">
        <v>5629</v>
      </c>
      <c r="C84" s="304" t="s">
        <v>5626</v>
      </c>
      <c r="D84" s="540">
        <v>5.52</v>
      </c>
    </row>
    <row r="85" spans="1:4" ht="15" x14ac:dyDescent="0.25">
      <c r="A85" s="304">
        <v>20</v>
      </c>
      <c r="B85" s="304" t="s">
        <v>5630</v>
      </c>
      <c r="C85" s="304" t="s">
        <v>5626</v>
      </c>
      <c r="D85" s="540">
        <v>5.56</v>
      </c>
    </row>
    <row r="86" spans="1:4" ht="15" x14ac:dyDescent="0.25">
      <c r="A86" s="304">
        <v>21</v>
      </c>
      <c r="B86" s="304" t="s">
        <v>5631</v>
      </c>
      <c r="C86" s="304" t="s">
        <v>5626</v>
      </c>
      <c r="D86" s="540">
        <v>5.56</v>
      </c>
    </row>
    <row r="87" spans="1:4" ht="15" x14ac:dyDescent="0.25">
      <c r="A87" s="304">
        <v>24</v>
      </c>
      <c r="B87" s="304" t="s">
        <v>5632</v>
      </c>
      <c r="C87" s="304" t="s">
        <v>5626</v>
      </c>
      <c r="D87" s="540">
        <v>5.56</v>
      </c>
    </row>
    <row r="88" spans="1:4" ht="15" x14ac:dyDescent="0.25">
      <c r="A88" s="304">
        <v>25</v>
      </c>
      <c r="B88" s="304" t="s">
        <v>5633</v>
      </c>
      <c r="C88" s="304" t="s">
        <v>5626</v>
      </c>
      <c r="D88" s="540">
        <v>5.56</v>
      </c>
    </row>
    <row r="89" spans="1:4" ht="15" x14ac:dyDescent="0.25">
      <c r="A89" s="304">
        <v>43065</v>
      </c>
      <c r="B89" s="304" t="s">
        <v>5634</v>
      </c>
      <c r="C89" s="304" t="s">
        <v>5626</v>
      </c>
      <c r="D89" s="540">
        <v>8.48</v>
      </c>
    </row>
    <row r="90" spans="1:4" ht="15" x14ac:dyDescent="0.25">
      <c r="A90" s="304">
        <v>34341</v>
      </c>
      <c r="B90" s="304" t="s">
        <v>5635</v>
      </c>
      <c r="C90" s="304" t="s">
        <v>5626</v>
      </c>
      <c r="D90" s="540">
        <v>5.24</v>
      </c>
    </row>
    <row r="91" spans="1:4" ht="15" x14ac:dyDescent="0.25">
      <c r="A91" s="304">
        <v>22</v>
      </c>
      <c r="B91" s="304" t="s">
        <v>5636</v>
      </c>
      <c r="C91" s="304" t="s">
        <v>5626</v>
      </c>
      <c r="D91" s="540">
        <v>5.95</v>
      </c>
    </row>
    <row r="92" spans="1:4" ht="15" x14ac:dyDescent="0.25">
      <c r="A92" s="304">
        <v>23</v>
      </c>
      <c r="B92" s="304" t="s">
        <v>5637</v>
      </c>
      <c r="C92" s="304" t="s">
        <v>5626</v>
      </c>
      <c r="D92" s="540">
        <v>5.9</v>
      </c>
    </row>
    <row r="93" spans="1:4" ht="15" x14ac:dyDescent="0.25">
      <c r="A93" s="304">
        <v>34439</v>
      </c>
      <c r="B93" s="304" t="s">
        <v>5638</v>
      </c>
      <c r="C93" s="304" t="s">
        <v>5626</v>
      </c>
      <c r="D93" s="540">
        <v>6.57</v>
      </c>
    </row>
    <row r="94" spans="1:4" ht="15" x14ac:dyDescent="0.25">
      <c r="A94" s="304">
        <v>34</v>
      </c>
      <c r="B94" s="304" t="s">
        <v>5639</v>
      </c>
      <c r="C94" s="304" t="s">
        <v>5626</v>
      </c>
      <c r="D94" s="540">
        <v>5.85</v>
      </c>
    </row>
    <row r="95" spans="1:4" ht="15" x14ac:dyDescent="0.25">
      <c r="A95" s="304">
        <v>34441</v>
      </c>
      <c r="B95" s="304" t="s">
        <v>5640</v>
      </c>
      <c r="C95" s="304" t="s">
        <v>5626</v>
      </c>
      <c r="D95" s="540">
        <v>6.23</v>
      </c>
    </row>
    <row r="96" spans="1:4" ht="15" x14ac:dyDescent="0.25">
      <c r="A96" s="304">
        <v>31</v>
      </c>
      <c r="B96" s="304" t="s">
        <v>5641</v>
      </c>
      <c r="C96" s="304" t="s">
        <v>5626</v>
      </c>
      <c r="D96" s="540">
        <v>5.56</v>
      </c>
    </row>
    <row r="97" spans="1:4" ht="15" x14ac:dyDescent="0.25">
      <c r="A97" s="304">
        <v>34443</v>
      </c>
      <c r="B97" s="304" t="s">
        <v>5642</v>
      </c>
      <c r="C97" s="304" t="s">
        <v>5626</v>
      </c>
      <c r="D97" s="540">
        <v>6.23</v>
      </c>
    </row>
    <row r="98" spans="1:4" ht="15" x14ac:dyDescent="0.25">
      <c r="A98" s="304">
        <v>27</v>
      </c>
      <c r="B98" s="304" t="s">
        <v>5643</v>
      </c>
      <c r="C98" s="304" t="s">
        <v>5626</v>
      </c>
      <c r="D98" s="540">
        <v>5.56</v>
      </c>
    </row>
    <row r="99" spans="1:4" ht="15" x14ac:dyDescent="0.25">
      <c r="A99" s="304">
        <v>34446</v>
      </c>
      <c r="B99" s="304" t="s">
        <v>5644</v>
      </c>
      <c r="C99" s="304" t="s">
        <v>5626</v>
      </c>
      <c r="D99" s="540">
        <v>6.23</v>
      </c>
    </row>
    <row r="100" spans="1:4" ht="15" x14ac:dyDescent="0.25">
      <c r="A100" s="304">
        <v>29</v>
      </c>
      <c r="B100" s="304" t="s">
        <v>5645</v>
      </c>
      <c r="C100" s="304" t="s">
        <v>5626</v>
      </c>
      <c r="D100" s="540">
        <v>5.2</v>
      </c>
    </row>
    <row r="101" spans="1:4" ht="15" x14ac:dyDescent="0.25">
      <c r="A101" s="304">
        <v>28</v>
      </c>
      <c r="B101" s="304" t="s">
        <v>5646</v>
      </c>
      <c r="C101" s="304" t="s">
        <v>5626</v>
      </c>
      <c r="D101" s="540">
        <v>6.01</v>
      </c>
    </row>
    <row r="102" spans="1:4" ht="15" x14ac:dyDescent="0.25">
      <c r="A102" s="304">
        <v>34449</v>
      </c>
      <c r="B102" s="304" t="s">
        <v>5647</v>
      </c>
      <c r="C102" s="304" t="s">
        <v>5626</v>
      </c>
      <c r="D102" s="540">
        <v>6.86</v>
      </c>
    </row>
    <row r="103" spans="1:4" ht="15" x14ac:dyDescent="0.25">
      <c r="A103" s="304">
        <v>32</v>
      </c>
      <c r="B103" s="304" t="s">
        <v>5648</v>
      </c>
      <c r="C103" s="304" t="s">
        <v>5626</v>
      </c>
      <c r="D103" s="540">
        <v>6.12</v>
      </c>
    </row>
    <row r="104" spans="1:4" ht="15" x14ac:dyDescent="0.25">
      <c r="A104" s="304">
        <v>33</v>
      </c>
      <c r="B104" s="304" t="s">
        <v>5649</v>
      </c>
      <c r="C104" s="304" t="s">
        <v>5626</v>
      </c>
      <c r="D104" s="540">
        <v>6.87</v>
      </c>
    </row>
    <row r="105" spans="1:4" ht="15" x14ac:dyDescent="0.25">
      <c r="A105" s="304">
        <v>34343</v>
      </c>
      <c r="B105" s="304" t="s">
        <v>5650</v>
      </c>
      <c r="C105" s="304" t="s">
        <v>5626</v>
      </c>
      <c r="D105" s="540">
        <v>6.61</v>
      </c>
    </row>
    <row r="106" spans="1:4" ht="15" x14ac:dyDescent="0.25">
      <c r="A106" s="304">
        <v>34452</v>
      </c>
      <c r="B106" s="304" t="s">
        <v>5651</v>
      </c>
      <c r="C106" s="304" t="s">
        <v>5626</v>
      </c>
      <c r="D106" s="540">
        <v>6.08</v>
      </c>
    </row>
    <row r="107" spans="1:4" ht="15" x14ac:dyDescent="0.25">
      <c r="A107" s="304">
        <v>36</v>
      </c>
      <c r="B107" s="304" t="s">
        <v>5652</v>
      </c>
      <c r="C107" s="304" t="s">
        <v>5626</v>
      </c>
      <c r="D107" s="540">
        <v>5.79</v>
      </c>
    </row>
    <row r="108" spans="1:4" ht="15" x14ac:dyDescent="0.25">
      <c r="A108" s="304">
        <v>34456</v>
      </c>
      <c r="B108" s="304" t="s">
        <v>5653</v>
      </c>
      <c r="C108" s="304" t="s">
        <v>5626</v>
      </c>
      <c r="D108" s="540">
        <v>6.08</v>
      </c>
    </row>
    <row r="109" spans="1:4" ht="15" x14ac:dyDescent="0.25">
      <c r="A109" s="304">
        <v>39</v>
      </c>
      <c r="B109" s="304" t="s">
        <v>5654</v>
      </c>
      <c r="C109" s="304" t="s">
        <v>5626</v>
      </c>
      <c r="D109" s="540">
        <v>5.79</v>
      </c>
    </row>
    <row r="110" spans="1:4" ht="15" x14ac:dyDescent="0.25">
      <c r="A110" s="304">
        <v>34457</v>
      </c>
      <c r="B110" s="304" t="s">
        <v>5655</v>
      </c>
      <c r="C110" s="304" t="s">
        <v>5626</v>
      </c>
      <c r="D110" s="540">
        <v>6.52</v>
      </c>
    </row>
    <row r="111" spans="1:4" ht="15" x14ac:dyDescent="0.25">
      <c r="A111" s="304">
        <v>40</v>
      </c>
      <c r="B111" s="304" t="s">
        <v>5656</v>
      </c>
      <c r="C111" s="304" t="s">
        <v>5626</v>
      </c>
      <c r="D111" s="540">
        <v>5.92</v>
      </c>
    </row>
    <row r="112" spans="1:4" ht="15" x14ac:dyDescent="0.25">
      <c r="A112" s="304">
        <v>34460</v>
      </c>
      <c r="B112" s="304" t="s">
        <v>5657</v>
      </c>
      <c r="C112" s="304" t="s">
        <v>5626</v>
      </c>
      <c r="D112" s="540">
        <v>6.66</v>
      </c>
    </row>
    <row r="113" spans="1:4" ht="15" x14ac:dyDescent="0.25">
      <c r="A113" s="304">
        <v>42</v>
      </c>
      <c r="B113" s="304" t="s">
        <v>5658</v>
      </c>
      <c r="C113" s="304" t="s">
        <v>5626</v>
      </c>
      <c r="D113" s="540">
        <v>6.02</v>
      </c>
    </row>
    <row r="114" spans="1:4" ht="15" x14ac:dyDescent="0.25">
      <c r="A114" s="304">
        <v>38</v>
      </c>
      <c r="B114" s="304" t="s">
        <v>5659</v>
      </c>
      <c r="C114" s="304" t="s">
        <v>5626</v>
      </c>
      <c r="D114" s="540">
        <v>6.7</v>
      </c>
    </row>
    <row r="115" spans="1:4" ht="15" x14ac:dyDescent="0.25">
      <c r="A115" s="304">
        <v>20063</v>
      </c>
      <c r="B115" s="304" t="s">
        <v>5660</v>
      </c>
      <c r="C115" s="304" t="s">
        <v>5555</v>
      </c>
      <c r="D115" s="540">
        <v>3.68</v>
      </c>
    </row>
    <row r="116" spans="1:4" ht="15" x14ac:dyDescent="0.25">
      <c r="A116" s="304">
        <v>40410</v>
      </c>
      <c r="B116" s="304" t="s">
        <v>5661</v>
      </c>
      <c r="C116" s="304" t="s">
        <v>5555</v>
      </c>
      <c r="D116" s="540">
        <v>13.58</v>
      </c>
    </row>
    <row r="117" spans="1:4" ht="15" x14ac:dyDescent="0.25">
      <c r="A117" s="304">
        <v>40411</v>
      </c>
      <c r="B117" s="304" t="s">
        <v>5662</v>
      </c>
      <c r="C117" s="304" t="s">
        <v>5555</v>
      </c>
      <c r="D117" s="540">
        <v>14.73</v>
      </c>
    </row>
    <row r="118" spans="1:4" ht="15" x14ac:dyDescent="0.25">
      <c r="A118" s="304">
        <v>40412</v>
      </c>
      <c r="B118" s="304" t="s">
        <v>5663</v>
      </c>
      <c r="C118" s="304" t="s">
        <v>5555</v>
      </c>
      <c r="D118" s="540">
        <v>16.54</v>
      </c>
    </row>
    <row r="119" spans="1:4" ht="15" x14ac:dyDescent="0.25">
      <c r="A119" s="304">
        <v>38838</v>
      </c>
      <c r="B119" s="304" t="s">
        <v>5664</v>
      </c>
      <c r="C119" s="304" t="s">
        <v>5555</v>
      </c>
      <c r="D119" s="540">
        <v>6.78</v>
      </c>
    </row>
    <row r="120" spans="1:4" ht="15" x14ac:dyDescent="0.25">
      <c r="A120" s="304">
        <v>38839</v>
      </c>
      <c r="B120" s="304" t="s">
        <v>5665</v>
      </c>
      <c r="C120" s="304" t="s">
        <v>5555</v>
      </c>
      <c r="D120" s="540">
        <v>7.98</v>
      </c>
    </row>
    <row r="121" spans="1:4" ht="15" x14ac:dyDescent="0.25">
      <c r="A121" s="304">
        <v>55</v>
      </c>
      <c r="B121" s="304" t="s">
        <v>5666</v>
      </c>
      <c r="C121" s="304" t="s">
        <v>5555</v>
      </c>
      <c r="D121" s="540">
        <v>3.2</v>
      </c>
    </row>
    <row r="122" spans="1:4" ht="15" x14ac:dyDescent="0.25">
      <c r="A122" s="304">
        <v>61</v>
      </c>
      <c r="B122" s="304" t="s">
        <v>5667</v>
      </c>
      <c r="C122" s="304" t="s">
        <v>5555</v>
      </c>
      <c r="D122" s="540">
        <v>3.02</v>
      </c>
    </row>
    <row r="123" spans="1:4" ht="15" x14ac:dyDescent="0.25">
      <c r="A123" s="304">
        <v>62</v>
      </c>
      <c r="B123" s="304" t="s">
        <v>5668</v>
      </c>
      <c r="C123" s="304" t="s">
        <v>5555</v>
      </c>
      <c r="D123" s="540">
        <v>6.27</v>
      </c>
    </row>
    <row r="124" spans="1:4" ht="15" x14ac:dyDescent="0.25">
      <c r="A124" s="304">
        <v>77</v>
      </c>
      <c r="B124" s="304" t="s">
        <v>5669</v>
      </c>
      <c r="C124" s="304" t="s">
        <v>5555</v>
      </c>
      <c r="D124" s="540">
        <v>0.92</v>
      </c>
    </row>
    <row r="125" spans="1:4" ht="15" x14ac:dyDescent="0.25">
      <c r="A125" s="304">
        <v>76</v>
      </c>
      <c r="B125" s="304" t="s">
        <v>5670</v>
      </c>
      <c r="C125" s="304" t="s">
        <v>5555</v>
      </c>
      <c r="D125" s="540">
        <v>0.93</v>
      </c>
    </row>
    <row r="126" spans="1:4" ht="15" x14ac:dyDescent="0.25">
      <c r="A126" s="304">
        <v>67</v>
      </c>
      <c r="B126" s="304" t="s">
        <v>5671</v>
      </c>
      <c r="C126" s="304" t="s">
        <v>5555</v>
      </c>
      <c r="D126" s="540">
        <v>9.02</v>
      </c>
    </row>
    <row r="127" spans="1:4" ht="15" x14ac:dyDescent="0.25">
      <c r="A127" s="304">
        <v>71</v>
      </c>
      <c r="B127" s="304" t="s">
        <v>5672</v>
      </c>
      <c r="C127" s="304" t="s">
        <v>5555</v>
      </c>
      <c r="D127" s="540">
        <v>16.579999999999998</v>
      </c>
    </row>
    <row r="128" spans="1:4" ht="15" x14ac:dyDescent="0.25">
      <c r="A128" s="304">
        <v>73</v>
      </c>
      <c r="B128" s="304" t="s">
        <v>5673</v>
      </c>
      <c r="C128" s="304" t="s">
        <v>5555</v>
      </c>
      <c r="D128" s="540">
        <v>12.38</v>
      </c>
    </row>
    <row r="129" spans="1:4" ht="15" x14ac:dyDescent="0.25">
      <c r="A129" s="304">
        <v>103</v>
      </c>
      <c r="B129" s="304" t="s">
        <v>5674</v>
      </c>
      <c r="C129" s="304" t="s">
        <v>5555</v>
      </c>
      <c r="D129" s="540">
        <v>36.83</v>
      </c>
    </row>
    <row r="130" spans="1:4" ht="15" x14ac:dyDescent="0.25">
      <c r="A130" s="304">
        <v>107</v>
      </c>
      <c r="B130" s="304" t="s">
        <v>5675</v>
      </c>
      <c r="C130" s="304" t="s">
        <v>5555</v>
      </c>
      <c r="D130" s="540">
        <v>0.56999999999999995</v>
      </c>
    </row>
    <row r="131" spans="1:4" ht="15" x14ac:dyDescent="0.25">
      <c r="A131" s="304">
        <v>65</v>
      </c>
      <c r="B131" s="304" t="s">
        <v>5676</v>
      </c>
      <c r="C131" s="304" t="s">
        <v>5555</v>
      </c>
      <c r="D131" s="540">
        <v>0.71</v>
      </c>
    </row>
    <row r="132" spans="1:4" ht="15" x14ac:dyDescent="0.25">
      <c r="A132" s="304">
        <v>108</v>
      </c>
      <c r="B132" s="304" t="s">
        <v>5677</v>
      </c>
      <c r="C132" s="304" t="s">
        <v>5555</v>
      </c>
      <c r="D132" s="540">
        <v>1.47</v>
      </c>
    </row>
    <row r="133" spans="1:4" ht="15" x14ac:dyDescent="0.25">
      <c r="A133" s="304">
        <v>110</v>
      </c>
      <c r="B133" s="304" t="s">
        <v>5678</v>
      </c>
      <c r="C133" s="304" t="s">
        <v>5555</v>
      </c>
      <c r="D133" s="540">
        <v>5.69</v>
      </c>
    </row>
    <row r="134" spans="1:4" ht="15" x14ac:dyDescent="0.25">
      <c r="A134" s="304">
        <v>109</v>
      </c>
      <c r="B134" s="304" t="s">
        <v>5679</v>
      </c>
      <c r="C134" s="304" t="s">
        <v>5555</v>
      </c>
      <c r="D134" s="540">
        <v>2.8</v>
      </c>
    </row>
    <row r="135" spans="1:4" ht="15" x14ac:dyDescent="0.25">
      <c r="A135" s="304">
        <v>111</v>
      </c>
      <c r="B135" s="304" t="s">
        <v>5680</v>
      </c>
      <c r="C135" s="304" t="s">
        <v>5555</v>
      </c>
      <c r="D135" s="540">
        <v>6.56</v>
      </c>
    </row>
    <row r="136" spans="1:4" ht="15" x14ac:dyDescent="0.25">
      <c r="A136" s="304">
        <v>112</v>
      </c>
      <c r="B136" s="304" t="s">
        <v>5681</v>
      </c>
      <c r="C136" s="304" t="s">
        <v>5555</v>
      </c>
      <c r="D136" s="540">
        <v>3.57</v>
      </c>
    </row>
    <row r="137" spans="1:4" ht="15" x14ac:dyDescent="0.25">
      <c r="A137" s="304">
        <v>113</v>
      </c>
      <c r="B137" s="304" t="s">
        <v>5682</v>
      </c>
      <c r="C137" s="304" t="s">
        <v>5555</v>
      </c>
      <c r="D137" s="540">
        <v>9.69</v>
      </c>
    </row>
    <row r="138" spans="1:4" ht="15" x14ac:dyDescent="0.25">
      <c r="A138" s="304">
        <v>104</v>
      </c>
      <c r="B138" s="304" t="s">
        <v>5683</v>
      </c>
      <c r="C138" s="304" t="s">
        <v>5555</v>
      </c>
      <c r="D138" s="540">
        <v>14.09</v>
      </c>
    </row>
    <row r="139" spans="1:4" ht="15" x14ac:dyDescent="0.25">
      <c r="A139" s="304">
        <v>102</v>
      </c>
      <c r="B139" s="304" t="s">
        <v>5684</v>
      </c>
      <c r="C139" s="304" t="s">
        <v>5555</v>
      </c>
      <c r="D139" s="540">
        <v>23.13</v>
      </c>
    </row>
    <row r="140" spans="1:4" ht="15" x14ac:dyDescent="0.25">
      <c r="A140" s="304">
        <v>95</v>
      </c>
      <c r="B140" s="304" t="s">
        <v>5685</v>
      </c>
      <c r="C140" s="304" t="s">
        <v>5555</v>
      </c>
      <c r="D140" s="540">
        <v>7.83</v>
      </c>
    </row>
    <row r="141" spans="1:4" ht="15" x14ac:dyDescent="0.25">
      <c r="A141" s="304">
        <v>96</v>
      </c>
      <c r="B141" s="304" t="s">
        <v>5686</v>
      </c>
      <c r="C141" s="304" t="s">
        <v>5555</v>
      </c>
      <c r="D141" s="540">
        <v>9</v>
      </c>
    </row>
    <row r="142" spans="1:4" ht="15" x14ac:dyDescent="0.25">
      <c r="A142" s="304">
        <v>97</v>
      </c>
      <c r="B142" s="304" t="s">
        <v>5687</v>
      </c>
      <c r="C142" s="304" t="s">
        <v>5555</v>
      </c>
      <c r="D142" s="540">
        <v>11.69</v>
      </c>
    </row>
    <row r="143" spans="1:4" ht="15" x14ac:dyDescent="0.25">
      <c r="A143" s="304">
        <v>98</v>
      </c>
      <c r="B143" s="304" t="s">
        <v>5688</v>
      </c>
      <c r="C143" s="304" t="s">
        <v>5555</v>
      </c>
      <c r="D143" s="540">
        <v>15.76</v>
      </c>
    </row>
    <row r="144" spans="1:4" ht="15" x14ac:dyDescent="0.25">
      <c r="A144" s="304">
        <v>99</v>
      </c>
      <c r="B144" s="304" t="s">
        <v>5689</v>
      </c>
      <c r="C144" s="304" t="s">
        <v>5555</v>
      </c>
      <c r="D144" s="540">
        <v>19.11</v>
      </c>
    </row>
    <row r="145" spans="1:4" ht="15" x14ac:dyDescent="0.25">
      <c r="A145" s="304">
        <v>100</v>
      </c>
      <c r="B145" s="304" t="s">
        <v>5690</v>
      </c>
      <c r="C145" s="304" t="s">
        <v>5555</v>
      </c>
      <c r="D145" s="540">
        <v>26.67</v>
      </c>
    </row>
    <row r="146" spans="1:4" ht="15" x14ac:dyDescent="0.25">
      <c r="A146" s="304">
        <v>75</v>
      </c>
      <c r="B146" s="304" t="s">
        <v>5691</v>
      </c>
      <c r="C146" s="304" t="s">
        <v>5555</v>
      </c>
      <c r="D146" s="540">
        <v>277.94</v>
      </c>
    </row>
    <row r="147" spans="1:4" ht="15" x14ac:dyDescent="0.25">
      <c r="A147" s="304">
        <v>114</v>
      </c>
      <c r="B147" s="304" t="s">
        <v>5692</v>
      </c>
      <c r="C147" s="304" t="s">
        <v>5555</v>
      </c>
      <c r="D147" s="540">
        <v>10.130000000000001</v>
      </c>
    </row>
    <row r="148" spans="1:4" ht="15" x14ac:dyDescent="0.25">
      <c r="A148" s="304">
        <v>68</v>
      </c>
      <c r="B148" s="304" t="s">
        <v>5693</v>
      </c>
      <c r="C148" s="304" t="s">
        <v>5555</v>
      </c>
      <c r="D148" s="540">
        <v>15.48</v>
      </c>
    </row>
    <row r="149" spans="1:4" ht="15" x14ac:dyDescent="0.25">
      <c r="A149" s="304">
        <v>86</v>
      </c>
      <c r="B149" s="304" t="s">
        <v>5694</v>
      </c>
      <c r="C149" s="304" t="s">
        <v>5555</v>
      </c>
      <c r="D149" s="540">
        <v>28.79</v>
      </c>
    </row>
    <row r="150" spans="1:4" ht="15" x14ac:dyDescent="0.25">
      <c r="A150" s="304">
        <v>66</v>
      </c>
      <c r="B150" s="304" t="s">
        <v>5695</v>
      </c>
      <c r="C150" s="304" t="s">
        <v>5555</v>
      </c>
      <c r="D150" s="540">
        <v>28.89</v>
      </c>
    </row>
    <row r="151" spans="1:4" ht="15" x14ac:dyDescent="0.25">
      <c r="A151" s="304">
        <v>69</v>
      </c>
      <c r="B151" s="304" t="s">
        <v>5696</v>
      </c>
      <c r="C151" s="304" t="s">
        <v>5555</v>
      </c>
      <c r="D151" s="540">
        <v>44.16</v>
      </c>
    </row>
    <row r="152" spans="1:4" ht="15" x14ac:dyDescent="0.25">
      <c r="A152" s="304">
        <v>83</v>
      </c>
      <c r="B152" s="304" t="s">
        <v>5697</v>
      </c>
      <c r="C152" s="304" t="s">
        <v>5555</v>
      </c>
      <c r="D152" s="540">
        <v>141.05000000000001</v>
      </c>
    </row>
    <row r="153" spans="1:4" ht="15" x14ac:dyDescent="0.25">
      <c r="A153" s="304">
        <v>74</v>
      </c>
      <c r="B153" s="304" t="s">
        <v>5698</v>
      </c>
      <c r="C153" s="304" t="s">
        <v>5555</v>
      </c>
      <c r="D153" s="540">
        <v>196.92</v>
      </c>
    </row>
    <row r="154" spans="1:4" ht="15" x14ac:dyDescent="0.25">
      <c r="A154" s="304">
        <v>106</v>
      </c>
      <c r="B154" s="304" t="s">
        <v>5699</v>
      </c>
      <c r="C154" s="304" t="s">
        <v>5555</v>
      </c>
      <c r="D154" s="540">
        <v>299.16000000000003</v>
      </c>
    </row>
    <row r="155" spans="1:4" ht="15" x14ac:dyDescent="0.25">
      <c r="A155" s="304">
        <v>87</v>
      </c>
      <c r="B155" s="304" t="s">
        <v>5700</v>
      </c>
      <c r="C155" s="304" t="s">
        <v>5555</v>
      </c>
      <c r="D155" s="540">
        <v>14.22</v>
      </c>
    </row>
    <row r="156" spans="1:4" ht="15" x14ac:dyDescent="0.25">
      <c r="A156" s="304">
        <v>88</v>
      </c>
      <c r="B156" s="304" t="s">
        <v>5701</v>
      </c>
      <c r="C156" s="304" t="s">
        <v>5555</v>
      </c>
      <c r="D156" s="540">
        <v>15.87</v>
      </c>
    </row>
    <row r="157" spans="1:4" ht="15" x14ac:dyDescent="0.25">
      <c r="A157" s="304">
        <v>89</v>
      </c>
      <c r="B157" s="304" t="s">
        <v>5702</v>
      </c>
      <c r="C157" s="304" t="s">
        <v>5555</v>
      </c>
      <c r="D157" s="540">
        <v>23.46</v>
      </c>
    </row>
    <row r="158" spans="1:4" ht="15" x14ac:dyDescent="0.25">
      <c r="A158" s="304">
        <v>90</v>
      </c>
      <c r="B158" s="304" t="s">
        <v>5703</v>
      </c>
      <c r="C158" s="304" t="s">
        <v>5555</v>
      </c>
      <c r="D158" s="540">
        <v>26.88</v>
      </c>
    </row>
    <row r="159" spans="1:4" ht="15" x14ac:dyDescent="0.25">
      <c r="A159" s="304">
        <v>81</v>
      </c>
      <c r="B159" s="304" t="s">
        <v>5704</v>
      </c>
      <c r="C159" s="304" t="s">
        <v>5555</v>
      </c>
      <c r="D159" s="540">
        <v>45.98</v>
      </c>
    </row>
    <row r="160" spans="1:4" ht="15" x14ac:dyDescent="0.25">
      <c r="A160" s="304">
        <v>82</v>
      </c>
      <c r="B160" s="304" t="s">
        <v>5705</v>
      </c>
      <c r="C160" s="304" t="s">
        <v>5555</v>
      </c>
      <c r="D160" s="540">
        <v>178.5</v>
      </c>
    </row>
    <row r="161" spans="1:4" ht="15" x14ac:dyDescent="0.25">
      <c r="A161" s="304">
        <v>105</v>
      </c>
      <c r="B161" s="304" t="s">
        <v>5706</v>
      </c>
      <c r="C161" s="304" t="s">
        <v>5555</v>
      </c>
      <c r="D161" s="540">
        <v>208.98</v>
      </c>
    </row>
    <row r="162" spans="1:4" ht="15" x14ac:dyDescent="0.25">
      <c r="A162" s="304">
        <v>60</v>
      </c>
      <c r="B162" s="304" t="s">
        <v>5707</v>
      </c>
      <c r="C162" s="304" t="s">
        <v>5555</v>
      </c>
      <c r="D162" s="540">
        <v>4.1500000000000004</v>
      </c>
    </row>
    <row r="163" spans="1:4" ht="15" x14ac:dyDescent="0.25">
      <c r="A163" s="304">
        <v>72</v>
      </c>
      <c r="B163" s="304" t="s">
        <v>5708</v>
      </c>
      <c r="C163" s="304" t="s">
        <v>5555</v>
      </c>
      <c r="D163" s="540">
        <v>28.11</v>
      </c>
    </row>
    <row r="164" spans="1:4" ht="15" x14ac:dyDescent="0.25">
      <c r="A164" s="304">
        <v>70</v>
      </c>
      <c r="B164" s="304" t="s">
        <v>5709</v>
      </c>
      <c r="C164" s="304" t="s">
        <v>5555</v>
      </c>
      <c r="D164" s="540">
        <v>23.5</v>
      </c>
    </row>
    <row r="165" spans="1:4" ht="15" x14ac:dyDescent="0.25">
      <c r="A165" s="304">
        <v>85</v>
      </c>
      <c r="B165" s="304" t="s">
        <v>5710</v>
      </c>
      <c r="C165" s="304" t="s">
        <v>5555</v>
      </c>
      <c r="D165" s="540">
        <v>34.11</v>
      </c>
    </row>
    <row r="166" spans="1:4" ht="15" x14ac:dyDescent="0.25">
      <c r="A166" s="304">
        <v>84</v>
      </c>
      <c r="B166" s="304" t="s">
        <v>5711</v>
      </c>
      <c r="C166" s="304" t="s">
        <v>5555</v>
      </c>
      <c r="D166" s="540">
        <v>0.39</v>
      </c>
    </row>
    <row r="167" spans="1:4" ht="15" x14ac:dyDescent="0.25">
      <c r="A167" s="304">
        <v>37997</v>
      </c>
      <c r="B167" s="304" t="s">
        <v>5712</v>
      </c>
      <c r="C167" s="304" t="s">
        <v>5555</v>
      </c>
      <c r="D167" s="540">
        <v>4.1399999999999997</v>
      </c>
    </row>
    <row r="168" spans="1:4" ht="15" x14ac:dyDescent="0.25">
      <c r="A168" s="304">
        <v>37998</v>
      </c>
      <c r="B168" s="304" t="s">
        <v>5713</v>
      </c>
      <c r="C168" s="304" t="s">
        <v>5555</v>
      </c>
      <c r="D168" s="540">
        <v>4.29</v>
      </c>
    </row>
    <row r="169" spans="1:4" ht="15" x14ac:dyDescent="0.25">
      <c r="A169" s="304">
        <v>10899</v>
      </c>
      <c r="B169" s="304" t="s">
        <v>5714</v>
      </c>
      <c r="C169" s="304" t="s">
        <v>5555</v>
      </c>
      <c r="D169" s="540">
        <v>53.63</v>
      </c>
    </row>
    <row r="170" spans="1:4" ht="15" x14ac:dyDescent="0.25">
      <c r="A170" s="304">
        <v>10900</v>
      </c>
      <c r="B170" s="304" t="s">
        <v>5715</v>
      </c>
      <c r="C170" s="304" t="s">
        <v>5555</v>
      </c>
      <c r="D170" s="540">
        <v>41.97</v>
      </c>
    </row>
    <row r="171" spans="1:4" ht="15" x14ac:dyDescent="0.25">
      <c r="A171" s="304">
        <v>46</v>
      </c>
      <c r="B171" s="304" t="s">
        <v>5716</v>
      </c>
      <c r="C171" s="304" t="s">
        <v>5555</v>
      </c>
      <c r="D171" s="540">
        <v>35.380000000000003</v>
      </c>
    </row>
    <row r="172" spans="1:4" ht="15" x14ac:dyDescent="0.25">
      <c r="A172" s="304">
        <v>51</v>
      </c>
      <c r="B172" s="304" t="s">
        <v>5717</v>
      </c>
      <c r="C172" s="304" t="s">
        <v>5555</v>
      </c>
      <c r="D172" s="540">
        <v>97.6</v>
      </c>
    </row>
    <row r="173" spans="1:4" ht="15" x14ac:dyDescent="0.25">
      <c r="A173" s="304">
        <v>12863</v>
      </c>
      <c r="B173" s="304" t="s">
        <v>5718</v>
      </c>
      <c r="C173" s="304" t="s">
        <v>5555</v>
      </c>
      <c r="D173" s="540">
        <v>22.48</v>
      </c>
    </row>
    <row r="174" spans="1:4" ht="15" x14ac:dyDescent="0.25">
      <c r="A174" s="304">
        <v>50</v>
      </c>
      <c r="B174" s="304" t="s">
        <v>5719</v>
      </c>
      <c r="C174" s="304" t="s">
        <v>5555</v>
      </c>
      <c r="D174" s="540">
        <v>50.97</v>
      </c>
    </row>
    <row r="175" spans="1:4" ht="15" x14ac:dyDescent="0.25">
      <c r="A175" s="304">
        <v>47</v>
      </c>
      <c r="B175" s="304" t="s">
        <v>5720</v>
      </c>
      <c r="C175" s="304" t="s">
        <v>5555</v>
      </c>
      <c r="D175" s="540">
        <v>60.49</v>
      </c>
    </row>
    <row r="176" spans="1:4" ht="15" x14ac:dyDescent="0.25">
      <c r="A176" s="304">
        <v>48</v>
      </c>
      <c r="B176" s="304" t="s">
        <v>5721</v>
      </c>
      <c r="C176" s="304" t="s">
        <v>5555</v>
      </c>
      <c r="D176" s="540">
        <v>15.78</v>
      </c>
    </row>
    <row r="177" spans="1:4" ht="15" x14ac:dyDescent="0.25">
      <c r="A177" s="304">
        <v>52</v>
      </c>
      <c r="B177" s="304" t="s">
        <v>5722</v>
      </c>
      <c r="C177" s="304" t="s">
        <v>5555</v>
      </c>
      <c r="D177" s="540">
        <v>11.99</v>
      </c>
    </row>
    <row r="178" spans="1:4" ht="15" x14ac:dyDescent="0.25">
      <c r="A178" s="304">
        <v>43</v>
      </c>
      <c r="B178" s="304" t="s">
        <v>5723</v>
      </c>
      <c r="C178" s="304" t="s">
        <v>5555</v>
      </c>
      <c r="D178" s="540">
        <v>40.46</v>
      </c>
    </row>
    <row r="179" spans="1:4" ht="15" x14ac:dyDescent="0.25">
      <c r="A179" s="304">
        <v>4791</v>
      </c>
      <c r="B179" s="304" t="s">
        <v>5724</v>
      </c>
      <c r="C179" s="304" t="s">
        <v>5626</v>
      </c>
      <c r="D179" s="540">
        <v>16.420000000000002</v>
      </c>
    </row>
    <row r="180" spans="1:4" ht="15" x14ac:dyDescent="0.25">
      <c r="A180" s="304">
        <v>157</v>
      </c>
      <c r="B180" s="304" t="s">
        <v>5725</v>
      </c>
      <c r="C180" s="304" t="s">
        <v>5626</v>
      </c>
      <c r="D180" s="540">
        <v>117.25</v>
      </c>
    </row>
    <row r="181" spans="1:4" ht="15" x14ac:dyDescent="0.25">
      <c r="A181" s="304">
        <v>156</v>
      </c>
      <c r="B181" s="304" t="s">
        <v>5726</v>
      </c>
      <c r="C181" s="304" t="s">
        <v>5626</v>
      </c>
      <c r="D181" s="540">
        <v>52.33</v>
      </c>
    </row>
    <row r="182" spans="1:4" ht="15" x14ac:dyDescent="0.25">
      <c r="A182" s="304">
        <v>131</v>
      </c>
      <c r="B182" s="304" t="s">
        <v>5727</v>
      </c>
      <c r="C182" s="304" t="s">
        <v>5626</v>
      </c>
      <c r="D182" s="540">
        <v>50.24</v>
      </c>
    </row>
    <row r="183" spans="1:4" ht="15" x14ac:dyDescent="0.25">
      <c r="A183" s="304">
        <v>39719</v>
      </c>
      <c r="B183" s="304" t="s">
        <v>5728</v>
      </c>
      <c r="C183" s="304" t="s">
        <v>5628</v>
      </c>
      <c r="D183" s="540">
        <v>68.489999999999995</v>
      </c>
    </row>
    <row r="184" spans="1:4" ht="15" x14ac:dyDescent="0.25">
      <c r="A184" s="304">
        <v>21114</v>
      </c>
      <c r="B184" s="304" t="s">
        <v>5729</v>
      </c>
      <c r="C184" s="304" t="s">
        <v>5555</v>
      </c>
      <c r="D184" s="540">
        <v>14.67</v>
      </c>
    </row>
    <row r="185" spans="1:4" ht="15" x14ac:dyDescent="0.25">
      <c r="A185" s="304">
        <v>119</v>
      </c>
      <c r="B185" s="304" t="s">
        <v>5730</v>
      </c>
      <c r="C185" s="304" t="s">
        <v>5555</v>
      </c>
      <c r="D185" s="540">
        <v>5.79</v>
      </c>
    </row>
    <row r="186" spans="1:4" ht="15" x14ac:dyDescent="0.25">
      <c r="A186" s="304">
        <v>20080</v>
      </c>
      <c r="B186" s="304" t="s">
        <v>5731</v>
      </c>
      <c r="C186" s="304" t="s">
        <v>5555</v>
      </c>
      <c r="D186" s="540">
        <v>16.600000000000001</v>
      </c>
    </row>
    <row r="187" spans="1:4" ht="15" x14ac:dyDescent="0.25">
      <c r="A187" s="304">
        <v>122</v>
      </c>
      <c r="B187" s="304" t="s">
        <v>5732</v>
      </c>
      <c r="C187" s="304" t="s">
        <v>5555</v>
      </c>
      <c r="D187" s="540">
        <v>52.3</v>
      </c>
    </row>
    <row r="188" spans="1:4" ht="15" x14ac:dyDescent="0.25">
      <c r="A188" s="304">
        <v>3410</v>
      </c>
      <c r="B188" s="304" t="s">
        <v>5733</v>
      </c>
      <c r="C188" s="304" t="s">
        <v>5626</v>
      </c>
      <c r="D188" s="540">
        <v>23.45</v>
      </c>
    </row>
    <row r="189" spans="1:4" ht="15" x14ac:dyDescent="0.25">
      <c r="A189" s="304">
        <v>124</v>
      </c>
      <c r="B189" s="304" t="s">
        <v>5734</v>
      </c>
      <c r="C189" s="304" t="s">
        <v>5628</v>
      </c>
      <c r="D189" s="540">
        <v>13.05</v>
      </c>
    </row>
    <row r="190" spans="1:4" ht="15" x14ac:dyDescent="0.25">
      <c r="A190" s="304">
        <v>7334</v>
      </c>
      <c r="B190" s="304" t="s">
        <v>5735</v>
      </c>
      <c r="C190" s="304" t="s">
        <v>5628</v>
      </c>
      <c r="D190" s="540">
        <v>9.2100000000000009</v>
      </c>
    </row>
    <row r="191" spans="1:4" ht="15" x14ac:dyDescent="0.25">
      <c r="A191" s="304">
        <v>123</v>
      </c>
      <c r="B191" s="304" t="s">
        <v>5736</v>
      </c>
      <c r="C191" s="304" t="s">
        <v>5628</v>
      </c>
      <c r="D191" s="540">
        <v>5.8</v>
      </c>
    </row>
    <row r="192" spans="1:4" ht="15" x14ac:dyDescent="0.25">
      <c r="A192" s="304">
        <v>127</v>
      </c>
      <c r="B192" s="304" t="s">
        <v>5737</v>
      </c>
      <c r="C192" s="304" t="s">
        <v>5628</v>
      </c>
      <c r="D192" s="540">
        <v>13.62</v>
      </c>
    </row>
    <row r="193" spans="1:4" ht="15" x14ac:dyDescent="0.25">
      <c r="A193" s="304">
        <v>133</v>
      </c>
      <c r="B193" s="304" t="s">
        <v>5738</v>
      </c>
      <c r="C193" s="304" t="s">
        <v>5628</v>
      </c>
      <c r="D193" s="540">
        <v>5.85</v>
      </c>
    </row>
    <row r="194" spans="1:4" ht="15" x14ac:dyDescent="0.25">
      <c r="A194" s="304">
        <v>37538</v>
      </c>
      <c r="B194" s="304" t="s">
        <v>5739</v>
      </c>
      <c r="C194" s="304" t="s">
        <v>5740</v>
      </c>
      <c r="D194" s="540">
        <v>145.21</v>
      </c>
    </row>
    <row r="195" spans="1:4" ht="15" x14ac:dyDescent="0.25">
      <c r="A195" s="304">
        <v>132</v>
      </c>
      <c r="B195" s="304" t="s">
        <v>5741</v>
      </c>
      <c r="C195" s="304" t="s">
        <v>5628</v>
      </c>
      <c r="D195" s="540">
        <v>6.43</v>
      </c>
    </row>
    <row r="196" spans="1:4" ht="15" x14ac:dyDescent="0.25">
      <c r="A196" s="304">
        <v>13408</v>
      </c>
      <c r="B196" s="304" t="s">
        <v>5742</v>
      </c>
      <c r="C196" s="304" t="s">
        <v>5743</v>
      </c>
      <c r="D196" s="541">
        <v>2287.62</v>
      </c>
    </row>
    <row r="197" spans="1:4" ht="15" x14ac:dyDescent="0.25">
      <c r="A197" s="304">
        <v>37476</v>
      </c>
      <c r="B197" s="304" t="s">
        <v>5744</v>
      </c>
      <c r="C197" s="304" t="s">
        <v>5555</v>
      </c>
      <c r="D197" s="541">
        <v>1930.04</v>
      </c>
    </row>
    <row r="198" spans="1:4" ht="15" x14ac:dyDescent="0.25">
      <c r="A198" s="304">
        <v>37478</v>
      </c>
      <c r="B198" s="304" t="s">
        <v>5745</v>
      </c>
      <c r="C198" s="304" t="s">
        <v>5555</v>
      </c>
      <c r="D198" s="541">
        <v>2730.5</v>
      </c>
    </row>
    <row r="199" spans="1:4" ht="15" x14ac:dyDescent="0.25">
      <c r="A199" s="304">
        <v>37477</v>
      </c>
      <c r="B199" s="304" t="s">
        <v>5746</v>
      </c>
      <c r="C199" s="304" t="s">
        <v>5555</v>
      </c>
      <c r="D199" s="541">
        <v>3341.16</v>
      </c>
    </row>
    <row r="200" spans="1:4" ht="15" x14ac:dyDescent="0.25">
      <c r="A200" s="304">
        <v>37479</v>
      </c>
      <c r="B200" s="304" t="s">
        <v>5747</v>
      </c>
      <c r="C200" s="304" t="s">
        <v>5555</v>
      </c>
      <c r="D200" s="541">
        <v>4177.75</v>
      </c>
    </row>
    <row r="201" spans="1:4" ht="15" x14ac:dyDescent="0.25">
      <c r="A201" s="304">
        <v>4319</v>
      </c>
      <c r="B201" s="304" t="s">
        <v>5748</v>
      </c>
      <c r="C201" s="304" t="s">
        <v>5555</v>
      </c>
      <c r="D201" s="540">
        <v>0.95</v>
      </c>
    </row>
    <row r="202" spans="1:4" ht="15" x14ac:dyDescent="0.25">
      <c r="A202" s="304">
        <v>43064</v>
      </c>
      <c r="B202" s="304" t="s">
        <v>5749</v>
      </c>
      <c r="C202" s="304" t="s">
        <v>5626</v>
      </c>
      <c r="D202" s="540">
        <v>8.34</v>
      </c>
    </row>
    <row r="203" spans="1:4" ht="15" x14ac:dyDescent="0.25">
      <c r="A203" s="304">
        <v>40553</v>
      </c>
      <c r="B203" s="304" t="s">
        <v>5750</v>
      </c>
      <c r="C203" s="304" t="s">
        <v>5751</v>
      </c>
      <c r="D203" s="540">
        <v>34.340000000000003</v>
      </c>
    </row>
    <row r="204" spans="1:4" ht="15" x14ac:dyDescent="0.25">
      <c r="A204" s="304">
        <v>13003</v>
      </c>
      <c r="B204" s="304" t="s">
        <v>5752</v>
      </c>
      <c r="C204" s="304" t="s">
        <v>5628</v>
      </c>
      <c r="D204" s="540">
        <v>2.1</v>
      </c>
    </row>
    <row r="205" spans="1:4" ht="15" x14ac:dyDescent="0.25">
      <c r="A205" s="304">
        <v>6114</v>
      </c>
      <c r="B205" s="304" t="s">
        <v>5753</v>
      </c>
      <c r="C205" s="304" t="s">
        <v>5566</v>
      </c>
      <c r="D205" s="540">
        <v>10.73</v>
      </c>
    </row>
    <row r="206" spans="1:4" ht="15" x14ac:dyDescent="0.25">
      <c r="A206" s="304">
        <v>40912</v>
      </c>
      <c r="B206" s="304" t="s">
        <v>5754</v>
      </c>
      <c r="C206" s="304" t="s">
        <v>5755</v>
      </c>
      <c r="D206" s="541">
        <v>1879.5</v>
      </c>
    </row>
    <row r="207" spans="1:4" ht="15" x14ac:dyDescent="0.25">
      <c r="A207" s="304">
        <v>247</v>
      </c>
      <c r="B207" s="304" t="s">
        <v>5756</v>
      </c>
      <c r="C207" s="304" t="s">
        <v>5566</v>
      </c>
      <c r="D207" s="540">
        <v>11.14</v>
      </c>
    </row>
    <row r="208" spans="1:4" ht="15" x14ac:dyDescent="0.25">
      <c r="A208" s="304">
        <v>40919</v>
      </c>
      <c r="B208" s="304" t="s">
        <v>5757</v>
      </c>
      <c r="C208" s="304" t="s">
        <v>5755</v>
      </c>
      <c r="D208" s="541">
        <v>1953.48</v>
      </c>
    </row>
    <row r="209" spans="1:4" ht="15" x14ac:dyDescent="0.25">
      <c r="A209" s="304">
        <v>25958</v>
      </c>
      <c r="B209" s="304" t="s">
        <v>5758</v>
      </c>
      <c r="C209" s="304" t="s">
        <v>5566</v>
      </c>
      <c r="D209" s="540">
        <v>13.12</v>
      </c>
    </row>
    <row r="210" spans="1:4" ht="15" x14ac:dyDescent="0.25">
      <c r="A210" s="304">
        <v>40984</v>
      </c>
      <c r="B210" s="304" t="s">
        <v>5759</v>
      </c>
      <c r="C210" s="304" t="s">
        <v>5755</v>
      </c>
      <c r="D210" s="541">
        <v>2297.85</v>
      </c>
    </row>
    <row r="211" spans="1:4" ht="15" x14ac:dyDescent="0.25">
      <c r="A211" s="304">
        <v>248</v>
      </c>
      <c r="B211" s="304" t="s">
        <v>5760</v>
      </c>
      <c r="C211" s="304" t="s">
        <v>5566</v>
      </c>
      <c r="D211" s="540">
        <v>11.1</v>
      </c>
    </row>
    <row r="212" spans="1:4" ht="15" x14ac:dyDescent="0.25">
      <c r="A212" s="304">
        <v>41086</v>
      </c>
      <c r="B212" s="304" t="s">
        <v>5761</v>
      </c>
      <c r="C212" s="304" t="s">
        <v>5755</v>
      </c>
      <c r="D212" s="541">
        <v>1944.84</v>
      </c>
    </row>
    <row r="213" spans="1:4" ht="15" x14ac:dyDescent="0.25">
      <c r="A213" s="304">
        <v>34466</v>
      </c>
      <c r="B213" s="304" t="s">
        <v>5762</v>
      </c>
      <c r="C213" s="304" t="s">
        <v>5566</v>
      </c>
      <c r="D213" s="540">
        <v>10.84</v>
      </c>
    </row>
    <row r="214" spans="1:4" ht="15" x14ac:dyDescent="0.25">
      <c r="A214" s="304">
        <v>41083</v>
      </c>
      <c r="B214" s="304" t="s">
        <v>5763</v>
      </c>
      <c r="C214" s="304" t="s">
        <v>5755</v>
      </c>
      <c r="D214" s="541">
        <v>1898.74</v>
      </c>
    </row>
    <row r="215" spans="1:4" ht="15" x14ac:dyDescent="0.25">
      <c r="A215" s="304">
        <v>252</v>
      </c>
      <c r="B215" s="304" t="s">
        <v>5764</v>
      </c>
      <c r="C215" s="304" t="s">
        <v>5566</v>
      </c>
      <c r="D215" s="540">
        <v>11.51</v>
      </c>
    </row>
    <row r="216" spans="1:4" ht="15" x14ac:dyDescent="0.25">
      <c r="A216" s="304">
        <v>40909</v>
      </c>
      <c r="B216" s="304" t="s">
        <v>5765</v>
      </c>
      <c r="C216" s="304" t="s">
        <v>5755</v>
      </c>
      <c r="D216" s="541">
        <v>2015.95</v>
      </c>
    </row>
    <row r="217" spans="1:4" ht="15" x14ac:dyDescent="0.25">
      <c r="A217" s="304">
        <v>242</v>
      </c>
      <c r="B217" s="304" t="s">
        <v>5766</v>
      </c>
      <c r="C217" s="304" t="s">
        <v>5566</v>
      </c>
      <c r="D217" s="540">
        <v>15.59</v>
      </c>
    </row>
    <row r="218" spans="1:4" ht="15" x14ac:dyDescent="0.25">
      <c r="A218" s="304">
        <v>41085</v>
      </c>
      <c r="B218" s="304" t="s">
        <v>5767</v>
      </c>
      <c r="C218" s="304" t="s">
        <v>5755</v>
      </c>
      <c r="D218" s="541">
        <v>2731.2</v>
      </c>
    </row>
    <row r="219" spans="1:4" ht="15" x14ac:dyDescent="0.25">
      <c r="A219" s="304">
        <v>427</v>
      </c>
      <c r="B219" s="304" t="s">
        <v>5768</v>
      </c>
      <c r="C219" s="304" t="s">
        <v>5555</v>
      </c>
      <c r="D219" s="540">
        <v>6.33</v>
      </c>
    </row>
    <row r="220" spans="1:4" ht="15" x14ac:dyDescent="0.25">
      <c r="A220" s="304">
        <v>417</v>
      </c>
      <c r="B220" s="304" t="s">
        <v>5769</v>
      </c>
      <c r="C220" s="304" t="s">
        <v>5555</v>
      </c>
      <c r="D220" s="540">
        <v>2.98</v>
      </c>
    </row>
    <row r="221" spans="1:4" ht="15" x14ac:dyDescent="0.25">
      <c r="A221" s="304">
        <v>11273</v>
      </c>
      <c r="B221" s="304" t="s">
        <v>5770</v>
      </c>
      <c r="C221" s="304" t="s">
        <v>5555</v>
      </c>
      <c r="D221" s="540">
        <v>9.26</v>
      </c>
    </row>
    <row r="222" spans="1:4" ht="15" x14ac:dyDescent="0.25">
      <c r="A222" s="304">
        <v>11272</v>
      </c>
      <c r="B222" s="304" t="s">
        <v>5771</v>
      </c>
      <c r="C222" s="304" t="s">
        <v>5555</v>
      </c>
      <c r="D222" s="540">
        <v>5.59</v>
      </c>
    </row>
    <row r="223" spans="1:4" ht="15" x14ac:dyDescent="0.25">
      <c r="A223" s="304">
        <v>11275</v>
      </c>
      <c r="B223" s="304" t="s">
        <v>5772</v>
      </c>
      <c r="C223" s="304" t="s">
        <v>5555</v>
      </c>
      <c r="D223" s="540">
        <v>2.2400000000000002</v>
      </c>
    </row>
    <row r="224" spans="1:4" ht="15" x14ac:dyDescent="0.25">
      <c r="A224" s="304">
        <v>11274</v>
      </c>
      <c r="B224" s="304" t="s">
        <v>5773</v>
      </c>
      <c r="C224" s="304" t="s">
        <v>5555</v>
      </c>
      <c r="D224" s="540">
        <v>1.71</v>
      </c>
    </row>
    <row r="225" spans="1:4" ht="15" x14ac:dyDescent="0.25">
      <c r="A225" s="304">
        <v>38470</v>
      </c>
      <c r="B225" s="304" t="s">
        <v>5774</v>
      </c>
      <c r="C225" s="304" t="s">
        <v>5555</v>
      </c>
      <c r="D225" s="540">
        <v>36.18</v>
      </c>
    </row>
    <row r="226" spans="1:4" ht="15" x14ac:dyDescent="0.25">
      <c r="A226" s="304">
        <v>38547</v>
      </c>
      <c r="B226" s="304" t="s">
        <v>5775</v>
      </c>
      <c r="C226" s="304" t="s">
        <v>5555</v>
      </c>
      <c r="D226" s="540">
        <v>98.73</v>
      </c>
    </row>
    <row r="227" spans="1:4" ht="15" x14ac:dyDescent="0.25">
      <c r="A227" s="304">
        <v>38469</v>
      </c>
      <c r="B227" s="304" t="s">
        <v>5776</v>
      </c>
      <c r="C227" s="304" t="s">
        <v>5555</v>
      </c>
      <c r="D227" s="540">
        <v>106.16</v>
      </c>
    </row>
    <row r="228" spans="1:4" ht="15" x14ac:dyDescent="0.25">
      <c r="A228" s="304">
        <v>38467</v>
      </c>
      <c r="B228" s="304" t="s">
        <v>5777</v>
      </c>
      <c r="C228" s="304" t="s">
        <v>5555</v>
      </c>
      <c r="D228" s="540">
        <v>59.73</v>
      </c>
    </row>
    <row r="229" spans="1:4" ht="15" x14ac:dyDescent="0.25">
      <c r="A229" s="304">
        <v>38468</v>
      </c>
      <c r="B229" s="304" t="s">
        <v>5778</v>
      </c>
      <c r="C229" s="304" t="s">
        <v>5555</v>
      </c>
      <c r="D229" s="540">
        <v>65.73</v>
      </c>
    </row>
    <row r="230" spans="1:4" ht="15" x14ac:dyDescent="0.25">
      <c r="A230" s="304">
        <v>38471</v>
      </c>
      <c r="B230" s="304" t="s">
        <v>5779</v>
      </c>
      <c r="C230" s="304" t="s">
        <v>5555</v>
      </c>
      <c r="D230" s="540">
        <v>85.36</v>
      </c>
    </row>
    <row r="231" spans="1:4" ht="15" x14ac:dyDescent="0.25">
      <c r="A231" s="304">
        <v>37370</v>
      </c>
      <c r="B231" s="304" t="s">
        <v>5780</v>
      </c>
      <c r="C231" s="304" t="s">
        <v>5566</v>
      </c>
      <c r="D231" s="540">
        <v>2.31</v>
      </c>
    </row>
    <row r="232" spans="1:4" ht="15" x14ac:dyDescent="0.25">
      <c r="A232" s="304">
        <v>40862</v>
      </c>
      <c r="B232" s="304" t="s">
        <v>5781</v>
      </c>
      <c r="C232" s="304" t="s">
        <v>5755</v>
      </c>
      <c r="D232" s="540">
        <v>435.82</v>
      </c>
    </row>
    <row r="233" spans="1:4" ht="15" x14ac:dyDescent="0.25">
      <c r="A233" s="304">
        <v>10658</v>
      </c>
      <c r="B233" s="304" t="s">
        <v>5782</v>
      </c>
      <c r="C233" s="304" t="s">
        <v>5555</v>
      </c>
      <c r="D233" s="541">
        <v>5100</v>
      </c>
    </row>
    <row r="234" spans="1:4" ht="15" x14ac:dyDescent="0.25">
      <c r="A234" s="304">
        <v>253</v>
      </c>
      <c r="B234" s="304" t="s">
        <v>5783</v>
      </c>
      <c r="C234" s="304" t="s">
        <v>5566</v>
      </c>
      <c r="D234" s="540">
        <v>15.03</v>
      </c>
    </row>
    <row r="235" spans="1:4" ht="15" x14ac:dyDescent="0.25">
      <c r="A235" s="304">
        <v>40809</v>
      </c>
      <c r="B235" s="304" t="s">
        <v>5784</v>
      </c>
      <c r="C235" s="304" t="s">
        <v>5755</v>
      </c>
      <c r="D235" s="541">
        <v>2630.47</v>
      </c>
    </row>
    <row r="236" spans="1:4" ht="15" x14ac:dyDescent="0.25">
      <c r="A236" s="304">
        <v>42428</v>
      </c>
      <c r="B236" s="304" t="s">
        <v>5785</v>
      </c>
      <c r="C236" s="304" t="s">
        <v>5555</v>
      </c>
      <c r="D236" s="541">
        <v>1290</v>
      </c>
    </row>
    <row r="237" spans="1:4" ht="15" x14ac:dyDescent="0.25">
      <c r="A237" s="304">
        <v>583</v>
      </c>
      <c r="B237" s="304" t="s">
        <v>5786</v>
      </c>
      <c r="C237" s="304" t="s">
        <v>5626</v>
      </c>
      <c r="D237" s="540">
        <v>27.02</v>
      </c>
    </row>
    <row r="238" spans="1:4" ht="15" x14ac:dyDescent="0.25">
      <c r="A238" s="304">
        <v>299</v>
      </c>
      <c r="B238" s="304" t="s">
        <v>5787</v>
      </c>
      <c r="C238" s="304" t="s">
        <v>5555</v>
      </c>
      <c r="D238" s="540">
        <v>2.1800000000000002</v>
      </c>
    </row>
    <row r="239" spans="1:4" ht="15" x14ac:dyDescent="0.25">
      <c r="A239" s="304">
        <v>298</v>
      </c>
      <c r="B239" s="304" t="s">
        <v>5788</v>
      </c>
      <c r="C239" s="304" t="s">
        <v>5555</v>
      </c>
      <c r="D239" s="540">
        <v>2.19</v>
      </c>
    </row>
    <row r="240" spans="1:4" ht="15" x14ac:dyDescent="0.25">
      <c r="A240" s="304">
        <v>295</v>
      </c>
      <c r="B240" s="304" t="s">
        <v>5789</v>
      </c>
      <c r="C240" s="304" t="s">
        <v>5555</v>
      </c>
      <c r="D240" s="540">
        <v>1.3</v>
      </c>
    </row>
    <row r="241" spans="1:4" ht="15" x14ac:dyDescent="0.25">
      <c r="A241" s="304">
        <v>296</v>
      </c>
      <c r="B241" s="304" t="s">
        <v>5790</v>
      </c>
      <c r="C241" s="304" t="s">
        <v>5555</v>
      </c>
      <c r="D241" s="540">
        <v>1.35</v>
      </c>
    </row>
    <row r="242" spans="1:4" ht="15" x14ac:dyDescent="0.25">
      <c r="A242" s="304">
        <v>297</v>
      </c>
      <c r="B242" s="304" t="s">
        <v>5791</v>
      </c>
      <c r="C242" s="304" t="s">
        <v>5555</v>
      </c>
      <c r="D242" s="540">
        <v>1.91</v>
      </c>
    </row>
    <row r="243" spans="1:4" ht="15" x14ac:dyDescent="0.25">
      <c r="A243" s="304">
        <v>301</v>
      </c>
      <c r="B243" s="304" t="s">
        <v>5792</v>
      </c>
      <c r="C243" s="304" t="s">
        <v>5555</v>
      </c>
      <c r="D243" s="540">
        <v>2.4</v>
      </c>
    </row>
    <row r="244" spans="1:4" ht="15" x14ac:dyDescent="0.25">
      <c r="A244" s="304">
        <v>300</v>
      </c>
      <c r="B244" s="304" t="s">
        <v>5793</v>
      </c>
      <c r="C244" s="304" t="s">
        <v>5555</v>
      </c>
      <c r="D244" s="540">
        <v>10.08</v>
      </c>
    </row>
    <row r="245" spans="1:4" ht="15" x14ac:dyDescent="0.25">
      <c r="A245" s="304">
        <v>20084</v>
      </c>
      <c r="B245" s="304" t="s">
        <v>5794</v>
      </c>
      <c r="C245" s="304" t="s">
        <v>5555</v>
      </c>
      <c r="D245" s="540">
        <v>1.3</v>
      </c>
    </row>
    <row r="246" spans="1:4" ht="15" x14ac:dyDescent="0.25">
      <c r="A246" s="304">
        <v>20085</v>
      </c>
      <c r="B246" s="304" t="s">
        <v>5795</v>
      </c>
      <c r="C246" s="304" t="s">
        <v>5555</v>
      </c>
      <c r="D246" s="540">
        <v>1.21</v>
      </c>
    </row>
    <row r="247" spans="1:4" ht="15" x14ac:dyDescent="0.25">
      <c r="A247" s="304">
        <v>311</v>
      </c>
      <c r="B247" s="304" t="s">
        <v>5796</v>
      </c>
      <c r="C247" s="304" t="s">
        <v>5555</v>
      </c>
      <c r="D247" s="540">
        <v>7.8</v>
      </c>
    </row>
    <row r="248" spans="1:4" ht="15" x14ac:dyDescent="0.25">
      <c r="A248" s="304">
        <v>318</v>
      </c>
      <c r="B248" s="304" t="s">
        <v>5797</v>
      </c>
      <c r="C248" s="304" t="s">
        <v>5555</v>
      </c>
      <c r="D248" s="540">
        <v>13.67</v>
      </c>
    </row>
    <row r="249" spans="1:4" ht="15" x14ac:dyDescent="0.25">
      <c r="A249" s="304">
        <v>319</v>
      </c>
      <c r="B249" s="304" t="s">
        <v>5798</v>
      </c>
      <c r="C249" s="304" t="s">
        <v>5555</v>
      </c>
      <c r="D249" s="540">
        <v>25.81</v>
      </c>
    </row>
    <row r="250" spans="1:4" ht="15" x14ac:dyDescent="0.25">
      <c r="A250" s="304">
        <v>320</v>
      </c>
      <c r="B250" s="304" t="s">
        <v>5799</v>
      </c>
      <c r="C250" s="304" t="s">
        <v>5555</v>
      </c>
      <c r="D250" s="540">
        <v>82.07</v>
      </c>
    </row>
    <row r="251" spans="1:4" ht="15" x14ac:dyDescent="0.25">
      <c r="A251" s="304">
        <v>314</v>
      </c>
      <c r="B251" s="304" t="s">
        <v>5800</v>
      </c>
      <c r="C251" s="304" t="s">
        <v>5555</v>
      </c>
      <c r="D251" s="540">
        <v>126.06</v>
      </c>
    </row>
    <row r="252" spans="1:4" ht="15" x14ac:dyDescent="0.25">
      <c r="A252" s="304">
        <v>303</v>
      </c>
      <c r="B252" s="304" t="s">
        <v>5801</v>
      </c>
      <c r="C252" s="304" t="s">
        <v>5555</v>
      </c>
      <c r="D252" s="540">
        <v>3.27</v>
      </c>
    </row>
    <row r="253" spans="1:4" ht="15" x14ac:dyDescent="0.25">
      <c r="A253" s="304">
        <v>304</v>
      </c>
      <c r="B253" s="304" t="s">
        <v>5802</v>
      </c>
      <c r="C253" s="304" t="s">
        <v>5555</v>
      </c>
      <c r="D253" s="540">
        <v>4.99</v>
      </c>
    </row>
    <row r="254" spans="1:4" ht="15" x14ac:dyDescent="0.25">
      <c r="A254" s="304">
        <v>305</v>
      </c>
      <c r="B254" s="304" t="s">
        <v>5803</v>
      </c>
      <c r="C254" s="304" t="s">
        <v>5555</v>
      </c>
      <c r="D254" s="540">
        <v>8.5299999999999994</v>
      </c>
    </row>
    <row r="255" spans="1:4" ht="15" x14ac:dyDescent="0.25">
      <c r="A255" s="304">
        <v>306</v>
      </c>
      <c r="B255" s="304" t="s">
        <v>5804</v>
      </c>
      <c r="C255" s="304" t="s">
        <v>5555</v>
      </c>
      <c r="D255" s="540">
        <v>10.25</v>
      </c>
    </row>
    <row r="256" spans="1:4" ht="15" x14ac:dyDescent="0.25">
      <c r="A256" s="304">
        <v>307</v>
      </c>
      <c r="B256" s="304" t="s">
        <v>5805</v>
      </c>
      <c r="C256" s="304" t="s">
        <v>5555</v>
      </c>
      <c r="D256" s="540">
        <v>20.239999999999998</v>
      </c>
    </row>
    <row r="257" spans="1:4" ht="15" x14ac:dyDescent="0.25">
      <c r="A257" s="304">
        <v>309</v>
      </c>
      <c r="B257" s="304" t="s">
        <v>5806</v>
      </c>
      <c r="C257" s="304" t="s">
        <v>5555</v>
      </c>
      <c r="D257" s="540">
        <v>41.47</v>
      </c>
    </row>
    <row r="258" spans="1:4" ht="15" x14ac:dyDescent="0.25">
      <c r="A258" s="304">
        <v>310</v>
      </c>
      <c r="B258" s="304" t="s">
        <v>5807</v>
      </c>
      <c r="C258" s="304" t="s">
        <v>5555</v>
      </c>
      <c r="D258" s="540">
        <v>52.6</v>
      </c>
    </row>
    <row r="259" spans="1:4" ht="15" x14ac:dyDescent="0.25">
      <c r="A259" s="304">
        <v>328</v>
      </c>
      <c r="B259" s="304" t="s">
        <v>5808</v>
      </c>
      <c r="C259" s="304" t="s">
        <v>5555</v>
      </c>
      <c r="D259" s="540">
        <v>6.27</v>
      </c>
    </row>
    <row r="260" spans="1:4" ht="15" x14ac:dyDescent="0.25">
      <c r="A260" s="304">
        <v>325</v>
      </c>
      <c r="B260" s="304" t="s">
        <v>5809</v>
      </c>
      <c r="C260" s="304" t="s">
        <v>5555</v>
      </c>
      <c r="D260" s="540">
        <v>2.4300000000000002</v>
      </c>
    </row>
    <row r="261" spans="1:4" ht="15" x14ac:dyDescent="0.25">
      <c r="A261" s="304">
        <v>20326</v>
      </c>
      <c r="B261" s="304" t="s">
        <v>5810</v>
      </c>
      <c r="C261" s="304" t="s">
        <v>5555</v>
      </c>
      <c r="D261" s="540">
        <v>6.52</v>
      </c>
    </row>
    <row r="262" spans="1:4" ht="15" x14ac:dyDescent="0.25">
      <c r="A262" s="304">
        <v>329</v>
      </c>
      <c r="B262" s="304" t="s">
        <v>5811</v>
      </c>
      <c r="C262" s="304" t="s">
        <v>5555</v>
      </c>
      <c r="D262" s="540">
        <v>8.02</v>
      </c>
    </row>
    <row r="263" spans="1:4" ht="15" x14ac:dyDescent="0.25">
      <c r="A263" s="304">
        <v>308</v>
      </c>
      <c r="B263" s="304" t="s">
        <v>5812</v>
      </c>
      <c r="C263" s="304" t="s">
        <v>5555</v>
      </c>
      <c r="D263" s="540">
        <v>27.03</v>
      </c>
    </row>
    <row r="264" spans="1:4" ht="15" x14ac:dyDescent="0.25">
      <c r="A264" s="304">
        <v>39642</v>
      </c>
      <c r="B264" s="304" t="s">
        <v>5813</v>
      </c>
      <c r="C264" s="304" t="s">
        <v>5555</v>
      </c>
      <c r="D264" s="540">
        <v>1.64</v>
      </c>
    </row>
    <row r="265" spans="1:4" ht="15" x14ac:dyDescent="0.25">
      <c r="A265" s="304">
        <v>39641</v>
      </c>
      <c r="B265" s="304" t="s">
        <v>5814</v>
      </c>
      <c r="C265" s="304" t="s">
        <v>5555</v>
      </c>
      <c r="D265" s="540">
        <v>1.1399999999999999</v>
      </c>
    </row>
    <row r="266" spans="1:4" ht="15" x14ac:dyDescent="0.25">
      <c r="A266" s="304">
        <v>39643</v>
      </c>
      <c r="B266" s="304" t="s">
        <v>5815</v>
      </c>
      <c r="C266" s="304" t="s">
        <v>5555</v>
      </c>
      <c r="D266" s="540">
        <v>4.5599999999999996</v>
      </c>
    </row>
    <row r="267" spans="1:4" ht="15" x14ac:dyDescent="0.25">
      <c r="A267" s="304">
        <v>39644</v>
      </c>
      <c r="B267" s="304" t="s">
        <v>5816</v>
      </c>
      <c r="C267" s="304" t="s">
        <v>5555</v>
      </c>
      <c r="D267" s="540">
        <v>5.88</v>
      </c>
    </row>
    <row r="268" spans="1:4" ht="15" x14ac:dyDescent="0.25">
      <c r="A268" s="304">
        <v>39645</v>
      </c>
      <c r="B268" s="304" t="s">
        <v>5817</v>
      </c>
      <c r="C268" s="304" t="s">
        <v>5555</v>
      </c>
      <c r="D268" s="540">
        <v>7.6</v>
      </c>
    </row>
    <row r="269" spans="1:4" ht="15" x14ac:dyDescent="0.25">
      <c r="A269" s="304">
        <v>12548</v>
      </c>
      <c r="B269" s="304" t="s">
        <v>5818</v>
      </c>
      <c r="C269" s="304" t="s">
        <v>5555</v>
      </c>
      <c r="D269" s="540">
        <v>96.53</v>
      </c>
    </row>
    <row r="270" spans="1:4" ht="15" x14ac:dyDescent="0.25">
      <c r="A270" s="304">
        <v>13113</v>
      </c>
      <c r="B270" s="304" t="s">
        <v>5819</v>
      </c>
      <c r="C270" s="304" t="s">
        <v>5555</v>
      </c>
      <c r="D270" s="540">
        <v>39.56</v>
      </c>
    </row>
    <row r="271" spans="1:4" ht="15" x14ac:dyDescent="0.25">
      <c r="A271" s="304">
        <v>13114</v>
      </c>
      <c r="B271" s="304" t="s">
        <v>5820</v>
      </c>
      <c r="C271" s="304" t="s">
        <v>5555</v>
      </c>
      <c r="D271" s="540">
        <v>48.16</v>
      </c>
    </row>
    <row r="272" spans="1:4" ht="15" x14ac:dyDescent="0.25">
      <c r="A272" s="304">
        <v>12530</v>
      </c>
      <c r="B272" s="304" t="s">
        <v>5821</v>
      </c>
      <c r="C272" s="304" t="s">
        <v>5555</v>
      </c>
      <c r="D272" s="540">
        <v>58.68</v>
      </c>
    </row>
    <row r="273" spans="1:4" ht="15" x14ac:dyDescent="0.25">
      <c r="A273" s="304">
        <v>12531</v>
      </c>
      <c r="B273" s="304" t="s">
        <v>5822</v>
      </c>
      <c r="C273" s="304" t="s">
        <v>5555</v>
      </c>
      <c r="D273" s="540">
        <v>65.64</v>
      </c>
    </row>
    <row r="274" spans="1:4" ht="15" x14ac:dyDescent="0.25">
      <c r="A274" s="304">
        <v>12532</v>
      </c>
      <c r="B274" s="304" t="s">
        <v>5823</v>
      </c>
      <c r="C274" s="304" t="s">
        <v>5555</v>
      </c>
      <c r="D274" s="540">
        <v>80.27</v>
      </c>
    </row>
    <row r="275" spans="1:4" ht="15" x14ac:dyDescent="0.25">
      <c r="A275" s="304">
        <v>12533</v>
      </c>
      <c r="B275" s="304" t="s">
        <v>5824</v>
      </c>
      <c r="C275" s="304" t="s">
        <v>5555</v>
      </c>
      <c r="D275" s="540">
        <v>95.75</v>
      </c>
    </row>
    <row r="276" spans="1:4" ht="15" x14ac:dyDescent="0.25">
      <c r="A276" s="304">
        <v>12544</v>
      </c>
      <c r="B276" s="304" t="s">
        <v>5825</v>
      </c>
      <c r="C276" s="304" t="s">
        <v>5555</v>
      </c>
      <c r="D276" s="540">
        <v>116.97</v>
      </c>
    </row>
    <row r="277" spans="1:4" ht="15" x14ac:dyDescent="0.25">
      <c r="A277" s="304">
        <v>12546</v>
      </c>
      <c r="B277" s="304" t="s">
        <v>5826</v>
      </c>
      <c r="C277" s="304" t="s">
        <v>5555</v>
      </c>
      <c r="D277" s="540">
        <v>121.08</v>
      </c>
    </row>
    <row r="278" spans="1:4" ht="15" x14ac:dyDescent="0.25">
      <c r="A278" s="304">
        <v>12547</v>
      </c>
      <c r="B278" s="304" t="s">
        <v>5827</v>
      </c>
      <c r="C278" s="304" t="s">
        <v>5555</v>
      </c>
      <c r="D278" s="540">
        <v>140.80000000000001</v>
      </c>
    </row>
    <row r="279" spans="1:4" ht="15" x14ac:dyDescent="0.25">
      <c r="A279" s="304">
        <v>12551</v>
      </c>
      <c r="B279" s="304" t="s">
        <v>5828</v>
      </c>
      <c r="C279" s="304" t="s">
        <v>5555</v>
      </c>
      <c r="D279" s="540">
        <v>153.32</v>
      </c>
    </row>
    <row r="280" spans="1:4" ht="15" x14ac:dyDescent="0.25">
      <c r="A280" s="304">
        <v>12563</v>
      </c>
      <c r="B280" s="304" t="s">
        <v>5829</v>
      </c>
      <c r="C280" s="304" t="s">
        <v>5555</v>
      </c>
      <c r="D280" s="540">
        <v>240.82</v>
      </c>
    </row>
    <row r="281" spans="1:4" ht="15" x14ac:dyDescent="0.25">
      <c r="A281" s="304">
        <v>12565</v>
      </c>
      <c r="B281" s="304" t="s">
        <v>5830</v>
      </c>
      <c r="C281" s="304" t="s">
        <v>5555</v>
      </c>
      <c r="D281" s="540">
        <v>378.96</v>
      </c>
    </row>
    <row r="282" spans="1:4" ht="15" x14ac:dyDescent="0.25">
      <c r="A282" s="304">
        <v>12567</v>
      </c>
      <c r="B282" s="304" t="s">
        <v>5831</v>
      </c>
      <c r="C282" s="304" t="s">
        <v>5555</v>
      </c>
      <c r="D282" s="540">
        <v>493.11</v>
      </c>
    </row>
    <row r="283" spans="1:4" ht="15" x14ac:dyDescent="0.25">
      <c r="A283" s="304">
        <v>12568</v>
      </c>
      <c r="B283" s="304" t="s">
        <v>5832</v>
      </c>
      <c r="C283" s="304" t="s">
        <v>5555</v>
      </c>
      <c r="D283" s="540">
        <v>814.22</v>
      </c>
    </row>
    <row r="284" spans="1:4" ht="15" x14ac:dyDescent="0.25">
      <c r="A284" s="304">
        <v>11789</v>
      </c>
      <c r="B284" s="304" t="s">
        <v>5833</v>
      </c>
      <c r="C284" s="304" t="s">
        <v>5555</v>
      </c>
      <c r="D284" s="540">
        <v>0.84</v>
      </c>
    </row>
    <row r="285" spans="1:4" ht="15" x14ac:dyDescent="0.25">
      <c r="A285" s="304">
        <v>20975</v>
      </c>
      <c r="B285" s="304" t="s">
        <v>5834</v>
      </c>
      <c r="C285" s="304" t="s">
        <v>5555</v>
      </c>
      <c r="D285" s="540">
        <v>8.41</v>
      </c>
    </row>
    <row r="286" spans="1:4" ht="15" x14ac:dyDescent="0.25">
      <c r="A286" s="304">
        <v>20976</v>
      </c>
      <c r="B286" s="304" t="s">
        <v>5835</v>
      </c>
      <c r="C286" s="304" t="s">
        <v>5555</v>
      </c>
      <c r="D286" s="540">
        <v>12.7</v>
      </c>
    </row>
    <row r="287" spans="1:4" ht="15" x14ac:dyDescent="0.25">
      <c r="A287" s="304">
        <v>40340</v>
      </c>
      <c r="B287" s="304" t="s">
        <v>5836</v>
      </c>
      <c r="C287" s="304" t="s">
        <v>5555</v>
      </c>
      <c r="D287" s="540">
        <v>63.55</v>
      </c>
    </row>
    <row r="288" spans="1:4" ht="15" x14ac:dyDescent="0.25">
      <c r="A288" s="304">
        <v>40341</v>
      </c>
      <c r="B288" s="304" t="s">
        <v>5837</v>
      </c>
      <c r="C288" s="304" t="s">
        <v>5555</v>
      </c>
      <c r="D288" s="540">
        <v>75.25</v>
      </c>
    </row>
    <row r="289" spans="1:4" ht="15" x14ac:dyDescent="0.25">
      <c r="A289" s="304">
        <v>40342</v>
      </c>
      <c r="B289" s="304" t="s">
        <v>5838</v>
      </c>
      <c r="C289" s="304" t="s">
        <v>5555</v>
      </c>
      <c r="D289" s="540">
        <v>95.41</v>
      </c>
    </row>
    <row r="290" spans="1:4" ht="15" x14ac:dyDescent="0.25">
      <c r="A290" s="304">
        <v>40343</v>
      </c>
      <c r="B290" s="304" t="s">
        <v>5839</v>
      </c>
      <c r="C290" s="304" t="s">
        <v>5555</v>
      </c>
      <c r="D290" s="540">
        <v>117.04</v>
      </c>
    </row>
    <row r="291" spans="1:4" ht="15" x14ac:dyDescent="0.25">
      <c r="A291" s="304">
        <v>40344</v>
      </c>
      <c r="B291" s="304" t="s">
        <v>5840</v>
      </c>
      <c r="C291" s="304" t="s">
        <v>5555</v>
      </c>
      <c r="D291" s="540">
        <v>123.76</v>
      </c>
    </row>
    <row r="292" spans="1:4" ht="15" x14ac:dyDescent="0.25">
      <c r="A292" s="304">
        <v>40345</v>
      </c>
      <c r="B292" s="304" t="s">
        <v>5841</v>
      </c>
      <c r="C292" s="304" t="s">
        <v>5555</v>
      </c>
      <c r="D292" s="540">
        <v>154.51</v>
      </c>
    </row>
    <row r="293" spans="1:4" ht="15" x14ac:dyDescent="0.25">
      <c r="A293" s="304">
        <v>40346</v>
      </c>
      <c r="B293" s="304" t="s">
        <v>5842</v>
      </c>
      <c r="C293" s="304" t="s">
        <v>5555</v>
      </c>
      <c r="D293" s="540">
        <v>145.36000000000001</v>
      </c>
    </row>
    <row r="294" spans="1:4" ht="15" x14ac:dyDescent="0.25">
      <c r="A294" s="304">
        <v>40347</v>
      </c>
      <c r="B294" s="304" t="s">
        <v>5843</v>
      </c>
      <c r="C294" s="304" t="s">
        <v>5555</v>
      </c>
      <c r="D294" s="540">
        <v>179.73</v>
      </c>
    </row>
    <row r="295" spans="1:4" ht="15" x14ac:dyDescent="0.25">
      <c r="A295" s="304">
        <v>38840</v>
      </c>
      <c r="B295" s="304" t="s">
        <v>5844</v>
      </c>
      <c r="C295" s="304" t="s">
        <v>5555</v>
      </c>
      <c r="D295" s="540">
        <v>1.9</v>
      </c>
    </row>
    <row r="296" spans="1:4" ht="15" x14ac:dyDescent="0.25">
      <c r="A296" s="304">
        <v>38841</v>
      </c>
      <c r="B296" s="304" t="s">
        <v>5845</v>
      </c>
      <c r="C296" s="304" t="s">
        <v>5555</v>
      </c>
      <c r="D296" s="540">
        <v>2.1</v>
      </c>
    </row>
    <row r="297" spans="1:4" ht="15" x14ac:dyDescent="0.25">
      <c r="A297" s="304">
        <v>38842</v>
      </c>
      <c r="B297" s="304" t="s">
        <v>5846</v>
      </c>
      <c r="C297" s="304" t="s">
        <v>5555</v>
      </c>
      <c r="D297" s="540">
        <v>4.16</v>
      </c>
    </row>
    <row r="298" spans="1:4" ht="15" x14ac:dyDescent="0.25">
      <c r="A298" s="304">
        <v>38843</v>
      </c>
      <c r="B298" s="304" t="s">
        <v>5847</v>
      </c>
      <c r="C298" s="304" t="s">
        <v>5555</v>
      </c>
      <c r="D298" s="540">
        <v>6.5</v>
      </c>
    </row>
    <row r="299" spans="1:4" ht="15" x14ac:dyDescent="0.25">
      <c r="A299" s="304">
        <v>13761</v>
      </c>
      <c r="B299" s="304" t="s">
        <v>5848</v>
      </c>
      <c r="C299" s="304" t="s">
        <v>5555</v>
      </c>
      <c r="D299" s="541">
        <v>3808.4</v>
      </c>
    </row>
    <row r="300" spans="1:4" ht="15" x14ac:dyDescent="0.25">
      <c r="A300" s="304">
        <v>12888</v>
      </c>
      <c r="B300" s="304" t="s">
        <v>5849</v>
      </c>
      <c r="C300" s="304" t="s">
        <v>5850</v>
      </c>
      <c r="D300" s="540">
        <v>133.85</v>
      </c>
    </row>
    <row r="301" spans="1:4" ht="15" x14ac:dyDescent="0.25">
      <c r="A301" s="304">
        <v>12889</v>
      </c>
      <c r="B301" s="304" t="s">
        <v>5851</v>
      </c>
      <c r="C301" s="304" t="s">
        <v>5850</v>
      </c>
      <c r="D301" s="540">
        <v>87.41</v>
      </c>
    </row>
    <row r="302" spans="1:4" ht="15" x14ac:dyDescent="0.25">
      <c r="A302" s="304">
        <v>4814</v>
      </c>
      <c r="B302" s="304" t="s">
        <v>5852</v>
      </c>
      <c r="C302" s="304" t="s">
        <v>5555</v>
      </c>
      <c r="D302" s="540">
        <v>172.74</v>
      </c>
    </row>
    <row r="303" spans="1:4" ht="15" x14ac:dyDescent="0.25">
      <c r="A303" s="304">
        <v>25967</v>
      </c>
      <c r="B303" s="304" t="s">
        <v>5853</v>
      </c>
      <c r="C303" s="304" t="s">
        <v>5555</v>
      </c>
      <c r="D303" s="541">
        <v>1758.14</v>
      </c>
    </row>
    <row r="304" spans="1:4" ht="15" x14ac:dyDescent="0.25">
      <c r="A304" s="304">
        <v>6122</v>
      </c>
      <c r="B304" s="304" t="s">
        <v>5854</v>
      </c>
      <c r="C304" s="304" t="s">
        <v>5566</v>
      </c>
      <c r="D304" s="540">
        <v>13.18</v>
      </c>
    </row>
    <row r="305" spans="1:4" ht="15" x14ac:dyDescent="0.25">
      <c r="A305" s="304">
        <v>40810</v>
      </c>
      <c r="B305" s="304" t="s">
        <v>5855</v>
      </c>
      <c r="C305" s="304" t="s">
        <v>5755</v>
      </c>
      <c r="D305" s="541">
        <v>2308.59</v>
      </c>
    </row>
    <row r="306" spans="1:4" ht="15" x14ac:dyDescent="0.25">
      <c r="A306" s="304">
        <v>21100</v>
      </c>
      <c r="B306" s="304" t="s">
        <v>5856</v>
      </c>
      <c r="C306" s="304" t="s">
        <v>5555</v>
      </c>
      <c r="D306" s="541">
        <v>2378.8000000000002</v>
      </c>
    </row>
    <row r="307" spans="1:4" ht="15" x14ac:dyDescent="0.25">
      <c r="A307" s="304">
        <v>11816</v>
      </c>
      <c r="B307" s="304" t="s">
        <v>5857</v>
      </c>
      <c r="C307" s="304" t="s">
        <v>5555</v>
      </c>
      <c r="D307" s="541">
        <v>2536.5</v>
      </c>
    </row>
    <row r="308" spans="1:4" ht="15" x14ac:dyDescent="0.25">
      <c r="A308" s="304">
        <v>11814</v>
      </c>
      <c r="B308" s="304" t="s">
        <v>5858</v>
      </c>
      <c r="C308" s="304" t="s">
        <v>5555</v>
      </c>
      <c r="D308" s="541">
        <v>5521.32</v>
      </c>
    </row>
    <row r="309" spans="1:4" ht="15" x14ac:dyDescent="0.25">
      <c r="A309" s="304">
        <v>14186</v>
      </c>
      <c r="B309" s="304" t="s">
        <v>5859</v>
      </c>
      <c r="C309" s="304" t="s">
        <v>5555</v>
      </c>
      <c r="D309" s="541">
        <v>6932.76</v>
      </c>
    </row>
    <row r="310" spans="1:4" ht="15" x14ac:dyDescent="0.25">
      <c r="A310" s="304">
        <v>14185</v>
      </c>
      <c r="B310" s="304" t="s">
        <v>5860</v>
      </c>
      <c r="C310" s="304" t="s">
        <v>5555</v>
      </c>
      <c r="D310" s="541">
        <v>8980.6299999999992</v>
      </c>
    </row>
    <row r="311" spans="1:4" ht="15" x14ac:dyDescent="0.25">
      <c r="A311" s="304">
        <v>11811</v>
      </c>
      <c r="B311" s="304" t="s">
        <v>5861</v>
      </c>
      <c r="C311" s="304" t="s">
        <v>5555</v>
      </c>
      <c r="D311" s="541">
        <v>3433.85</v>
      </c>
    </row>
    <row r="312" spans="1:4" ht="15" x14ac:dyDescent="0.25">
      <c r="A312" s="304">
        <v>26038</v>
      </c>
      <c r="B312" s="304" t="s">
        <v>5862</v>
      </c>
      <c r="C312" s="304" t="s">
        <v>5555</v>
      </c>
      <c r="D312" s="541">
        <v>202992.51</v>
      </c>
    </row>
    <row r="313" spans="1:4" ht="15" x14ac:dyDescent="0.25">
      <c r="A313" s="304">
        <v>34482</v>
      </c>
      <c r="B313" s="304" t="s">
        <v>5863</v>
      </c>
      <c r="C313" s="304" t="s">
        <v>5555</v>
      </c>
      <c r="D313" s="541">
        <v>4202.34</v>
      </c>
    </row>
    <row r="314" spans="1:4" ht="15" x14ac:dyDescent="0.25">
      <c r="A314" s="304">
        <v>34469</v>
      </c>
      <c r="B314" s="304" t="s">
        <v>5864</v>
      </c>
      <c r="C314" s="304" t="s">
        <v>5555</v>
      </c>
      <c r="D314" s="541">
        <v>6500.5</v>
      </c>
    </row>
    <row r="315" spans="1:4" ht="15" x14ac:dyDescent="0.25">
      <c r="A315" s="304">
        <v>34472</v>
      </c>
      <c r="B315" s="304" t="s">
        <v>5865</v>
      </c>
      <c r="C315" s="304" t="s">
        <v>5555</v>
      </c>
      <c r="D315" s="541">
        <v>2000</v>
      </c>
    </row>
    <row r="316" spans="1:4" ht="15" x14ac:dyDescent="0.25">
      <c r="A316" s="304">
        <v>34476</v>
      </c>
      <c r="B316" s="304" t="s">
        <v>5866</v>
      </c>
      <c r="C316" s="304" t="s">
        <v>5555</v>
      </c>
      <c r="D316" s="541">
        <v>3390.28</v>
      </c>
    </row>
    <row r="317" spans="1:4" ht="15" x14ac:dyDescent="0.25">
      <c r="A317" s="304">
        <v>34477</v>
      </c>
      <c r="B317" s="304" t="s">
        <v>5867</v>
      </c>
      <c r="C317" s="304" t="s">
        <v>5555</v>
      </c>
      <c r="D317" s="541">
        <v>4499.5600000000004</v>
      </c>
    </row>
    <row r="318" spans="1:4" ht="15" x14ac:dyDescent="0.25">
      <c r="A318" s="304">
        <v>42425</v>
      </c>
      <c r="B318" s="304" t="s">
        <v>5868</v>
      </c>
      <c r="C318" s="304" t="s">
        <v>5555</v>
      </c>
      <c r="D318" s="541">
        <v>1700.87</v>
      </c>
    </row>
    <row r="319" spans="1:4" ht="15" x14ac:dyDescent="0.25">
      <c r="A319" s="304">
        <v>42422</v>
      </c>
      <c r="B319" s="304" t="s">
        <v>5869</v>
      </c>
      <c r="C319" s="304" t="s">
        <v>5555</v>
      </c>
      <c r="D319" s="541">
        <v>2525</v>
      </c>
    </row>
    <row r="320" spans="1:4" ht="15" x14ac:dyDescent="0.25">
      <c r="A320" s="304">
        <v>42424</v>
      </c>
      <c r="B320" s="304" t="s">
        <v>5870</v>
      </c>
      <c r="C320" s="304" t="s">
        <v>5555</v>
      </c>
      <c r="D320" s="541">
        <v>1519.02</v>
      </c>
    </row>
    <row r="321" spans="1:4" ht="15" x14ac:dyDescent="0.25">
      <c r="A321" s="304">
        <v>42416</v>
      </c>
      <c r="B321" s="304" t="s">
        <v>5871</v>
      </c>
      <c r="C321" s="304" t="s">
        <v>5555</v>
      </c>
      <c r="D321" s="541">
        <v>6548.34</v>
      </c>
    </row>
    <row r="322" spans="1:4" ht="15" x14ac:dyDescent="0.25">
      <c r="A322" s="304">
        <v>42417</v>
      </c>
      <c r="B322" s="304" t="s">
        <v>5872</v>
      </c>
      <c r="C322" s="304" t="s">
        <v>5555</v>
      </c>
      <c r="D322" s="541">
        <v>7341.23</v>
      </c>
    </row>
    <row r="323" spans="1:4" ht="15" x14ac:dyDescent="0.25">
      <c r="A323" s="304">
        <v>42419</v>
      </c>
      <c r="B323" s="304" t="s">
        <v>5873</v>
      </c>
      <c r="C323" s="304" t="s">
        <v>5555</v>
      </c>
      <c r="D323" s="541">
        <v>8294.0300000000007</v>
      </c>
    </row>
    <row r="324" spans="1:4" ht="15" x14ac:dyDescent="0.25">
      <c r="A324" s="304">
        <v>42420</v>
      </c>
      <c r="B324" s="304" t="s">
        <v>5874</v>
      </c>
      <c r="C324" s="304" t="s">
        <v>5555</v>
      </c>
      <c r="D324" s="541">
        <v>11399.53</v>
      </c>
    </row>
    <row r="325" spans="1:4" ht="15" x14ac:dyDescent="0.25">
      <c r="A325" s="304">
        <v>42421</v>
      </c>
      <c r="B325" s="304" t="s">
        <v>5875</v>
      </c>
      <c r="C325" s="304" t="s">
        <v>5555</v>
      </c>
      <c r="D325" s="541">
        <v>13830.56</v>
      </c>
    </row>
    <row r="326" spans="1:4" ht="15" x14ac:dyDescent="0.25">
      <c r="A326" s="304">
        <v>39556</v>
      </c>
      <c r="B326" s="304" t="s">
        <v>5876</v>
      </c>
      <c r="C326" s="304" t="s">
        <v>5555</v>
      </c>
      <c r="D326" s="541">
        <v>4803.04</v>
      </c>
    </row>
    <row r="327" spans="1:4" ht="15" x14ac:dyDescent="0.25">
      <c r="A327" s="304">
        <v>39557</v>
      </c>
      <c r="B327" s="304" t="s">
        <v>5877</v>
      </c>
      <c r="C327" s="304" t="s">
        <v>5555</v>
      </c>
      <c r="D327" s="541">
        <v>5171.83</v>
      </c>
    </row>
    <row r="328" spans="1:4" ht="15" x14ac:dyDescent="0.25">
      <c r="A328" s="304">
        <v>39558</v>
      </c>
      <c r="B328" s="304" t="s">
        <v>5878</v>
      </c>
      <c r="C328" s="304" t="s">
        <v>5555</v>
      </c>
      <c r="D328" s="541">
        <v>5304.21</v>
      </c>
    </row>
    <row r="329" spans="1:4" ht="15" x14ac:dyDescent="0.25">
      <c r="A329" s="304">
        <v>39559</v>
      </c>
      <c r="B329" s="304" t="s">
        <v>5879</v>
      </c>
      <c r="C329" s="304" t="s">
        <v>5555</v>
      </c>
      <c r="D329" s="541">
        <v>7642.97</v>
      </c>
    </row>
    <row r="330" spans="1:4" ht="15" x14ac:dyDescent="0.25">
      <c r="A330" s="304">
        <v>39560</v>
      </c>
      <c r="B330" s="304" t="s">
        <v>5880</v>
      </c>
      <c r="C330" s="304" t="s">
        <v>5555</v>
      </c>
      <c r="D330" s="541">
        <v>8842.17</v>
      </c>
    </row>
    <row r="331" spans="1:4" ht="15" x14ac:dyDescent="0.25">
      <c r="A331" s="304">
        <v>39561</v>
      </c>
      <c r="B331" s="304" t="s">
        <v>5881</v>
      </c>
      <c r="C331" s="304" t="s">
        <v>5555</v>
      </c>
      <c r="D331" s="541">
        <v>9250.0400000000009</v>
      </c>
    </row>
    <row r="332" spans="1:4" ht="15" x14ac:dyDescent="0.25">
      <c r="A332" s="304">
        <v>39555</v>
      </c>
      <c r="B332" s="304" t="s">
        <v>5882</v>
      </c>
      <c r="C332" s="304" t="s">
        <v>5555</v>
      </c>
      <c r="D332" s="541">
        <v>1476.64</v>
      </c>
    </row>
    <row r="333" spans="1:4" ht="15" x14ac:dyDescent="0.25">
      <c r="A333" s="304">
        <v>39548</v>
      </c>
      <c r="B333" s="304" t="s">
        <v>5883</v>
      </c>
      <c r="C333" s="304" t="s">
        <v>5555</v>
      </c>
      <c r="D333" s="541">
        <v>2190.3200000000002</v>
      </c>
    </row>
    <row r="334" spans="1:4" ht="15" x14ac:dyDescent="0.25">
      <c r="A334" s="304">
        <v>39554</v>
      </c>
      <c r="B334" s="304" t="s">
        <v>5884</v>
      </c>
      <c r="C334" s="304" t="s">
        <v>5555</v>
      </c>
      <c r="D334" s="541">
        <v>2896.37</v>
      </c>
    </row>
    <row r="335" spans="1:4" ht="15" x14ac:dyDescent="0.25">
      <c r="A335" s="304">
        <v>39550</v>
      </c>
      <c r="B335" s="304" t="s">
        <v>5885</v>
      </c>
      <c r="C335" s="304" t="s">
        <v>5555</v>
      </c>
      <c r="D335" s="541">
        <v>1218.01</v>
      </c>
    </row>
    <row r="336" spans="1:4" ht="15" x14ac:dyDescent="0.25">
      <c r="A336" s="304">
        <v>39551</v>
      </c>
      <c r="B336" s="304" t="s">
        <v>5886</v>
      </c>
      <c r="C336" s="304" t="s">
        <v>5555</v>
      </c>
      <c r="D336" s="541">
        <v>1287.6400000000001</v>
      </c>
    </row>
    <row r="337" spans="1:4" ht="15" x14ac:dyDescent="0.25">
      <c r="A337" s="304">
        <v>39580</v>
      </c>
      <c r="B337" s="304" t="s">
        <v>5887</v>
      </c>
      <c r="C337" s="304" t="s">
        <v>5555</v>
      </c>
      <c r="D337" s="541">
        <v>55010.2</v>
      </c>
    </row>
    <row r="338" spans="1:4" ht="15" x14ac:dyDescent="0.25">
      <c r="A338" s="304">
        <v>39577</v>
      </c>
      <c r="B338" s="304" t="s">
        <v>5888</v>
      </c>
      <c r="C338" s="304" t="s">
        <v>5555</v>
      </c>
      <c r="D338" s="541">
        <v>24689.119999999999</v>
      </c>
    </row>
    <row r="339" spans="1:4" ht="15" x14ac:dyDescent="0.25">
      <c r="A339" s="304">
        <v>39578</v>
      </c>
      <c r="B339" s="304" t="s">
        <v>5889</v>
      </c>
      <c r="C339" s="304" t="s">
        <v>5555</v>
      </c>
      <c r="D339" s="541">
        <v>29851.63</v>
      </c>
    </row>
    <row r="340" spans="1:4" ht="15" x14ac:dyDescent="0.25">
      <c r="A340" s="304">
        <v>39579</v>
      </c>
      <c r="B340" s="304" t="s">
        <v>5890</v>
      </c>
      <c r="C340" s="304" t="s">
        <v>5555</v>
      </c>
      <c r="D340" s="541">
        <v>32328.75</v>
      </c>
    </row>
    <row r="341" spans="1:4" ht="15" x14ac:dyDescent="0.25">
      <c r="A341" s="304">
        <v>39826</v>
      </c>
      <c r="B341" s="304" t="s">
        <v>5891</v>
      </c>
      <c r="C341" s="304" t="s">
        <v>5555</v>
      </c>
      <c r="D341" s="541">
        <v>3970.56</v>
      </c>
    </row>
    <row r="342" spans="1:4" ht="15" x14ac:dyDescent="0.25">
      <c r="A342" s="304">
        <v>10700</v>
      </c>
      <c r="B342" s="304" t="s">
        <v>5892</v>
      </c>
      <c r="C342" s="304" t="s">
        <v>5555</v>
      </c>
      <c r="D342" s="541">
        <v>12661.93</v>
      </c>
    </row>
    <row r="343" spans="1:4" ht="15" x14ac:dyDescent="0.25">
      <c r="A343" s="304">
        <v>346</v>
      </c>
      <c r="B343" s="304" t="s">
        <v>5893</v>
      </c>
      <c r="C343" s="304" t="s">
        <v>5626</v>
      </c>
      <c r="D343" s="540">
        <v>14.38</v>
      </c>
    </row>
    <row r="344" spans="1:4" ht="15" x14ac:dyDescent="0.25">
      <c r="A344" s="304">
        <v>3312</v>
      </c>
      <c r="B344" s="304" t="s">
        <v>5894</v>
      </c>
      <c r="C344" s="304" t="s">
        <v>5626</v>
      </c>
      <c r="D344" s="540">
        <v>21.12</v>
      </c>
    </row>
    <row r="345" spans="1:4" ht="15" x14ac:dyDescent="0.25">
      <c r="A345" s="304">
        <v>339</v>
      </c>
      <c r="B345" s="304" t="s">
        <v>5895</v>
      </c>
      <c r="C345" s="304" t="s">
        <v>5575</v>
      </c>
      <c r="D345" s="540">
        <v>0.69</v>
      </c>
    </row>
    <row r="346" spans="1:4" ht="15" x14ac:dyDescent="0.25">
      <c r="A346" s="304">
        <v>340</v>
      </c>
      <c r="B346" s="304" t="s">
        <v>5896</v>
      </c>
      <c r="C346" s="304" t="s">
        <v>5575</v>
      </c>
      <c r="D346" s="540">
        <v>0.96</v>
      </c>
    </row>
    <row r="347" spans="1:4" ht="15" x14ac:dyDescent="0.25">
      <c r="A347" s="304">
        <v>338</v>
      </c>
      <c r="B347" s="304" t="s">
        <v>5897</v>
      </c>
      <c r="C347" s="304" t="s">
        <v>5626</v>
      </c>
      <c r="D347" s="540">
        <v>18.09</v>
      </c>
    </row>
    <row r="348" spans="1:4" ht="15" x14ac:dyDescent="0.25">
      <c r="A348" s="304">
        <v>334</v>
      </c>
      <c r="B348" s="304" t="s">
        <v>5898</v>
      </c>
      <c r="C348" s="304" t="s">
        <v>5626</v>
      </c>
      <c r="D348" s="540">
        <v>13</v>
      </c>
    </row>
    <row r="349" spans="1:4" ht="15" x14ac:dyDescent="0.25">
      <c r="A349" s="304">
        <v>335</v>
      </c>
      <c r="B349" s="304" t="s">
        <v>5899</v>
      </c>
      <c r="C349" s="304" t="s">
        <v>5626</v>
      </c>
      <c r="D349" s="540">
        <v>11.91</v>
      </c>
    </row>
    <row r="350" spans="1:4" ht="15" x14ac:dyDescent="0.25">
      <c r="A350" s="304">
        <v>342</v>
      </c>
      <c r="B350" s="304" t="s">
        <v>5900</v>
      </c>
      <c r="C350" s="304" t="s">
        <v>5626</v>
      </c>
      <c r="D350" s="540">
        <v>13.46</v>
      </c>
    </row>
    <row r="351" spans="1:4" ht="15" x14ac:dyDescent="0.25">
      <c r="A351" s="304">
        <v>333</v>
      </c>
      <c r="B351" s="304" t="s">
        <v>5901</v>
      </c>
      <c r="C351" s="304" t="s">
        <v>5626</v>
      </c>
      <c r="D351" s="540">
        <v>13.78</v>
      </c>
    </row>
    <row r="352" spans="1:4" ht="15" x14ac:dyDescent="0.25">
      <c r="A352" s="304">
        <v>343</v>
      </c>
      <c r="B352" s="304" t="s">
        <v>5902</v>
      </c>
      <c r="C352" s="304" t="s">
        <v>5575</v>
      </c>
      <c r="D352" s="540">
        <v>0.37</v>
      </c>
    </row>
    <row r="353" spans="1:4" ht="15" x14ac:dyDescent="0.25">
      <c r="A353" s="304">
        <v>344</v>
      </c>
      <c r="B353" s="304" t="s">
        <v>5903</v>
      </c>
      <c r="C353" s="304" t="s">
        <v>5626</v>
      </c>
      <c r="D353" s="540">
        <v>14.9</v>
      </c>
    </row>
    <row r="354" spans="1:4" ht="15" x14ac:dyDescent="0.25">
      <c r="A354" s="304">
        <v>345</v>
      </c>
      <c r="B354" s="304" t="s">
        <v>5904</v>
      </c>
      <c r="C354" s="304" t="s">
        <v>5626</v>
      </c>
      <c r="D354" s="540">
        <v>18.21</v>
      </c>
    </row>
    <row r="355" spans="1:4" ht="15" x14ac:dyDescent="0.25">
      <c r="A355" s="304">
        <v>341</v>
      </c>
      <c r="B355" s="304" t="s">
        <v>5904</v>
      </c>
      <c r="C355" s="304" t="s">
        <v>5575</v>
      </c>
      <c r="D355" s="540">
        <v>0.18</v>
      </c>
    </row>
    <row r="356" spans="1:4" ht="15" x14ac:dyDescent="0.25">
      <c r="A356" s="304">
        <v>11107</v>
      </c>
      <c r="B356" s="304" t="s">
        <v>5905</v>
      </c>
      <c r="C356" s="304" t="s">
        <v>5626</v>
      </c>
      <c r="D356" s="540">
        <v>11.83</v>
      </c>
    </row>
    <row r="357" spans="1:4" ht="15" x14ac:dyDescent="0.25">
      <c r="A357" s="304">
        <v>3313</v>
      </c>
      <c r="B357" s="304" t="s">
        <v>5906</v>
      </c>
      <c r="C357" s="304" t="s">
        <v>5626</v>
      </c>
      <c r="D357" s="540">
        <v>27.18</v>
      </c>
    </row>
    <row r="358" spans="1:4" ht="15" x14ac:dyDescent="0.25">
      <c r="A358" s="304">
        <v>34562</v>
      </c>
      <c r="B358" s="304" t="s">
        <v>5907</v>
      </c>
      <c r="C358" s="304" t="s">
        <v>5626</v>
      </c>
      <c r="D358" s="540">
        <v>12.42</v>
      </c>
    </row>
    <row r="359" spans="1:4" ht="15" x14ac:dyDescent="0.25">
      <c r="A359" s="304">
        <v>337</v>
      </c>
      <c r="B359" s="304" t="s">
        <v>5908</v>
      </c>
      <c r="C359" s="304" t="s">
        <v>5626</v>
      </c>
      <c r="D359" s="540">
        <v>12</v>
      </c>
    </row>
    <row r="360" spans="1:4" ht="15" x14ac:dyDescent="0.25">
      <c r="A360" s="304">
        <v>369</v>
      </c>
      <c r="B360" s="304" t="s">
        <v>5909</v>
      </c>
      <c r="C360" s="304" t="s">
        <v>5751</v>
      </c>
      <c r="D360" s="540">
        <v>109.37</v>
      </c>
    </row>
    <row r="361" spans="1:4" ht="15" x14ac:dyDescent="0.25">
      <c r="A361" s="304">
        <v>366</v>
      </c>
      <c r="B361" s="304" t="s">
        <v>5910</v>
      </c>
      <c r="C361" s="304" t="s">
        <v>5751</v>
      </c>
      <c r="D361" s="540">
        <v>67.5</v>
      </c>
    </row>
    <row r="362" spans="1:4" ht="15" x14ac:dyDescent="0.25">
      <c r="A362" s="304">
        <v>367</v>
      </c>
      <c r="B362" s="304" t="s">
        <v>5911</v>
      </c>
      <c r="C362" s="304" t="s">
        <v>5751</v>
      </c>
      <c r="D362" s="540">
        <v>64</v>
      </c>
    </row>
    <row r="363" spans="1:4" ht="15" x14ac:dyDescent="0.25">
      <c r="A363" s="304">
        <v>370</v>
      </c>
      <c r="B363" s="304" t="s">
        <v>5912</v>
      </c>
      <c r="C363" s="304" t="s">
        <v>5751</v>
      </c>
      <c r="D363" s="540">
        <v>65</v>
      </c>
    </row>
    <row r="364" spans="1:4" ht="15" x14ac:dyDescent="0.25">
      <c r="A364" s="304">
        <v>368</v>
      </c>
      <c r="B364" s="304" t="s">
        <v>5913</v>
      </c>
      <c r="C364" s="304" t="s">
        <v>5751</v>
      </c>
      <c r="D364" s="540">
        <v>48</v>
      </c>
    </row>
    <row r="365" spans="1:4" ht="15" x14ac:dyDescent="0.25">
      <c r="A365" s="304">
        <v>11075</v>
      </c>
      <c r="B365" s="304" t="s">
        <v>5914</v>
      </c>
      <c r="C365" s="304" t="s">
        <v>5751</v>
      </c>
      <c r="D365" s="541">
        <v>1048</v>
      </c>
    </row>
    <row r="366" spans="1:4" ht="15" x14ac:dyDescent="0.25">
      <c r="A366" s="304">
        <v>11076</v>
      </c>
      <c r="B366" s="304" t="s">
        <v>5915</v>
      </c>
      <c r="C366" s="304" t="s">
        <v>5751</v>
      </c>
      <c r="D366" s="540">
        <v>80</v>
      </c>
    </row>
    <row r="367" spans="1:4" ht="15" x14ac:dyDescent="0.25">
      <c r="A367" s="304">
        <v>1381</v>
      </c>
      <c r="B367" s="304" t="s">
        <v>5916</v>
      </c>
      <c r="C367" s="304" t="s">
        <v>5626</v>
      </c>
      <c r="D367" s="540">
        <v>0.6</v>
      </c>
    </row>
    <row r="368" spans="1:4" ht="15" x14ac:dyDescent="0.25">
      <c r="A368" s="304">
        <v>34353</v>
      </c>
      <c r="B368" s="304" t="s">
        <v>5917</v>
      </c>
      <c r="C368" s="304" t="s">
        <v>5626</v>
      </c>
      <c r="D368" s="540">
        <v>1.2</v>
      </c>
    </row>
    <row r="369" spans="1:4" ht="15" x14ac:dyDescent="0.25">
      <c r="A369" s="304">
        <v>37595</v>
      </c>
      <c r="B369" s="304" t="s">
        <v>5918</v>
      </c>
      <c r="C369" s="304" t="s">
        <v>5626</v>
      </c>
      <c r="D369" s="540">
        <v>1.83</v>
      </c>
    </row>
    <row r="370" spans="1:4" ht="15" x14ac:dyDescent="0.25">
      <c r="A370" s="304">
        <v>37596</v>
      </c>
      <c r="B370" s="304" t="s">
        <v>5919</v>
      </c>
      <c r="C370" s="304" t="s">
        <v>5626</v>
      </c>
      <c r="D370" s="540">
        <v>2.72</v>
      </c>
    </row>
    <row r="371" spans="1:4" ht="15" x14ac:dyDescent="0.25">
      <c r="A371" s="304">
        <v>371</v>
      </c>
      <c r="B371" s="304" t="s">
        <v>5920</v>
      </c>
      <c r="C371" s="304" t="s">
        <v>5626</v>
      </c>
      <c r="D371" s="540">
        <v>0.54</v>
      </c>
    </row>
    <row r="372" spans="1:4" ht="15" x14ac:dyDescent="0.25">
      <c r="A372" s="304">
        <v>37553</v>
      </c>
      <c r="B372" s="304" t="s">
        <v>5921</v>
      </c>
      <c r="C372" s="304" t="s">
        <v>5626</v>
      </c>
      <c r="D372" s="540">
        <v>2.0299999999999998</v>
      </c>
    </row>
    <row r="373" spans="1:4" ht="15" x14ac:dyDescent="0.25">
      <c r="A373" s="304">
        <v>37552</v>
      </c>
      <c r="B373" s="304" t="s">
        <v>5922</v>
      </c>
      <c r="C373" s="304" t="s">
        <v>5626</v>
      </c>
      <c r="D373" s="540">
        <v>2.6</v>
      </c>
    </row>
    <row r="374" spans="1:4" ht="15" x14ac:dyDescent="0.25">
      <c r="A374" s="304">
        <v>36880</v>
      </c>
      <c r="B374" s="304" t="s">
        <v>5923</v>
      </c>
      <c r="C374" s="304" t="s">
        <v>5626</v>
      </c>
      <c r="D374" s="540">
        <v>2.02</v>
      </c>
    </row>
    <row r="375" spans="1:4" ht="15" x14ac:dyDescent="0.25">
      <c r="A375" s="304">
        <v>34355</v>
      </c>
      <c r="B375" s="304" t="s">
        <v>5924</v>
      </c>
      <c r="C375" s="304" t="s">
        <v>5626</v>
      </c>
      <c r="D375" s="540">
        <v>1.66</v>
      </c>
    </row>
    <row r="376" spans="1:4" ht="15" x14ac:dyDescent="0.25">
      <c r="A376" s="304">
        <v>130</v>
      </c>
      <c r="B376" s="304" t="s">
        <v>5925</v>
      </c>
      <c r="C376" s="304" t="s">
        <v>5626</v>
      </c>
      <c r="D376" s="540">
        <v>4.68</v>
      </c>
    </row>
    <row r="377" spans="1:4" ht="15" x14ac:dyDescent="0.25">
      <c r="A377" s="304">
        <v>135</v>
      </c>
      <c r="B377" s="304" t="s">
        <v>5926</v>
      </c>
      <c r="C377" s="304" t="s">
        <v>5626</v>
      </c>
      <c r="D377" s="540">
        <v>6.03</v>
      </c>
    </row>
    <row r="378" spans="1:4" ht="15" x14ac:dyDescent="0.25">
      <c r="A378" s="304">
        <v>36886</v>
      </c>
      <c r="B378" s="304" t="s">
        <v>5927</v>
      </c>
      <c r="C378" s="304" t="s">
        <v>5626</v>
      </c>
      <c r="D378" s="540">
        <v>0.64</v>
      </c>
    </row>
    <row r="379" spans="1:4" ht="15" x14ac:dyDescent="0.25">
      <c r="A379" s="304">
        <v>374</v>
      </c>
      <c r="B379" s="304" t="s">
        <v>5928</v>
      </c>
      <c r="C379" s="304" t="s">
        <v>5626</v>
      </c>
      <c r="D379" s="540">
        <v>0.46</v>
      </c>
    </row>
    <row r="380" spans="1:4" ht="15" x14ac:dyDescent="0.25">
      <c r="A380" s="304">
        <v>38546</v>
      </c>
      <c r="B380" s="304" t="s">
        <v>5929</v>
      </c>
      <c r="C380" s="304" t="s">
        <v>5751</v>
      </c>
      <c r="D380" s="540">
        <v>490.58</v>
      </c>
    </row>
    <row r="381" spans="1:4" ht="15" x14ac:dyDescent="0.25">
      <c r="A381" s="304">
        <v>34549</v>
      </c>
      <c r="B381" s="304" t="s">
        <v>5930</v>
      </c>
      <c r="C381" s="304" t="s">
        <v>5751</v>
      </c>
      <c r="D381" s="540">
        <v>328.12</v>
      </c>
    </row>
    <row r="382" spans="1:4" ht="15" x14ac:dyDescent="0.25">
      <c r="A382" s="304">
        <v>6081</v>
      </c>
      <c r="B382" s="304" t="s">
        <v>5931</v>
      </c>
      <c r="C382" s="304" t="s">
        <v>5751</v>
      </c>
      <c r="D382" s="540">
        <v>46.48</v>
      </c>
    </row>
    <row r="383" spans="1:4" ht="15" x14ac:dyDescent="0.25">
      <c r="A383" s="304">
        <v>6077</v>
      </c>
      <c r="B383" s="304" t="s">
        <v>5932</v>
      </c>
      <c r="C383" s="304" t="s">
        <v>5751</v>
      </c>
      <c r="D383" s="540">
        <v>26.79</v>
      </c>
    </row>
    <row r="384" spans="1:4" ht="15" x14ac:dyDescent="0.25">
      <c r="A384" s="304">
        <v>6079</v>
      </c>
      <c r="B384" s="304" t="s">
        <v>5933</v>
      </c>
      <c r="C384" s="304" t="s">
        <v>5751</v>
      </c>
      <c r="D384" s="540">
        <v>15.31</v>
      </c>
    </row>
    <row r="385" spans="1:4" ht="15" x14ac:dyDescent="0.25">
      <c r="A385" s="304">
        <v>1091</v>
      </c>
      <c r="B385" s="304" t="s">
        <v>5934</v>
      </c>
      <c r="C385" s="304" t="s">
        <v>5555</v>
      </c>
      <c r="D385" s="540">
        <v>25.21</v>
      </c>
    </row>
    <row r="386" spans="1:4" ht="15" x14ac:dyDescent="0.25">
      <c r="A386" s="304">
        <v>1094</v>
      </c>
      <c r="B386" s="304" t="s">
        <v>5935</v>
      </c>
      <c r="C386" s="304" t="s">
        <v>5555</v>
      </c>
      <c r="D386" s="540">
        <v>17.63</v>
      </c>
    </row>
    <row r="387" spans="1:4" ht="15" x14ac:dyDescent="0.25">
      <c r="A387" s="304">
        <v>1095</v>
      </c>
      <c r="B387" s="304" t="s">
        <v>5936</v>
      </c>
      <c r="C387" s="304" t="s">
        <v>5555</v>
      </c>
      <c r="D387" s="540">
        <v>37.479999999999997</v>
      </c>
    </row>
    <row r="388" spans="1:4" ht="15" x14ac:dyDescent="0.25">
      <c r="A388" s="304">
        <v>1092</v>
      </c>
      <c r="B388" s="304" t="s">
        <v>5937</v>
      </c>
      <c r="C388" s="304" t="s">
        <v>5555</v>
      </c>
      <c r="D388" s="540">
        <v>29</v>
      </c>
    </row>
    <row r="389" spans="1:4" ht="15" x14ac:dyDescent="0.25">
      <c r="A389" s="304">
        <v>1093</v>
      </c>
      <c r="B389" s="304" t="s">
        <v>5938</v>
      </c>
      <c r="C389" s="304" t="s">
        <v>5555</v>
      </c>
      <c r="D389" s="540">
        <v>67.72</v>
      </c>
    </row>
    <row r="390" spans="1:4" ht="15" x14ac:dyDescent="0.25">
      <c r="A390" s="304">
        <v>1090</v>
      </c>
      <c r="B390" s="304" t="s">
        <v>5939</v>
      </c>
      <c r="C390" s="304" t="s">
        <v>5555</v>
      </c>
      <c r="D390" s="540">
        <v>48.49</v>
      </c>
    </row>
    <row r="391" spans="1:4" ht="15" x14ac:dyDescent="0.25">
      <c r="A391" s="304">
        <v>1096</v>
      </c>
      <c r="B391" s="304" t="s">
        <v>5940</v>
      </c>
      <c r="C391" s="304" t="s">
        <v>5555</v>
      </c>
      <c r="D391" s="540">
        <v>87.26</v>
      </c>
    </row>
    <row r="392" spans="1:4" ht="15" x14ac:dyDescent="0.25">
      <c r="A392" s="304">
        <v>1097</v>
      </c>
      <c r="B392" s="304" t="s">
        <v>5941</v>
      </c>
      <c r="C392" s="304" t="s">
        <v>5555</v>
      </c>
      <c r="D392" s="540">
        <v>74.069999999999993</v>
      </c>
    </row>
    <row r="393" spans="1:4" ht="15" x14ac:dyDescent="0.25">
      <c r="A393" s="304">
        <v>378</v>
      </c>
      <c r="B393" s="304" t="s">
        <v>5942</v>
      </c>
      <c r="C393" s="304" t="s">
        <v>5566</v>
      </c>
      <c r="D393" s="540">
        <v>18.21</v>
      </c>
    </row>
    <row r="394" spans="1:4" ht="15" x14ac:dyDescent="0.25">
      <c r="A394" s="304">
        <v>40911</v>
      </c>
      <c r="B394" s="304" t="s">
        <v>5943</v>
      </c>
      <c r="C394" s="304" t="s">
        <v>5755</v>
      </c>
      <c r="D394" s="541">
        <v>3186.9</v>
      </c>
    </row>
    <row r="395" spans="1:4" ht="15" x14ac:dyDescent="0.25">
      <c r="A395" s="304">
        <v>33939</v>
      </c>
      <c r="B395" s="304" t="s">
        <v>5944</v>
      </c>
      <c r="C395" s="304" t="s">
        <v>5566</v>
      </c>
      <c r="D395" s="540">
        <v>61.03</v>
      </c>
    </row>
    <row r="396" spans="1:4" ht="15" x14ac:dyDescent="0.25">
      <c r="A396" s="304">
        <v>40815</v>
      </c>
      <c r="B396" s="304" t="s">
        <v>5945</v>
      </c>
      <c r="C396" s="304" t="s">
        <v>5755</v>
      </c>
      <c r="D396" s="541">
        <v>10680.69</v>
      </c>
    </row>
    <row r="397" spans="1:4" ht="15" x14ac:dyDescent="0.25">
      <c r="A397" s="304">
        <v>34760</v>
      </c>
      <c r="B397" s="304" t="s">
        <v>5946</v>
      </c>
      <c r="C397" s="304" t="s">
        <v>5566</v>
      </c>
      <c r="D397" s="540">
        <v>86.44</v>
      </c>
    </row>
    <row r="398" spans="1:4" ht="15" x14ac:dyDescent="0.25">
      <c r="A398" s="304">
        <v>40935</v>
      </c>
      <c r="B398" s="304" t="s">
        <v>5947</v>
      </c>
      <c r="C398" s="304" t="s">
        <v>5755</v>
      </c>
      <c r="D398" s="541">
        <v>15127.77</v>
      </c>
    </row>
    <row r="399" spans="1:4" ht="15" x14ac:dyDescent="0.25">
      <c r="A399" s="304">
        <v>33952</v>
      </c>
      <c r="B399" s="304" t="s">
        <v>5948</v>
      </c>
      <c r="C399" s="304" t="s">
        <v>5566</v>
      </c>
      <c r="D399" s="540">
        <v>86.69</v>
      </c>
    </row>
    <row r="400" spans="1:4" ht="15" x14ac:dyDescent="0.25">
      <c r="A400" s="304">
        <v>40816</v>
      </c>
      <c r="B400" s="304" t="s">
        <v>5949</v>
      </c>
      <c r="C400" s="304" t="s">
        <v>5755</v>
      </c>
      <c r="D400" s="541">
        <v>15171.03</v>
      </c>
    </row>
    <row r="401" spans="1:4" ht="15" x14ac:dyDescent="0.25">
      <c r="A401" s="304">
        <v>33953</v>
      </c>
      <c r="B401" s="304" t="s">
        <v>5950</v>
      </c>
      <c r="C401" s="304" t="s">
        <v>5566</v>
      </c>
      <c r="D401" s="540">
        <v>114.61</v>
      </c>
    </row>
    <row r="402" spans="1:4" ht="15" x14ac:dyDescent="0.25">
      <c r="A402" s="304">
        <v>40817</v>
      </c>
      <c r="B402" s="304" t="s">
        <v>5951</v>
      </c>
      <c r="C402" s="304" t="s">
        <v>5755</v>
      </c>
      <c r="D402" s="541">
        <v>20057.46</v>
      </c>
    </row>
    <row r="403" spans="1:4" ht="15" x14ac:dyDescent="0.25">
      <c r="A403" s="304">
        <v>13348</v>
      </c>
      <c r="B403" s="304" t="s">
        <v>5952</v>
      </c>
      <c r="C403" s="304" t="s">
        <v>5555</v>
      </c>
      <c r="D403" s="540">
        <v>0.84</v>
      </c>
    </row>
    <row r="404" spans="1:4" ht="15" x14ac:dyDescent="0.25">
      <c r="A404" s="304">
        <v>39211</v>
      </c>
      <c r="B404" s="304" t="s">
        <v>5953</v>
      </c>
      <c r="C404" s="304" t="s">
        <v>5555</v>
      </c>
      <c r="D404" s="540">
        <v>1.1599999999999999</v>
      </c>
    </row>
    <row r="405" spans="1:4" ht="15" x14ac:dyDescent="0.25">
      <c r="A405" s="304">
        <v>39212</v>
      </c>
      <c r="B405" s="304" t="s">
        <v>5954</v>
      </c>
      <c r="C405" s="304" t="s">
        <v>5555</v>
      </c>
      <c r="D405" s="540">
        <v>1.29</v>
      </c>
    </row>
    <row r="406" spans="1:4" ht="15" x14ac:dyDescent="0.25">
      <c r="A406" s="304">
        <v>39208</v>
      </c>
      <c r="B406" s="304" t="s">
        <v>5955</v>
      </c>
      <c r="C406" s="304" t="s">
        <v>5555</v>
      </c>
      <c r="D406" s="540">
        <v>0.35</v>
      </c>
    </row>
    <row r="407" spans="1:4" ht="15" x14ac:dyDescent="0.25">
      <c r="A407" s="304">
        <v>39210</v>
      </c>
      <c r="B407" s="304" t="s">
        <v>5956</v>
      </c>
      <c r="C407" s="304" t="s">
        <v>5555</v>
      </c>
      <c r="D407" s="540">
        <v>0.65</v>
      </c>
    </row>
    <row r="408" spans="1:4" ht="15" x14ac:dyDescent="0.25">
      <c r="A408" s="304">
        <v>39214</v>
      </c>
      <c r="B408" s="304" t="s">
        <v>5957</v>
      </c>
      <c r="C408" s="304" t="s">
        <v>5555</v>
      </c>
      <c r="D408" s="540">
        <v>2.4</v>
      </c>
    </row>
    <row r="409" spans="1:4" ht="15" x14ac:dyDescent="0.25">
      <c r="A409" s="304">
        <v>39213</v>
      </c>
      <c r="B409" s="304" t="s">
        <v>5958</v>
      </c>
      <c r="C409" s="304" t="s">
        <v>5555</v>
      </c>
      <c r="D409" s="540">
        <v>1.69</v>
      </c>
    </row>
    <row r="410" spans="1:4" ht="15" x14ac:dyDescent="0.25">
      <c r="A410" s="304">
        <v>39209</v>
      </c>
      <c r="B410" s="304" t="s">
        <v>5959</v>
      </c>
      <c r="C410" s="304" t="s">
        <v>5555</v>
      </c>
      <c r="D410" s="540">
        <v>0.42</v>
      </c>
    </row>
    <row r="411" spans="1:4" ht="15" x14ac:dyDescent="0.25">
      <c r="A411" s="304">
        <v>39207</v>
      </c>
      <c r="B411" s="304" t="s">
        <v>5960</v>
      </c>
      <c r="C411" s="304" t="s">
        <v>5555</v>
      </c>
      <c r="D411" s="540">
        <v>0.65</v>
      </c>
    </row>
    <row r="412" spans="1:4" ht="15" x14ac:dyDescent="0.25">
      <c r="A412" s="304">
        <v>39215</v>
      </c>
      <c r="B412" s="304" t="s">
        <v>5961</v>
      </c>
      <c r="C412" s="304" t="s">
        <v>5555</v>
      </c>
      <c r="D412" s="540">
        <v>4.37</v>
      </c>
    </row>
    <row r="413" spans="1:4" ht="15" x14ac:dyDescent="0.25">
      <c r="A413" s="304">
        <v>39216</v>
      </c>
      <c r="B413" s="304" t="s">
        <v>5962</v>
      </c>
      <c r="C413" s="304" t="s">
        <v>5555</v>
      </c>
      <c r="D413" s="540">
        <v>6.09</v>
      </c>
    </row>
    <row r="414" spans="1:4" ht="15" x14ac:dyDescent="0.25">
      <c r="A414" s="304">
        <v>379</v>
      </c>
      <c r="B414" s="304" t="s">
        <v>5963</v>
      </c>
      <c r="C414" s="304" t="s">
        <v>5555</v>
      </c>
      <c r="D414" s="540">
        <v>0.73</v>
      </c>
    </row>
    <row r="415" spans="1:4" ht="15" x14ac:dyDescent="0.25">
      <c r="A415" s="304">
        <v>11267</v>
      </c>
      <c r="B415" s="304" t="s">
        <v>5964</v>
      </c>
      <c r="C415" s="304" t="s">
        <v>5555</v>
      </c>
      <c r="D415" s="540">
        <v>7.35</v>
      </c>
    </row>
    <row r="416" spans="1:4" ht="15" x14ac:dyDescent="0.25">
      <c r="A416" s="304">
        <v>41901</v>
      </c>
      <c r="B416" s="304" t="s">
        <v>5965</v>
      </c>
      <c r="C416" s="304" t="s">
        <v>5626</v>
      </c>
      <c r="D416" s="540">
        <v>5.17</v>
      </c>
    </row>
    <row r="417" spans="1:4" ht="15" x14ac:dyDescent="0.25">
      <c r="A417" s="304">
        <v>510</v>
      </c>
      <c r="B417" s="304" t="s">
        <v>5966</v>
      </c>
      <c r="C417" s="304" t="s">
        <v>5626</v>
      </c>
      <c r="D417" s="540">
        <v>8.49</v>
      </c>
    </row>
    <row r="418" spans="1:4" ht="15" x14ac:dyDescent="0.25">
      <c r="A418" s="304">
        <v>516</v>
      </c>
      <c r="B418" s="304" t="s">
        <v>5967</v>
      </c>
      <c r="C418" s="304" t="s">
        <v>5626</v>
      </c>
      <c r="D418" s="540">
        <v>9.0500000000000007</v>
      </c>
    </row>
    <row r="419" spans="1:4" ht="15" x14ac:dyDescent="0.25">
      <c r="A419" s="304">
        <v>509</v>
      </c>
      <c r="B419" s="304" t="s">
        <v>5968</v>
      </c>
      <c r="C419" s="304" t="s">
        <v>5626</v>
      </c>
      <c r="D419" s="540">
        <v>9.24</v>
      </c>
    </row>
    <row r="420" spans="1:4" ht="15" x14ac:dyDescent="0.25">
      <c r="A420" s="304">
        <v>40331</v>
      </c>
      <c r="B420" s="304" t="s">
        <v>5969</v>
      </c>
      <c r="C420" s="304" t="s">
        <v>5566</v>
      </c>
      <c r="D420" s="540">
        <v>18.53</v>
      </c>
    </row>
    <row r="421" spans="1:4" ht="15" x14ac:dyDescent="0.25">
      <c r="A421" s="304">
        <v>40930</v>
      </c>
      <c r="B421" s="304" t="s">
        <v>5970</v>
      </c>
      <c r="C421" s="304" t="s">
        <v>5755</v>
      </c>
      <c r="D421" s="541">
        <v>3244.34</v>
      </c>
    </row>
    <row r="422" spans="1:4" ht="15" x14ac:dyDescent="0.25">
      <c r="A422" s="304">
        <v>11761</v>
      </c>
      <c r="B422" s="304" t="s">
        <v>5971</v>
      </c>
      <c r="C422" s="304" t="s">
        <v>5555</v>
      </c>
      <c r="D422" s="540">
        <v>53.2</v>
      </c>
    </row>
    <row r="423" spans="1:4" ht="15" x14ac:dyDescent="0.25">
      <c r="A423" s="304">
        <v>377</v>
      </c>
      <c r="B423" s="304" t="s">
        <v>5972</v>
      </c>
      <c r="C423" s="304" t="s">
        <v>5555</v>
      </c>
      <c r="D423" s="540">
        <v>25</v>
      </c>
    </row>
    <row r="424" spans="1:4" ht="15" x14ac:dyDescent="0.25">
      <c r="A424" s="304">
        <v>7588</v>
      </c>
      <c r="B424" s="304" t="s">
        <v>5973</v>
      </c>
      <c r="C424" s="304" t="s">
        <v>5555</v>
      </c>
      <c r="D424" s="540">
        <v>40.5</v>
      </c>
    </row>
    <row r="425" spans="1:4" ht="15" x14ac:dyDescent="0.25">
      <c r="A425" s="304">
        <v>34392</v>
      </c>
      <c r="B425" s="304" t="s">
        <v>5974</v>
      </c>
      <c r="C425" s="304" t="s">
        <v>5566</v>
      </c>
      <c r="D425" s="540">
        <v>11.51</v>
      </c>
    </row>
    <row r="426" spans="1:4" ht="15" x14ac:dyDescent="0.25">
      <c r="A426" s="304">
        <v>40908</v>
      </c>
      <c r="B426" s="304" t="s">
        <v>5975</v>
      </c>
      <c r="C426" s="304" t="s">
        <v>5755</v>
      </c>
      <c r="D426" s="541">
        <v>2015.59</v>
      </c>
    </row>
    <row r="427" spans="1:4" ht="15" x14ac:dyDescent="0.25">
      <c r="A427" s="304">
        <v>34551</v>
      </c>
      <c r="B427" s="304" t="s">
        <v>5976</v>
      </c>
      <c r="C427" s="304" t="s">
        <v>5566</v>
      </c>
      <c r="D427" s="540">
        <v>11.21</v>
      </c>
    </row>
    <row r="428" spans="1:4" ht="15" x14ac:dyDescent="0.25">
      <c r="A428" s="304">
        <v>41078</v>
      </c>
      <c r="B428" s="304" t="s">
        <v>5977</v>
      </c>
      <c r="C428" s="304" t="s">
        <v>5755</v>
      </c>
      <c r="D428" s="541">
        <v>1964.05</v>
      </c>
    </row>
    <row r="429" spans="1:4" ht="15" x14ac:dyDescent="0.25">
      <c r="A429" s="304">
        <v>246</v>
      </c>
      <c r="B429" s="304" t="s">
        <v>5978</v>
      </c>
      <c r="C429" s="304" t="s">
        <v>5566</v>
      </c>
      <c r="D429" s="540">
        <v>12.24</v>
      </c>
    </row>
    <row r="430" spans="1:4" ht="15" x14ac:dyDescent="0.25">
      <c r="A430" s="304">
        <v>40927</v>
      </c>
      <c r="B430" s="304" t="s">
        <v>5979</v>
      </c>
      <c r="C430" s="304" t="s">
        <v>5755</v>
      </c>
      <c r="D430" s="541">
        <v>2144.6999999999998</v>
      </c>
    </row>
    <row r="431" spans="1:4" ht="15" x14ac:dyDescent="0.25">
      <c r="A431" s="304">
        <v>2350</v>
      </c>
      <c r="B431" s="304" t="s">
        <v>5980</v>
      </c>
      <c r="C431" s="304" t="s">
        <v>5566</v>
      </c>
      <c r="D431" s="540">
        <v>14.21</v>
      </c>
    </row>
    <row r="432" spans="1:4" ht="15" x14ac:dyDescent="0.25">
      <c r="A432" s="304">
        <v>40812</v>
      </c>
      <c r="B432" s="304" t="s">
        <v>5981</v>
      </c>
      <c r="C432" s="304" t="s">
        <v>5755</v>
      </c>
      <c r="D432" s="541">
        <v>2490.61</v>
      </c>
    </row>
    <row r="433" spans="1:4" ht="15" x14ac:dyDescent="0.25">
      <c r="A433" s="304">
        <v>245</v>
      </c>
      <c r="B433" s="304" t="s">
        <v>5982</v>
      </c>
      <c r="C433" s="304" t="s">
        <v>5566</v>
      </c>
      <c r="D433" s="540">
        <v>15.07</v>
      </c>
    </row>
    <row r="434" spans="1:4" ht="15" x14ac:dyDescent="0.25">
      <c r="A434" s="304">
        <v>41090</v>
      </c>
      <c r="B434" s="304" t="s">
        <v>5983</v>
      </c>
      <c r="C434" s="304" t="s">
        <v>5755</v>
      </c>
      <c r="D434" s="541">
        <v>2638.26</v>
      </c>
    </row>
    <row r="435" spans="1:4" ht="15" x14ac:dyDescent="0.25">
      <c r="A435" s="304">
        <v>251</v>
      </c>
      <c r="B435" s="304" t="s">
        <v>5984</v>
      </c>
      <c r="C435" s="304" t="s">
        <v>5566</v>
      </c>
      <c r="D435" s="540">
        <v>11.18</v>
      </c>
    </row>
    <row r="436" spans="1:4" ht="15" x14ac:dyDescent="0.25">
      <c r="A436" s="304">
        <v>40975</v>
      </c>
      <c r="B436" s="304" t="s">
        <v>5985</v>
      </c>
      <c r="C436" s="304" t="s">
        <v>5755</v>
      </c>
      <c r="D436" s="541">
        <v>1961.25</v>
      </c>
    </row>
    <row r="437" spans="1:4" ht="15" x14ac:dyDescent="0.25">
      <c r="A437" s="304">
        <v>6127</v>
      </c>
      <c r="B437" s="304" t="s">
        <v>5986</v>
      </c>
      <c r="C437" s="304" t="s">
        <v>5566</v>
      </c>
      <c r="D437" s="540">
        <v>12.3</v>
      </c>
    </row>
    <row r="438" spans="1:4" ht="15" x14ac:dyDescent="0.25">
      <c r="A438" s="304">
        <v>41072</v>
      </c>
      <c r="B438" s="304" t="s">
        <v>5987</v>
      </c>
      <c r="C438" s="304" t="s">
        <v>5755</v>
      </c>
      <c r="D438" s="541">
        <v>2154.69</v>
      </c>
    </row>
    <row r="439" spans="1:4" ht="15" x14ac:dyDescent="0.25">
      <c r="A439" s="304">
        <v>6121</v>
      </c>
      <c r="B439" s="304" t="s">
        <v>5988</v>
      </c>
      <c r="C439" s="304" t="s">
        <v>5566</v>
      </c>
      <c r="D439" s="540">
        <v>12.92</v>
      </c>
    </row>
    <row r="440" spans="1:4" ht="15" x14ac:dyDescent="0.25">
      <c r="A440" s="304">
        <v>41071</v>
      </c>
      <c r="B440" s="304" t="s">
        <v>5989</v>
      </c>
      <c r="C440" s="304" t="s">
        <v>5755</v>
      </c>
      <c r="D440" s="541">
        <v>2265.5500000000002</v>
      </c>
    </row>
    <row r="441" spans="1:4" ht="15" x14ac:dyDescent="0.25">
      <c r="A441" s="304">
        <v>244</v>
      </c>
      <c r="B441" s="304" t="s">
        <v>5990</v>
      </c>
      <c r="C441" s="304" t="s">
        <v>5566</v>
      </c>
      <c r="D441" s="540">
        <v>13.22</v>
      </c>
    </row>
    <row r="442" spans="1:4" ht="15" x14ac:dyDescent="0.25">
      <c r="A442" s="304">
        <v>41093</v>
      </c>
      <c r="B442" s="304" t="s">
        <v>5991</v>
      </c>
      <c r="C442" s="304" t="s">
        <v>5755</v>
      </c>
      <c r="D442" s="541">
        <v>2317.87</v>
      </c>
    </row>
    <row r="443" spans="1:4" ht="15" x14ac:dyDescent="0.25">
      <c r="A443" s="304">
        <v>532</v>
      </c>
      <c r="B443" s="304" t="s">
        <v>5992</v>
      </c>
      <c r="C443" s="304" t="s">
        <v>5566</v>
      </c>
      <c r="D443" s="540">
        <v>34.659999999999997</v>
      </c>
    </row>
    <row r="444" spans="1:4" ht="15" x14ac:dyDescent="0.25">
      <c r="A444" s="304">
        <v>40931</v>
      </c>
      <c r="B444" s="304" t="s">
        <v>5993</v>
      </c>
      <c r="C444" s="304" t="s">
        <v>5755</v>
      </c>
      <c r="D444" s="541">
        <v>6068.5</v>
      </c>
    </row>
    <row r="445" spans="1:4" ht="15" x14ac:dyDescent="0.25">
      <c r="A445" s="304">
        <v>36150</v>
      </c>
      <c r="B445" s="304" t="s">
        <v>5994</v>
      </c>
      <c r="C445" s="304" t="s">
        <v>5555</v>
      </c>
      <c r="D445" s="540">
        <v>35.78</v>
      </c>
    </row>
    <row r="446" spans="1:4" ht="15" x14ac:dyDescent="0.25">
      <c r="A446" s="304">
        <v>41069</v>
      </c>
      <c r="B446" s="304" t="s">
        <v>5995</v>
      </c>
      <c r="C446" s="304" t="s">
        <v>5755</v>
      </c>
      <c r="D446" s="541">
        <v>2945.89</v>
      </c>
    </row>
    <row r="447" spans="1:4" ht="15" x14ac:dyDescent="0.25">
      <c r="A447" s="304">
        <v>4760</v>
      </c>
      <c r="B447" s="304" t="s">
        <v>5996</v>
      </c>
      <c r="C447" s="304" t="s">
        <v>5566</v>
      </c>
      <c r="D447" s="540">
        <v>16.809999999999999</v>
      </c>
    </row>
    <row r="448" spans="1:4" ht="15" x14ac:dyDescent="0.25">
      <c r="A448" s="304">
        <v>10422</v>
      </c>
      <c r="B448" s="304" t="s">
        <v>5997</v>
      </c>
      <c r="C448" s="304" t="s">
        <v>5555</v>
      </c>
      <c r="D448" s="540">
        <v>319.95999999999998</v>
      </c>
    </row>
    <row r="449" spans="1:4" ht="15" x14ac:dyDescent="0.25">
      <c r="A449" s="304">
        <v>10420</v>
      </c>
      <c r="B449" s="304" t="s">
        <v>5998</v>
      </c>
      <c r="C449" s="304" t="s">
        <v>5555</v>
      </c>
      <c r="D449" s="540">
        <v>120</v>
      </c>
    </row>
    <row r="450" spans="1:4" ht="15" x14ac:dyDescent="0.25">
      <c r="A450" s="304">
        <v>10421</v>
      </c>
      <c r="B450" s="304" t="s">
        <v>5999</v>
      </c>
      <c r="C450" s="304" t="s">
        <v>5555</v>
      </c>
      <c r="D450" s="540">
        <v>160.6</v>
      </c>
    </row>
    <row r="451" spans="1:4" ht="15" x14ac:dyDescent="0.25">
      <c r="A451" s="304">
        <v>36520</v>
      </c>
      <c r="B451" s="304" t="s">
        <v>6000</v>
      </c>
      <c r="C451" s="304" t="s">
        <v>5555</v>
      </c>
      <c r="D451" s="540">
        <v>597.85</v>
      </c>
    </row>
    <row r="452" spans="1:4" ht="15" x14ac:dyDescent="0.25">
      <c r="A452" s="304">
        <v>11784</v>
      </c>
      <c r="B452" s="304" t="s">
        <v>6001</v>
      </c>
      <c r="C452" s="304" t="s">
        <v>5555</v>
      </c>
      <c r="D452" s="540">
        <v>449.02</v>
      </c>
    </row>
    <row r="453" spans="1:4" ht="15" x14ac:dyDescent="0.25">
      <c r="A453" s="304">
        <v>10</v>
      </c>
      <c r="B453" s="304" t="s">
        <v>6002</v>
      </c>
      <c r="C453" s="304" t="s">
        <v>5555</v>
      </c>
      <c r="D453" s="540">
        <v>6.13</v>
      </c>
    </row>
    <row r="454" spans="1:4" ht="15" x14ac:dyDescent="0.25">
      <c r="A454" s="304">
        <v>4815</v>
      </c>
      <c r="B454" s="304" t="s">
        <v>6003</v>
      </c>
      <c r="C454" s="304" t="s">
        <v>5555</v>
      </c>
      <c r="D454" s="540">
        <v>5.0599999999999996</v>
      </c>
    </row>
    <row r="455" spans="1:4" ht="15" x14ac:dyDescent="0.25">
      <c r="A455" s="304">
        <v>541</v>
      </c>
      <c r="B455" s="304" t="s">
        <v>6004</v>
      </c>
      <c r="C455" s="304" t="s">
        <v>5555</v>
      </c>
      <c r="D455" s="540">
        <v>130</v>
      </c>
    </row>
    <row r="456" spans="1:4" ht="15" x14ac:dyDescent="0.25">
      <c r="A456" s="304">
        <v>542</v>
      </c>
      <c r="B456" s="304" t="s">
        <v>6005</v>
      </c>
      <c r="C456" s="304" t="s">
        <v>5555</v>
      </c>
      <c r="D456" s="540">
        <v>162.94999999999999</v>
      </c>
    </row>
    <row r="457" spans="1:4" ht="15" x14ac:dyDescent="0.25">
      <c r="A457" s="304">
        <v>540</v>
      </c>
      <c r="B457" s="304" t="s">
        <v>6006</v>
      </c>
      <c r="C457" s="304" t="s">
        <v>5555</v>
      </c>
      <c r="D457" s="540">
        <v>367.22</v>
      </c>
    </row>
    <row r="458" spans="1:4" ht="15" x14ac:dyDescent="0.25">
      <c r="A458" s="304">
        <v>38364</v>
      </c>
      <c r="B458" s="304" t="s">
        <v>6007</v>
      </c>
      <c r="C458" s="304" t="s">
        <v>5555</v>
      </c>
      <c r="D458" s="540">
        <v>597.48</v>
      </c>
    </row>
    <row r="459" spans="1:4" ht="15" x14ac:dyDescent="0.25">
      <c r="A459" s="304">
        <v>11692</v>
      </c>
      <c r="B459" s="304" t="s">
        <v>6008</v>
      </c>
      <c r="C459" s="304" t="s">
        <v>5564</v>
      </c>
      <c r="D459" s="540">
        <v>396.93</v>
      </c>
    </row>
    <row r="460" spans="1:4" ht="15" x14ac:dyDescent="0.25">
      <c r="A460" s="304">
        <v>1746</v>
      </c>
      <c r="B460" s="304" t="s">
        <v>6009</v>
      </c>
      <c r="C460" s="304" t="s">
        <v>5555</v>
      </c>
      <c r="D460" s="540">
        <v>201.5</v>
      </c>
    </row>
    <row r="461" spans="1:4" ht="15" x14ac:dyDescent="0.25">
      <c r="A461" s="304">
        <v>1748</v>
      </c>
      <c r="B461" s="304" t="s">
        <v>6010</v>
      </c>
      <c r="C461" s="304" t="s">
        <v>5555</v>
      </c>
      <c r="D461" s="540">
        <v>267.94</v>
      </c>
    </row>
    <row r="462" spans="1:4" ht="15" x14ac:dyDescent="0.25">
      <c r="A462" s="304">
        <v>1749</v>
      </c>
      <c r="B462" s="304" t="s">
        <v>6011</v>
      </c>
      <c r="C462" s="304" t="s">
        <v>5555</v>
      </c>
      <c r="D462" s="540">
        <v>388.2</v>
      </c>
    </row>
    <row r="463" spans="1:4" ht="15" x14ac:dyDescent="0.25">
      <c r="A463" s="304">
        <v>37412</v>
      </c>
      <c r="B463" s="304" t="s">
        <v>6012</v>
      </c>
      <c r="C463" s="304" t="s">
        <v>5555</v>
      </c>
      <c r="D463" s="540">
        <v>196.96</v>
      </c>
    </row>
    <row r="464" spans="1:4" ht="15" x14ac:dyDescent="0.25">
      <c r="A464" s="304">
        <v>1745</v>
      </c>
      <c r="B464" s="304" t="s">
        <v>6013</v>
      </c>
      <c r="C464" s="304" t="s">
        <v>5555</v>
      </c>
      <c r="D464" s="540">
        <v>234.21</v>
      </c>
    </row>
    <row r="465" spans="1:4" ht="15" x14ac:dyDescent="0.25">
      <c r="A465" s="304">
        <v>1750</v>
      </c>
      <c r="B465" s="304" t="s">
        <v>6014</v>
      </c>
      <c r="C465" s="304" t="s">
        <v>5555</v>
      </c>
      <c r="D465" s="540">
        <v>547.33000000000004</v>
      </c>
    </row>
    <row r="466" spans="1:4" ht="15" x14ac:dyDescent="0.25">
      <c r="A466" s="304">
        <v>11687</v>
      </c>
      <c r="B466" s="304" t="s">
        <v>6015</v>
      </c>
      <c r="C466" s="304" t="s">
        <v>5575</v>
      </c>
      <c r="D466" s="540">
        <v>872.07</v>
      </c>
    </row>
    <row r="467" spans="1:4" ht="15" x14ac:dyDescent="0.25">
      <c r="A467" s="304">
        <v>11689</v>
      </c>
      <c r="B467" s="304" t="s">
        <v>6016</v>
      </c>
      <c r="C467" s="304" t="s">
        <v>5575</v>
      </c>
      <c r="D467" s="541">
        <v>1092.6500000000001</v>
      </c>
    </row>
    <row r="468" spans="1:4" ht="15" x14ac:dyDescent="0.25">
      <c r="A468" s="304">
        <v>11693</v>
      </c>
      <c r="B468" s="304" t="s">
        <v>6017</v>
      </c>
      <c r="C468" s="304" t="s">
        <v>5564</v>
      </c>
      <c r="D468" s="540">
        <v>144.13999999999999</v>
      </c>
    </row>
    <row r="469" spans="1:4" ht="15" x14ac:dyDescent="0.25">
      <c r="A469" s="304">
        <v>36215</v>
      </c>
      <c r="B469" s="304" t="s">
        <v>6018</v>
      </c>
      <c r="C469" s="304" t="s">
        <v>5555</v>
      </c>
      <c r="D469" s="540">
        <v>613.84</v>
      </c>
    </row>
    <row r="470" spans="1:4" ht="15" x14ac:dyDescent="0.25">
      <c r="A470" s="304">
        <v>42439</v>
      </c>
      <c r="B470" s="304" t="s">
        <v>6019</v>
      </c>
      <c r="C470" s="304" t="s">
        <v>5555</v>
      </c>
      <c r="D470" s="540">
        <v>686.09</v>
      </c>
    </row>
    <row r="471" spans="1:4" ht="15" x14ac:dyDescent="0.25">
      <c r="A471" s="304">
        <v>38381</v>
      </c>
      <c r="B471" s="304" t="s">
        <v>6020</v>
      </c>
      <c r="C471" s="304" t="s">
        <v>5555</v>
      </c>
      <c r="D471" s="540">
        <v>7.65</v>
      </c>
    </row>
    <row r="472" spans="1:4" ht="15" x14ac:dyDescent="0.25">
      <c r="A472" s="304">
        <v>39621</v>
      </c>
      <c r="B472" s="304" t="s">
        <v>6021</v>
      </c>
      <c r="C472" s="304" t="s">
        <v>6022</v>
      </c>
      <c r="D472" s="541">
        <v>1107.98</v>
      </c>
    </row>
    <row r="473" spans="1:4" ht="15" x14ac:dyDescent="0.25">
      <c r="A473" s="304">
        <v>39624</v>
      </c>
      <c r="B473" s="304" t="s">
        <v>6023</v>
      </c>
      <c r="C473" s="304" t="s">
        <v>6022</v>
      </c>
      <c r="D473" s="541">
        <v>1121.21</v>
      </c>
    </row>
    <row r="474" spans="1:4" ht="15" x14ac:dyDescent="0.25">
      <c r="A474" s="304">
        <v>39615</v>
      </c>
      <c r="B474" s="304" t="s">
        <v>6024</v>
      </c>
      <c r="C474" s="304" t="s">
        <v>5555</v>
      </c>
      <c r="D474" s="540">
        <v>386.54</v>
      </c>
    </row>
    <row r="475" spans="1:4" ht="15" x14ac:dyDescent="0.25">
      <c r="A475" s="304">
        <v>39620</v>
      </c>
      <c r="B475" s="304" t="s">
        <v>6025</v>
      </c>
      <c r="C475" s="304" t="s">
        <v>5555</v>
      </c>
      <c r="D475" s="540">
        <v>590.91999999999996</v>
      </c>
    </row>
    <row r="476" spans="1:4" ht="15" x14ac:dyDescent="0.25">
      <c r="A476" s="304">
        <v>39623</v>
      </c>
      <c r="B476" s="304" t="s">
        <v>6026</v>
      </c>
      <c r="C476" s="304" t="s">
        <v>5555</v>
      </c>
      <c r="D476" s="540">
        <v>572.21</v>
      </c>
    </row>
    <row r="477" spans="1:4" ht="15" x14ac:dyDescent="0.25">
      <c r="A477" s="304">
        <v>36207</v>
      </c>
      <c r="B477" s="304" t="s">
        <v>6027</v>
      </c>
      <c r="C477" s="304" t="s">
        <v>5555</v>
      </c>
      <c r="D477" s="540">
        <v>271.89</v>
      </c>
    </row>
    <row r="478" spans="1:4" ht="15" x14ac:dyDescent="0.25">
      <c r="A478" s="304">
        <v>36209</v>
      </c>
      <c r="B478" s="304" t="s">
        <v>6028</v>
      </c>
      <c r="C478" s="304" t="s">
        <v>5555</v>
      </c>
      <c r="D478" s="540">
        <v>312.02999999999997</v>
      </c>
    </row>
    <row r="479" spans="1:4" ht="15" x14ac:dyDescent="0.25">
      <c r="A479" s="304">
        <v>36210</v>
      </c>
      <c r="B479" s="304" t="s">
        <v>6029</v>
      </c>
      <c r="C479" s="304" t="s">
        <v>5555</v>
      </c>
      <c r="D479" s="540">
        <v>337.61</v>
      </c>
    </row>
    <row r="480" spans="1:4" ht="15" x14ac:dyDescent="0.25">
      <c r="A480" s="304">
        <v>36204</v>
      </c>
      <c r="B480" s="304" t="s">
        <v>6030</v>
      </c>
      <c r="C480" s="304" t="s">
        <v>5555</v>
      </c>
      <c r="D480" s="540">
        <v>119.7</v>
      </c>
    </row>
    <row r="481" spans="1:4" ht="15" x14ac:dyDescent="0.25">
      <c r="A481" s="304">
        <v>36205</v>
      </c>
      <c r="B481" s="304" t="s">
        <v>6031</v>
      </c>
      <c r="C481" s="304" t="s">
        <v>5555</v>
      </c>
      <c r="D481" s="540">
        <v>132.94</v>
      </c>
    </row>
    <row r="482" spans="1:4" ht="15" x14ac:dyDescent="0.25">
      <c r="A482" s="304">
        <v>36081</v>
      </c>
      <c r="B482" s="304" t="s">
        <v>6032</v>
      </c>
      <c r="C482" s="304" t="s">
        <v>5555</v>
      </c>
      <c r="D482" s="540">
        <v>141.75</v>
      </c>
    </row>
    <row r="483" spans="1:4" ht="15" x14ac:dyDescent="0.25">
      <c r="A483" s="304">
        <v>36206</v>
      </c>
      <c r="B483" s="304" t="s">
        <v>6033</v>
      </c>
      <c r="C483" s="304" t="s">
        <v>5555</v>
      </c>
      <c r="D483" s="540">
        <v>148.5</v>
      </c>
    </row>
    <row r="484" spans="1:4" ht="15" x14ac:dyDescent="0.25">
      <c r="A484" s="304">
        <v>36218</v>
      </c>
      <c r="B484" s="304" t="s">
        <v>6034</v>
      </c>
      <c r="C484" s="304" t="s">
        <v>5555</v>
      </c>
      <c r="D484" s="540">
        <v>83.19</v>
      </c>
    </row>
    <row r="485" spans="1:4" ht="15" x14ac:dyDescent="0.25">
      <c r="A485" s="304">
        <v>36220</v>
      </c>
      <c r="B485" s="304" t="s">
        <v>6035</v>
      </c>
      <c r="C485" s="304" t="s">
        <v>5555</v>
      </c>
      <c r="D485" s="540">
        <v>95.39</v>
      </c>
    </row>
    <row r="486" spans="1:4" ht="15" x14ac:dyDescent="0.25">
      <c r="A486" s="304">
        <v>36080</v>
      </c>
      <c r="B486" s="304" t="s">
        <v>6036</v>
      </c>
      <c r="C486" s="304" t="s">
        <v>5555</v>
      </c>
      <c r="D486" s="540">
        <v>103.18</v>
      </c>
    </row>
    <row r="487" spans="1:4" ht="15" x14ac:dyDescent="0.25">
      <c r="A487" s="304">
        <v>36223</v>
      </c>
      <c r="B487" s="304" t="s">
        <v>6037</v>
      </c>
      <c r="C487" s="304" t="s">
        <v>5555</v>
      </c>
      <c r="D487" s="540">
        <v>108.04</v>
      </c>
    </row>
    <row r="488" spans="1:4" ht="15" x14ac:dyDescent="0.25">
      <c r="A488" s="304">
        <v>546</v>
      </c>
      <c r="B488" s="304" t="s">
        <v>6038</v>
      </c>
      <c r="C488" s="304" t="s">
        <v>5626</v>
      </c>
      <c r="D488" s="540">
        <v>5.97</v>
      </c>
    </row>
    <row r="489" spans="1:4" ht="15" x14ac:dyDescent="0.25">
      <c r="A489" s="304">
        <v>557</v>
      </c>
      <c r="B489" s="304" t="s">
        <v>6039</v>
      </c>
      <c r="C489" s="304" t="s">
        <v>5575</v>
      </c>
      <c r="D489" s="540">
        <v>22.91</v>
      </c>
    </row>
    <row r="490" spans="1:4" ht="15" x14ac:dyDescent="0.25">
      <c r="A490" s="304">
        <v>552</v>
      </c>
      <c r="B490" s="304" t="s">
        <v>6040</v>
      </c>
      <c r="C490" s="304" t="s">
        <v>5575</v>
      </c>
      <c r="D490" s="540">
        <v>11.28</v>
      </c>
    </row>
    <row r="491" spans="1:4" ht="15" x14ac:dyDescent="0.25">
      <c r="A491" s="304">
        <v>555</v>
      </c>
      <c r="B491" s="304" t="s">
        <v>6041</v>
      </c>
      <c r="C491" s="304" t="s">
        <v>5575</v>
      </c>
      <c r="D491" s="540">
        <v>6.91</v>
      </c>
    </row>
    <row r="492" spans="1:4" ht="15" x14ac:dyDescent="0.25">
      <c r="A492" s="304">
        <v>565</v>
      </c>
      <c r="B492" s="304" t="s">
        <v>6042</v>
      </c>
      <c r="C492" s="304" t="s">
        <v>5575</v>
      </c>
      <c r="D492" s="540">
        <v>10.56</v>
      </c>
    </row>
    <row r="493" spans="1:4" ht="15" x14ac:dyDescent="0.25">
      <c r="A493" s="304">
        <v>549</v>
      </c>
      <c r="B493" s="304" t="s">
        <v>6043</v>
      </c>
      <c r="C493" s="304" t="s">
        <v>5575</v>
      </c>
      <c r="D493" s="540">
        <v>30.2</v>
      </c>
    </row>
    <row r="494" spans="1:4" ht="15" x14ac:dyDescent="0.25">
      <c r="A494" s="304">
        <v>559</v>
      </c>
      <c r="B494" s="304" t="s">
        <v>6044</v>
      </c>
      <c r="C494" s="304" t="s">
        <v>5575</v>
      </c>
      <c r="D494" s="540">
        <v>15.1</v>
      </c>
    </row>
    <row r="495" spans="1:4" ht="15" x14ac:dyDescent="0.25">
      <c r="A495" s="304">
        <v>551</v>
      </c>
      <c r="B495" s="304" t="s">
        <v>6045</v>
      </c>
      <c r="C495" s="304" t="s">
        <v>5575</v>
      </c>
      <c r="D495" s="540">
        <v>59.02</v>
      </c>
    </row>
    <row r="496" spans="1:4" ht="15" x14ac:dyDescent="0.25">
      <c r="A496" s="304">
        <v>547</v>
      </c>
      <c r="B496" s="304" t="s">
        <v>6046</v>
      </c>
      <c r="C496" s="304" t="s">
        <v>5575</v>
      </c>
      <c r="D496" s="540">
        <v>22.62</v>
      </c>
    </row>
    <row r="497" spans="1:4" ht="15" x14ac:dyDescent="0.25">
      <c r="A497" s="304">
        <v>560</v>
      </c>
      <c r="B497" s="304" t="s">
        <v>6047</v>
      </c>
      <c r="C497" s="304" t="s">
        <v>5575</v>
      </c>
      <c r="D497" s="540">
        <v>19.11</v>
      </c>
    </row>
    <row r="498" spans="1:4" ht="15" x14ac:dyDescent="0.25">
      <c r="A498" s="304">
        <v>566</v>
      </c>
      <c r="B498" s="304" t="s">
        <v>6048</v>
      </c>
      <c r="C498" s="304" t="s">
        <v>5575</v>
      </c>
      <c r="D498" s="540">
        <v>3.07</v>
      </c>
    </row>
    <row r="499" spans="1:4" ht="15" x14ac:dyDescent="0.25">
      <c r="A499" s="304">
        <v>563</v>
      </c>
      <c r="B499" s="304" t="s">
        <v>6049</v>
      </c>
      <c r="C499" s="304" t="s">
        <v>5575</v>
      </c>
      <c r="D499" s="540">
        <v>17.170000000000002</v>
      </c>
    </row>
    <row r="500" spans="1:4" ht="15" x14ac:dyDescent="0.25">
      <c r="A500" s="304">
        <v>38127</v>
      </c>
      <c r="B500" s="304" t="s">
        <v>6050</v>
      </c>
      <c r="C500" s="304" t="s">
        <v>5555</v>
      </c>
      <c r="D500" s="540">
        <v>344.07</v>
      </c>
    </row>
    <row r="501" spans="1:4" ht="15" x14ac:dyDescent="0.25">
      <c r="A501" s="304">
        <v>38060</v>
      </c>
      <c r="B501" s="304" t="s">
        <v>6051</v>
      </c>
      <c r="C501" s="304" t="s">
        <v>5555</v>
      </c>
      <c r="D501" s="540">
        <v>40.11</v>
      </c>
    </row>
    <row r="502" spans="1:4" ht="15" x14ac:dyDescent="0.25">
      <c r="A502" s="304">
        <v>10956</v>
      </c>
      <c r="B502" s="304" t="s">
        <v>6052</v>
      </c>
      <c r="C502" s="304" t="s">
        <v>5555</v>
      </c>
      <c r="D502" s="540">
        <v>41.67</v>
      </c>
    </row>
    <row r="503" spans="1:4" ht="15" x14ac:dyDescent="0.25">
      <c r="A503" s="304">
        <v>39380</v>
      </c>
      <c r="B503" s="304" t="s">
        <v>6053</v>
      </c>
      <c r="C503" s="304" t="s">
        <v>5555</v>
      </c>
      <c r="D503" s="540">
        <v>13.99</v>
      </c>
    </row>
    <row r="504" spans="1:4" ht="15" x14ac:dyDescent="0.25">
      <c r="A504" s="304">
        <v>13374</v>
      </c>
      <c r="B504" s="304" t="s">
        <v>6054</v>
      </c>
      <c r="C504" s="304" t="s">
        <v>5555</v>
      </c>
      <c r="D504" s="540">
        <v>89.91</v>
      </c>
    </row>
    <row r="505" spans="1:4" ht="15" x14ac:dyDescent="0.25">
      <c r="A505" s="304">
        <v>37597</v>
      </c>
      <c r="B505" s="304" t="s">
        <v>6055</v>
      </c>
      <c r="C505" s="304" t="s">
        <v>5555</v>
      </c>
      <c r="D505" s="541">
        <v>324587.03000000003</v>
      </c>
    </row>
    <row r="506" spans="1:4" ht="15" x14ac:dyDescent="0.25">
      <c r="A506" s="304">
        <v>183</v>
      </c>
      <c r="B506" s="304" t="s">
        <v>6056</v>
      </c>
      <c r="C506" s="304" t="s">
        <v>6057</v>
      </c>
      <c r="D506" s="540">
        <v>60</v>
      </c>
    </row>
    <row r="507" spans="1:4" ht="15" x14ac:dyDescent="0.25">
      <c r="A507" s="304">
        <v>184</v>
      </c>
      <c r="B507" s="304" t="s">
        <v>6058</v>
      </c>
      <c r="C507" s="304" t="s">
        <v>6057</v>
      </c>
      <c r="D507" s="540">
        <v>39.65</v>
      </c>
    </row>
    <row r="508" spans="1:4" ht="15" x14ac:dyDescent="0.25">
      <c r="A508" s="304">
        <v>195</v>
      </c>
      <c r="B508" s="304" t="s">
        <v>6059</v>
      </c>
      <c r="C508" s="304" t="s">
        <v>6057</v>
      </c>
      <c r="D508" s="540">
        <v>48.74</v>
      </c>
    </row>
    <row r="509" spans="1:4" ht="15" x14ac:dyDescent="0.25">
      <c r="A509" s="304">
        <v>194</v>
      </c>
      <c r="B509" s="304" t="s">
        <v>6060</v>
      </c>
      <c r="C509" s="304" t="s">
        <v>6057</v>
      </c>
      <c r="D509" s="540">
        <v>26.49</v>
      </c>
    </row>
    <row r="510" spans="1:4" ht="15" x14ac:dyDescent="0.25">
      <c r="A510" s="304">
        <v>20001</v>
      </c>
      <c r="B510" s="304" t="s">
        <v>6061</v>
      </c>
      <c r="C510" s="304" t="s">
        <v>6057</v>
      </c>
      <c r="D510" s="540">
        <v>48.57</v>
      </c>
    </row>
    <row r="511" spans="1:4" ht="15" x14ac:dyDescent="0.25">
      <c r="A511" s="304">
        <v>181</v>
      </c>
      <c r="B511" s="304" t="s">
        <v>6062</v>
      </c>
      <c r="C511" s="304" t="s">
        <v>6057</v>
      </c>
      <c r="D511" s="540">
        <v>65.709999999999994</v>
      </c>
    </row>
    <row r="512" spans="1:4" ht="15" x14ac:dyDescent="0.25">
      <c r="A512" s="304">
        <v>39837</v>
      </c>
      <c r="B512" s="304" t="s">
        <v>6063</v>
      </c>
      <c r="C512" s="304" t="s">
        <v>6057</v>
      </c>
      <c r="D512" s="540">
        <v>220.12</v>
      </c>
    </row>
    <row r="513" spans="1:4" ht="15" x14ac:dyDescent="0.25">
      <c r="A513" s="304">
        <v>10535</v>
      </c>
      <c r="B513" s="304" t="s">
        <v>6064</v>
      </c>
      <c r="C513" s="304" t="s">
        <v>5555</v>
      </c>
      <c r="D513" s="541">
        <v>3330</v>
      </c>
    </row>
    <row r="514" spans="1:4" ht="15" x14ac:dyDescent="0.25">
      <c r="A514" s="304">
        <v>10537</v>
      </c>
      <c r="B514" s="304" t="s">
        <v>6065</v>
      </c>
      <c r="C514" s="304" t="s">
        <v>5555</v>
      </c>
      <c r="D514" s="541">
        <v>4541.21</v>
      </c>
    </row>
    <row r="515" spans="1:4" ht="15" x14ac:dyDescent="0.25">
      <c r="A515" s="304">
        <v>13891</v>
      </c>
      <c r="B515" s="304" t="s">
        <v>6066</v>
      </c>
      <c r="C515" s="304" t="s">
        <v>5555</v>
      </c>
      <c r="D515" s="541">
        <v>4165.32</v>
      </c>
    </row>
    <row r="516" spans="1:4" ht="15" x14ac:dyDescent="0.25">
      <c r="A516" s="304">
        <v>25975</v>
      </c>
      <c r="B516" s="304" t="s">
        <v>6067</v>
      </c>
      <c r="C516" s="304" t="s">
        <v>5555</v>
      </c>
      <c r="D516" s="541">
        <v>18117.45</v>
      </c>
    </row>
    <row r="517" spans="1:4" ht="15" x14ac:dyDescent="0.25">
      <c r="A517" s="304">
        <v>36396</v>
      </c>
      <c r="B517" s="304" t="s">
        <v>6068</v>
      </c>
      <c r="C517" s="304" t="s">
        <v>5555</v>
      </c>
      <c r="D517" s="541">
        <v>3809.74</v>
      </c>
    </row>
    <row r="518" spans="1:4" ht="15" x14ac:dyDescent="0.25">
      <c r="A518" s="304">
        <v>36397</v>
      </c>
      <c r="B518" s="304" t="s">
        <v>6069</v>
      </c>
      <c r="C518" s="304" t="s">
        <v>5555</v>
      </c>
      <c r="D518" s="541">
        <v>13545.76</v>
      </c>
    </row>
    <row r="519" spans="1:4" ht="15" x14ac:dyDescent="0.25">
      <c r="A519" s="304">
        <v>36398</v>
      </c>
      <c r="B519" s="304" t="s">
        <v>6070</v>
      </c>
      <c r="C519" s="304" t="s">
        <v>5555</v>
      </c>
      <c r="D519" s="541">
        <v>16463.740000000002</v>
      </c>
    </row>
    <row r="520" spans="1:4" ht="15" x14ac:dyDescent="0.25">
      <c r="A520" s="304">
        <v>647</v>
      </c>
      <c r="B520" s="304" t="s">
        <v>6071</v>
      </c>
      <c r="C520" s="304" t="s">
        <v>5566</v>
      </c>
      <c r="D520" s="540">
        <v>15.48</v>
      </c>
    </row>
    <row r="521" spans="1:4" ht="15" x14ac:dyDescent="0.25">
      <c r="A521" s="304">
        <v>40920</v>
      </c>
      <c r="B521" s="304" t="s">
        <v>6072</v>
      </c>
      <c r="C521" s="304" t="s">
        <v>5755</v>
      </c>
      <c r="D521" s="541">
        <v>2711.95</v>
      </c>
    </row>
    <row r="522" spans="1:4" ht="15" x14ac:dyDescent="0.25">
      <c r="A522" s="304">
        <v>7266</v>
      </c>
      <c r="B522" s="304" t="s">
        <v>6073</v>
      </c>
      <c r="C522" s="304" t="s">
        <v>6074</v>
      </c>
      <c r="D522" s="540">
        <v>450</v>
      </c>
    </row>
    <row r="523" spans="1:4" ht="15" x14ac:dyDescent="0.25">
      <c r="A523" s="304">
        <v>7270</v>
      </c>
      <c r="B523" s="304" t="s">
        <v>6075</v>
      </c>
      <c r="C523" s="304" t="s">
        <v>5555</v>
      </c>
      <c r="D523" s="540">
        <v>0.42</v>
      </c>
    </row>
    <row r="524" spans="1:4" ht="15" x14ac:dyDescent="0.25">
      <c r="A524" s="304">
        <v>7269</v>
      </c>
      <c r="B524" s="304" t="s">
        <v>6076</v>
      </c>
      <c r="C524" s="304" t="s">
        <v>5555</v>
      </c>
      <c r="D524" s="540">
        <v>0.3</v>
      </c>
    </row>
    <row r="525" spans="1:4" ht="15" x14ac:dyDescent="0.25">
      <c r="A525" s="304">
        <v>7271</v>
      </c>
      <c r="B525" s="304" t="s">
        <v>6077</v>
      </c>
      <c r="C525" s="304" t="s">
        <v>5555</v>
      </c>
      <c r="D525" s="540">
        <v>0.45</v>
      </c>
    </row>
    <row r="526" spans="1:4" ht="15" x14ac:dyDescent="0.25">
      <c r="A526" s="304">
        <v>7268</v>
      </c>
      <c r="B526" s="304" t="s">
        <v>6078</v>
      </c>
      <c r="C526" s="304" t="s">
        <v>5555</v>
      </c>
      <c r="D526" s="540">
        <v>0.63</v>
      </c>
    </row>
    <row r="527" spans="1:4" ht="15" x14ac:dyDescent="0.25">
      <c r="A527" s="304">
        <v>7267</v>
      </c>
      <c r="B527" s="304" t="s">
        <v>6079</v>
      </c>
      <c r="C527" s="304" t="s">
        <v>5555</v>
      </c>
      <c r="D527" s="540">
        <v>0.31</v>
      </c>
    </row>
    <row r="528" spans="1:4" ht="15" x14ac:dyDescent="0.25">
      <c r="A528" s="304">
        <v>38783</v>
      </c>
      <c r="B528" s="304" t="s">
        <v>6080</v>
      </c>
      <c r="C528" s="304" t="s">
        <v>5555</v>
      </c>
      <c r="D528" s="540">
        <v>0.56000000000000005</v>
      </c>
    </row>
    <row r="529" spans="1:4" ht="15" x14ac:dyDescent="0.25">
      <c r="A529" s="304">
        <v>37593</v>
      </c>
      <c r="B529" s="304" t="s">
        <v>6081</v>
      </c>
      <c r="C529" s="304" t="s">
        <v>5555</v>
      </c>
      <c r="D529" s="540">
        <v>1.47</v>
      </c>
    </row>
    <row r="530" spans="1:4" ht="15" x14ac:dyDescent="0.25">
      <c r="A530" s="304">
        <v>37594</v>
      </c>
      <c r="B530" s="304" t="s">
        <v>6082</v>
      </c>
      <c r="C530" s="304" t="s">
        <v>5555</v>
      </c>
      <c r="D530" s="540">
        <v>1.8</v>
      </c>
    </row>
    <row r="531" spans="1:4" ht="15" x14ac:dyDescent="0.25">
      <c r="A531" s="304">
        <v>37592</v>
      </c>
      <c r="B531" s="304" t="s">
        <v>6083</v>
      </c>
      <c r="C531" s="304" t="s">
        <v>5555</v>
      </c>
      <c r="D531" s="540">
        <v>1.1000000000000001</v>
      </c>
    </row>
    <row r="532" spans="1:4" ht="15" x14ac:dyDescent="0.25">
      <c r="A532" s="304">
        <v>34556</v>
      </c>
      <c r="B532" s="304" t="s">
        <v>6084</v>
      </c>
      <c r="C532" s="304" t="s">
        <v>5555</v>
      </c>
      <c r="D532" s="540">
        <v>3.69</v>
      </c>
    </row>
    <row r="533" spans="1:4" ht="15" x14ac:dyDescent="0.25">
      <c r="A533" s="304">
        <v>37873</v>
      </c>
      <c r="B533" s="304" t="s">
        <v>6085</v>
      </c>
      <c r="C533" s="304" t="s">
        <v>5555</v>
      </c>
      <c r="D533" s="540">
        <v>4.03</v>
      </c>
    </row>
    <row r="534" spans="1:4" ht="15" x14ac:dyDescent="0.25">
      <c r="A534" s="304">
        <v>34564</v>
      </c>
      <c r="B534" s="304" t="s">
        <v>6086</v>
      </c>
      <c r="C534" s="304" t="s">
        <v>5555</v>
      </c>
      <c r="D534" s="540">
        <v>4.6100000000000003</v>
      </c>
    </row>
    <row r="535" spans="1:4" ht="15" x14ac:dyDescent="0.25">
      <c r="A535" s="304">
        <v>34565</v>
      </c>
      <c r="B535" s="304" t="s">
        <v>6087</v>
      </c>
      <c r="C535" s="304" t="s">
        <v>5555</v>
      </c>
      <c r="D535" s="540">
        <v>5.32</v>
      </c>
    </row>
    <row r="536" spans="1:4" ht="15" x14ac:dyDescent="0.25">
      <c r="A536" s="304">
        <v>38590</v>
      </c>
      <c r="B536" s="304" t="s">
        <v>6088</v>
      </c>
      <c r="C536" s="304" t="s">
        <v>5555</v>
      </c>
      <c r="D536" s="540">
        <v>3.09</v>
      </c>
    </row>
    <row r="537" spans="1:4" ht="15" x14ac:dyDescent="0.25">
      <c r="A537" s="304">
        <v>34566</v>
      </c>
      <c r="B537" s="304" t="s">
        <v>6089</v>
      </c>
      <c r="C537" s="304" t="s">
        <v>5555</v>
      </c>
      <c r="D537" s="540">
        <v>2.89</v>
      </c>
    </row>
    <row r="538" spans="1:4" ht="15" x14ac:dyDescent="0.25">
      <c r="A538" s="304">
        <v>34567</v>
      </c>
      <c r="B538" s="304" t="s">
        <v>6090</v>
      </c>
      <c r="C538" s="304" t="s">
        <v>5555</v>
      </c>
      <c r="D538" s="540">
        <v>3.24</v>
      </c>
    </row>
    <row r="539" spans="1:4" ht="15" x14ac:dyDescent="0.25">
      <c r="A539" s="304">
        <v>38591</v>
      </c>
      <c r="B539" s="304" t="s">
        <v>6091</v>
      </c>
      <c r="C539" s="304" t="s">
        <v>5555</v>
      </c>
      <c r="D539" s="540">
        <v>3.5</v>
      </c>
    </row>
    <row r="540" spans="1:4" ht="15" x14ac:dyDescent="0.25">
      <c r="A540" s="304">
        <v>34568</v>
      </c>
      <c r="B540" s="304" t="s">
        <v>6092</v>
      </c>
      <c r="C540" s="304" t="s">
        <v>5555</v>
      </c>
      <c r="D540" s="540">
        <v>4.2300000000000004</v>
      </c>
    </row>
    <row r="541" spans="1:4" ht="15" x14ac:dyDescent="0.25">
      <c r="A541" s="304">
        <v>34569</v>
      </c>
      <c r="B541" s="304" t="s">
        <v>6093</v>
      </c>
      <c r="C541" s="304" t="s">
        <v>5555</v>
      </c>
      <c r="D541" s="540">
        <v>4.33</v>
      </c>
    </row>
    <row r="542" spans="1:4" ht="15" x14ac:dyDescent="0.25">
      <c r="A542" s="304">
        <v>34570</v>
      </c>
      <c r="B542" s="304" t="s">
        <v>6094</v>
      </c>
      <c r="C542" s="304" t="s">
        <v>5555</v>
      </c>
      <c r="D542" s="540">
        <v>4.63</v>
      </c>
    </row>
    <row r="543" spans="1:4" ht="15" x14ac:dyDescent="0.25">
      <c r="A543" s="304">
        <v>25070</v>
      </c>
      <c r="B543" s="304" t="s">
        <v>6095</v>
      </c>
      <c r="C543" s="304" t="s">
        <v>5555</v>
      </c>
      <c r="D543" s="540">
        <v>3.54</v>
      </c>
    </row>
    <row r="544" spans="1:4" ht="15" x14ac:dyDescent="0.25">
      <c r="A544" s="304">
        <v>34571</v>
      </c>
      <c r="B544" s="304" t="s">
        <v>6096</v>
      </c>
      <c r="C544" s="304" t="s">
        <v>5555</v>
      </c>
      <c r="D544" s="540">
        <v>3.61</v>
      </c>
    </row>
    <row r="545" spans="1:4" ht="15" x14ac:dyDescent="0.25">
      <c r="A545" s="304">
        <v>34573</v>
      </c>
      <c r="B545" s="304" t="s">
        <v>6097</v>
      </c>
      <c r="C545" s="304" t="s">
        <v>5555</v>
      </c>
      <c r="D545" s="540">
        <v>3.81</v>
      </c>
    </row>
    <row r="546" spans="1:4" ht="15" x14ac:dyDescent="0.25">
      <c r="A546" s="304">
        <v>37107</v>
      </c>
      <c r="B546" s="304" t="s">
        <v>6098</v>
      </c>
      <c r="C546" s="304" t="s">
        <v>5555</v>
      </c>
      <c r="D546" s="540">
        <v>5.61</v>
      </c>
    </row>
    <row r="547" spans="1:4" ht="15" x14ac:dyDescent="0.25">
      <c r="A547" s="304">
        <v>34576</v>
      </c>
      <c r="B547" s="304" t="s">
        <v>6099</v>
      </c>
      <c r="C547" s="304" t="s">
        <v>5555</v>
      </c>
      <c r="D547" s="540">
        <v>5.26</v>
      </c>
    </row>
    <row r="548" spans="1:4" ht="15" x14ac:dyDescent="0.25">
      <c r="A548" s="304">
        <v>34577</v>
      </c>
      <c r="B548" s="304" t="s">
        <v>6100</v>
      </c>
      <c r="C548" s="304" t="s">
        <v>5555</v>
      </c>
      <c r="D548" s="540">
        <v>5.61</v>
      </c>
    </row>
    <row r="549" spans="1:4" ht="15" x14ac:dyDescent="0.25">
      <c r="A549" s="304">
        <v>34578</v>
      </c>
      <c r="B549" s="304" t="s">
        <v>6101</v>
      </c>
      <c r="C549" s="304" t="s">
        <v>5555</v>
      </c>
      <c r="D549" s="540">
        <v>6.23</v>
      </c>
    </row>
    <row r="550" spans="1:4" ht="15" x14ac:dyDescent="0.25">
      <c r="A550" s="304">
        <v>34579</v>
      </c>
      <c r="B550" s="304" t="s">
        <v>6102</v>
      </c>
      <c r="C550" s="304" t="s">
        <v>5555</v>
      </c>
      <c r="D550" s="540">
        <v>7.98</v>
      </c>
    </row>
    <row r="551" spans="1:4" ht="15" x14ac:dyDescent="0.25">
      <c r="A551" s="304">
        <v>25067</v>
      </c>
      <c r="B551" s="304" t="s">
        <v>6103</v>
      </c>
      <c r="C551" s="304" t="s">
        <v>5555</v>
      </c>
      <c r="D551" s="540">
        <v>4.6100000000000003</v>
      </c>
    </row>
    <row r="552" spans="1:4" ht="15" x14ac:dyDescent="0.25">
      <c r="A552" s="304">
        <v>34580</v>
      </c>
      <c r="B552" s="304" t="s">
        <v>6104</v>
      </c>
      <c r="C552" s="304" t="s">
        <v>5555</v>
      </c>
      <c r="D552" s="540">
        <v>5.01</v>
      </c>
    </row>
    <row r="553" spans="1:4" ht="15" x14ac:dyDescent="0.25">
      <c r="A553" s="304">
        <v>25071</v>
      </c>
      <c r="B553" s="304" t="s">
        <v>6105</v>
      </c>
      <c r="C553" s="304" t="s">
        <v>5555</v>
      </c>
      <c r="D553" s="540">
        <v>2.42</v>
      </c>
    </row>
    <row r="554" spans="1:4" ht="15" x14ac:dyDescent="0.25">
      <c r="A554" s="304">
        <v>38395</v>
      </c>
      <c r="B554" s="304" t="s">
        <v>6106</v>
      </c>
      <c r="C554" s="304" t="s">
        <v>5555</v>
      </c>
      <c r="D554" s="540">
        <v>6.39</v>
      </c>
    </row>
    <row r="555" spans="1:4" ht="15" x14ac:dyDescent="0.25">
      <c r="A555" s="304">
        <v>34583</v>
      </c>
      <c r="B555" s="304" t="s">
        <v>6107</v>
      </c>
      <c r="C555" s="304" t="s">
        <v>5564</v>
      </c>
      <c r="D555" s="540">
        <v>65.89</v>
      </c>
    </row>
    <row r="556" spans="1:4" ht="15" x14ac:dyDescent="0.25">
      <c r="A556" s="304">
        <v>34584</v>
      </c>
      <c r="B556" s="304" t="s">
        <v>6108</v>
      </c>
      <c r="C556" s="304" t="s">
        <v>5564</v>
      </c>
      <c r="D556" s="540">
        <v>36.880000000000003</v>
      </c>
    </row>
    <row r="557" spans="1:4" ht="15" x14ac:dyDescent="0.25">
      <c r="A557" s="304">
        <v>709</v>
      </c>
      <c r="B557" s="304" t="s">
        <v>6109</v>
      </c>
      <c r="C557" s="304" t="s">
        <v>5564</v>
      </c>
      <c r="D557" s="540">
        <v>475.78</v>
      </c>
    </row>
    <row r="558" spans="1:4" ht="15" x14ac:dyDescent="0.25">
      <c r="A558" s="304">
        <v>716</v>
      </c>
      <c r="B558" s="304" t="s">
        <v>6110</v>
      </c>
      <c r="C558" s="304" t="s">
        <v>5555</v>
      </c>
      <c r="D558" s="540">
        <v>20.12</v>
      </c>
    </row>
    <row r="559" spans="1:4" ht="15" x14ac:dyDescent="0.25">
      <c r="A559" s="304">
        <v>715</v>
      </c>
      <c r="B559" s="304" t="s">
        <v>6111</v>
      </c>
      <c r="C559" s="304" t="s">
        <v>5555</v>
      </c>
      <c r="D559" s="540">
        <v>19.899999999999999</v>
      </c>
    </row>
    <row r="560" spans="1:4" ht="15" x14ac:dyDescent="0.25">
      <c r="A560" s="304">
        <v>718</v>
      </c>
      <c r="B560" s="304" t="s">
        <v>6112</v>
      </c>
      <c r="C560" s="304" t="s">
        <v>5555</v>
      </c>
      <c r="D560" s="540">
        <v>29.65</v>
      </c>
    </row>
    <row r="561" spans="1:4" ht="15" x14ac:dyDescent="0.25">
      <c r="A561" s="304">
        <v>11981</v>
      </c>
      <c r="B561" s="304" t="s">
        <v>6113</v>
      </c>
      <c r="C561" s="304" t="s">
        <v>5555</v>
      </c>
      <c r="D561" s="540">
        <v>20.329999999999998</v>
      </c>
    </row>
    <row r="562" spans="1:4" ht="15" x14ac:dyDescent="0.25">
      <c r="A562" s="304">
        <v>10610</v>
      </c>
      <c r="B562" s="304" t="s">
        <v>6114</v>
      </c>
      <c r="C562" s="304" t="s">
        <v>5555</v>
      </c>
      <c r="D562" s="540">
        <v>1.21</v>
      </c>
    </row>
    <row r="563" spans="1:4" ht="15" x14ac:dyDescent="0.25">
      <c r="A563" s="304">
        <v>34585</v>
      </c>
      <c r="B563" s="304" t="s">
        <v>6115</v>
      </c>
      <c r="C563" s="304" t="s">
        <v>5555</v>
      </c>
      <c r="D563" s="540">
        <v>1.23</v>
      </c>
    </row>
    <row r="564" spans="1:4" ht="15" x14ac:dyDescent="0.25">
      <c r="A564" s="304">
        <v>34586</v>
      </c>
      <c r="B564" s="304" t="s">
        <v>6116</v>
      </c>
      <c r="C564" s="304" t="s">
        <v>5555</v>
      </c>
      <c r="D564" s="540">
        <v>1.25</v>
      </c>
    </row>
    <row r="565" spans="1:4" ht="15" x14ac:dyDescent="0.25">
      <c r="A565" s="304">
        <v>38603</v>
      </c>
      <c r="B565" s="304" t="s">
        <v>6117</v>
      </c>
      <c r="C565" s="304" t="s">
        <v>5555</v>
      </c>
      <c r="D565" s="540">
        <v>1.44</v>
      </c>
    </row>
    <row r="566" spans="1:4" ht="15" x14ac:dyDescent="0.25">
      <c r="A566" s="304">
        <v>34588</v>
      </c>
      <c r="B566" s="304" t="s">
        <v>6118</v>
      </c>
      <c r="C566" s="304" t="s">
        <v>5555</v>
      </c>
      <c r="D566" s="540">
        <v>1.61</v>
      </c>
    </row>
    <row r="567" spans="1:4" ht="15" x14ac:dyDescent="0.25">
      <c r="A567" s="304">
        <v>34590</v>
      </c>
      <c r="B567" s="304" t="s">
        <v>6119</v>
      </c>
      <c r="C567" s="304" t="s">
        <v>5555</v>
      </c>
      <c r="D567" s="540">
        <v>1.73</v>
      </c>
    </row>
    <row r="568" spans="1:4" ht="15" x14ac:dyDescent="0.25">
      <c r="A568" s="304">
        <v>34591</v>
      </c>
      <c r="B568" s="304" t="s">
        <v>6120</v>
      </c>
      <c r="C568" s="304" t="s">
        <v>5555</v>
      </c>
      <c r="D568" s="540">
        <v>2.16</v>
      </c>
    </row>
    <row r="569" spans="1:4" ht="15" x14ac:dyDescent="0.25">
      <c r="A569" s="304">
        <v>37103</v>
      </c>
      <c r="B569" s="304" t="s">
        <v>6121</v>
      </c>
      <c r="C569" s="304" t="s">
        <v>5555</v>
      </c>
      <c r="D569" s="540">
        <v>3.01</v>
      </c>
    </row>
    <row r="570" spans="1:4" ht="15" x14ac:dyDescent="0.25">
      <c r="A570" s="304">
        <v>34555</v>
      </c>
      <c r="B570" s="304" t="s">
        <v>6122</v>
      </c>
      <c r="C570" s="304" t="s">
        <v>5555</v>
      </c>
      <c r="D570" s="540">
        <v>3.77</v>
      </c>
    </row>
    <row r="571" spans="1:4" ht="15" x14ac:dyDescent="0.25">
      <c r="A571" s="304">
        <v>34599</v>
      </c>
      <c r="B571" s="304" t="s">
        <v>6123</v>
      </c>
      <c r="C571" s="304" t="s">
        <v>5555</v>
      </c>
      <c r="D571" s="540">
        <v>2.7</v>
      </c>
    </row>
    <row r="572" spans="1:4" ht="15" x14ac:dyDescent="0.25">
      <c r="A572" s="304">
        <v>674</v>
      </c>
      <c r="B572" s="304" t="s">
        <v>6124</v>
      </c>
      <c r="C572" s="304" t="s">
        <v>5564</v>
      </c>
      <c r="D572" s="540">
        <v>47.9</v>
      </c>
    </row>
    <row r="573" spans="1:4" ht="15" x14ac:dyDescent="0.25">
      <c r="A573" s="304">
        <v>34600</v>
      </c>
      <c r="B573" s="304" t="s">
        <v>6125</v>
      </c>
      <c r="C573" s="304" t="s">
        <v>5564</v>
      </c>
      <c r="D573" s="540">
        <v>77.83</v>
      </c>
    </row>
    <row r="574" spans="1:4" ht="15" x14ac:dyDescent="0.25">
      <c r="A574" s="304">
        <v>652</v>
      </c>
      <c r="B574" s="304" t="s">
        <v>6126</v>
      </c>
      <c r="C574" s="304" t="s">
        <v>5564</v>
      </c>
      <c r="D574" s="540">
        <v>99.12</v>
      </c>
    </row>
    <row r="575" spans="1:4" ht="15" x14ac:dyDescent="0.25">
      <c r="A575" s="304">
        <v>34592</v>
      </c>
      <c r="B575" s="304" t="s">
        <v>6127</v>
      </c>
      <c r="C575" s="304" t="s">
        <v>5555</v>
      </c>
      <c r="D575" s="540">
        <v>2.57</v>
      </c>
    </row>
    <row r="576" spans="1:4" ht="15" x14ac:dyDescent="0.25">
      <c r="A576" s="304">
        <v>651</v>
      </c>
      <c r="B576" s="304" t="s">
        <v>6128</v>
      </c>
      <c r="C576" s="304" t="s">
        <v>5555</v>
      </c>
      <c r="D576" s="540">
        <v>2.94</v>
      </c>
    </row>
    <row r="577" spans="1:4" ht="15" x14ac:dyDescent="0.25">
      <c r="A577" s="304">
        <v>654</v>
      </c>
      <c r="B577" s="304" t="s">
        <v>6129</v>
      </c>
      <c r="C577" s="304" t="s">
        <v>5555</v>
      </c>
      <c r="D577" s="540">
        <v>3.79</v>
      </c>
    </row>
    <row r="578" spans="1:4" ht="15" x14ac:dyDescent="0.25">
      <c r="A578" s="304">
        <v>650</v>
      </c>
      <c r="B578" s="304" t="s">
        <v>6130</v>
      </c>
      <c r="C578" s="304" t="s">
        <v>5555</v>
      </c>
      <c r="D578" s="540">
        <v>2.5</v>
      </c>
    </row>
    <row r="579" spans="1:4" ht="15" x14ac:dyDescent="0.25">
      <c r="A579" s="304">
        <v>40517</v>
      </c>
      <c r="B579" s="304" t="s">
        <v>6131</v>
      </c>
      <c r="C579" s="304" t="s">
        <v>5564</v>
      </c>
      <c r="D579" s="540">
        <v>51.08</v>
      </c>
    </row>
    <row r="580" spans="1:4" ht="15" x14ac:dyDescent="0.25">
      <c r="A580" s="304">
        <v>40520</v>
      </c>
      <c r="B580" s="304" t="s">
        <v>6132</v>
      </c>
      <c r="C580" s="304" t="s">
        <v>5564</v>
      </c>
      <c r="D580" s="540">
        <v>53.51</v>
      </c>
    </row>
    <row r="581" spans="1:4" ht="15" x14ac:dyDescent="0.25">
      <c r="A581" s="304">
        <v>40515</v>
      </c>
      <c r="B581" s="304" t="s">
        <v>6133</v>
      </c>
      <c r="C581" s="304" t="s">
        <v>5564</v>
      </c>
      <c r="D581" s="540">
        <v>64.599999999999994</v>
      </c>
    </row>
    <row r="582" spans="1:4" ht="15" x14ac:dyDescent="0.25">
      <c r="A582" s="304">
        <v>40516</v>
      </c>
      <c r="B582" s="304" t="s">
        <v>6134</v>
      </c>
      <c r="C582" s="304" t="s">
        <v>5564</v>
      </c>
      <c r="D582" s="540">
        <v>76.930000000000007</v>
      </c>
    </row>
    <row r="583" spans="1:4" ht="15" x14ac:dyDescent="0.25">
      <c r="A583" s="304">
        <v>40529</v>
      </c>
      <c r="B583" s="304" t="s">
        <v>6135</v>
      </c>
      <c r="C583" s="304" t="s">
        <v>5564</v>
      </c>
      <c r="D583" s="540">
        <v>60.08</v>
      </c>
    </row>
    <row r="584" spans="1:4" ht="15" x14ac:dyDescent="0.25">
      <c r="A584" s="304">
        <v>36170</v>
      </c>
      <c r="B584" s="304" t="s">
        <v>6136</v>
      </c>
      <c r="C584" s="304" t="s">
        <v>5564</v>
      </c>
      <c r="D584" s="540">
        <v>45</v>
      </c>
    </row>
    <row r="585" spans="1:4" ht="15" x14ac:dyDescent="0.25">
      <c r="A585" s="304">
        <v>40524</v>
      </c>
      <c r="B585" s="304" t="s">
        <v>6137</v>
      </c>
      <c r="C585" s="304" t="s">
        <v>5564</v>
      </c>
      <c r="D585" s="540">
        <v>54.72</v>
      </c>
    </row>
    <row r="586" spans="1:4" ht="15" x14ac:dyDescent="0.25">
      <c r="A586" s="304">
        <v>36156</v>
      </c>
      <c r="B586" s="304" t="s">
        <v>6138</v>
      </c>
      <c r="C586" s="304" t="s">
        <v>5564</v>
      </c>
      <c r="D586" s="540">
        <v>47.43</v>
      </c>
    </row>
    <row r="587" spans="1:4" ht="15" x14ac:dyDescent="0.25">
      <c r="A587" s="304">
        <v>36155</v>
      </c>
      <c r="B587" s="304" t="s">
        <v>6139</v>
      </c>
      <c r="C587" s="304" t="s">
        <v>5564</v>
      </c>
      <c r="D587" s="540">
        <v>42.02</v>
      </c>
    </row>
    <row r="588" spans="1:4" ht="15" x14ac:dyDescent="0.25">
      <c r="A588" s="304">
        <v>36154</v>
      </c>
      <c r="B588" s="304" t="s">
        <v>6140</v>
      </c>
      <c r="C588" s="304" t="s">
        <v>5564</v>
      </c>
      <c r="D588" s="540">
        <v>55.82</v>
      </c>
    </row>
    <row r="589" spans="1:4" ht="15" x14ac:dyDescent="0.25">
      <c r="A589" s="304">
        <v>695</v>
      </c>
      <c r="B589" s="304" t="s">
        <v>6141</v>
      </c>
      <c r="C589" s="304" t="s">
        <v>5564</v>
      </c>
      <c r="D589" s="540">
        <v>41.26</v>
      </c>
    </row>
    <row r="590" spans="1:4" ht="15" x14ac:dyDescent="0.25">
      <c r="A590" s="304">
        <v>679</v>
      </c>
      <c r="B590" s="304" t="s">
        <v>6142</v>
      </c>
      <c r="C590" s="304" t="s">
        <v>5564</v>
      </c>
      <c r="D590" s="540">
        <v>56.55</v>
      </c>
    </row>
    <row r="591" spans="1:4" ht="15" x14ac:dyDescent="0.25">
      <c r="A591" s="304">
        <v>711</v>
      </c>
      <c r="B591" s="304" t="s">
        <v>6143</v>
      </c>
      <c r="C591" s="304" t="s">
        <v>5564</v>
      </c>
      <c r="D591" s="540">
        <v>43.17</v>
      </c>
    </row>
    <row r="592" spans="1:4" ht="15" x14ac:dyDescent="0.25">
      <c r="A592" s="304">
        <v>712</v>
      </c>
      <c r="B592" s="304" t="s">
        <v>6144</v>
      </c>
      <c r="C592" s="304" t="s">
        <v>5564</v>
      </c>
      <c r="D592" s="540">
        <v>45</v>
      </c>
    </row>
    <row r="593" spans="1:4" ht="15" x14ac:dyDescent="0.25">
      <c r="A593" s="304">
        <v>12614</v>
      </c>
      <c r="B593" s="304" t="s">
        <v>6145</v>
      </c>
      <c r="C593" s="304" t="s">
        <v>5555</v>
      </c>
      <c r="D593" s="540">
        <v>17.2</v>
      </c>
    </row>
    <row r="594" spans="1:4" ht="15" x14ac:dyDescent="0.25">
      <c r="A594" s="304">
        <v>6140</v>
      </c>
      <c r="B594" s="304" t="s">
        <v>6146</v>
      </c>
      <c r="C594" s="304" t="s">
        <v>5555</v>
      </c>
      <c r="D594" s="540">
        <v>2.78</v>
      </c>
    </row>
    <row r="595" spans="1:4" ht="15" x14ac:dyDescent="0.25">
      <c r="A595" s="304">
        <v>38399</v>
      </c>
      <c r="B595" s="304" t="s">
        <v>6147</v>
      </c>
      <c r="C595" s="304" t="s">
        <v>5555</v>
      </c>
      <c r="D595" s="540">
        <v>153.62</v>
      </c>
    </row>
    <row r="596" spans="1:4" ht="15" x14ac:dyDescent="0.25">
      <c r="A596" s="304">
        <v>735</v>
      </c>
      <c r="B596" s="304" t="s">
        <v>6148</v>
      </c>
      <c r="C596" s="304" t="s">
        <v>5555</v>
      </c>
      <c r="D596" s="541">
        <v>1605.17</v>
      </c>
    </row>
    <row r="597" spans="1:4" ht="15" x14ac:dyDescent="0.25">
      <c r="A597" s="304">
        <v>736</v>
      </c>
      <c r="B597" s="304" t="s">
        <v>6149</v>
      </c>
      <c r="C597" s="304" t="s">
        <v>5555</v>
      </c>
      <c r="D597" s="541">
        <v>1349.65</v>
      </c>
    </row>
    <row r="598" spans="1:4" ht="15" x14ac:dyDescent="0.25">
      <c r="A598" s="304">
        <v>729</v>
      </c>
      <c r="B598" s="304" t="s">
        <v>6150</v>
      </c>
      <c r="C598" s="304" t="s">
        <v>5555</v>
      </c>
      <c r="D598" s="540">
        <v>550</v>
      </c>
    </row>
    <row r="599" spans="1:4" ht="15" x14ac:dyDescent="0.25">
      <c r="A599" s="304">
        <v>39925</v>
      </c>
      <c r="B599" s="304" t="s">
        <v>6151</v>
      </c>
      <c r="C599" s="304" t="s">
        <v>5555</v>
      </c>
      <c r="D599" s="541">
        <v>7947.45</v>
      </c>
    </row>
    <row r="600" spans="1:4" ht="15" x14ac:dyDescent="0.25">
      <c r="A600" s="304">
        <v>731</v>
      </c>
      <c r="B600" s="304" t="s">
        <v>6152</v>
      </c>
      <c r="C600" s="304" t="s">
        <v>5555</v>
      </c>
      <c r="D600" s="540">
        <v>535.28</v>
      </c>
    </row>
    <row r="601" spans="1:4" ht="15" x14ac:dyDescent="0.25">
      <c r="A601" s="304">
        <v>10575</v>
      </c>
      <c r="B601" s="304" t="s">
        <v>6153</v>
      </c>
      <c r="C601" s="304" t="s">
        <v>5555</v>
      </c>
      <c r="D601" s="540">
        <v>835.35</v>
      </c>
    </row>
    <row r="602" spans="1:4" ht="15" x14ac:dyDescent="0.25">
      <c r="A602" s="304">
        <v>733</v>
      </c>
      <c r="B602" s="304" t="s">
        <v>6154</v>
      </c>
      <c r="C602" s="304" t="s">
        <v>5555</v>
      </c>
      <c r="D602" s="540">
        <v>914.61</v>
      </c>
    </row>
    <row r="603" spans="1:4" ht="15" x14ac:dyDescent="0.25">
      <c r="A603" s="304">
        <v>732</v>
      </c>
      <c r="B603" s="304" t="s">
        <v>6155</v>
      </c>
      <c r="C603" s="304" t="s">
        <v>5555</v>
      </c>
      <c r="D603" s="540">
        <v>902.31</v>
      </c>
    </row>
    <row r="604" spans="1:4" ht="15" x14ac:dyDescent="0.25">
      <c r="A604" s="304">
        <v>737</v>
      </c>
      <c r="B604" s="304" t="s">
        <v>6156</v>
      </c>
      <c r="C604" s="304" t="s">
        <v>5555</v>
      </c>
      <c r="D604" s="541">
        <v>5059.91</v>
      </c>
    </row>
    <row r="605" spans="1:4" ht="15" x14ac:dyDescent="0.25">
      <c r="A605" s="304">
        <v>738</v>
      </c>
      <c r="B605" s="304" t="s">
        <v>6157</v>
      </c>
      <c r="C605" s="304" t="s">
        <v>5555</v>
      </c>
      <c r="D605" s="541">
        <v>2346.2399999999998</v>
      </c>
    </row>
    <row r="606" spans="1:4" ht="15" x14ac:dyDescent="0.25">
      <c r="A606" s="304">
        <v>740</v>
      </c>
      <c r="B606" s="304" t="s">
        <v>6158</v>
      </c>
      <c r="C606" s="304" t="s">
        <v>5555</v>
      </c>
      <c r="D606" s="541">
        <v>4760.04</v>
      </c>
    </row>
    <row r="607" spans="1:4" ht="15" x14ac:dyDescent="0.25">
      <c r="A607" s="304">
        <v>734</v>
      </c>
      <c r="B607" s="304" t="s">
        <v>6159</v>
      </c>
      <c r="C607" s="304" t="s">
        <v>5555</v>
      </c>
      <c r="D607" s="540">
        <v>967.28</v>
      </c>
    </row>
    <row r="608" spans="1:4" ht="15" x14ac:dyDescent="0.25">
      <c r="A608" s="304">
        <v>39008</v>
      </c>
      <c r="B608" s="304" t="s">
        <v>6160</v>
      </c>
      <c r="C608" s="304" t="s">
        <v>5555</v>
      </c>
      <c r="D608" s="541">
        <v>40593.71</v>
      </c>
    </row>
    <row r="609" spans="1:4" ht="15" x14ac:dyDescent="0.25">
      <c r="A609" s="304">
        <v>39009</v>
      </c>
      <c r="B609" s="304" t="s">
        <v>6161</v>
      </c>
      <c r="C609" s="304" t="s">
        <v>5555</v>
      </c>
      <c r="D609" s="541">
        <v>43491.13</v>
      </c>
    </row>
    <row r="610" spans="1:4" ht="15" x14ac:dyDescent="0.25">
      <c r="A610" s="304">
        <v>10587</v>
      </c>
      <c r="B610" s="304" t="s">
        <v>6162</v>
      </c>
      <c r="C610" s="304" t="s">
        <v>5555</v>
      </c>
      <c r="D610" s="541">
        <v>2805.6</v>
      </c>
    </row>
    <row r="611" spans="1:4" ht="15" x14ac:dyDescent="0.25">
      <c r="A611" s="304">
        <v>759</v>
      </c>
      <c r="B611" s="304" t="s">
        <v>6163</v>
      </c>
      <c r="C611" s="304" t="s">
        <v>5555</v>
      </c>
      <c r="D611" s="541">
        <v>4033.9</v>
      </c>
    </row>
    <row r="612" spans="1:4" ht="15" x14ac:dyDescent="0.25">
      <c r="A612" s="304">
        <v>761</v>
      </c>
      <c r="B612" s="304" t="s">
        <v>6164</v>
      </c>
      <c r="C612" s="304" t="s">
        <v>5555</v>
      </c>
      <c r="D612" s="541">
        <v>6837.8</v>
      </c>
    </row>
    <row r="613" spans="1:4" ht="15" x14ac:dyDescent="0.25">
      <c r="A613" s="304">
        <v>750</v>
      </c>
      <c r="B613" s="304" t="s">
        <v>6165</v>
      </c>
      <c r="C613" s="304" t="s">
        <v>5555</v>
      </c>
      <c r="D613" s="541">
        <v>6491.95</v>
      </c>
    </row>
    <row r="614" spans="1:4" ht="15" x14ac:dyDescent="0.25">
      <c r="A614" s="304">
        <v>755</v>
      </c>
      <c r="B614" s="304" t="s">
        <v>6166</v>
      </c>
      <c r="C614" s="304" t="s">
        <v>5555</v>
      </c>
      <c r="D614" s="541">
        <v>26639.81</v>
      </c>
    </row>
    <row r="615" spans="1:4" ht="15" x14ac:dyDescent="0.25">
      <c r="A615" s="304">
        <v>749</v>
      </c>
      <c r="B615" s="304" t="s">
        <v>6167</v>
      </c>
      <c r="C615" s="304" t="s">
        <v>5555</v>
      </c>
      <c r="D615" s="541">
        <v>9797.6299999999992</v>
      </c>
    </row>
    <row r="616" spans="1:4" ht="15" x14ac:dyDescent="0.25">
      <c r="A616" s="304">
        <v>756</v>
      </c>
      <c r="B616" s="304" t="s">
        <v>6168</v>
      </c>
      <c r="C616" s="304" t="s">
        <v>5555</v>
      </c>
      <c r="D616" s="541">
        <v>29054.28</v>
      </c>
    </row>
    <row r="617" spans="1:4" ht="15" x14ac:dyDescent="0.25">
      <c r="A617" s="304">
        <v>757</v>
      </c>
      <c r="B617" s="304" t="s">
        <v>6169</v>
      </c>
      <c r="C617" s="304" t="s">
        <v>5555</v>
      </c>
      <c r="D617" s="541">
        <v>13192.5</v>
      </c>
    </row>
    <row r="618" spans="1:4" ht="15" x14ac:dyDescent="0.25">
      <c r="A618" s="304">
        <v>10588</v>
      </c>
      <c r="B618" s="304" t="s">
        <v>6170</v>
      </c>
      <c r="C618" s="304" t="s">
        <v>5555</v>
      </c>
      <c r="D618" s="541">
        <v>2912.57</v>
      </c>
    </row>
    <row r="619" spans="1:4" ht="15" x14ac:dyDescent="0.25">
      <c r="A619" s="304">
        <v>10592</v>
      </c>
      <c r="B619" s="304" t="s">
        <v>6171</v>
      </c>
      <c r="C619" s="304" t="s">
        <v>5555</v>
      </c>
      <c r="D619" s="541">
        <v>3518</v>
      </c>
    </row>
    <row r="620" spans="1:4" ht="15" x14ac:dyDescent="0.25">
      <c r="A620" s="304">
        <v>10589</v>
      </c>
      <c r="B620" s="304" t="s">
        <v>6172</v>
      </c>
      <c r="C620" s="304" t="s">
        <v>5555</v>
      </c>
      <c r="D620" s="541">
        <v>4726.21</v>
      </c>
    </row>
    <row r="621" spans="1:4" ht="15" x14ac:dyDescent="0.25">
      <c r="A621" s="304">
        <v>760</v>
      </c>
      <c r="B621" s="304" t="s">
        <v>6173</v>
      </c>
      <c r="C621" s="304" t="s">
        <v>5555</v>
      </c>
      <c r="D621" s="541">
        <v>26385</v>
      </c>
    </row>
    <row r="622" spans="1:4" ht="15" x14ac:dyDescent="0.25">
      <c r="A622" s="304">
        <v>751</v>
      </c>
      <c r="B622" s="304" t="s">
        <v>6174</v>
      </c>
      <c r="C622" s="304" t="s">
        <v>5555</v>
      </c>
      <c r="D622" s="541">
        <v>4155.63</v>
      </c>
    </row>
    <row r="623" spans="1:4" ht="15" x14ac:dyDescent="0.25">
      <c r="A623" s="304">
        <v>754</v>
      </c>
      <c r="B623" s="304" t="s">
        <v>6175</v>
      </c>
      <c r="C623" s="304" t="s">
        <v>5555</v>
      </c>
      <c r="D623" s="541">
        <v>6596.25</v>
      </c>
    </row>
    <row r="624" spans="1:4" ht="15" x14ac:dyDescent="0.25">
      <c r="A624" s="304">
        <v>14013</v>
      </c>
      <c r="B624" s="304" t="s">
        <v>6176</v>
      </c>
      <c r="C624" s="304" t="s">
        <v>5555</v>
      </c>
      <c r="D624" s="541">
        <v>136729.75</v>
      </c>
    </row>
    <row r="625" spans="1:4" ht="15" x14ac:dyDescent="0.25">
      <c r="A625" s="304">
        <v>39917</v>
      </c>
      <c r="B625" s="304" t="s">
        <v>6177</v>
      </c>
      <c r="C625" s="304" t="s">
        <v>5555</v>
      </c>
      <c r="D625" s="541">
        <v>62354.87</v>
      </c>
    </row>
    <row r="626" spans="1:4" ht="15" x14ac:dyDescent="0.25">
      <c r="A626" s="304">
        <v>5081</v>
      </c>
      <c r="B626" s="304" t="s">
        <v>6178</v>
      </c>
      <c r="C626" s="304" t="s">
        <v>6022</v>
      </c>
      <c r="D626" s="540">
        <v>19.5</v>
      </c>
    </row>
    <row r="627" spans="1:4" ht="15" x14ac:dyDescent="0.25">
      <c r="A627" s="304">
        <v>38167</v>
      </c>
      <c r="B627" s="304" t="s">
        <v>6179</v>
      </c>
      <c r="C627" s="304" t="s">
        <v>6022</v>
      </c>
      <c r="D627" s="540">
        <v>16.8</v>
      </c>
    </row>
    <row r="628" spans="1:4" ht="15" x14ac:dyDescent="0.25">
      <c r="A628" s="304">
        <v>36145</v>
      </c>
      <c r="B628" s="304" t="s">
        <v>6180</v>
      </c>
      <c r="C628" s="304" t="s">
        <v>6022</v>
      </c>
      <c r="D628" s="540">
        <v>34.700000000000003</v>
      </c>
    </row>
    <row r="629" spans="1:4" ht="15" x14ac:dyDescent="0.25">
      <c r="A629" s="304">
        <v>12893</v>
      </c>
      <c r="B629" s="304" t="s">
        <v>6181</v>
      </c>
      <c r="C629" s="304" t="s">
        <v>6022</v>
      </c>
      <c r="D629" s="540">
        <v>57.84</v>
      </c>
    </row>
    <row r="630" spans="1:4" ht="15" x14ac:dyDescent="0.25">
      <c r="A630" s="304">
        <v>11685</v>
      </c>
      <c r="B630" s="304" t="s">
        <v>6182</v>
      </c>
      <c r="C630" s="304" t="s">
        <v>5555</v>
      </c>
      <c r="D630" s="540">
        <v>15.36</v>
      </c>
    </row>
    <row r="631" spans="1:4" ht="15" x14ac:dyDescent="0.25">
      <c r="A631" s="304">
        <v>11679</v>
      </c>
      <c r="B631" s="304" t="s">
        <v>6183</v>
      </c>
      <c r="C631" s="304" t="s">
        <v>5555</v>
      </c>
      <c r="D631" s="540">
        <v>5.76</v>
      </c>
    </row>
    <row r="632" spans="1:4" ht="15" x14ac:dyDescent="0.25">
      <c r="A632" s="304">
        <v>11680</v>
      </c>
      <c r="B632" s="304" t="s">
        <v>6184</v>
      </c>
      <c r="C632" s="304" t="s">
        <v>5555</v>
      </c>
      <c r="D632" s="540">
        <v>4.75</v>
      </c>
    </row>
    <row r="633" spans="1:4" ht="15" x14ac:dyDescent="0.25">
      <c r="A633" s="304">
        <v>2512</v>
      </c>
      <c r="B633" s="304" t="s">
        <v>6185</v>
      </c>
      <c r="C633" s="304" t="s">
        <v>5555</v>
      </c>
      <c r="D633" s="540">
        <v>26.9</v>
      </c>
    </row>
    <row r="634" spans="1:4" ht="15" x14ac:dyDescent="0.25">
      <c r="A634" s="304">
        <v>4374</v>
      </c>
      <c r="B634" s="304" t="s">
        <v>6186</v>
      </c>
      <c r="C634" s="304" t="s">
        <v>5555</v>
      </c>
      <c r="D634" s="540">
        <v>0.33</v>
      </c>
    </row>
    <row r="635" spans="1:4" ht="15" x14ac:dyDescent="0.25">
      <c r="A635" s="304">
        <v>7568</v>
      </c>
      <c r="B635" s="304" t="s">
        <v>6187</v>
      </c>
      <c r="C635" s="304" t="s">
        <v>5555</v>
      </c>
      <c r="D635" s="540">
        <v>0.55000000000000004</v>
      </c>
    </row>
    <row r="636" spans="1:4" ht="15" x14ac:dyDescent="0.25">
      <c r="A636" s="304">
        <v>7584</v>
      </c>
      <c r="B636" s="304" t="s">
        <v>6188</v>
      </c>
      <c r="C636" s="304" t="s">
        <v>5555</v>
      </c>
      <c r="D636" s="540">
        <v>0.84</v>
      </c>
    </row>
    <row r="637" spans="1:4" ht="15" x14ac:dyDescent="0.25">
      <c r="A637" s="304">
        <v>11945</v>
      </c>
      <c r="B637" s="304" t="s">
        <v>6189</v>
      </c>
      <c r="C637" s="304" t="s">
        <v>5555</v>
      </c>
      <c r="D637" s="540">
        <v>0.05</v>
      </c>
    </row>
    <row r="638" spans="1:4" ht="15" x14ac:dyDescent="0.25">
      <c r="A638" s="304">
        <v>11946</v>
      </c>
      <c r="B638" s="304" t="s">
        <v>6190</v>
      </c>
      <c r="C638" s="304" t="s">
        <v>5555</v>
      </c>
      <c r="D638" s="540">
        <v>0.06</v>
      </c>
    </row>
    <row r="639" spans="1:4" ht="15" x14ac:dyDescent="0.25">
      <c r="A639" s="304">
        <v>4375</v>
      </c>
      <c r="B639" s="304" t="s">
        <v>6191</v>
      </c>
      <c r="C639" s="304" t="s">
        <v>5555</v>
      </c>
      <c r="D639" s="540">
        <v>0.09</v>
      </c>
    </row>
    <row r="640" spans="1:4" ht="15" x14ac:dyDescent="0.25">
      <c r="A640" s="304">
        <v>11950</v>
      </c>
      <c r="B640" s="304" t="s">
        <v>6192</v>
      </c>
      <c r="C640" s="304" t="s">
        <v>5555</v>
      </c>
      <c r="D640" s="540">
        <v>0.18</v>
      </c>
    </row>
    <row r="641" spans="1:4" ht="15" x14ac:dyDescent="0.25">
      <c r="A641" s="304">
        <v>4376</v>
      </c>
      <c r="B641" s="304" t="s">
        <v>6193</v>
      </c>
      <c r="C641" s="304" t="s">
        <v>5555</v>
      </c>
      <c r="D641" s="540">
        <v>0.17</v>
      </c>
    </row>
    <row r="642" spans="1:4" ht="15" x14ac:dyDescent="0.25">
      <c r="A642" s="304">
        <v>7583</v>
      </c>
      <c r="B642" s="304" t="s">
        <v>6194</v>
      </c>
      <c r="C642" s="304" t="s">
        <v>5555</v>
      </c>
      <c r="D642" s="540">
        <v>0.37</v>
      </c>
    </row>
    <row r="643" spans="1:4" ht="15" x14ac:dyDescent="0.25">
      <c r="A643" s="304">
        <v>4350</v>
      </c>
      <c r="B643" s="304" t="s">
        <v>6195</v>
      </c>
      <c r="C643" s="304" t="s">
        <v>5555</v>
      </c>
      <c r="D643" s="540">
        <v>0.47</v>
      </c>
    </row>
    <row r="644" spans="1:4" ht="15" x14ac:dyDescent="0.25">
      <c r="A644" s="304">
        <v>39886</v>
      </c>
      <c r="B644" s="304" t="s">
        <v>6196</v>
      </c>
      <c r="C644" s="304" t="s">
        <v>5555</v>
      </c>
      <c r="D644" s="540">
        <v>3.38</v>
      </c>
    </row>
    <row r="645" spans="1:4" ht="15" x14ac:dyDescent="0.25">
      <c r="A645" s="304">
        <v>39887</v>
      </c>
      <c r="B645" s="304" t="s">
        <v>6197</v>
      </c>
      <c r="C645" s="304" t="s">
        <v>5555</v>
      </c>
      <c r="D645" s="540">
        <v>5.07</v>
      </c>
    </row>
    <row r="646" spans="1:4" ht="15" x14ac:dyDescent="0.25">
      <c r="A646" s="304">
        <v>39888</v>
      </c>
      <c r="B646" s="304" t="s">
        <v>6198</v>
      </c>
      <c r="C646" s="304" t="s">
        <v>5555</v>
      </c>
      <c r="D646" s="540">
        <v>11.6</v>
      </c>
    </row>
    <row r="647" spans="1:4" ht="15" x14ac:dyDescent="0.25">
      <c r="A647" s="304">
        <v>39890</v>
      </c>
      <c r="B647" s="304" t="s">
        <v>6199</v>
      </c>
      <c r="C647" s="304" t="s">
        <v>5555</v>
      </c>
      <c r="D647" s="540">
        <v>19.79</v>
      </c>
    </row>
    <row r="648" spans="1:4" ht="15" x14ac:dyDescent="0.25">
      <c r="A648" s="304">
        <v>39891</v>
      </c>
      <c r="B648" s="304" t="s">
        <v>6200</v>
      </c>
      <c r="C648" s="304" t="s">
        <v>5555</v>
      </c>
      <c r="D648" s="540">
        <v>27.91</v>
      </c>
    </row>
    <row r="649" spans="1:4" ht="15" x14ac:dyDescent="0.25">
      <c r="A649" s="304">
        <v>39892</v>
      </c>
      <c r="B649" s="304" t="s">
        <v>6201</v>
      </c>
      <c r="C649" s="304" t="s">
        <v>5555</v>
      </c>
      <c r="D649" s="540">
        <v>87.01</v>
      </c>
    </row>
    <row r="650" spans="1:4" ht="15" x14ac:dyDescent="0.25">
      <c r="A650" s="304">
        <v>790</v>
      </c>
      <c r="B650" s="304" t="s">
        <v>6202</v>
      </c>
      <c r="C650" s="304" t="s">
        <v>5555</v>
      </c>
      <c r="D650" s="540">
        <v>11.09</v>
      </c>
    </row>
    <row r="651" spans="1:4" ht="15" x14ac:dyDescent="0.25">
      <c r="A651" s="304">
        <v>766</v>
      </c>
      <c r="B651" s="304" t="s">
        <v>6203</v>
      </c>
      <c r="C651" s="304" t="s">
        <v>5555</v>
      </c>
      <c r="D651" s="540">
        <v>11.09</v>
      </c>
    </row>
    <row r="652" spans="1:4" ht="15" x14ac:dyDescent="0.25">
      <c r="A652" s="304">
        <v>791</v>
      </c>
      <c r="B652" s="304" t="s">
        <v>6204</v>
      </c>
      <c r="C652" s="304" t="s">
        <v>5555</v>
      </c>
      <c r="D652" s="540">
        <v>11.09</v>
      </c>
    </row>
    <row r="653" spans="1:4" ht="15" x14ac:dyDescent="0.25">
      <c r="A653" s="304">
        <v>767</v>
      </c>
      <c r="B653" s="304" t="s">
        <v>6205</v>
      </c>
      <c r="C653" s="304" t="s">
        <v>5555</v>
      </c>
      <c r="D653" s="540">
        <v>11.09</v>
      </c>
    </row>
    <row r="654" spans="1:4" ht="15" x14ac:dyDescent="0.25">
      <c r="A654" s="304">
        <v>768</v>
      </c>
      <c r="B654" s="304" t="s">
        <v>6206</v>
      </c>
      <c r="C654" s="304" t="s">
        <v>5555</v>
      </c>
      <c r="D654" s="540">
        <v>8.7100000000000009</v>
      </c>
    </row>
    <row r="655" spans="1:4" ht="15" x14ac:dyDescent="0.25">
      <c r="A655" s="304">
        <v>789</v>
      </c>
      <c r="B655" s="304" t="s">
        <v>6207</v>
      </c>
      <c r="C655" s="304" t="s">
        <v>5555</v>
      </c>
      <c r="D655" s="540">
        <v>8.52</v>
      </c>
    </row>
    <row r="656" spans="1:4" ht="15" x14ac:dyDescent="0.25">
      <c r="A656" s="304">
        <v>769</v>
      </c>
      <c r="B656" s="304" t="s">
        <v>6208</v>
      </c>
      <c r="C656" s="304" t="s">
        <v>5555</v>
      </c>
      <c r="D656" s="540">
        <v>8.7100000000000009</v>
      </c>
    </row>
    <row r="657" spans="1:4" ht="15" x14ac:dyDescent="0.25">
      <c r="A657" s="304">
        <v>770</v>
      </c>
      <c r="B657" s="304" t="s">
        <v>6209</v>
      </c>
      <c r="C657" s="304" t="s">
        <v>5555</v>
      </c>
      <c r="D657" s="540">
        <v>3.07</v>
      </c>
    </row>
    <row r="658" spans="1:4" ht="15" x14ac:dyDescent="0.25">
      <c r="A658" s="304">
        <v>12394</v>
      </c>
      <c r="B658" s="304" t="s">
        <v>6210</v>
      </c>
      <c r="C658" s="304" t="s">
        <v>5555</v>
      </c>
      <c r="D658" s="540">
        <v>3.07</v>
      </c>
    </row>
    <row r="659" spans="1:4" ht="15" x14ac:dyDescent="0.25">
      <c r="A659" s="304">
        <v>764</v>
      </c>
      <c r="B659" s="304" t="s">
        <v>6211</v>
      </c>
      <c r="C659" s="304" t="s">
        <v>5555</v>
      </c>
      <c r="D659" s="540">
        <v>5.36</v>
      </c>
    </row>
    <row r="660" spans="1:4" ht="15" x14ac:dyDescent="0.25">
      <c r="A660" s="304">
        <v>765</v>
      </c>
      <c r="B660" s="304" t="s">
        <v>6212</v>
      </c>
      <c r="C660" s="304" t="s">
        <v>5555</v>
      </c>
      <c r="D660" s="540">
        <v>5.36</v>
      </c>
    </row>
    <row r="661" spans="1:4" ht="15" x14ac:dyDescent="0.25">
      <c r="A661" s="304">
        <v>787</v>
      </c>
      <c r="B661" s="304" t="s">
        <v>6213</v>
      </c>
      <c r="C661" s="304" t="s">
        <v>5555</v>
      </c>
      <c r="D661" s="540">
        <v>23.94</v>
      </c>
    </row>
    <row r="662" spans="1:4" ht="15" x14ac:dyDescent="0.25">
      <c r="A662" s="304">
        <v>774</v>
      </c>
      <c r="B662" s="304" t="s">
        <v>6214</v>
      </c>
      <c r="C662" s="304" t="s">
        <v>5555</v>
      </c>
      <c r="D662" s="540">
        <v>23.94</v>
      </c>
    </row>
    <row r="663" spans="1:4" ht="15" x14ac:dyDescent="0.25">
      <c r="A663" s="304">
        <v>773</v>
      </c>
      <c r="B663" s="304" t="s">
        <v>6215</v>
      </c>
      <c r="C663" s="304" t="s">
        <v>5555</v>
      </c>
      <c r="D663" s="540">
        <v>23.94</v>
      </c>
    </row>
    <row r="664" spans="1:4" ht="15" x14ac:dyDescent="0.25">
      <c r="A664" s="304">
        <v>775</v>
      </c>
      <c r="B664" s="304" t="s">
        <v>6216</v>
      </c>
      <c r="C664" s="304" t="s">
        <v>5555</v>
      </c>
      <c r="D664" s="540">
        <v>23.94</v>
      </c>
    </row>
    <row r="665" spans="1:4" ht="15" x14ac:dyDescent="0.25">
      <c r="A665" s="304">
        <v>788</v>
      </c>
      <c r="B665" s="304" t="s">
        <v>6217</v>
      </c>
      <c r="C665" s="304" t="s">
        <v>5555</v>
      </c>
      <c r="D665" s="540">
        <v>14.88</v>
      </c>
    </row>
    <row r="666" spans="1:4" ht="15" x14ac:dyDescent="0.25">
      <c r="A666" s="304">
        <v>772</v>
      </c>
      <c r="B666" s="304" t="s">
        <v>6218</v>
      </c>
      <c r="C666" s="304" t="s">
        <v>5555</v>
      </c>
      <c r="D666" s="540">
        <v>14.88</v>
      </c>
    </row>
    <row r="667" spans="1:4" ht="15" x14ac:dyDescent="0.25">
      <c r="A667" s="304">
        <v>771</v>
      </c>
      <c r="B667" s="304" t="s">
        <v>6219</v>
      </c>
      <c r="C667" s="304" t="s">
        <v>5555</v>
      </c>
      <c r="D667" s="540">
        <v>14.88</v>
      </c>
    </row>
    <row r="668" spans="1:4" ht="15" x14ac:dyDescent="0.25">
      <c r="A668" s="304">
        <v>779</v>
      </c>
      <c r="B668" s="304" t="s">
        <v>6220</v>
      </c>
      <c r="C668" s="304" t="s">
        <v>5555</v>
      </c>
      <c r="D668" s="540">
        <v>3.7</v>
      </c>
    </row>
    <row r="669" spans="1:4" ht="15" x14ac:dyDescent="0.25">
      <c r="A669" s="304">
        <v>776</v>
      </c>
      <c r="B669" s="304" t="s">
        <v>6221</v>
      </c>
      <c r="C669" s="304" t="s">
        <v>5555</v>
      </c>
      <c r="D669" s="540">
        <v>35.29</v>
      </c>
    </row>
    <row r="670" spans="1:4" ht="15" x14ac:dyDescent="0.25">
      <c r="A670" s="304">
        <v>777</v>
      </c>
      <c r="B670" s="304" t="s">
        <v>6222</v>
      </c>
      <c r="C670" s="304" t="s">
        <v>5555</v>
      </c>
      <c r="D670" s="540">
        <v>34.31</v>
      </c>
    </row>
    <row r="671" spans="1:4" ht="15" x14ac:dyDescent="0.25">
      <c r="A671" s="304">
        <v>780</v>
      </c>
      <c r="B671" s="304" t="s">
        <v>6223</v>
      </c>
      <c r="C671" s="304" t="s">
        <v>5555</v>
      </c>
      <c r="D671" s="540">
        <v>34.479999999999997</v>
      </c>
    </row>
    <row r="672" spans="1:4" ht="15" x14ac:dyDescent="0.25">
      <c r="A672" s="304">
        <v>778</v>
      </c>
      <c r="B672" s="304" t="s">
        <v>6224</v>
      </c>
      <c r="C672" s="304" t="s">
        <v>5555</v>
      </c>
      <c r="D672" s="540">
        <v>35.29</v>
      </c>
    </row>
    <row r="673" spans="1:4" ht="15" x14ac:dyDescent="0.25">
      <c r="A673" s="304">
        <v>781</v>
      </c>
      <c r="B673" s="304" t="s">
        <v>6225</v>
      </c>
      <c r="C673" s="304" t="s">
        <v>5555</v>
      </c>
      <c r="D673" s="540">
        <v>65.209999999999994</v>
      </c>
    </row>
    <row r="674" spans="1:4" ht="15" x14ac:dyDescent="0.25">
      <c r="A674" s="304">
        <v>786</v>
      </c>
      <c r="B674" s="304" t="s">
        <v>6226</v>
      </c>
      <c r="C674" s="304" t="s">
        <v>5555</v>
      </c>
      <c r="D674" s="540">
        <v>65.209999999999994</v>
      </c>
    </row>
    <row r="675" spans="1:4" ht="15" x14ac:dyDescent="0.25">
      <c r="A675" s="304">
        <v>782</v>
      </c>
      <c r="B675" s="304" t="s">
        <v>6227</v>
      </c>
      <c r="C675" s="304" t="s">
        <v>5555</v>
      </c>
      <c r="D675" s="540">
        <v>65.209999999999994</v>
      </c>
    </row>
    <row r="676" spans="1:4" ht="15" x14ac:dyDescent="0.25">
      <c r="A676" s="304">
        <v>783</v>
      </c>
      <c r="B676" s="304" t="s">
        <v>6228</v>
      </c>
      <c r="C676" s="304" t="s">
        <v>5555</v>
      </c>
      <c r="D676" s="540">
        <v>178.48</v>
      </c>
    </row>
    <row r="677" spans="1:4" ht="15" x14ac:dyDescent="0.25">
      <c r="A677" s="304">
        <v>785</v>
      </c>
      <c r="B677" s="304" t="s">
        <v>6229</v>
      </c>
      <c r="C677" s="304" t="s">
        <v>5555</v>
      </c>
      <c r="D677" s="540">
        <v>188.58</v>
      </c>
    </row>
    <row r="678" spans="1:4" ht="15" x14ac:dyDescent="0.25">
      <c r="A678" s="304">
        <v>784</v>
      </c>
      <c r="B678" s="304" t="s">
        <v>6230</v>
      </c>
      <c r="C678" s="304" t="s">
        <v>5555</v>
      </c>
      <c r="D678" s="540">
        <v>202.3</v>
      </c>
    </row>
    <row r="679" spans="1:4" ht="15" x14ac:dyDescent="0.25">
      <c r="A679" s="304">
        <v>831</v>
      </c>
      <c r="B679" s="304" t="s">
        <v>6231</v>
      </c>
      <c r="C679" s="304" t="s">
        <v>5555</v>
      </c>
      <c r="D679" s="540">
        <v>60.28</v>
      </c>
    </row>
    <row r="680" spans="1:4" ht="15" x14ac:dyDescent="0.25">
      <c r="A680" s="304">
        <v>828</v>
      </c>
      <c r="B680" s="304" t="s">
        <v>6232</v>
      </c>
      <c r="C680" s="304" t="s">
        <v>5555</v>
      </c>
      <c r="D680" s="540">
        <v>0.34</v>
      </c>
    </row>
    <row r="681" spans="1:4" ht="15" x14ac:dyDescent="0.25">
      <c r="A681" s="304">
        <v>829</v>
      </c>
      <c r="B681" s="304" t="s">
        <v>6233</v>
      </c>
      <c r="C681" s="304" t="s">
        <v>5555</v>
      </c>
      <c r="D681" s="540">
        <v>0.73</v>
      </c>
    </row>
    <row r="682" spans="1:4" ht="15" x14ac:dyDescent="0.25">
      <c r="A682" s="304">
        <v>812</v>
      </c>
      <c r="B682" s="304" t="s">
        <v>6234</v>
      </c>
      <c r="C682" s="304" t="s">
        <v>5555</v>
      </c>
      <c r="D682" s="540">
        <v>1.58</v>
      </c>
    </row>
    <row r="683" spans="1:4" ht="15" x14ac:dyDescent="0.25">
      <c r="A683" s="304">
        <v>819</v>
      </c>
      <c r="B683" s="304" t="s">
        <v>6235</v>
      </c>
      <c r="C683" s="304" t="s">
        <v>5555</v>
      </c>
      <c r="D683" s="540">
        <v>2.6</v>
      </c>
    </row>
    <row r="684" spans="1:4" ht="15" x14ac:dyDescent="0.25">
      <c r="A684" s="304">
        <v>818</v>
      </c>
      <c r="B684" s="304" t="s">
        <v>6236</v>
      </c>
      <c r="C684" s="304" t="s">
        <v>5555</v>
      </c>
      <c r="D684" s="540">
        <v>4.38</v>
      </c>
    </row>
    <row r="685" spans="1:4" ht="15" x14ac:dyDescent="0.25">
      <c r="A685" s="304">
        <v>823</v>
      </c>
      <c r="B685" s="304" t="s">
        <v>6237</v>
      </c>
      <c r="C685" s="304" t="s">
        <v>5555</v>
      </c>
      <c r="D685" s="540">
        <v>13.19</v>
      </c>
    </row>
    <row r="686" spans="1:4" ht="15" x14ac:dyDescent="0.25">
      <c r="A686" s="304">
        <v>830</v>
      </c>
      <c r="B686" s="304" t="s">
        <v>6238</v>
      </c>
      <c r="C686" s="304" t="s">
        <v>5555</v>
      </c>
      <c r="D686" s="540">
        <v>10.86</v>
      </c>
    </row>
    <row r="687" spans="1:4" ht="15" x14ac:dyDescent="0.25">
      <c r="A687" s="304">
        <v>826</v>
      </c>
      <c r="B687" s="304" t="s">
        <v>6239</v>
      </c>
      <c r="C687" s="304" t="s">
        <v>5555</v>
      </c>
      <c r="D687" s="540">
        <v>33.81</v>
      </c>
    </row>
    <row r="688" spans="1:4" ht="15" x14ac:dyDescent="0.25">
      <c r="A688" s="304">
        <v>827</v>
      </c>
      <c r="B688" s="304" t="s">
        <v>6240</v>
      </c>
      <c r="C688" s="304" t="s">
        <v>5555</v>
      </c>
      <c r="D688" s="540">
        <v>28.56</v>
      </c>
    </row>
    <row r="689" spans="1:4" ht="15" x14ac:dyDescent="0.25">
      <c r="A689" s="304">
        <v>832</v>
      </c>
      <c r="B689" s="304" t="s">
        <v>6241</v>
      </c>
      <c r="C689" s="304" t="s">
        <v>5555</v>
      </c>
      <c r="D689" s="540">
        <v>1.97</v>
      </c>
    </row>
    <row r="690" spans="1:4" ht="15" x14ac:dyDescent="0.25">
      <c r="A690" s="304">
        <v>833</v>
      </c>
      <c r="B690" s="304" t="s">
        <v>6242</v>
      </c>
      <c r="C690" s="304" t="s">
        <v>5555</v>
      </c>
      <c r="D690" s="540">
        <v>2.8</v>
      </c>
    </row>
    <row r="691" spans="1:4" ht="15" x14ac:dyDescent="0.25">
      <c r="A691" s="304">
        <v>834</v>
      </c>
      <c r="B691" s="304" t="s">
        <v>6243</v>
      </c>
      <c r="C691" s="304" t="s">
        <v>5555</v>
      </c>
      <c r="D691" s="540">
        <v>3.07</v>
      </c>
    </row>
    <row r="692" spans="1:4" ht="15" x14ac:dyDescent="0.25">
      <c r="A692" s="304">
        <v>825</v>
      </c>
      <c r="B692" s="304" t="s">
        <v>6244</v>
      </c>
      <c r="C692" s="304" t="s">
        <v>5555</v>
      </c>
      <c r="D692" s="540">
        <v>3.43</v>
      </c>
    </row>
    <row r="693" spans="1:4" ht="15" x14ac:dyDescent="0.25">
      <c r="A693" s="304">
        <v>813</v>
      </c>
      <c r="B693" s="304" t="s">
        <v>6245</v>
      </c>
      <c r="C693" s="304" t="s">
        <v>5555</v>
      </c>
      <c r="D693" s="540">
        <v>3.37</v>
      </c>
    </row>
    <row r="694" spans="1:4" ht="15" x14ac:dyDescent="0.25">
      <c r="A694" s="304">
        <v>820</v>
      </c>
      <c r="B694" s="304" t="s">
        <v>6246</v>
      </c>
      <c r="C694" s="304" t="s">
        <v>5555</v>
      </c>
      <c r="D694" s="540">
        <v>4.2699999999999996</v>
      </c>
    </row>
    <row r="695" spans="1:4" ht="15" x14ac:dyDescent="0.25">
      <c r="A695" s="304">
        <v>816</v>
      </c>
      <c r="B695" s="304" t="s">
        <v>6247</v>
      </c>
      <c r="C695" s="304" t="s">
        <v>5555</v>
      </c>
      <c r="D695" s="540">
        <v>7.28</v>
      </c>
    </row>
    <row r="696" spans="1:4" ht="15" x14ac:dyDescent="0.25">
      <c r="A696" s="304">
        <v>814</v>
      </c>
      <c r="B696" s="304" t="s">
        <v>6248</v>
      </c>
      <c r="C696" s="304" t="s">
        <v>5555</v>
      </c>
      <c r="D696" s="540">
        <v>8.7899999999999991</v>
      </c>
    </row>
    <row r="697" spans="1:4" ht="15" x14ac:dyDescent="0.25">
      <c r="A697" s="304">
        <v>815</v>
      </c>
      <c r="B697" s="304" t="s">
        <v>6249</v>
      </c>
      <c r="C697" s="304" t="s">
        <v>5555</v>
      </c>
      <c r="D697" s="540">
        <v>9.5</v>
      </c>
    </row>
    <row r="698" spans="1:4" ht="15" x14ac:dyDescent="0.25">
      <c r="A698" s="304">
        <v>822</v>
      </c>
      <c r="B698" s="304" t="s">
        <v>6250</v>
      </c>
      <c r="C698" s="304" t="s">
        <v>5555</v>
      </c>
      <c r="D698" s="540">
        <v>11.57</v>
      </c>
    </row>
    <row r="699" spans="1:4" ht="15" x14ac:dyDescent="0.25">
      <c r="A699" s="304">
        <v>821</v>
      </c>
      <c r="B699" s="304" t="s">
        <v>6251</v>
      </c>
      <c r="C699" s="304" t="s">
        <v>5555</v>
      </c>
      <c r="D699" s="540">
        <v>13.53</v>
      </c>
    </row>
    <row r="700" spans="1:4" ht="15" x14ac:dyDescent="0.25">
      <c r="A700" s="304">
        <v>817</v>
      </c>
      <c r="B700" s="304" t="s">
        <v>6252</v>
      </c>
      <c r="C700" s="304" t="s">
        <v>5555</v>
      </c>
      <c r="D700" s="540">
        <v>16.079999999999998</v>
      </c>
    </row>
    <row r="701" spans="1:4" ht="15" x14ac:dyDescent="0.25">
      <c r="A701" s="304">
        <v>20086</v>
      </c>
      <c r="B701" s="304" t="s">
        <v>6253</v>
      </c>
      <c r="C701" s="304" t="s">
        <v>5555</v>
      </c>
      <c r="D701" s="540">
        <v>1.42</v>
      </c>
    </row>
    <row r="702" spans="1:4" ht="15" x14ac:dyDescent="0.25">
      <c r="A702" s="304">
        <v>39191</v>
      </c>
      <c r="B702" s="304" t="s">
        <v>6254</v>
      </c>
      <c r="C702" s="304" t="s">
        <v>5555</v>
      </c>
      <c r="D702" s="540">
        <v>13.61</v>
      </c>
    </row>
    <row r="703" spans="1:4" ht="15" x14ac:dyDescent="0.25">
      <c r="A703" s="304">
        <v>39190</v>
      </c>
      <c r="B703" s="304" t="s">
        <v>6255</v>
      </c>
      <c r="C703" s="304" t="s">
        <v>5555</v>
      </c>
      <c r="D703" s="540">
        <v>14.22</v>
      </c>
    </row>
    <row r="704" spans="1:4" ht="15" x14ac:dyDescent="0.25">
      <c r="A704" s="304">
        <v>39189</v>
      </c>
      <c r="B704" s="304" t="s">
        <v>6256</v>
      </c>
      <c r="C704" s="304" t="s">
        <v>5555</v>
      </c>
      <c r="D704" s="540">
        <v>15.05</v>
      </c>
    </row>
    <row r="705" spans="1:4" ht="15" x14ac:dyDescent="0.25">
      <c r="A705" s="304">
        <v>39186</v>
      </c>
      <c r="B705" s="304" t="s">
        <v>6257</v>
      </c>
      <c r="C705" s="304" t="s">
        <v>5555</v>
      </c>
      <c r="D705" s="540">
        <v>13.46</v>
      </c>
    </row>
    <row r="706" spans="1:4" ht="15" x14ac:dyDescent="0.25">
      <c r="A706" s="304">
        <v>39188</v>
      </c>
      <c r="B706" s="304" t="s">
        <v>6258</v>
      </c>
      <c r="C706" s="304" t="s">
        <v>5555</v>
      </c>
      <c r="D706" s="540">
        <v>11.08</v>
      </c>
    </row>
    <row r="707" spans="1:4" ht="15" x14ac:dyDescent="0.25">
      <c r="A707" s="304">
        <v>39187</v>
      </c>
      <c r="B707" s="304" t="s">
        <v>6259</v>
      </c>
      <c r="C707" s="304" t="s">
        <v>5555</v>
      </c>
      <c r="D707" s="540">
        <v>11.61</v>
      </c>
    </row>
    <row r="708" spans="1:4" ht="15" x14ac:dyDescent="0.25">
      <c r="A708" s="304">
        <v>39184</v>
      </c>
      <c r="B708" s="304" t="s">
        <v>6260</v>
      </c>
      <c r="C708" s="304" t="s">
        <v>5555</v>
      </c>
      <c r="D708" s="540">
        <v>4.37</v>
      </c>
    </row>
    <row r="709" spans="1:4" ht="15" x14ac:dyDescent="0.25">
      <c r="A709" s="304">
        <v>39185</v>
      </c>
      <c r="B709" s="304" t="s">
        <v>6261</v>
      </c>
      <c r="C709" s="304" t="s">
        <v>5555</v>
      </c>
      <c r="D709" s="540">
        <v>3.98</v>
      </c>
    </row>
    <row r="710" spans="1:4" ht="15" x14ac:dyDescent="0.25">
      <c r="A710" s="304">
        <v>39198</v>
      </c>
      <c r="B710" s="304" t="s">
        <v>6262</v>
      </c>
      <c r="C710" s="304" t="s">
        <v>5555</v>
      </c>
      <c r="D710" s="540">
        <v>44.66</v>
      </c>
    </row>
    <row r="711" spans="1:4" ht="15" x14ac:dyDescent="0.25">
      <c r="A711" s="304">
        <v>39197</v>
      </c>
      <c r="B711" s="304" t="s">
        <v>6263</v>
      </c>
      <c r="C711" s="304" t="s">
        <v>5555</v>
      </c>
      <c r="D711" s="540">
        <v>46.66</v>
      </c>
    </row>
    <row r="712" spans="1:4" ht="15" x14ac:dyDescent="0.25">
      <c r="A712" s="304">
        <v>39196</v>
      </c>
      <c r="B712" s="304" t="s">
        <v>6264</v>
      </c>
      <c r="C712" s="304" t="s">
        <v>5555</v>
      </c>
      <c r="D712" s="540">
        <v>48.12</v>
      </c>
    </row>
    <row r="713" spans="1:4" ht="15" x14ac:dyDescent="0.25">
      <c r="A713" s="304">
        <v>39199</v>
      </c>
      <c r="B713" s="304" t="s">
        <v>6265</v>
      </c>
      <c r="C713" s="304" t="s">
        <v>5555</v>
      </c>
      <c r="D713" s="540">
        <v>42.98</v>
      </c>
    </row>
    <row r="714" spans="1:4" ht="15" x14ac:dyDescent="0.25">
      <c r="A714" s="304">
        <v>39195</v>
      </c>
      <c r="B714" s="304" t="s">
        <v>6266</v>
      </c>
      <c r="C714" s="304" t="s">
        <v>5555</v>
      </c>
      <c r="D714" s="540">
        <v>24.81</v>
      </c>
    </row>
    <row r="715" spans="1:4" ht="15" x14ac:dyDescent="0.25">
      <c r="A715" s="304">
        <v>39194</v>
      </c>
      <c r="B715" s="304" t="s">
        <v>6267</v>
      </c>
      <c r="C715" s="304" t="s">
        <v>5555</v>
      </c>
      <c r="D715" s="540">
        <v>26.55</v>
      </c>
    </row>
    <row r="716" spans="1:4" ht="15" x14ac:dyDescent="0.25">
      <c r="A716" s="304">
        <v>39193</v>
      </c>
      <c r="B716" s="304" t="s">
        <v>6268</v>
      </c>
      <c r="C716" s="304" t="s">
        <v>5555</v>
      </c>
      <c r="D716" s="540">
        <v>29.1</v>
      </c>
    </row>
    <row r="717" spans="1:4" ht="15" x14ac:dyDescent="0.25">
      <c r="A717" s="304">
        <v>39192</v>
      </c>
      <c r="B717" s="304" t="s">
        <v>6269</v>
      </c>
      <c r="C717" s="304" t="s">
        <v>5555</v>
      </c>
      <c r="D717" s="540">
        <v>30.27</v>
      </c>
    </row>
    <row r="718" spans="1:4" ht="15" x14ac:dyDescent="0.25">
      <c r="A718" s="304">
        <v>39920</v>
      </c>
      <c r="B718" s="304" t="s">
        <v>6270</v>
      </c>
      <c r="C718" s="304" t="s">
        <v>5555</v>
      </c>
      <c r="D718" s="540">
        <v>3.66</v>
      </c>
    </row>
    <row r="719" spans="1:4" ht="15" x14ac:dyDescent="0.25">
      <c r="A719" s="304">
        <v>39201</v>
      </c>
      <c r="B719" s="304" t="s">
        <v>6271</v>
      </c>
      <c r="C719" s="304" t="s">
        <v>5555</v>
      </c>
      <c r="D719" s="540">
        <v>53.4</v>
      </c>
    </row>
    <row r="720" spans="1:4" ht="15" x14ac:dyDescent="0.25">
      <c r="A720" s="304">
        <v>39200</v>
      </c>
      <c r="B720" s="304" t="s">
        <v>6272</v>
      </c>
      <c r="C720" s="304" t="s">
        <v>5555</v>
      </c>
      <c r="D720" s="540">
        <v>53.83</v>
      </c>
    </row>
    <row r="721" spans="1:4" ht="15" x14ac:dyDescent="0.25">
      <c r="A721" s="304">
        <v>39203</v>
      </c>
      <c r="B721" s="304" t="s">
        <v>6273</v>
      </c>
      <c r="C721" s="304" t="s">
        <v>5555</v>
      </c>
      <c r="D721" s="540">
        <v>43.46</v>
      </c>
    </row>
    <row r="722" spans="1:4" ht="15" x14ac:dyDescent="0.25">
      <c r="A722" s="304">
        <v>39202</v>
      </c>
      <c r="B722" s="304" t="s">
        <v>6274</v>
      </c>
      <c r="C722" s="304" t="s">
        <v>5555</v>
      </c>
      <c r="D722" s="540">
        <v>51.06</v>
      </c>
    </row>
    <row r="723" spans="1:4" ht="15" x14ac:dyDescent="0.25">
      <c r="A723" s="304">
        <v>39205</v>
      </c>
      <c r="B723" s="304" t="s">
        <v>6275</v>
      </c>
      <c r="C723" s="304" t="s">
        <v>5555</v>
      </c>
      <c r="D723" s="540">
        <v>85.19</v>
      </c>
    </row>
    <row r="724" spans="1:4" ht="15" x14ac:dyDescent="0.25">
      <c r="A724" s="304">
        <v>39204</v>
      </c>
      <c r="B724" s="304" t="s">
        <v>6276</v>
      </c>
      <c r="C724" s="304" t="s">
        <v>5555</v>
      </c>
      <c r="D724" s="540">
        <v>87.25</v>
      </c>
    </row>
    <row r="725" spans="1:4" ht="15" x14ac:dyDescent="0.25">
      <c r="A725" s="304">
        <v>39206</v>
      </c>
      <c r="B725" s="304" t="s">
        <v>6277</v>
      </c>
      <c r="C725" s="304" t="s">
        <v>5555</v>
      </c>
      <c r="D725" s="540">
        <v>82.77</v>
      </c>
    </row>
    <row r="726" spans="1:4" ht="15" x14ac:dyDescent="0.25">
      <c r="A726" s="304">
        <v>797</v>
      </c>
      <c r="B726" s="304" t="s">
        <v>6278</v>
      </c>
      <c r="C726" s="304" t="s">
        <v>5555</v>
      </c>
      <c r="D726" s="540">
        <v>6.29</v>
      </c>
    </row>
    <row r="727" spans="1:4" ht="15" x14ac:dyDescent="0.25">
      <c r="A727" s="304">
        <v>798</v>
      </c>
      <c r="B727" s="304" t="s">
        <v>6279</v>
      </c>
      <c r="C727" s="304" t="s">
        <v>5555</v>
      </c>
      <c r="D727" s="540">
        <v>0.86</v>
      </c>
    </row>
    <row r="728" spans="1:4" ht="15" x14ac:dyDescent="0.25">
      <c r="A728" s="304">
        <v>796</v>
      </c>
      <c r="B728" s="304" t="s">
        <v>6280</v>
      </c>
      <c r="C728" s="304" t="s">
        <v>5555</v>
      </c>
      <c r="D728" s="540">
        <v>6.03</v>
      </c>
    </row>
    <row r="729" spans="1:4" ht="15" x14ac:dyDescent="0.25">
      <c r="A729" s="304">
        <v>799</v>
      </c>
      <c r="B729" s="304" t="s">
        <v>6281</v>
      </c>
      <c r="C729" s="304" t="s">
        <v>5555</v>
      </c>
      <c r="D729" s="540">
        <v>2.83</v>
      </c>
    </row>
    <row r="730" spans="1:4" ht="15" x14ac:dyDescent="0.25">
      <c r="A730" s="304">
        <v>792</v>
      </c>
      <c r="B730" s="304" t="s">
        <v>6282</v>
      </c>
      <c r="C730" s="304" t="s">
        <v>5555</v>
      </c>
      <c r="D730" s="540">
        <v>2.88</v>
      </c>
    </row>
    <row r="731" spans="1:4" ht="15" x14ac:dyDescent="0.25">
      <c r="A731" s="304">
        <v>804</v>
      </c>
      <c r="B731" s="304" t="s">
        <v>6283</v>
      </c>
      <c r="C731" s="304" t="s">
        <v>5555</v>
      </c>
      <c r="D731" s="540">
        <v>14.29</v>
      </c>
    </row>
    <row r="732" spans="1:4" ht="15" x14ac:dyDescent="0.25">
      <c r="A732" s="304">
        <v>793</v>
      </c>
      <c r="B732" s="304" t="s">
        <v>6284</v>
      </c>
      <c r="C732" s="304" t="s">
        <v>5555</v>
      </c>
      <c r="D732" s="540">
        <v>6.13</v>
      </c>
    </row>
    <row r="733" spans="1:4" ht="15" x14ac:dyDescent="0.25">
      <c r="A733" s="304">
        <v>801</v>
      </c>
      <c r="B733" s="304" t="s">
        <v>6285</v>
      </c>
      <c r="C733" s="304" t="s">
        <v>5555</v>
      </c>
      <c r="D733" s="540">
        <v>4.37</v>
      </c>
    </row>
    <row r="734" spans="1:4" ht="15" x14ac:dyDescent="0.25">
      <c r="A734" s="304">
        <v>794</v>
      </c>
      <c r="B734" s="304" t="s">
        <v>6286</v>
      </c>
      <c r="C734" s="304" t="s">
        <v>5555</v>
      </c>
      <c r="D734" s="540">
        <v>4.51</v>
      </c>
    </row>
    <row r="735" spans="1:4" ht="15" x14ac:dyDescent="0.25">
      <c r="A735" s="304">
        <v>802</v>
      </c>
      <c r="B735" s="304" t="s">
        <v>6287</v>
      </c>
      <c r="C735" s="304" t="s">
        <v>5555</v>
      </c>
      <c r="D735" s="540">
        <v>12.6</v>
      </c>
    </row>
    <row r="736" spans="1:4" ht="15" x14ac:dyDescent="0.25">
      <c r="A736" s="304">
        <v>803</v>
      </c>
      <c r="B736" s="304" t="s">
        <v>6288</v>
      </c>
      <c r="C736" s="304" t="s">
        <v>5555</v>
      </c>
      <c r="D736" s="540">
        <v>10.99</v>
      </c>
    </row>
    <row r="737" spans="1:4" ht="15" x14ac:dyDescent="0.25">
      <c r="A737" s="304">
        <v>38001</v>
      </c>
      <c r="B737" s="304" t="s">
        <v>6289</v>
      </c>
      <c r="C737" s="304" t="s">
        <v>5555</v>
      </c>
      <c r="D737" s="540">
        <v>0.68</v>
      </c>
    </row>
    <row r="738" spans="1:4" ht="15" x14ac:dyDescent="0.25">
      <c r="A738" s="304">
        <v>38002</v>
      </c>
      <c r="B738" s="304" t="s">
        <v>6290</v>
      </c>
      <c r="C738" s="304" t="s">
        <v>5555</v>
      </c>
      <c r="D738" s="540">
        <v>1.26</v>
      </c>
    </row>
    <row r="739" spans="1:4" ht="15" x14ac:dyDescent="0.25">
      <c r="A739" s="304">
        <v>38003</v>
      </c>
      <c r="B739" s="304" t="s">
        <v>6291</v>
      </c>
      <c r="C739" s="304" t="s">
        <v>5555</v>
      </c>
      <c r="D739" s="540">
        <v>15.18</v>
      </c>
    </row>
    <row r="740" spans="1:4" ht="15" x14ac:dyDescent="0.25">
      <c r="A740" s="304">
        <v>38004</v>
      </c>
      <c r="B740" s="304" t="s">
        <v>6292</v>
      </c>
      <c r="C740" s="304" t="s">
        <v>5555</v>
      </c>
      <c r="D740" s="540">
        <v>20.3</v>
      </c>
    </row>
    <row r="741" spans="1:4" ht="15" x14ac:dyDescent="0.25">
      <c r="A741" s="304">
        <v>36327</v>
      </c>
      <c r="B741" s="304" t="s">
        <v>6293</v>
      </c>
      <c r="C741" s="304" t="s">
        <v>5555</v>
      </c>
      <c r="D741" s="540">
        <v>1.4</v>
      </c>
    </row>
    <row r="742" spans="1:4" ht="15" x14ac:dyDescent="0.25">
      <c r="A742" s="304">
        <v>38992</v>
      </c>
      <c r="B742" s="304" t="s">
        <v>6294</v>
      </c>
      <c r="C742" s="304" t="s">
        <v>5555</v>
      </c>
      <c r="D742" s="540">
        <v>2.2400000000000002</v>
      </c>
    </row>
    <row r="743" spans="1:4" ht="15" x14ac:dyDescent="0.25">
      <c r="A743" s="304">
        <v>38993</v>
      </c>
      <c r="B743" s="304" t="s">
        <v>6295</v>
      </c>
      <c r="C743" s="304" t="s">
        <v>5555</v>
      </c>
      <c r="D743" s="540">
        <v>6.38</v>
      </c>
    </row>
    <row r="744" spans="1:4" ht="15" x14ac:dyDescent="0.25">
      <c r="A744" s="304">
        <v>38418</v>
      </c>
      <c r="B744" s="304" t="s">
        <v>6296</v>
      </c>
      <c r="C744" s="304" t="s">
        <v>5555</v>
      </c>
      <c r="D744" s="540">
        <v>4.13</v>
      </c>
    </row>
    <row r="745" spans="1:4" ht="15" x14ac:dyDescent="0.25">
      <c r="A745" s="304">
        <v>39178</v>
      </c>
      <c r="B745" s="304" t="s">
        <v>6297</v>
      </c>
      <c r="C745" s="304" t="s">
        <v>5555</v>
      </c>
      <c r="D745" s="540">
        <v>1.47</v>
      </c>
    </row>
    <row r="746" spans="1:4" ht="15" x14ac:dyDescent="0.25">
      <c r="A746" s="304">
        <v>39177</v>
      </c>
      <c r="B746" s="304" t="s">
        <v>6298</v>
      </c>
      <c r="C746" s="304" t="s">
        <v>5555</v>
      </c>
      <c r="D746" s="540">
        <v>1.33</v>
      </c>
    </row>
    <row r="747" spans="1:4" ht="15" x14ac:dyDescent="0.25">
      <c r="A747" s="304">
        <v>39174</v>
      </c>
      <c r="B747" s="304" t="s">
        <v>6299</v>
      </c>
      <c r="C747" s="304" t="s">
        <v>5555</v>
      </c>
      <c r="D747" s="540">
        <v>0.66</v>
      </c>
    </row>
    <row r="748" spans="1:4" ht="15" x14ac:dyDescent="0.25">
      <c r="A748" s="304">
        <v>39176</v>
      </c>
      <c r="B748" s="304" t="s">
        <v>6300</v>
      </c>
      <c r="C748" s="304" t="s">
        <v>5555</v>
      </c>
      <c r="D748" s="540">
        <v>0.87</v>
      </c>
    </row>
    <row r="749" spans="1:4" ht="15" x14ac:dyDescent="0.25">
      <c r="A749" s="304">
        <v>39180</v>
      </c>
      <c r="B749" s="304" t="s">
        <v>6301</v>
      </c>
      <c r="C749" s="304" t="s">
        <v>5555</v>
      </c>
      <c r="D749" s="540">
        <v>4</v>
      </c>
    </row>
    <row r="750" spans="1:4" ht="15" x14ac:dyDescent="0.25">
      <c r="A750" s="304">
        <v>39179</v>
      </c>
      <c r="B750" s="304" t="s">
        <v>6302</v>
      </c>
      <c r="C750" s="304" t="s">
        <v>5555</v>
      </c>
      <c r="D750" s="540">
        <v>3.54</v>
      </c>
    </row>
    <row r="751" spans="1:4" ht="15" x14ac:dyDescent="0.25">
      <c r="A751" s="304">
        <v>39175</v>
      </c>
      <c r="B751" s="304" t="s">
        <v>6303</v>
      </c>
      <c r="C751" s="304" t="s">
        <v>5555</v>
      </c>
      <c r="D751" s="540">
        <v>0.81</v>
      </c>
    </row>
    <row r="752" spans="1:4" ht="15" x14ac:dyDescent="0.25">
      <c r="A752" s="304">
        <v>39217</v>
      </c>
      <c r="B752" s="304" t="s">
        <v>6304</v>
      </c>
      <c r="C752" s="304" t="s">
        <v>5555</v>
      </c>
      <c r="D752" s="540">
        <v>0.62</v>
      </c>
    </row>
    <row r="753" spans="1:4" ht="15" x14ac:dyDescent="0.25">
      <c r="A753" s="304">
        <v>39181</v>
      </c>
      <c r="B753" s="304" t="s">
        <v>6305</v>
      </c>
      <c r="C753" s="304" t="s">
        <v>5555</v>
      </c>
      <c r="D753" s="540">
        <v>5.36</v>
      </c>
    </row>
    <row r="754" spans="1:4" ht="15" x14ac:dyDescent="0.25">
      <c r="A754" s="304">
        <v>39182</v>
      </c>
      <c r="B754" s="304" t="s">
        <v>6306</v>
      </c>
      <c r="C754" s="304" t="s">
        <v>5555</v>
      </c>
      <c r="D754" s="540">
        <v>7.54</v>
      </c>
    </row>
    <row r="755" spans="1:4" ht="15" x14ac:dyDescent="0.25">
      <c r="A755" s="304">
        <v>12616</v>
      </c>
      <c r="B755" s="304" t="s">
        <v>6307</v>
      </c>
      <c r="C755" s="304" t="s">
        <v>5555</v>
      </c>
      <c r="D755" s="540">
        <v>5.0999999999999996</v>
      </c>
    </row>
    <row r="756" spans="1:4" ht="15" x14ac:dyDescent="0.25">
      <c r="A756" s="304">
        <v>1049</v>
      </c>
      <c r="B756" s="304" t="s">
        <v>6308</v>
      </c>
      <c r="C756" s="304" t="s">
        <v>5555</v>
      </c>
      <c r="D756" s="540">
        <v>6.31</v>
      </c>
    </row>
    <row r="757" spans="1:4" ht="15" x14ac:dyDescent="0.25">
      <c r="A757" s="304">
        <v>1099</v>
      </c>
      <c r="B757" s="304" t="s">
        <v>6309</v>
      </c>
      <c r="C757" s="304" t="s">
        <v>5555</v>
      </c>
      <c r="D757" s="540">
        <v>4.83</v>
      </c>
    </row>
    <row r="758" spans="1:4" ht="15" x14ac:dyDescent="0.25">
      <c r="A758" s="304">
        <v>39678</v>
      </c>
      <c r="B758" s="304" t="s">
        <v>6310</v>
      </c>
      <c r="C758" s="304" t="s">
        <v>5555</v>
      </c>
      <c r="D758" s="540">
        <v>1.94</v>
      </c>
    </row>
    <row r="759" spans="1:4" ht="15" x14ac:dyDescent="0.25">
      <c r="A759" s="304">
        <v>1050</v>
      </c>
      <c r="B759" s="304" t="s">
        <v>6311</v>
      </c>
      <c r="C759" s="304" t="s">
        <v>5555</v>
      </c>
      <c r="D759" s="540">
        <v>3.3</v>
      </c>
    </row>
    <row r="760" spans="1:4" ht="15" x14ac:dyDescent="0.25">
      <c r="A760" s="304">
        <v>1101</v>
      </c>
      <c r="B760" s="304" t="s">
        <v>6312</v>
      </c>
      <c r="C760" s="304" t="s">
        <v>5555</v>
      </c>
      <c r="D760" s="540">
        <v>20.81</v>
      </c>
    </row>
    <row r="761" spans="1:4" ht="15" x14ac:dyDescent="0.25">
      <c r="A761" s="304">
        <v>1100</v>
      </c>
      <c r="B761" s="304" t="s">
        <v>6313</v>
      </c>
      <c r="C761" s="304" t="s">
        <v>5555</v>
      </c>
      <c r="D761" s="540">
        <v>10.74</v>
      </c>
    </row>
    <row r="762" spans="1:4" ht="15" x14ac:dyDescent="0.25">
      <c r="A762" s="304">
        <v>39679</v>
      </c>
      <c r="B762" s="304" t="s">
        <v>6314</v>
      </c>
      <c r="C762" s="304" t="s">
        <v>5555</v>
      </c>
      <c r="D762" s="540">
        <v>41.49</v>
      </c>
    </row>
    <row r="763" spans="1:4" ht="15" x14ac:dyDescent="0.25">
      <c r="A763" s="304">
        <v>1098</v>
      </c>
      <c r="B763" s="304" t="s">
        <v>6315</v>
      </c>
      <c r="C763" s="304" t="s">
        <v>5555</v>
      </c>
      <c r="D763" s="540">
        <v>2.57</v>
      </c>
    </row>
    <row r="764" spans="1:4" ht="15" x14ac:dyDescent="0.25">
      <c r="A764" s="304">
        <v>1102</v>
      </c>
      <c r="B764" s="304" t="s">
        <v>6316</v>
      </c>
      <c r="C764" s="304" t="s">
        <v>5555</v>
      </c>
      <c r="D764" s="540">
        <v>31.04</v>
      </c>
    </row>
    <row r="765" spans="1:4" ht="15" x14ac:dyDescent="0.25">
      <c r="A765" s="304">
        <v>1051</v>
      </c>
      <c r="B765" s="304" t="s">
        <v>6317</v>
      </c>
      <c r="C765" s="304" t="s">
        <v>5555</v>
      </c>
      <c r="D765" s="540">
        <v>45.12</v>
      </c>
    </row>
    <row r="766" spans="1:4" ht="15" x14ac:dyDescent="0.25">
      <c r="A766" s="304">
        <v>37399</v>
      </c>
      <c r="B766" s="304" t="s">
        <v>6318</v>
      </c>
      <c r="C766" s="304" t="s">
        <v>5555</v>
      </c>
      <c r="D766" s="540">
        <v>17.66</v>
      </c>
    </row>
    <row r="767" spans="1:4" ht="15" x14ac:dyDescent="0.25">
      <c r="A767" s="304">
        <v>42655</v>
      </c>
      <c r="B767" s="304" t="s">
        <v>6319</v>
      </c>
      <c r="C767" s="304" t="s">
        <v>5626</v>
      </c>
      <c r="D767" s="540">
        <v>10.29</v>
      </c>
    </row>
    <row r="768" spans="1:4" ht="15" x14ac:dyDescent="0.25">
      <c r="A768" s="304">
        <v>25004</v>
      </c>
      <c r="B768" s="304" t="s">
        <v>6320</v>
      </c>
      <c r="C768" s="304" t="s">
        <v>5626</v>
      </c>
      <c r="D768" s="540">
        <v>22.07</v>
      </c>
    </row>
    <row r="769" spans="1:4" ht="15" x14ac:dyDescent="0.25">
      <c r="A769" s="304">
        <v>25002</v>
      </c>
      <c r="B769" s="304" t="s">
        <v>6321</v>
      </c>
      <c r="C769" s="304" t="s">
        <v>5626</v>
      </c>
      <c r="D769" s="540">
        <v>22.25</v>
      </c>
    </row>
    <row r="770" spans="1:4" ht="15" x14ac:dyDescent="0.25">
      <c r="A770" s="304">
        <v>37409</v>
      </c>
      <c r="B770" s="304" t="s">
        <v>6322</v>
      </c>
      <c r="C770" s="304" t="s">
        <v>5626</v>
      </c>
      <c r="D770" s="540">
        <v>21.89</v>
      </c>
    </row>
    <row r="771" spans="1:4" ht="15" x14ac:dyDescent="0.25">
      <c r="A771" s="304">
        <v>841</v>
      </c>
      <c r="B771" s="304" t="s">
        <v>6323</v>
      </c>
      <c r="C771" s="304" t="s">
        <v>5626</v>
      </c>
      <c r="D771" s="540">
        <v>22.61</v>
      </c>
    </row>
    <row r="772" spans="1:4" ht="15" x14ac:dyDescent="0.25">
      <c r="A772" s="304">
        <v>25005</v>
      </c>
      <c r="B772" s="304" t="s">
        <v>6324</v>
      </c>
      <c r="C772" s="304" t="s">
        <v>5626</v>
      </c>
      <c r="D772" s="540">
        <v>24.79</v>
      </c>
    </row>
    <row r="773" spans="1:4" ht="15" x14ac:dyDescent="0.25">
      <c r="A773" s="304">
        <v>25003</v>
      </c>
      <c r="B773" s="304" t="s">
        <v>6325</v>
      </c>
      <c r="C773" s="304" t="s">
        <v>5626</v>
      </c>
      <c r="D773" s="540">
        <v>26.48</v>
      </c>
    </row>
    <row r="774" spans="1:4" ht="15" x14ac:dyDescent="0.25">
      <c r="A774" s="304">
        <v>37410</v>
      </c>
      <c r="B774" s="304" t="s">
        <v>6326</v>
      </c>
      <c r="C774" s="304" t="s">
        <v>5626</v>
      </c>
      <c r="D774" s="540">
        <v>24.79</v>
      </c>
    </row>
    <row r="775" spans="1:4" ht="15" x14ac:dyDescent="0.25">
      <c r="A775" s="304">
        <v>842</v>
      </c>
      <c r="B775" s="304" t="s">
        <v>6327</v>
      </c>
      <c r="C775" s="304" t="s">
        <v>5626</v>
      </c>
      <c r="D775" s="540">
        <v>27.89</v>
      </c>
    </row>
    <row r="776" spans="1:4" ht="15" x14ac:dyDescent="0.25">
      <c r="A776" s="304">
        <v>862</v>
      </c>
      <c r="B776" s="304" t="s">
        <v>6328</v>
      </c>
      <c r="C776" s="304" t="s">
        <v>5575</v>
      </c>
      <c r="D776" s="540">
        <v>5.76</v>
      </c>
    </row>
    <row r="777" spans="1:4" ht="15" x14ac:dyDescent="0.25">
      <c r="A777" s="304">
        <v>866</v>
      </c>
      <c r="B777" s="304" t="s">
        <v>6329</v>
      </c>
      <c r="C777" s="304" t="s">
        <v>5575</v>
      </c>
      <c r="D777" s="540">
        <v>70.83</v>
      </c>
    </row>
    <row r="778" spans="1:4" ht="15" x14ac:dyDescent="0.25">
      <c r="A778" s="304">
        <v>892</v>
      </c>
      <c r="B778" s="304" t="s">
        <v>6330</v>
      </c>
      <c r="C778" s="304" t="s">
        <v>5575</v>
      </c>
      <c r="D778" s="540">
        <v>90.08</v>
      </c>
    </row>
    <row r="779" spans="1:4" ht="15" x14ac:dyDescent="0.25">
      <c r="A779" s="304">
        <v>857</v>
      </c>
      <c r="B779" s="304" t="s">
        <v>6331</v>
      </c>
      <c r="C779" s="304" t="s">
        <v>5575</v>
      </c>
      <c r="D779" s="540">
        <v>9.17</v>
      </c>
    </row>
    <row r="780" spans="1:4" ht="15" x14ac:dyDescent="0.25">
      <c r="A780" s="304">
        <v>37404</v>
      </c>
      <c r="B780" s="304" t="s">
        <v>6332</v>
      </c>
      <c r="C780" s="304" t="s">
        <v>5575</v>
      </c>
      <c r="D780" s="540">
        <v>108.31</v>
      </c>
    </row>
    <row r="781" spans="1:4" ht="15" x14ac:dyDescent="0.25">
      <c r="A781" s="304">
        <v>868</v>
      </c>
      <c r="B781" s="304" t="s">
        <v>6333</v>
      </c>
      <c r="C781" s="304" t="s">
        <v>5575</v>
      </c>
      <c r="D781" s="540">
        <v>14.16</v>
      </c>
    </row>
    <row r="782" spans="1:4" ht="15" x14ac:dyDescent="0.25">
      <c r="A782" s="304">
        <v>870</v>
      </c>
      <c r="B782" s="304" t="s">
        <v>6334</v>
      </c>
      <c r="C782" s="304" t="s">
        <v>5575</v>
      </c>
      <c r="D782" s="540">
        <v>186.65</v>
      </c>
    </row>
    <row r="783" spans="1:4" ht="15" x14ac:dyDescent="0.25">
      <c r="A783" s="304">
        <v>863</v>
      </c>
      <c r="B783" s="304" t="s">
        <v>6335</v>
      </c>
      <c r="C783" s="304" t="s">
        <v>5575</v>
      </c>
      <c r="D783" s="540">
        <v>19.559999999999999</v>
      </c>
    </row>
    <row r="784" spans="1:4" ht="15" x14ac:dyDescent="0.25">
      <c r="A784" s="304">
        <v>867</v>
      </c>
      <c r="B784" s="304" t="s">
        <v>6336</v>
      </c>
      <c r="C784" s="304" t="s">
        <v>5575</v>
      </c>
      <c r="D784" s="540">
        <v>27.25</v>
      </c>
    </row>
    <row r="785" spans="1:4" ht="15" x14ac:dyDescent="0.25">
      <c r="A785" s="304">
        <v>891</v>
      </c>
      <c r="B785" s="304" t="s">
        <v>6337</v>
      </c>
      <c r="C785" s="304" t="s">
        <v>5575</v>
      </c>
      <c r="D785" s="540">
        <v>313.45999999999998</v>
      </c>
    </row>
    <row r="786" spans="1:4" ht="15" x14ac:dyDescent="0.25">
      <c r="A786" s="304">
        <v>864</v>
      </c>
      <c r="B786" s="304" t="s">
        <v>6338</v>
      </c>
      <c r="C786" s="304" t="s">
        <v>5575</v>
      </c>
      <c r="D786" s="540">
        <v>38.39</v>
      </c>
    </row>
    <row r="787" spans="1:4" ht="15" x14ac:dyDescent="0.25">
      <c r="A787" s="304">
        <v>865</v>
      </c>
      <c r="B787" s="304" t="s">
        <v>6339</v>
      </c>
      <c r="C787" s="304" t="s">
        <v>5575</v>
      </c>
      <c r="D787" s="540">
        <v>54.07</v>
      </c>
    </row>
    <row r="788" spans="1:4" ht="15" x14ac:dyDescent="0.25">
      <c r="A788" s="304">
        <v>1006</v>
      </c>
      <c r="B788" s="304" t="s">
        <v>6340</v>
      </c>
      <c r="C788" s="304" t="s">
        <v>5575</v>
      </c>
      <c r="D788" s="540">
        <v>66.260000000000005</v>
      </c>
    </row>
    <row r="789" spans="1:4" ht="15" x14ac:dyDescent="0.25">
      <c r="A789" s="304">
        <v>948</v>
      </c>
      <c r="B789" s="304" t="s">
        <v>6341</v>
      </c>
      <c r="C789" s="304" t="s">
        <v>5575</v>
      </c>
      <c r="D789" s="540">
        <v>20.41</v>
      </c>
    </row>
    <row r="790" spans="1:4" ht="15" x14ac:dyDescent="0.25">
      <c r="A790" s="304">
        <v>947</v>
      </c>
      <c r="B790" s="304" t="s">
        <v>6342</v>
      </c>
      <c r="C790" s="304" t="s">
        <v>5575</v>
      </c>
      <c r="D790" s="540">
        <v>20.76</v>
      </c>
    </row>
    <row r="791" spans="1:4" ht="15" x14ac:dyDescent="0.25">
      <c r="A791" s="304">
        <v>911</v>
      </c>
      <c r="B791" s="304" t="s">
        <v>6343</v>
      </c>
      <c r="C791" s="304" t="s">
        <v>5575</v>
      </c>
      <c r="D791" s="540">
        <v>30.19</v>
      </c>
    </row>
    <row r="792" spans="1:4" ht="15" x14ac:dyDescent="0.25">
      <c r="A792" s="304">
        <v>925</v>
      </c>
      <c r="B792" s="304" t="s">
        <v>6344</v>
      </c>
      <c r="C792" s="304" t="s">
        <v>5575</v>
      </c>
      <c r="D792" s="540">
        <v>27.91</v>
      </c>
    </row>
    <row r="793" spans="1:4" ht="15" x14ac:dyDescent="0.25">
      <c r="A793" s="304">
        <v>954</v>
      </c>
      <c r="B793" s="304" t="s">
        <v>6345</v>
      </c>
      <c r="C793" s="304" t="s">
        <v>5575</v>
      </c>
      <c r="D793" s="540">
        <v>30.83</v>
      </c>
    </row>
    <row r="794" spans="1:4" ht="15" x14ac:dyDescent="0.25">
      <c r="A794" s="304">
        <v>901</v>
      </c>
      <c r="B794" s="304" t="s">
        <v>6346</v>
      </c>
      <c r="C794" s="304" t="s">
        <v>5575</v>
      </c>
      <c r="D794" s="540">
        <v>33</v>
      </c>
    </row>
    <row r="795" spans="1:4" ht="15" x14ac:dyDescent="0.25">
      <c r="A795" s="304">
        <v>926</v>
      </c>
      <c r="B795" s="304" t="s">
        <v>6347</v>
      </c>
      <c r="C795" s="304" t="s">
        <v>5575</v>
      </c>
      <c r="D795" s="540">
        <v>34.869999999999997</v>
      </c>
    </row>
    <row r="796" spans="1:4" ht="15" x14ac:dyDescent="0.25">
      <c r="A796" s="304">
        <v>912</v>
      </c>
      <c r="B796" s="304" t="s">
        <v>6348</v>
      </c>
      <c r="C796" s="304" t="s">
        <v>5575</v>
      </c>
      <c r="D796" s="540">
        <v>35.08</v>
      </c>
    </row>
    <row r="797" spans="1:4" ht="15" x14ac:dyDescent="0.25">
      <c r="A797" s="304">
        <v>955</v>
      </c>
      <c r="B797" s="304" t="s">
        <v>6349</v>
      </c>
      <c r="C797" s="304" t="s">
        <v>5575</v>
      </c>
      <c r="D797" s="540">
        <v>41.88</v>
      </c>
    </row>
    <row r="798" spans="1:4" ht="15" x14ac:dyDescent="0.25">
      <c r="A798" s="304">
        <v>946</v>
      </c>
      <c r="B798" s="304" t="s">
        <v>6350</v>
      </c>
      <c r="C798" s="304" t="s">
        <v>5575</v>
      </c>
      <c r="D798" s="540">
        <v>47.08</v>
      </c>
    </row>
    <row r="799" spans="1:4" ht="15" x14ac:dyDescent="0.25">
      <c r="A799" s="304">
        <v>953</v>
      </c>
      <c r="B799" s="304" t="s">
        <v>6351</v>
      </c>
      <c r="C799" s="304" t="s">
        <v>5575</v>
      </c>
      <c r="D799" s="540">
        <v>42.85</v>
      </c>
    </row>
    <row r="800" spans="1:4" ht="15" x14ac:dyDescent="0.25">
      <c r="A800" s="304">
        <v>902</v>
      </c>
      <c r="B800" s="304" t="s">
        <v>6352</v>
      </c>
      <c r="C800" s="304" t="s">
        <v>5575</v>
      </c>
      <c r="D800" s="540">
        <v>52.09</v>
      </c>
    </row>
    <row r="801" spans="1:4" ht="15" x14ac:dyDescent="0.25">
      <c r="A801" s="304">
        <v>927</v>
      </c>
      <c r="B801" s="304" t="s">
        <v>6353</v>
      </c>
      <c r="C801" s="304" t="s">
        <v>5575</v>
      </c>
      <c r="D801" s="540">
        <v>50.49</v>
      </c>
    </row>
    <row r="802" spans="1:4" ht="15" x14ac:dyDescent="0.25">
      <c r="A802" s="304">
        <v>913</v>
      </c>
      <c r="B802" s="304" t="s">
        <v>6354</v>
      </c>
      <c r="C802" s="304" t="s">
        <v>5575</v>
      </c>
      <c r="D802" s="540">
        <v>56.35</v>
      </c>
    </row>
    <row r="803" spans="1:4" ht="15" x14ac:dyDescent="0.25">
      <c r="A803" s="304">
        <v>903</v>
      </c>
      <c r="B803" s="304" t="s">
        <v>6355</v>
      </c>
      <c r="C803" s="304" t="s">
        <v>5575</v>
      </c>
      <c r="D803" s="540">
        <v>63.77</v>
      </c>
    </row>
    <row r="804" spans="1:4" ht="15" x14ac:dyDescent="0.25">
      <c r="A804" s="304">
        <v>945</v>
      </c>
      <c r="B804" s="304" t="s">
        <v>6356</v>
      </c>
      <c r="C804" s="304" t="s">
        <v>5575</v>
      </c>
      <c r="D804" s="540">
        <v>67.459999999999994</v>
      </c>
    </row>
    <row r="805" spans="1:4" ht="15" x14ac:dyDescent="0.25">
      <c r="A805" s="304">
        <v>914</v>
      </c>
      <c r="B805" s="304" t="s">
        <v>6357</v>
      </c>
      <c r="C805" s="304" t="s">
        <v>5575</v>
      </c>
      <c r="D805" s="540">
        <v>69.11</v>
      </c>
    </row>
    <row r="806" spans="1:4" ht="15" x14ac:dyDescent="0.25">
      <c r="A806" s="304">
        <v>993</v>
      </c>
      <c r="B806" s="304" t="s">
        <v>6358</v>
      </c>
      <c r="C806" s="304" t="s">
        <v>5575</v>
      </c>
      <c r="D806" s="540">
        <v>1.42</v>
      </c>
    </row>
    <row r="807" spans="1:4" ht="15" x14ac:dyDescent="0.25">
      <c r="A807" s="304">
        <v>1020</v>
      </c>
      <c r="B807" s="304" t="s">
        <v>6359</v>
      </c>
      <c r="C807" s="304" t="s">
        <v>5575</v>
      </c>
      <c r="D807" s="540">
        <v>6.21</v>
      </c>
    </row>
    <row r="808" spans="1:4" ht="15" x14ac:dyDescent="0.25">
      <c r="A808" s="304">
        <v>1017</v>
      </c>
      <c r="B808" s="304" t="s">
        <v>6360</v>
      </c>
      <c r="C808" s="304" t="s">
        <v>5575</v>
      </c>
      <c r="D808" s="540">
        <v>68.260000000000005</v>
      </c>
    </row>
    <row r="809" spans="1:4" ht="15" x14ac:dyDescent="0.25">
      <c r="A809" s="304">
        <v>999</v>
      </c>
      <c r="B809" s="304" t="s">
        <v>6361</v>
      </c>
      <c r="C809" s="304" t="s">
        <v>5575</v>
      </c>
      <c r="D809" s="540">
        <v>84.58</v>
      </c>
    </row>
    <row r="810" spans="1:4" ht="15" x14ac:dyDescent="0.25">
      <c r="A810" s="304">
        <v>995</v>
      </c>
      <c r="B810" s="304" t="s">
        <v>6362</v>
      </c>
      <c r="C810" s="304" t="s">
        <v>5575</v>
      </c>
      <c r="D810" s="540">
        <v>9.5299999999999994</v>
      </c>
    </row>
    <row r="811" spans="1:4" ht="15" x14ac:dyDescent="0.25">
      <c r="A811" s="304">
        <v>1000</v>
      </c>
      <c r="B811" s="304" t="s">
        <v>6363</v>
      </c>
      <c r="C811" s="304" t="s">
        <v>5575</v>
      </c>
      <c r="D811" s="540">
        <v>103.68</v>
      </c>
    </row>
    <row r="812" spans="1:4" ht="15" x14ac:dyDescent="0.25">
      <c r="A812" s="304">
        <v>1022</v>
      </c>
      <c r="B812" s="304" t="s">
        <v>6364</v>
      </c>
      <c r="C812" s="304" t="s">
        <v>5575</v>
      </c>
      <c r="D812" s="540">
        <v>1.98</v>
      </c>
    </row>
    <row r="813" spans="1:4" ht="15" x14ac:dyDescent="0.25">
      <c r="A813" s="304">
        <v>1015</v>
      </c>
      <c r="B813" s="304" t="s">
        <v>6365</v>
      </c>
      <c r="C813" s="304" t="s">
        <v>5575</v>
      </c>
      <c r="D813" s="540">
        <v>136.53</v>
      </c>
    </row>
    <row r="814" spans="1:4" ht="15" x14ac:dyDescent="0.25">
      <c r="A814" s="304">
        <v>996</v>
      </c>
      <c r="B814" s="304" t="s">
        <v>6366</v>
      </c>
      <c r="C814" s="304" t="s">
        <v>5575</v>
      </c>
      <c r="D814" s="540">
        <v>14.5</v>
      </c>
    </row>
    <row r="815" spans="1:4" ht="15" x14ac:dyDescent="0.25">
      <c r="A815" s="304">
        <v>1001</v>
      </c>
      <c r="B815" s="304" t="s">
        <v>6367</v>
      </c>
      <c r="C815" s="304" t="s">
        <v>5575</v>
      </c>
      <c r="D815" s="540">
        <v>170.86</v>
      </c>
    </row>
    <row r="816" spans="1:4" ht="15" x14ac:dyDescent="0.25">
      <c r="A816" s="304">
        <v>1019</v>
      </c>
      <c r="B816" s="304" t="s">
        <v>6368</v>
      </c>
      <c r="C816" s="304" t="s">
        <v>5575</v>
      </c>
      <c r="D816" s="540">
        <v>19.989999999999998</v>
      </c>
    </row>
    <row r="817" spans="1:4" ht="15" x14ac:dyDescent="0.25">
      <c r="A817" s="304">
        <v>1021</v>
      </c>
      <c r="B817" s="304" t="s">
        <v>6369</v>
      </c>
      <c r="C817" s="304" t="s">
        <v>5575</v>
      </c>
      <c r="D817" s="540">
        <v>2.84</v>
      </c>
    </row>
    <row r="818" spans="1:4" ht="15" x14ac:dyDescent="0.25">
      <c r="A818" s="304">
        <v>39249</v>
      </c>
      <c r="B818" s="304" t="s">
        <v>6370</v>
      </c>
      <c r="C818" s="304" t="s">
        <v>5575</v>
      </c>
      <c r="D818" s="540">
        <v>222.89</v>
      </c>
    </row>
    <row r="819" spans="1:4" ht="15" x14ac:dyDescent="0.25">
      <c r="A819" s="304">
        <v>1018</v>
      </c>
      <c r="B819" s="304" t="s">
        <v>6371</v>
      </c>
      <c r="C819" s="304" t="s">
        <v>5575</v>
      </c>
      <c r="D819" s="540">
        <v>28.49</v>
      </c>
    </row>
    <row r="820" spans="1:4" ht="15" x14ac:dyDescent="0.25">
      <c r="A820" s="304">
        <v>39250</v>
      </c>
      <c r="B820" s="304" t="s">
        <v>6372</v>
      </c>
      <c r="C820" s="304" t="s">
        <v>5575</v>
      </c>
      <c r="D820" s="540">
        <v>286.32</v>
      </c>
    </row>
    <row r="821" spans="1:4" ht="15" x14ac:dyDescent="0.25">
      <c r="A821" s="304">
        <v>994</v>
      </c>
      <c r="B821" s="304" t="s">
        <v>6373</v>
      </c>
      <c r="C821" s="304" t="s">
        <v>5575</v>
      </c>
      <c r="D821" s="540">
        <v>3.87</v>
      </c>
    </row>
    <row r="822" spans="1:4" ht="15" x14ac:dyDescent="0.25">
      <c r="A822" s="304">
        <v>977</v>
      </c>
      <c r="B822" s="304" t="s">
        <v>6374</v>
      </c>
      <c r="C822" s="304" t="s">
        <v>5575</v>
      </c>
      <c r="D822" s="540">
        <v>39.479999999999997</v>
      </c>
    </row>
    <row r="823" spans="1:4" ht="15" x14ac:dyDescent="0.25">
      <c r="A823" s="304">
        <v>998</v>
      </c>
      <c r="B823" s="304" t="s">
        <v>6375</v>
      </c>
      <c r="C823" s="304" t="s">
        <v>5575</v>
      </c>
      <c r="D823" s="540">
        <v>52.44</v>
      </c>
    </row>
    <row r="824" spans="1:4" ht="15" x14ac:dyDescent="0.25">
      <c r="A824" s="304">
        <v>39251</v>
      </c>
      <c r="B824" s="304" t="s">
        <v>6376</v>
      </c>
      <c r="C824" s="304" t="s">
        <v>5575</v>
      </c>
      <c r="D824" s="540">
        <v>0.38</v>
      </c>
    </row>
    <row r="825" spans="1:4" ht="15" x14ac:dyDescent="0.25">
      <c r="A825" s="304">
        <v>1011</v>
      </c>
      <c r="B825" s="304" t="s">
        <v>6377</v>
      </c>
      <c r="C825" s="304" t="s">
        <v>5575</v>
      </c>
      <c r="D825" s="540">
        <v>0.52</v>
      </c>
    </row>
    <row r="826" spans="1:4" ht="15" x14ac:dyDescent="0.25">
      <c r="A826" s="304">
        <v>39252</v>
      </c>
      <c r="B826" s="304" t="s">
        <v>6378</v>
      </c>
      <c r="C826" s="304" t="s">
        <v>5575</v>
      </c>
      <c r="D826" s="540">
        <v>0.63</v>
      </c>
    </row>
    <row r="827" spans="1:4" ht="15" x14ac:dyDescent="0.25">
      <c r="A827" s="304">
        <v>1013</v>
      </c>
      <c r="B827" s="304" t="s">
        <v>6379</v>
      </c>
      <c r="C827" s="304" t="s">
        <v>5575</v>
      </c>
      <c r="D827" s="540">
        <v>0.83</v>
      </c>
    </row>
    <row r="828" spans="1:4" ht="15" x14ac:dyDescent="0.25">
      <c r="A828" s="304">
        <v>980</v>
      </c>
      <c r="B828" s="304" t="s">
        <v>6380</v>
      </c>
      <c r="C828" s="304" t="s">
        <v>5575</v>
      </c>
      <c r="D828" s="540">
        <v>5.69</v>
      </c>
    </row>
    <row r="829" spans="1:4" ht="15" x14ac:dyDescent="0.25">
      <c r="A829" s="304">
        <v>39237</v>
      </c>
      <c r="B829" s="304" t="s">
        <v>6381</v>
      </c>
      <c r="C829" s="304" t="s">
        <v>5575</v>
      </c>
      <c r="D829" s="540">
        <v>67.55</v>
      </c>
    </row>
    <row r="830" spans="1:4" ht="15" x14ac:dyDescent="0.25">
      <c r="A830" s="304">
        <v>39238</v>
      </c>
      <c r="B830" s="304" t="s">
        <v>6382</v>
      </c>
      <c r="C830" s="304" t="s">
        <v>5575</v>
      </c>
      <c r="D830" s="540">
        <v>84.33</v>
      </c>
    </row>
    <row r="831" spans="1:4" ht="15" x14ac:dyDescent="0.25">
      <c r="A831" s="304">
        <v>979</v>
      </c>
      <c r="B831" s="304" t="s">
        <v>6383</v>
      </c>
      <c r="C831" s="304" t="s">
        <v>5575</v>
      </c>
      <c r="D831" s="540">
        <v>8.7799999999999994</v>
      </c>
    </row>
    <row r="832" spans="1:4" ht="15" x14ac:dyDescent="0.25">
      <c r="A832" s="304">
        <v>39239</v>
      </c>
      <c r="B832" s="304" t="s">
        <v>6384</v>
      </c>
      <c r="C832" s="304" t="s">
        <v>5575</v>
      </c>
      <c r="D832" s="540">
        <v>102.63</v>
      </c>
    </row>
    <row r="833" spans="1:4" ht="15" x14ac:dyDescent="0.25">
      <c r="A833" s="304">
        <v>1014</v>
      </c>
      <c r="B833" s="304" t="s">
        <v>6385</v>
      </c>
      <c r="C833" s="304" t="s">
        <v>5575</v>
      </c>
      <c r="D833" s="540">
        <v>1.33</v>
      </c>
    </row>
    <row r="834" spans="1:4" ht="15" x14ac:dyDescent="0.25">
      <c r="A834" s="304">
        <v>39240</v>
      </c>
      <c r="B834" s="304" t="s">
        <v>6386</v>
      </c>
      <c r="C834" s="304" t="s">
        <v>5575</v>
      </c>
      <c r="D834" s="540">
        <v>135.65</v>
      </c>
    </row>
    <row r="835" spans="1:4" ht="15" x14ac:dyDescent="0.25">
      <c r="A835" s="304">
        <v>39232</v>
      </c>
      <c r="B835" s="304" t="s">
        <v>6387</v>
      </c>
      <c r="C835" s="304" t="s">
        <v>5575</v>
      </c>
      <c r="D835" s="540">
        <v>14.08</v>
      </c>
    </row>
    <row r="836" spans="1:4" ht="15" x14ac:dyDescent="0.25">
      <c r="A836" s="304">
        <v>39233</v>
      </c>
      <c r="B836" s="304" t="s">
        <v>6388</v>
      </c>
      <c r="C836" s="304" t="s">
        <v>5575</v>
      </c>
      <c r="D836" s="540">
        <v>19.36</v>
      </c>
    </row>
    <row r="837" spans="1:4" ht="15" x14ac:dyDescent="0.25">
      <c r="A837" s="304">
        <v>981</v>
      </c>
      <c r="B837" s="304" t="s">
        <v>6389</v>
      </c>
      <c r="C837" s="304" t="s">
        <v>5575</v>
      </c>
      <c r="D837" s="540">
        <v>2.38</v>
      </c>
    </row>
    <row r="838" spans="1:4" ht="15" x14ac:dyDescent="0.25">
      <c r="A838" s="304">
        <v>39234</v>
      </c>
      <c r="B838" s="304" t="s">
        <v>6390</v>
      </c>
      <c r="C838" s="304" t="s">
        <v>5575</v>
      </c>
      <c r="D838" s="540">
        <v>28.42</v>
      </c>
    </row>
    <row r="839" spans="1:4" ht="15" x14ac:dyDescent="0.25">
      <c r="A839" s="304">
        <v>982</v>
      </c>
      <c r="B839" s="304" t="s">
        <v>6391</v>
      </c>
      <c r="C839" s="304" t="s">
        <v>5575</v>
      </c>
      <c r="D839" s="540">
        <v>3.33</v>
      </c>
    </row>
    <row r="840" spans="1:4" ht="15" x14ac:dyDescent="0.25">
      <c r="A840" s="304">
        <v>39235</v>
      </c>
      <c r="B840" s="304" t="s">
        <v>6392</v>
      </c>
      <c r="C840" s="304" t="s">
        <v>5575</v>
      </c>
      <c r="D840" s="540">
        <v>39.97</v>
      </c>
    </row>
    <row r="841" spans="1:4" ht="15" x14ac:dyDescent="0.25">
      <c r="A841" s="304">
        <v>39236</v>
      </c>
      <c r="B841" s="304" t="s">
        <v>6393</v>
      </c>
      <c r="C841" s="304" t="s">
        <v>5575</v>
      </c>
      <c r="D841" s="540">
        <v>52.4</v>
      </c>
    </row>
    <row r="842" spans="1:4" ht="15" x14ac:dyDescent="0.25">
      <c r="A842" s="304">
        <v>876</v>
      </c>
      <c r="B842" s="304" t="s">
        <v>6394</v>
      </c>
      <c r="C842" s="304" t="s">
        <v>5575</v>
      </c>
      <c r="D842" s="540">
        <v>135.27000000000001</v>
      </c>
    </row>
    <row r="843" spans="1:4" ht="15" x14ac:dyDescent="0.25">
      <c r="A843" s="304">
        <v>877</v>
      </c>
      <c r="B843" s="304" t="s">
        <v>6395</v>
      </c>
      <c r="C843" s="304" t="s">
        <v>5575</v>
      </c>
      <c r="D843" s="540">
        <v>159.02000000000001</v>
      </c>
    </row>
    <row r="844" spans="1:4" ht="15" x14ac:dyDescent="0.25">
      <c r="A844" s="304">
        <v>882</v>
      </c>
      <c r="B844" s="304" t="s">
        <v>6396</v>
      </c>
      <c r="C844" s="304" t="s">
        <v>5575</v>
      </c>
      <c r="D844" s="540">
        <v>173.28</v>
      </c>
    </row>
    <row r="845" spans="1:4" ht="15" x14ac:dyDescent="0.25">
      <c r="A845" s="304">
        <v>878</v>
      </c>
      <c r="B845" s="304" t="s">
        <v>6397</v>
      </c>
      <c r="C845" s="304" t="s">
        <v>5575</v>
      </c>
      <c r="D845" s="540">
        <v>215.43</v>
      </c>
    </row>
    <row r="846" spans="1:4" ht="15" x14ac:dyDescent="0.25">
      <c r="A846" s="304">
        <v>879</v>
      </c>
      <c r="B846" s="304" t="s">
        <v>6398</v>
      </c>
      <c r="C846" s="304" t="s">
        <v>5575</v>
      </c>
      <c r="D846" s="540">
        <v>253.92</v>
      </c>
    </row>
    <row r="847" spans="1:4" ht="15" x14ac:dyDescent="0.25">
      <c r="A847" s="304">
        <v>880</v>
      </c>
      <c r="B847" s="304" t="s">
        <v>6399</v>
      </c>
      <c r="C847" s="304" t="s">
        <v>5575</v>
      </c>
      <c r="D847" s="540">
        <v>298.77</v>
      </c>
    </row>
    <row r="848" spans="1:4" ht="15" x14ac:dyDescent="0.25">
      <c r="A848" s="304">
        <v>873</v>
      </c>
      <c r="B848" s="304" t="s">
        <v>6400</v>
      </c>
      <c r="C848" s="304" t="s">
        <v>5575</v>
      </c>
      <c r="D848" s="540">
        <v>90.84</v>
      </c>
    </row>
    <row r="849" spans="1:4" ht="15" x14ac:dyDescent="0.25">
      <c r="A849" s="304">
        <v>881</v>
      </c>
      <c r="B849" s="304" t="s">
        <v>6401</v>
      </c>
      <c r="C849" s="304" t="s">
        <v>5575</v>
      </c>
      <c r="D849" s="540">
        <v>408.36</v>
      </c>
    </row>
    <row r="850" spans="1:4" ht="15" x14ac:dyDescent="0.25">
      <c r="A850" s="304">
        <v>874</v>
      </c>
      <c r="B850" s="304" t="s">
        <v>6402</v>
      </c>
      <c r="C850" s="304" t="s">
        <v>5575</v>
      </c>
      <c r="D850" s="540">
        <v>107.81</v>
      </c>
    </row>
    <row r="851" spans="1:4" ht="15" x14ac:dyDescent="0.25">
      <c r="A851" s="304">
        <v>875</v>
      </c>
      <c r="B851" s="304" t="s">
        <v>6403</v>
      </c>
      <c r="C851" s="304" t="s">
        <v>5575</v>
      </c>
      <c r="D851" s="540">
        <v>128.63</v>
      </c>
    </row>
    <row r="852" spans="1:4" ht="15" x14ac:dyDescent="0.25">
      <c r="A852" s="304">
        <v>983</v>
      </c>
      <c r="B852" s="304" t="s">
        <v>6404</v>
      </c>
      <c r="C852" s="304" t="s">
        <v>5575</v>
      </c>
      <c r="D852" s="540">
        <v>0.8</v>
      </c>
    </row>
    <row r="853" spans="1:4" ht="15" x14ac:dyDescent="0.25">
      <c r="A853" s="304">
        <v>985</v>
      </c>
      <c r="B853" s="304" t="s">
        <v>6405</v>
      </c>
      <c r="C853" s="304" t="s">
        <v>5575</v>
      </c>
      <c r="D853" s="540">
        <v>6.04</v>
      </c>
    </row>
    <row r="854" spans="1:4" ht="15" x14ac:dyDescent="0.25">
      <c r="A854" s="304">
        <v>990</v>
      </c>
      <c r="B854" s="304" t="s">
        <v>6406</v>
      </c>
      <c r="C854" s="304" t="s">
        <v>5575</v>
      </c>
      <c r="D854" s="540">
        <v>82.69</v>
      </c>
    </row>
    <row r="855" spans="1:4" ht="15" x14ac:dyDescent="0.25">
      <c r="A855" s="304">
        <v>39241</v>
      </c>
      <c r="B855" s="304" t="s">
        <v>6407</v>
      </c>
      <c r="C855" s="304" t="s">
        <v>5575</v>
      </c>
      <c r="D855" s="540">
        <v>9.4499999999999993</v>
      </c>
    </row>
    <row r="856" spans="1:4" ht="15" x14ac:dyDescent="0.25">
      <c r="A856" s="304">
        <v>1005</v>
      </c>
      <c r="B856" s="304" t="s">
        <v>6408</v>
      </c>
      <c r="C856" s="304" t="s">
        <v>5575</v>
      </c>
      <c r="D856" s="540">
        <v>101.49</v>
      </c>
    </row>
    <row r="857" spans="1:4" ht="15" x14ac:dyDescent="0.25">
      <c r="A857" s="304">
        <v>984</v>
      </c>
      <c r="B857" s="304" t="s">
        <v>6409</v>
      </c>
      <c r="C857" s="304" t="s">
        <v>5575</v>
      </c>
      <c r="D857" s="540">
        <v>2.08</v>
      </c>
    </row>
    <row r="858" spans="1:4" ht="15" x14ac:dyDescent="0.25">
      <c r="A858" s="304">
        <v>991</v>
      </c>
      <c r="B858" s="304" t="s">
        <v>6410</v>
      </c>
      <c r="C858" s="304" t="s">
        <v>5575</v>
      </c>
      <c r="D858" s="540">
        <v>134.11000000000001</v>
      </c>
    </row>
    <row r="859" spans="1:4" ht="15" x14ac:dyDescent="0.25">
      <c r="A859" s="304">
        <v>986</v>
      </c>
      <c r="B859" s="304" t="s">
        <v>6411</v>
      </c>
      <c r="C859" s="304" t="s">
        <v>5575</v>
      </c>
      <c r="D859" s="540">
        <v>14.45</v>
      </c>
    </row>
    <row r="860" spans="1:4" ht="15" x14ac:dyDescent="0.25">
      <c r="A860" s="304">
        <v>1024</v>
      </c>
      <c r="B860" s="304" t="s">
        <v>6412</v>
      </c>
      <c r="C860" s="304" t="s">
        <v>5575</v>
      </c>
      <c r="D860" s="540">
        <v>165.98</v>
      </c>
    </row>
    <row r="861" spans="1:4" ht="15" x14ac:dyDescent="0.25">
      <c r="A861" s="304">
        <v>987</v>
      </c>
      <c r="B861" s="304" t="s">
        <v>6413</v>
      </c>
      <c r="C861" s="304" t="s">
        <v>5575</v>
      </c>
      <c r="D861" s="540">
        <v>19.63</v>
      </c>
    </row>
    <row r="862" spans="1:4" ht="15" x14ac:dyDescent="0.25">
      <c r="A862" s="304">
        <v>1003</v>
      </c>
      <c r="B862" s="304" t="s">
        <v>6414</v>
      </c>
      <c r="C862" s="304" t="s">
        <v>5575</v>
      </c>
      <c r="D862" s="540">
        <v>3.05</v>
      </c>
    </row>
    <row r="863" spans="1:4" ht="15" x14ac:dyDescent="0.25">
      <c r="A863" s="304">
        <v>992</v>
      </c>
      <c r="B863" s="304" t="s">
        <v>6415</v>
      </c>
      <c r="C863" s="304" t="s">
        <v>5575</v>
      </c>
      <c r="D863" s="540">
        <v>214.74</v>
      </c>
    </row>
    <row r="864" spans="1:4" ht="15" x14ac:dyDescent="0.25">
      <c r="A864" s="304">
        <v>1007</v>
      </c>
      <c r="B864" s="304" t="s">
        <v>6416</v>
      </c>
      <c r="C864" s="304" t="s">
        <v>5575</v>
      </c>
      <c r="D864" s="540">
        <v>27.85</v>
      </c>
    </row>
    <row r="865" spans="1:4" ht="15" x14ac:dyDescent="0.25">
      <c r="A865" s="304">
        <v>39242</v>
      </c>
      <c r="B865" s="304" t="s">
        <v>6417</v>
      </c>
      <c r="C865" s="304" t="s">
        <v>5575</v>
      </c>
      <c r="D865" s="540">
        <v>266.07</v>
      </c>
    </row>
    <row r="866" spans="1:4" ht="15" x14ac:dyDescent="0.25">
      <c r="A866" s="304">
        <v>1008</v>
      </c>
      <c r="B866" s="304" t="s">
        <v>6418</v>
      </c>
      <c r="C866" s="304" t="s">
        <v>5575</v>
      </c>
      <c r="D866" s="540">
        <v>3.46</v>
      </c>
    </row>
    <row r="867" spans="1:4" ht="15" x14ac:dyDescent="0.25">
      <c r="A867" s="304">
        <v>988</v>
      </c>
      <c r="B867" s="304" t="s">
        <v>6419</v>
      </c>
      <c r="C867" s="304" t="s">
        <v>5575</v>
      </c>
      <c r="D867" s="540">
        <v>38.47</v>
      </c>
    </row>
    <row r="868" spans="1:4" ht="15" x14ac:dyDescent="0.25">
      <c r="A868" s="304">
        <v>989</v>
      </c>
      <c r="B868" s="304" t="s">
        <v>6420</v>
      </c>
      <c r="C868" s="304" t="s">
        <v>5575</v>
      </c>
      <c r="D868" s="540">
        <v>52.11</v>
      </c>
    </row>
    <row r="869" spans="1:4" ht="15" x14ac:dyDescent="0.25">
      <c r="A869" s="304">
        <v>39598</v>
      </c>
      <c r="B869" s="304" t="s">
        <v>6421</v>
      </c>
      <c r="C869" s="304" t="s">
        <v>5575</v>
      </c>
      <c r="D869" s="540">
        <v>1.03</v>
      </c>
    </row>
    <row r="870" spans="1:4" ht="15" x14ac:dyDescent="0.25">
      <c r="A870" s="304">
        <v>39599</v>
      </c>
      <c r="B870" s="304" t="s">
        <v>6422</v>
      </c>
      <c r="C870" s="304" t="s">
        <v>5575</v>
      </c>
      <c r="D870" s="540">
        <v>1.55</v>
      </c>
    </row>
    <row r="871" spans="1:4" ht="15" x14ac:dyDescent="0.25">
      <c r="A871" s="304">
        <v>34602</v>
      </c>
      <c r="B871" s="304" t="s">
        <v>6423</v>
      </c>
      <c r="C871" s="304" t="s">
        <v>5575</v>
      </c>
      <c r="D871" s="540">
        <v>1.92</v>
      </c>
    </row>
    <row r="872" spans="1:4" ht="15" x14ac:dyDescent="0.25">
      <c r="A872" s="304">
        <v>34603</v>
      </c>
      <c r="B872" s="304" t="s">
        <v>6424</v>
      </c>
      <c r="C872" s="304" t="s">
        <v>5575</v>
      </c>
      <c r="D872" s="540">
        <v>9.25</v>
      </c>
    </row>
    <row r="873" spans="1:4" ht="15" x14ac:dyDescent="0.25">
      <c r="A873" s="304">
        <v>34607</v>
      </c>
      <c r="B873" s="304" t="s">
        <v>6425</v>
      </c>
      <c r="C873" s="304" t="s">
        <v>5575</v>
      </c>
      <c r="D873" s="540">
        <v>4.12</v>
      </c>
    </row>
    <row r="874" spans="1:4" ht="15" x14ac:dyDescent="0.25">
      <c r="A874" s="304">
        <v>34609</v>
      </c>
      <c r="B874" s="304" t="s">
        <v>6426</v>
      </c>
      <c r="C874" s="304" t="s">
        <v>5575</v>
      </c>
      <c r="D874" s="540">
        <v>6.18</v>
      </c>
    </row>
    <row r="875" spans="1:4" ht="15" x14ac:dyDescent="0.25">
      <c r="A875" s="304">
        <v>34618</v>
      </c>
      <c r="B875" s="304" t="s">
        <v>6427</v>
      </c>
      <c r="C875" s="304" t="s">
        <v>5575</v>
      </c>
      <c r="D875" s="540">
        <v>2.5499999999999998</v>
      </c>
    </row>
    <row r="876" spans="1:4" ht="15" x14ac:dyDescent="0.25">
      <c r="A876" s="304">
        <v>34620</v>
      </c>
      <c r="B876" s="304" t="s">
        <v>6428</v>
      </c>
      <c r="C876" s="304" t="s">
        <v>5575</v>
      </c>
      <c r="D876" s="540">
        <v>12.76</v>
      </c>
    </row>
    <row r="877" spans="1:4" ht="15" x14ac:dyDescent="0.25">
      <c r="A877" s="304">
        <v>34621</v>
      </c>
      <c r="B877" s="304" t="s">
        <v>6429</v>
      </c>
      <c r="C877" s="304" t="s">
        <v>5575</v>
      </c>
      <c r="D877" s="540">
        <v>5.92</v>
      </c>
    </row>
    <row r="878" spans="1:4" ht="15" x14ac:dyDescent="0.25">
      <c r="A878" s="304">
        <v>34622</v>
      </c>
      <c r="B878" s="304" t="s">
        <v>6430</v>
      </c>
      <c r="C878" s="304" t="s">
        <v>5575</v>
      </c>
      <c r="D878" s="540">
        <v>8.3800000000000008</v>
      </c>
    </row>
    <row r="879" spans="1:4" ht="15" x14ac:dyDescent="0.25">
      <c r="A879" s="304">
        <v>34624</v>
      </c>
      <c r="B879" s="304" t="s">
        <v>6431</v>
      </c>
      <c r="C879" s="304" t="s">
        <v>5575</v>
      </c>
      <c r="D879" s="540">
        <v>3.25</v>
      </c>
    </row>
    <row r="880" spans="1:4" ht="15" x14ac:dyDescent="0.25">
      <c r="A880" s="304">
        <v>34626</v>
      </c>
      <c r="B880" s="304" t="s">
        <v>6432</v>
      </c>
      <c r="C880" s="304" t="s">
        <v>5575</v>
      </c>
      <c r="D880" s="540">
        <v>17.54</v>
      </c>
    </row>
    <row r="881" spans="1:4" ht="15" x14ac:dyDescent="0.25">
      <c r="A881" s="304">
        <v>34627</v>
      </c>
      <c r="B881" s="304" t="s">
        <v>6433</v>
      </c>
      <c r="C881" s="304" t="s">
        <v>5575</v>
      </c>
      <c r="D881" s="540">
        <v>7.56</v>
      </c>
    </row>
    <row r="882" spans="1:4" ht="15" x14ac:dyDescent="0.25">
      <c r="A882" s="304">
        <v>34629</v>
      </c>
      <c r="B882" s="304" t="s">
        <v>6434</v>
      </c>
      <c r="C882" s="304" t="s">
        <v>5575</v>
      </c>
      <c r="D882" s="540">
        <v>11.06</v>
      </c>
    </row>
    <row r="883" spans="1:4" ht="15" x14ac:dyDescent="0.25">
      <c r="A883" s="304">
        <v>39257</v>
      </c>
      <c r="B883" s="304" t="s">
        <v>6435</v>
      </c>
      <c r="C883" s="304" t="s">
        <v>5575</v>
      </c>
      <c r="D883" s="540">
        <v>3.64</v>
      </c>
    </row>
    <row r="884" spans="1:4" ht="15" x14ac:dyDescent="0.25">
      <c r="A884" s="304">
        <v>39261</v>
      </c>
      <c r="B884" s="304" t="s">
        <v>6436</v>
      </c>
      <c r="C884" s="304" t="s">
        <v>5575</v>
      </c>
      <c r="D884" s="540">
        <v>19.38</v>
      </c>
    </row>
    <row r="885" spans="1:4" ht="15" x14ac:dyDescent="0.25">
      <c r="A885" s="304">
        <v>39268</v>
      </c>
      <c r="B885" s="304" t="s">
        <v>6437</v>
      </c>
      <c r="C885" s="304" t="s">
        <v>5575</v>
      </c>
      <c r="D885" s="540">
        <v>223.65</v>
      </c>
    </row>
    <row r="886" spans="1:4" ht="15" x14ac:dyDescent="0.25">
      <c r="A886" s="304">
        <v>39262</v>
      </c>
      <c r="B886" s="304" t="s">
        <v>6438</v>
      </c>
      <c r="C886" s="304" t="s">
        <v>5575</v>
      </c>
      <c r="D886" s="540">
        <v>30.31</v>
      </c>
    </row>
    <row r="887" spans="1:4" ht="15" x14ac:dyDescent="0.25">
      <c r="A887" s="304">
        <v>39258</v>
      </c>
      <c r="B887" s="304" t="s">
        <v>6439</v>
      </c>
      <c r="C887" s="304" t="s">
        <v>5575</v>
      </c>
      <c r="D887" s="540">
        <v>5.39</v>
      </c>
    </row>
    <row r="888" spans="1:4" ht="15" x14ac:dyDescent="0.25">
      <c r="A888" s="304">
        <v>39263</v>
      </c>
      <c r="B888" s="304" t="s">
        <v>6440</v>
      </c>
      <c r="C888" s="304" t="s">
        <v>5575</v>
      </c>
      <c r="D888" s="540">
        <v>46.89</v>
      </c>
    </row>
    <row r="889" spans="1:4" ht="15" x14ac:dyDescent="0.25">
      <c r="A889" s="304">
        <v>39264</v>
      </c>
      <c r="B889" s="304" t="s">
        <v>6441</v>
      </c>
      <c r="C889" s="304" t="s">
        <v>5575</v>
      </c>
      <c r="D889" s="540">
        <v>63.5</v>
      </c>
    </row>
    <row r="890" spans="1:4" ht="15" x14ac:dyDescent="0.25">
      <c r="A890" s="304">
        <v>39259</v>
      </c>
      <c r="B890" s="304" t="s">
        <v>6442</v>
      </c>
      <c r="C890" s="304" t="s">
        <v>5575</v>
      </c>
      <c r="D890" s="540">
        <v>8.2100000000000009</v>
      </c>
    </row>
    <row r="891" spans="1:4" ht="15" x14ac:dyDescent="0.25">
      <c r="A891" s="304">
        <v>39265</v>
      </c>
      <c r="B891" s="304" t="s">
        <v>6443</v>
      </c>
      <c r="C891" s="304" t="s">
        <v>5575</v>
      </c>
      <c r="D891" s="540">
        <v>93.54</v>
      </c>
    </row>
    <row r="892" spans="1:4" ht="15" x14ac:dyDescent="0.25">
      <c r="A892" s="304">
        <v>39260</v>
      </c>
      <c r="B892" s="304" t="s">
        <v>6444</v>
      </c>
      <c r="C892" s="304" t="s">
        <v>5575</v>
      </c>
      <c r="D892" s="540">
        <v>11.69</v>
      </c>
    </row>
    <row r="893" spans="1:4" ht="15" x14ac:dyDescent="0.25">
      <c r="A893" s="304">
        <v>39266</v>
      </c>
      <c r="B893" s="304" t="s">
        <v>6445</v>
      </c>
      <c r="C893" s="304" t="s">
        <v>5575</v>
      </c>
      <c r="D893" s="540">
        <v>131.25</v>
      </c>
    </row>
    <row r="894" spans="1:4" ht="15" x14ac:dyDescent="0.25">
      <c r="A894" s="304">
        <v>39267</v>
      </c>
      <c r="B894" s="304" t="s">
        <v>6446</v>
      </c>
      <c r="C894" s="304" t="s">
        <v>5575</v>
      </c>
      <c r="D894" s="540">
        <v>172.04</v>
      </c>
    </row>
    <row r="895" spans="1:4" ht="15" x14ac:dyDescent="0.25">
      <c r="A895" s="304">
        <v>11901</v>
      </c>
      <c r="B895" s="304" t="s">
        <v>6447</v>
      </c>
      <c r="C895" s="304" t="s">
        <v>5575</v>
      </c>
      <c r="D895" s="540">
        <v>0.46</v>
      </c>
    </row>
    <row r="896" spans="1:4" ht="15" x14ac:dyDescent="0.25">
      <c r="A896" s="304">
        <v>11902</v>
      </c>
      <c r="B896" s="304" t="s">
        <v>6448</v>
      </c>
      <c r="C896" s="304" t="s">
        <v>5575</v>
      </c>
      <c r="D896" s="540">
        <v>0.8</v>
      </c>
    </row>
    <row r="897" spans="1:4" ht="15" x14ac:dyDescent="0.25">
      <c r="A897" s="304">
        <v>11903</v>
      </c>
      <c r="B897" s="304" t="s">
        <v>6449</v>
      </c>
      <c r="C897" s="304" t="s">
        <v>5575</v>
      </c>
      <c r="D897" s="540">
        <v>1.24</v>
      </c>
    </row>
    <row r="898" spans="1:4" ht="15" x14ac:dyDescent="0.25">
      <c r="A898" s="304">
        <v>11904</v>
      </c>
      <c r="B898" s="304" t="s">
        <v>6450</v>
      </c>
      <c r="C898" s="304" t="s">
        <v>5575</v>
      </c>
      <c r="D898" s="540">
        <v>1.57</v>
      </c>
    </row>
    <row r="899" spans="1:4" ht="15" x14ac:dyDescent="0.25">
      <c r="A899" s="304">
        <v>11905</v>
      </c>
      <c r="B899" s="304" t="s">
        <v>6451</v>
      </c>
      <c r="C899" s="304" t="s">
        <v>5575</v>
      </c>
      <c r="D899" s="540">
        <v>2.12</v>
      </c>
    </row>
    <row r="900" spans="1:4" ht="15" x14ac:dyDescent="0.25">
      <c r="A900" s="304">
        <v>11906</v>
      </c>
      <c r="B900" s="304" t="s">
        <v>6452</v>
      </c>
      <c r="C900" s="304" t="s">
        <v>5575</v>
      </c>
      <c r="D900" s="540">
        <v>2.44</v>
      </c>
    </row>
    <row r="901" spans="1:4" ht="15" x14ac:dyDescent="0.25">
      <c r="A901" s="304">
        <v>11919</v>
      </c>
      <c r="B901" s="304" t="s">
        <v>6453</v>
      </c>
      <c r="C901" s="304" t="s">
        <v>5575</v>
      </c>
      <c r="D901" s="540">
        <v>4.79</v>
      </c>
    </row>
    <row r="902" spans="1:4" ht="15" x14ac:dyDescent="0.25">
      <c r="A902" s="304">
        <v>11920</v>
      </c>
      <c r="B902" s="304" t="s">
        <v>6454</v>
      </c>
      <c r="C902" s="304" t="s">
        <v>5575</v>
      </c>
      <c r="D902" s="540">
        <v>9.2799999999999994</v>
      </c>
    </row>
    <row r="903" spans="1:4" ht="15" x14ac:dyDescent="0.25">
      <c r="A903" s="304">
        <v>11924</v>
      </c>
      <c r="B903" s="304" t="s">
        <v>6455</v>
      </c>
      <c r="C903" s="304" t="s">
        <v>5575</v>
      </c>
      <c r="D903" s="540">
        <v>90.27</v>
      </c>
    </row>
    <row r="904" spans="1:4" ht="15" x14ac:dyDescent="0.25">
      <c r="A904" s="304">
        <v>11921</v>
      </c>
      <c r="B904" s="304" t="s">
        <v>6456</v>
      </c>
      <c r="C904" s="304" t="s">
        <v>5575</v>
      </c>
      <c r="D904" s="540">
        <v>12.63</v>
      </c>
    </row>
    <row r="905" spans="1:4" ht="15" x14ac:dyDescent="0.25">
      <c r="A905" s="304">
        <v>11922</v>
      </c>
      <c r="B905" s="304" t="s">
        <v>6457</v>
      </c>
      <c r="C905" s="304" t="s">
        <v>5575</v>
      </c>
      <c r="D905" s="540">
        <v>22.43</v>
      </c>
    </row>
    <row r="906" spans="1:4" ht="15" x14ac:dyDescent="0.25">
      <c r="A906" s="304">
        <v>11923</v>
      </c>
      <c r="B906" s="304" t="s">
        <v>6458</v>
      </c>
      <c r="C906" s="304" t="s">
        <v>5575</v>
      </c>
      <c r="D906" s="540">
        <v>36.64</v>
      </c>
    </row>
    <row r="907" spans="1:4" ht="15" x14ac:dyDescent="0.25">
      <c r="A907" s="304">
        <v>11916</v>
      </c>
      <c r="B907" s="304" t="s">
        <v>6459</v>
      </c>
      <c r="C907" s="304" t="s">
        <v>5575</v>
      </c>
      <c r="D907" s="540">
        <v>6.22</v>
      </c>
    </row>
    <row r="908" spans="1:4" ht="15" x14ac:dyDescent="0.25">
      <c r="A908" s="304">
        <v>11914</v>
      </c>
      <c r="B908" s="304" t="s">
        <v>6460</v>
      </c>
      <c r="C908" s="304" t="s">
        <v>5575</v>
      </c>
      <c r="D908" s="540">
        <v>45.15</v>
      </c>
    </row>
    <row r="909" spans="1:4" ht="15" x14ac:dyDescent="0.25">
      <c r="A909" s="304">
        <v>11917</v>
      </c>
      <c r="B909" s="304" t="s">
        <v>6461</v>
      </c>
      <c r="C909" s="304" t="s">
        <v>5575</v>
      </c>
      <c r="D909" s="540">
        <v>10.82</v>
      </c>
    </row>
    <row r="910" spans="1:4" ht="15" x14ac:dyDescent="0.25">
      <c r="A910" s="304">
        <v>11918</v>
      </c>
      <c r="B910" s="304" t="s">
        <v>6462</v>
      </c>
      <c r="C910" s="304" t="s">
        <v>5575</v>
      </c>
      <c r="D910" s="540">
        <v>14.68</v>
      </c>
    </row>
    <row r="911" spans="1:4" ht="15" x14ac:dyDescent="0.25">
      <c r="A911" s="304">
        <v>37734</v>
      </c>
      <c r="B911" s="304" t="s">
        <v>6463</v>
      </c>
      <c r="C911" s="304" t="s">
        <v>5555</v>
      </c>
      <c r="D911" s="541">
        <v>40756.99</v>
      </c>
    </row>
    <row r="912" spans="1:4" ht="15" x14ac:dyDescent="0.25">
      <c r="A912" s="304">
        <v>42251</v>
      </c>
      <c r="B912" s="304" t="s">
        <v>6464</v>
      </c>
      <c r="C912" s="304" t="s">
        <v>5555</v>
      </c>
      <c r="D912" s="541">
        <v>46282.05</v>
      </c>
    </row>
    <row r="913" spans="1:4" ht="15" x14ac:dyDescent="0.25">
      <c r="A913" s="304">
        <v>37733</v>
      </c>
      <c r="B913" s="304" t="s">
        <v>6465</v>
      </c>
      <c r="C913" s="304" t="s">
        <v>5555</v>
      </c>
      <c r="D913" s="541">
        <v>30559.439999999999</v>
      </c>
    </row>
    <row r="914" spans="1:4" ht="15" x14ac:dyDescent="0.25">
      <c r="A914" s="304">
        <v>37735</v>
      </c>
      <c r="B914" s="304" t="s">
        <v>6466</v>
      </c>
      <c r="C914" s="304" t="s">
        <v>5555</v>
      </c>
      <c r="D914" s="541">
        <v>36824.120000000003</v>
      </c>
    </row>
    <row r="915" spans="1:4" ht="15" x14ac:dyDescent="0.25">
      <c r="A915" s="304">
        <v>41758</v>
      </c>
      <c r="B915" s="304" t="s">
        <v>6467</v>
      </c>
      <c r="C915" s="304" t="s">
        <v>5555</v>
      </c>
      <c r="D915" s="540">
        <v>135.38999999999999</v>
      </c>
    </row>
    <row r="916" spans="1:4" ht="15" x14ac:dyDescent="0.25">
      <c r="A916" s="304">
        <v>5090</v>
      </c>
      <c r="B916" s="304" t="s">
        <v>6468</v>
      </c>
      <c r="C916" s="304" t="s">
        <v>5555</v>
      </c>
      <c r="D916" s="540">
        <v>15.51</v>
      </c>
    </row>
    <row r="917" spans="1:4" ht="15" x14ac:dyDescent="0.25">
      <c r="A917" s="304">
        <v>5085</v>
      </c>
      <c r="B917" s="304" t="s">
        <v>6469</v>
      </c>
      <c r="C917" s="304" t="s">
        <v>5555</v>
      </c>
      <c r="D917" s="540">
        <v>17.29</v>
      </c>
    </row>
    <row r="918" spans="1:4" ht="15" x14ac:dyDescent="0.25">
      <c r="A918" s="304">
        <v>38374</v>
      </c>
      <c r="B918" s="304" t="s">
        <v>6470</v>
      </c>
      <c r="C918" s="304" t="s">
        <v>5555</v>
      </c>
      <c r="D918" s="540">
        <v>869.95</v>
      </c>
    </row>
    <row r="919" spans="1:4" ht="15" x14ac:dyDescent="0.25">
      <c r="A919" s="304">
        <v>20212</v>
      </c>
      <c r="B919" s="304" t="s">
        <v>6471</v>
      </c>
      <c r="C919" s="304" t="s">
        <v>5575</v>
      </c>
      <c r="D919" s="540">
        <v>9.85</v>
      </c>
    </row>
    <row r="920" spans="1:4" ht="15" x14ac:dyDescent="0.25">
      <c r="A920" s="304">
        <v>4430</v>
      </c>
      <c r="B920" s="304" t="s">
        <v>6472</v>
      </c>
      <c r="C920" s="304" t="s">
        <v>5575</v>
      </c>
      <c r="D920" s="540">
        <v>6.25</v>
      </c>
    </row>
    <row r="921" spans="1:4" ht="15" x14ac:dyDescent="0.25">
      <c r="A921" s="304">
        <v>4400</v>
      </c>
      <c r="B921" s="304" t="s">
        <v>6473</v>
      </c>
      <c r="C921" s="304" t="s">
        <v>5575</v>
      </c>
      <c r="D921" s="540">
        <v>7.89</v>
      </c>
    </row>
    <row r="922" spans="1:4" ht="15" x14ac:dyDescent="0.25">
      <c r="A922" s="304">
        <v>4500</v>
      </c>
      <c r="B922" s="304" t="s">
        <v>6474</v>
      </c>
      <c r="C922" s="304" t="s">
        <v>5575</v>
      </c>
      <c r="D922" s="540">
        <v>9.66</v>
      </c>
    </row>
    <row r="923" spans="1:4" ht="15" x14ac:dyDescent="0.25">
      <c r="A923" s="304">
        <v>4513</v>
      </c>
      <c r="B923" s="304" t="s">
        <v>6475</v>
      </c>
      <c r="C923" s="304" t="s">
        <v>5575</v>
      </c>
      <c r="D923" s="540">
        <v>2.59</v>
      </c>
    </row>
    <row r="924" spans="1:4" ht="15" x14ac:dyDescent="0.25">
      <c r="A924" s="304">
        <v>4496</v>
      </c>
      <c r="B924" s="304" t="s">
        <v>6476</v>
      </c>
      <c r="C924" s="304" t="s">
        <v>5575</v>
      </c>
      <c r="D924" s="540">
        <v>4.2300000000000004</v>
      </c>
    </row>
    <row r="925" spans="1:4" ht="15" x14ac:dyDescent="0.25">
      <c r="A925" s="304">
        <v>11871</v>
      </c>
      <c r="B925" s="304" t="s">
        <v>6477</v>
      </c>
      <c r="C925" s="304" t="s">
        <v>5555</v>
      </c>
      <c r="D925" s="540">
        <v>264</v>
      </c>
    </row>
    <row r="926" spans="1:4" ht="15" x14ac:dyDescent="0.25">
      <c r="A926" s="304">
        <v>34636</v>
      </c>
      <c r="B926" s="304" t="s">
        <v>6478</v>
      </c>
      <c r="C926" s="304" t="s">
        <v>5555</v>
      </c>
      <c r="D926" s="540">
        <v>331</v>
      </c>
    </row>
    <row r="927" spans="1:4" ht="15" x14ac:dyDescent="0.25">
      <c r="A927" s="304">
        <v>34639</v>
      </c>
      <c r="B927" s="304" t="s">
        <v>6479</v>
      </c>
      <c r="C927" s="304" t="s">
        <v>5555</v>
      </c>
      <c r="D927" s="540">
        <v>672.26</v>
      </c>
    </row>
    <row r="928" spans="1:4" ht="15" x14ac:dyDescent="0.25">
      <c r="A928" s="304">
        <v>34640</v>
      </c>
      <c r="B928" s="304" t="s">
        <v>6480</v>
      </c>
      <c r="C928" s="304" t="s">
        <v>5555</v>
      </c>
      <c r="D928" s="540">
        <v>755.12</v>
      </c>
    </row>
    <row r="929" spans="1:4" ht="15" x14ac:dyDescent="0.25">
      <c r="A929" s="304">
        <v>34637</v>
      </c>
      <c r="B929" s="304" t="s">
        <v>6481</v>
      </c>
      <c r="C929" s="304" t="s">
        <v>5555</v>
      </c>
      <c r="D929" s="540">
        <v>190.04</v>
      </c>
    </row>
    <row r="930" spans="1:4" ht="15" x14ac:dyDescent="0.25">
      <c r="A930" s="304">
        <v>34638</v>
      </c>
      <c r="B930" s="304" t="s">
        <v>6482</v>
      </c>
      <c r="C930" s="304" t="s">
        <v>5555</v>
      </c>
      <c r="D930" s="540">
        <v>325.89999999999998</v>
      </c>
    </row>
    <row r="931" spans="1:4" ht="15" x14ac:dyDescent="0.25">
      <c r="A931" s="304">
        <v>11868</v>
      </c>
      <c r="B931" s="304" t="s">
        <v>6483</v>
      </c>
      <c r="C931" s="304" t="s">
        <v>5555</v>
      </c>
      <c r="D931" s="540">
        <v>362.83</v>
      </c>
    </row>
    <row r="932" spans="1:4" ht="15" x14ac:dyDescent="0.25">
      <c r="A932" s="304">
        <v>37106</v>
      </c>
      <c r="B932" s="304" t="s">
        <v>6484</v>
      </c>
      <c r="C932" s="304" t="s">
        <v>5555</v>
      </c>
      <c r="D932" s="541">
        <v>3504.54</v>
      </c>
    </row>
    <row r="933" spans="1:4" ht="15" x14ac:dyDescent="0.25">
      <c r="A933" s="304">
        <v>11869</v>
      </c>
      <c r="B933" s="304" t="s">
        <v>6485</v>
      </c>
      <c r="C933" s="304" t="s">
        <v>5555</v>
      </c>
      <c r="D933" s="540">
        <v>588.69000000000005</v>
      </c>
    </row>
    <row r="934" spans="1:4" ht="15" x14ac:dyDescent="0.25">
      <c r="A934" s="304">
        <v>37104</v>
      </c>
      <c r="B934" s="304" t="s">
        <v>6486</v>
      </c>
      <c r="C934" s="304" t="s">
        <v>5555</v>
      </c>
      <c r="D934" s="540">
        <v>758.85</v>
      </c>
    </row>
    <row r="935" spans="1:4" ht="15" x14ac:dyDescent="0.25">
      <c r="A935" s="304">
        <v>37105</v>
      </c>
      <c r="B935" s="304" t="s">
        <v>6487</v>
      </c>
      <c r="C935" s="304" t="s">
        <v>5555</v>
      </c>
      <c r="D935" s="541">
        <v>1690.09</v>
      </c>
    </row>
    <row r="936" spans="1:4" ht="15" x14ac:dyDescent="0.25">
      <c r="A936" s="304">
        <v>1030</v>
      </c>
      <c r="B936" s="304" t="s">
        <v>6488</v>
      </c>
      <c r="C936" s="304" t="s">
        <v>5555</v>
      </c>
      <c r="D936" s="540">
        <v>32</v>
      </c>
    </row>
    <row r="937" spans="1:4" ht="15" x14ac:dyDescent="0.25">
      <c r="A937" s="304">
        <v>11694</v>
      </c>
      <c r="B937" s="304" t="s">
        <v>6489</v>
      </c>
      <c r="C937" s="304" t="s">
        <v>5555</v>
      </c>
      <c r="D937" s="540">
        <v>707.36</v>
      </c>
    </row>
    <row r="938" spans="1:4" ht="15" x14ac:dyDescent="0.25">
      <c r="A938" s="304">
        <v>35277</v>
      </c>
      <c r="B938" s="304" t="s">
        <v>6490</v>
      </c>
      <c r="C938" s="304" t="s">
        <v>5555</v>
      </c>
      <c r="D938" s="540">
        <v>335.29</v>
      </c>
    </row>
    <row r="939" spans="1:4" ht="15" x14ac:dyDescent="0.25">
      <c r="A939" s="304">
        <v>10521</v>
      </c>
      <c r="B939" s="304" t="s">
        <v>6491</v>
      </c>
      <c r="C939" s="304" t="s">
        <v>5555</v>
      </c>
      <c r="D939" s="540">
        <v>212.56</v>
      </c>
    </row>
    <row r="940" spans="1:4" ht="15" x14ac:dyDescent="0.25">
      <c r="A940" s="304">
        <v>10885</v>
      </c>
      <c r="B940" s="304" t="s">
        <v>6492</v>
      </c>
      <c r="C940" s="304" t="s">
        <v>5555</v>
      </c>
      <c r="D940" s="540">
        <v>268.87</v>
      </c>
    </row>
    <row r="941" spans="1:4" ht="15" x14ac:dyDescent="0.25">
      <c r="A941" s="304">
        <v>20962</v>
      </c>
      <c r="B941" s="304" t="s">
        <v>6493</v>
      </c>
      <c r="C941" s="304" t="s">
        <v>5555</v>
      </c>
      <c r="D941" s="540">
        <v>222.69</v>
      </c>
    </row>
    <row r="942" spans="1:4" ht="15" x14ac:dyDescent="0.25">
      <c r="A942" s="304">
        <v>20963</v>
      </c>
      <c r="B942" s="304" t="s">
        <v>6494</v>
      </c>
      <c r="C942" s="304" t="s">
        <v>5555</v>
      </c>
      <c r="D942" s="540">
        <v>272.02999999999997</v>
      </c>
    </row>
    <row r="943" spans="1:4" ht="15" x14ac:dyDescent="0.25">
      <c r="A943" s="304">
        <v>2555</v>
      </c>
      <c r="B943" s="304" t="s">
        <v>6495</v>
      </c>
      <c r="C943" s="304" t="s">
        <v>5555</v>
      </c>
      <c r="D943" s="540">
        <v>1.02</v>
      </c>
    </row>
    <row r="944" spans="1:4" ht="15" x14ac:dyDescent="0.25">
      <c r="A944" s="304">
        <v>2556</v>
      </c>
      <c r="B944" s="304" t="s">
        <v>6496</v>
      </c>
      <c r="C944" s="304" t="s">
        <v>5555</v>
      </c>
      <c r="D944" s="540">
        <v>0.95</v>
      </c>
    </row>
    <row r="945" spans="1:4" ht="15" x14ac:dyDescent="0.25">
      <c r="A945" s="304">
        <v>2557</v>
      </c>
      <c r="B945" s="304" t="s">
        <v>6497</v>
      </c>
      <c r="C945" s="304" t="s">
        <v>5555</v>
      </c>
      <c r="D945" s="540">
        <v>2</v>
      </c>
    </row>
    <row r="946" spans="1:4" ht="15" x14ac:dyDescent="0.25">
      <c r="A946" s="304">
        <v>39810</v>
      </c>
      <c r="B946" s="304" t="s">
        <v>6498</v>
      </c>
      <c r="C946" s="304" t="s">
        <v>5555</v>
      </c>
      <c r="D946" s="540">
        <v>14.76</v>
      </c>
    </row>
    <row r="947" spans="1:4" ht="15" x14ac:dyDescent="0.25">
      <c r="A947" s="304">
        <v>39811</v>
      </c>
      <c r="B947" s="304" t="s">
        <v>6499</v>
      </c>
      <c r="C947" s="304" t="s">
        <v>5555</v>
      </c>
      <c r="D947" s="540">
        <v>18.7</v>
      </c>
    </row>
    <row r="948" spans="1:4" ht="15" x14ac:dyDescent="0.25">
      <c r="A948" s="304">
        <v>39812</v>
      </c>
      <c r="B948" s="304" t="s">
        <v>6500</v>
      </c>
      <c r="C948" s="304" t="s">
        <v>5555</v>
      </c>
      <c r="D948" s="540">
        <v>28.52</v>
      </c>
    </row>
    <row r="949" spans="1:4" ht="15" x14ac:dyDescent="0.25">
      <c r="A949" s="304">
        <v>20254</v>
      </c>
      <c r="B949" s="304" t="s">
        <v>6501</v>
      </c>
      <c r="C949" s="304" t="s">
        <v>5555</v>
      </c>
      <c r="D949" s="540">
        <v>11.06</v>
      </c>
    </row>
    <row r="950" spans="1:4" ht="15" x14ac:dyDescent="0.25">
      <c r="A950" s="304">
        <v>39771</v>
      </c>
      <c r="B950" s="304" t="s">
        <v>6502</v>
      </c>
      <c r="C950" s="304" t="s">
        <v>5555</v>
      </c>
      <c r="D950" s="540">
        <v>18.309999999999999</v>
      </c>
    </row>
    <row r="951" spans="1:4" ht="15" x14ac:dyDescent="0.25">
      <c r="A951" s="304">
        <v>20255</v>
      </c>
      <c r="B951" s="304" t="s">
        <v>6503</v>
      </c>
      <c r="C951" s="304" t="s">
        <v>5555</v>
      </c>
      <c r="D951" s="540">
        <v>30.26</v>
      </c>
    </row>
    <row r="952" spans="1:4" ht="15" x14ac:dyDescent="0.25">
      <c r="A952" s="304">
        <v>39772</v>
      </c>
      <c r="B952" s="304" t="s">
        <v>6504</v>
      </c>
      <c r="C952" s="304" t="s">
        <v>5555</v>
      </c>
      <c r="D952" s="540">
        <v>36.28</v>
      </c>
    </row>
    <row r="953" spans="1:4" ht="15" x14ac:dyDescent="0.25">
      <c r="A953" s="304">
        <v>20253</v>
      </c>
      <c r="B953" s="304" t="s">
        <v>6505</v>
      </c>
      <c r="C953" s="304" t="s">
        <v>5555</v>
      </c>
      <c r="D953" s="540">
        <v>63.24</v>
      </c>
    </row>
    <row r="954" spans="1:4" ht="15" x14ac:dyDescent="0.25">
      <c r="A954" s="304">
        <v>39773</v>
      </c>
      <c r="B954" s="304" t="s">
        <v>6506</v>
      </c>
      <c r="C954" s="304" t="s">
        <v>5555</v>
      </c>
      <c r="D954" s="540">
        <v>65.69</v>
      </c>
    </row>
    <row r="955" spans="1:4" ht="15" x14ac:dyDescent="0.25">
      <c r="A955" s="304">
        <v>39774</v>
      </c>
      <c r="B955" s="304" t="s">
        <v>6507</v>
      </c>
      <c r="C955" s="304" t="s">
        <v>5555</v>
      </c>
      <c r="D955" s="540">
        <v>85.36</v>
      </c>
    </row>
    <row r="956" spans="1:4" ht="15" x14ac:dyDescent="0.25">
      <c r="A956" s="304">
        <v>39775</v>
      </c>
      <c r="B956" s="304" t="s">
        <v>6508</v>
      </c>
      <c r="C956" s="304" t="s">
        <v>5555</v>
      </c>
      <c r="D956" s="540">
        <v>149.49</v>
      </c>
    </row>
    <row r="957" spans="1:4" ht="15" x14ac:dyDescent="0.25">
      <c r="A957" s="304">
        <v>39776</v>
      </c>
      <c r="B957" s="304" t="s">
        <v>6509</v>
      </c>
      <c r="C957" s="304" t="s">
        <v>5555</v>
      </c>
      <c r="D957" s="540">
        <v>184</v>
      </c>
    </row>
    <row r="958" spans="1:4" ht="15" x14ac:dyDescent="0.25">
      <c r="A958" s="304">
        <v>39777</v>
      </c>
      <c r="B958" s="304" t="s">
        <v>6510</v>
      </c>
      <c r="C958" s="304" t="s">
        <v>5555</v>
      </c>
      <c r="D958" s="540">
        <v>220.79</v>
      </c>
    </row>
    <row r="959" spans="1:4" ht="15" x14ac:dyDescent="0.25">
      <c r="A959" s="304">
        <v>11250</v>
      </c>
      <c r="B959" s="304" t="s">
        <v>6511</v>
      </c>
      <c r="C959" s="304" t="s">
        <v>5555</v>
      </c>
      <c r="D959" s="540">
        <v>32.79</v>
      </c>
    </row>
    <row r="960" spans="1:4" ht="15" x14ac:dyDescent="0.25">
      <c r="A960" s="304">
        <v>39766</v>
      </c>
      <c r="B960" s="304" t="s">
        <v>6512</v>
      </c>
      <c r="C960" s="304" t="s">
        <v>5555</v>
      </c>
      <c r="D960" s="540">
        <v>40.020000000000003</v>
      </c>
    </row>
    <row r="961" spans="1:4" ht="15" x14ac:dyDescent="0.25">
      <c r="A961" s="304">
        <v>11251</v>
      </c>
      <c r="B961" s="304" t="s">
        <v>6513</v>
      </c>
      <c r="C961" s="304" t="s">
        <v>5555</v>
      </c>
      <c r="D961" s="540">
        <v>69</v>
      </c>
    </row>
    <row r="962" spans="1:4" ht="15" x14ac:dyDescent="0.25">
      <c r="A962" s="304">
        <v>39767</v>
      </c>
      <c r="B962" s="304" t="s">
        <v>6514</v>
      </c>
      <c r="C962" s="304" t="s">
        <v>5555</v>
      </c>
      <c r="D962" s="540">
        <v>90.85</v>
      </c>
    </row>
    <row r="963" spans="1:4" ht="15" x14ac:dyDescent="0.25">
      <c r="A963" s="304">
        <v>11253</v>
      </c>
      <c r="B963" s="304" t="s">
        <v>6515</v>
      </c>
      <c r="C963" s="304" t="s">
        <v>5555</v>
      </c>
      <c r="D963" s="540">
        <v>135.69</v>
      </c>
    </row>
    <row r="964" spans="1:4" ht="15" x14ac:dyDescent="0.25">
      <c r="A964" s="304">
        <v>11254</v>
      </c>
      <c r="B964" s="304" t="s">
        <v>6516</v>
      </c>
      <c r="C964" s="304" t="s">
        <v>5555</v>
      </c>
      <c r="D964" s="540">
        <v>145.79</v>
      </c>
    </row>
    <row r="965" spans="1:4" ht="15" x14ac:dyDescent="0.25">
      <c r="A965" s="304">
        <v>11255</v>
      </c>
      <c r="B965" s="304" t="s">
        <v>6517</v>
      </c>
      <c r="C965" s="304" t="s">
        <v>5555</v>
      </c>
      <c r="D965" s="540">
        <v>220.79</v>
      </c>
    </row>
    <row r="966" spans="1:4" ht="15" x14ac:dyDescent="0.25">
      <c r="A966" s="304">
        <v>11256</v>
      </c>
      <c r="B966" s="304" t="s">
        <v>6518</v>
      </c>
      <c r="C966" s="304" t="s">
        <v>5555</v>
      </c>
      <c r="D966" s="540">
        <v>252.66</v>
      </c>
    </row>
    <row r="967" spans="1:4" ht="15" x14ac:dyDescent="0.25">
      <c r="A967" s="304">
        <v>14055</v>
      </c>
      <c r="B967" s="304" t="s">
        <v>6519</v>
      </c>
      <c r="C967" s="304" t="s">
        <v>5555</v>
      </c>
      <c r="D967" s="540">
        <v>448.22</v>
      </c>
    </row>
    <row r="968" spans="1:4" ht="15" x14ac:dyDescent="0.25">
      <c r="A968" s="304">
        <v>39768</v>
      </c>
      <c r="B968" s="304" t="s">
        <v>6520</v>
      </c>
      <c r="C968" s="304" t="s">
        <v>5555</v>
      </c>
      <c r="D968" s="540">
        <v>478.26</v>
      </c>
    </row>
    <row r="969" spans="1:4" ht="15" x14ac:dyDescent="0.25">
      <c r="A969" s="304">
        <v>11247</v>
      </c>
      <c r="B969" s="304" t="s">
        <v>6521</v>
      </c>
      <c r="C969" s="304" t="s">
        <v>5555</v>
      </c>
      <c r="D969" s="540">
        <v>642.13</v>
      </c>
    </row>
    <row r="970" spans="1:4" ht="15" x14ac:dyDescent="0.25">
      <c r="A970" s="304">
        <v>39769</v>
      </c>
      <c r="B970" s="304" t="s">
        <v>6522</v>
      </c>
      <c r="C970" s="304" t="s">
        <v>5555</v>
      </c>
      <c r="D970" s="540">
        <v>778.45</v>
      </c>
    </row>
    <row r="971" spans="1:4" ht="15" x14ac:dyDescent="0.25">
      <c r="A971" s="304">
        <v>11249</v>
      </c>
      <c r="B971" s="304" t="s">
        <v>6523</v>
      </c>
      <c r="C971" s="304" t="s">
        <v>5555</v>
      </c>
      <c r="D971" s="541">
        <v>2098.88</v>
      </c>
    </row>
    <row r="972" spans="1:4" ht="15" x14ac:dyDescent="0.25">
      <c r="A972" s="304">
        <v>39770</v>
      </c>
      <c r="B972" s="304" t="s">
        <v>6524</v>
      </c>
      <c r="C972" s="304" t="s">
        <v>5555</v>
      </c>
      <c r="D972" s="541">
        <v>2729.18</v>
      </c>
    </row>
    <row r="973" spans="1:4" ht="15" x14ac:dyDescent="0.25">
      <c r="A973" s="304">
        <v>10569</v>
      </c>
      <c r="B973" s="304" t="s">
        <v>6525</v>
      </c>
      <c r="C973" s="304" t="s">
        <v>5555</v>
      </c>
      <c r="D973" s="540">
        <v>1.99</v>
      </c>
    </row>
    <row r="974" spans="1:4" ht="15" x14ac:dyDescent="0.25">
      <c r="A974" s="304">
        <v>1872</v>
      </c>
      <c r="B974" s="304" t="s">
        <v>6526</v>
      </c>
      <c r="C974" s="304" t="s">
        <v>5555</v>
      </c>
      <c r="D974" s="540">
        <v>1.57</v>
      </c>
    </row>
    <row r="975" spans="1:4" ht="15" x14ac:dyDescent="0.25">
      <c r="A975" s="304">
        <v>1873</v>
      </c>
      <c r="B975" s="304" t="s">
        <v>6527</v>
      </c>
      <c r="C975" s="304" t="s">
        <v>5555</v>
      </c>
      <c r="D975" s="540">
        <v>3.13</v>
      </c>
    </row>
    <row r="976" spans="1:4" ht="15" x14ac:dyDescent="0.25">
      <c r="A976" s="304">
        <v>39693</v>
      </c>
      <c r="B976" s="304" t="s">
        <v>6528</v>
      </c>
      <c r="C976" s="304" t="s">
        <v>5555</v>
      </c>
      <c r="D976" s="541">
        <v>1197.74</v>
      </c>
    </row>
    <row r="977" spans="1:4" ht="15" x14ac:dyDescent="0.25">
      <c r="A977" s="304">
        <v>39692</v>
      </c>
      <c r="B977" s="304" t="s">
        <v>6529</v>
      </c>
      <c r="C977" s="304" t="s">
        <v>5555</v>
      </c>
      <c r="D977" s="540">
        <v>201.62</v>
      </c>
    </row>
    <row r="978" spans="1:4" ht="15" x14ac:dyDescent="0.25">
      <c r="A978" s="304">
        <v>39681</v>
      </c>
      <c r="B978" s="304" t="s">
        <v>6530</v>
      </c>
      <c r="C978" s="304" t="s">
        <v>5555</v>
      </c>
      <c r="D978" s="540">
        <v>113.85</v>
      </c>
    </row>
    <row r="979" spans="1:4" ht="15" x14ac:dyDescent="0.25">
      <c r="A979" s="304">
        <v>39680</v>
      </c>
      <c r="B979" s="304" t="s">
        <v>6531</v>
      </c>
      <c r="C979" s="304" t="s">
        <v>5555</v>
      </c>
      <c r="D979" s="540">
        <v>58.65</v>
      </c>
    </row>
    <row r="980" spans="1:4" ht="15" x14ac:dyDescent="0.25">
      <c r="A980" s="304">
        <v>39682</v>
      </c>
      <c r="B980" s="304" t="s">
        <v>6532</v>
      </c>
      <c r="C980" s="304" t="s">
        <v>5555</v>
      </c>
      <c r="D980" s="540">
        <v>114.99</v>
      </c>
    </row>
    <row r="981" spans="1:4" ht="15" x14ac:dyDescent="0.25">
      <c r="A981" s="304">
        <v>39685</v>
      </c>
      <c r="B981" s="304" t="s">
        <v>6533</v>
      </c>
      <c r="C981" s="304" t="s">
        <v>5555</v>
      </c>
      <c r="D981" s="540">
        <v>97.56</v>
      </c>
    </row>
    <row r="982" spans="1:4" ht="15" x14ac:dyDescent="0.25">
      <c r="A982" s="304">
        <v>39687</v>
      </c>
      <c r="B982" s="304" t="s">
        <v>6534</v>
      </c>
      <c r="C982" s="304" t="s">
        <v>5555</v>
      </c>
      <c r="D982" s="540">
        <v>183.9</v>
      </c>
    </row>
    <row r="983" spans="1:4" ht="15" x14ac:dyDescent="0.25">
      <c r="A983" s="304">
        <v>3280</v>
      </c>
      <c r="B983" s="304" t="s">
        <v>6535</v>
      </c>
      <c r="C983" s="304" t="s">
        <v>5555</v>
      </c>
      <c r="D983" s="540">
        <v>153.09</v>
      </c>
    </row>
    <row r="984" spans="1:4" ht="15" x14ac:dyDescent="0.25">
      <c r="A984" s="304">
        <v>11881</v>
      </c>
      <c r="B984" s="304" t="s">
        <v>6536</v>
      </c>
      <c r="C984" s="304" t="s">
        <v>5555</v>
      </c>
      <c r="D984" s="540">
        <v>71.099999999999994</v>
      </c>
    </row>
    <row r="985" spans="1:4" ht="15" x14ac:dyDescent="0.25">
      <c r="A985" s="304">
        <v>34641</v>
      </c>
      <c r="B985" s="304" t="s">
        <v>6537</v>
      </c>
      <c r="C985" s="304" t="s">
        <v>5555</v>
      </c>
      <c r="D985" s="540">
        <v>57.33</v>
      </c>
    </row>
    <row r="986" spans="1:4" ht="15" x14ac:dyDescent="0.25">
      <c r="A986" s="304">
        <v>34643</v>
      </c>
      <c r="B986" s="304" t="s">
        <v>6538</v>
      </c>
      <c r="C986" s="304" t="s">
        <v>5555</v>
      </c>
      <c r="D986" s="540">
        <v>10.85</v>
      </c>
    </row>
    <row r="987" spans="1:4" ht="15" x14ac:dyDescent="0.25">
      <c r="A987" s="304">
        <v>3278</v>
      </c>
      <c r="B987" s="304" t="s">
        <v>6539</v>
      </c>
      <c r="C987" s="304" t="s">
        <v>5555</v>
      </c>
      <c r="D987" s="540">
        <v>80.27</v>
      </c>
    </row>
    <row r="988" spans="1:4" ht="15" x14ac:dyDescent="0.25">
      <c r="A988" s="304">
        <v>3279</v>
      </c>
      <c r="B988" s="304" t="s">
        <v>6540</v>
      </c>
      <c r="C988" s="304" t="s">
        <v>5555</v>
      </c>
      <c r="D988" s="540">
        <v>132.44999999999999</v>
      </c>
    </row>
    <row r="989" spans="1:4" ht="15" x14ac:dyDescent="0.25">
      <c r="A989" s="304">
        <v>1062</v>
      </c>
      <c r="B989" s="304" t="s">
        <v>6541</v>
      </c>
      <c r="C989" s="304" t="s">
        <v>5555</v>
      </c>
      <c r="D989" s="540">
        <v>103.5</v>
      </c>
    </row>
    <row r="990" spans="1:4" ht="15" x14ac:dyDescent="0.25">
      <c r="A990" s="304">
        <v>39686</v>
      </c>
      <c r="B990" s="304" t="s">
        <v>6542</v>
      </c>
      <c r="C990" s="304" t="s">
        <v>5555</v>
      </c>
      <c r="D990" s="540">
        <v>176.54</v>
      </c>
    </row>
    <row r="991" spans="1:4" ht="15" x14ac:dyDescent="0.25">
      <c r="A991" s="304">
        <v>39683</v>
      </c>
      <c r="B991" s="304" t="s">
        <v>6543</v>
      </c>
      <c r="C991" s="304" t="s">
        <v>5555</v>
      </c>
      <c r="D991" s="540">
        <v>35.9</v>
      </c>
    </row>
    <row r="992" spans="1:4" ht="15" x14ac:dyDescent="0.25">
      <c r="A992" s="304">
        <v>1871</v>
      </c>
      <c r="B992" s="304" t="s">
        <v>6544</v>
      </c>
      <c r="C992" s="304" t="s">
        <v>5555</v>
      </c>
      <c r="D992" s="540">
        <v>2.81</v>
      </c>
    </row>
    <row r="993" spans="1:4" ht="15" x14ac:dyDescent="0.25">
      <c r="A993" s="304">
        <v>12001</v>
      </c>
      <c r="B993" s="304" t="s">
        <v>6545</v>
      </c>
      <c r="C993" s="304" t="s">
        <v>5555</v>
      </c>
      <c r="D993" s="540">
        <v>4.0599999999999996</v>
      </c>
    </row>
    <row r="994" spans="1:4" ht="15" x14ac:dyDescent="0.25">
      <c r="A994" s="304">
        <v>11882</v>
      </c>
      <c r="B994" s="304" t="s">
        <v>6546</v>
      </c>
      <c r="C994" s="304" t="s">
        <v>5555</v>
      </c>
      <c r="D994" s="540">
        <v>80.27</v>
      </c>
    </row>
    <row r="995" spans="1:4" ht="15" x14ac:dyDescent="0.25">
      <c r="A995" s="304">
        <v>39689</v>
      </c>
      <c r="B995" s="304" t="s">
        <v>6547</v>
      </c>
      <c r="C995" s="304" t="s">
        <v>5555</v>
      </c>
      <c r="D995" s="541">
        <v>2299.9899999999998</v>
      </c>
    </row>
    <row r="996" spans="1:4" ht="15" x14ac:dyDescent="0.25">
      <c r="A996" s="304">
        <v>39688</v>
      </c>
      <c r="B996" s="304" t="s">
        <v>6548</v>
      </c>
      <c r="C996" s="304" t="s">
        <v>5555</v>
      </c>
      <c r="D996" s="540">
        <v>332.34</v>
      </c>
    </row>
    <row r="997" spans="1:4" ht="15" x14ac:dyDescent="0.25">
      <c r="A997" s="304">
        <v>1068</v>
      </c>
      <c r="B997" s="304" t="s">
        <v>6549</v>
      </c>
      <c r="C997" s="304" t="s">
        <v>5555</v>
      </c>
      <c r="D997" s="541">
        <v>1388.04</v>
      </c>
    </row>
    <row r="998" spans="1:4" ht="15" x14ac:dyDescent="0.25">
      <c r="A998" s="304">
        <v>39690</v>
      </c>
      <c r="B998" s="304" t="s">
        <v>6550</v>
      </c>
      <c r="C998" s="304" t="s">
        <v>5555</v>
      </c>
      <c r="D998" s="541">
        <v>3122.25</v>
      </c>
    </row>
    <row r="999" spans="1:4" ht="15" x14ac:dyDescent="0.25">
      <c r="A999" s="304">
        <v>39691</v>
      </c>
      <c r="B999" s="304" t="s">
        <v>6551</v>
      </c>
      <c r="C999" s="304" t="s">
        <v>5555</v>
      </c>
      <c r="D999" s="541">
        <v>3490.24</v>
      </c>
    </row>
    <row r="1000" spans="1:4" ht="15" x14ac:dyDescent="0.25">
      <c r="A1000" s="304">
        <v>39808</v>
      </c>
      <c r="B1000" s="304" t="s">
        <v>6552</v>
      </c>
      <c r="C1000" s="304" t="s">
        <v>5555</v>
      </c>
      <c r="D1000" s="540">
        <v>54.5</v>
      </c>
    </row>
    <row r="1001" spans="1:4" ht="15" x14ac:dyDescent="0.25">
      <c r="A1001" s="304">
        <v>39809</v>
      </c>
      <c r="B1001" s="304" t="s">
        <v>6553</v>
      </c>
      <c r="C1001" s="304" t="s">
        <v>5555</v>
      </c>
      <c r="D1001" s="540">
        <v>150.44</v>
      </c>
    </row>
    <row r="1002" spans="1:4" ht="15" x14ac:dyDescent="0.25">
      <c r="A1002" s="304">
        <v>11713</v>
      </c>
      <c r="B1002" s="304" t="s">
        <v>6554</v>
      </c>
      <c r="C1002" s="304" t="s">
        <v>5555</v>
      </c>
      <c r="D1002" s="540">
        <v>23.55</v>
      </c>
    </row>
    <row r="1003" spans="1:4" ht="15" x14ac:dyDescent="0.25">
      <c r="A1003" s="304">
        <v>11716</v>
      </c>
      <c r="B1003" s="304" t="s">
        <v>6555</v>
      </c>
      <c r="C1003" s="304" t="s">
        <v>5555</v>
      </c>
      <c r="D1003" s="540">
        <v>10.06</v>
      </c>
    </row>
    <row r="1004" spans="1:4" ht="15" x14ac:dyDescent="0.25">
      <c r="A1004" s="304">
        <v>5103</v>
      </c>
      <c r="B1004" s="304" t="s">
        <v>6556</v>
      </c>
      <c r="C1004" s="304" t="s">
        <v>5555</v>
      </c>
      <c r="D1004" s="540">
        <v>10.199999999999999</v>
      </c>
    </row>
    <row r="1005" spans="1:4" ht="15" x14ac:dyDescent="0.25">
      <c r="A1005" s="304">
        <v>11712</v>
      </c>
      <c r="B1005" s="304" t="s">
        <v>6557</v>
      </c>
      <c r="C1005" s="304" t="s">
        <v>5555</v>
      </c>
      <c r="D1005" s="540">
        <v>23.75</v>
      </c>
    </row>
    <row r="1006" spans="1:4" ht="15" x14ac:dyDescent="0.25">
      <c r="A1006" s="304">
        <v>11717</v>
      </c>
      <c r="B1006" s="304" t="s">
        <v>6558</v>
      </c>
      <c r="C1006" s="304" t="s">
        <v>5555</v>
      </c>
      <c r="D1006" s="540">
        <v>25.8</v>
      </c>
    </row>
    <row r="1007" spans="1:4" ht="15" x14ac:dyDescent="0.25">
      <c r="A1007" s="304">
        <v>11714</v>
      </c>
      <c r="B1007" s="304" t="s">
        <v>6559</v>
      </c>
      <c r="C1007" s="304" t="s">
        <v>5555</v>
      </c>
      <c r="D1007" s="540">
        <v>32.11</v>
      </c>
    </row>
    <row r="1008" spans="1:4" ht="15" x14ac:dyDescent="0.25">
      <c r="A1008" s="304">
        <v>11715</v>
      </c>
      <c r="B1008" s="304" t="s">
        <v>6560</v>
      </c>
      <c r="C1008" s="304" t="s">
        <v>5555</v>
      </c>
      <c r="D1008" s="540">
        <v>36.94</v>
      </c>
    </row>
    <row r="1009" spans="1:4" ht="15" x14ac:dyDescent="0.25">
      <c r="A1009" s="304">
        <v>11880</v>
      </c>
      <c r="B1009" s="304" t="s">
        <v>6561</v>
      </c>
      <c r="C1009" s="304" t="s">
        <v>5555</v>
      </c>
      <c r="D1009" s="540">
        <v>66.41</v>
      </c>
    </row>
    <row r="1010" spans="1:4" ht="15" x14ac:dyDescent="0.25">
      <c r="A1010" s="304">
        <v>1106</v>
      </c>
      <c r="B1010" s="304" t="s">
        <v>6562</v>
      </c>
      <c r="C1010" s="304" t="s">
        <v>5626</v>
      </c>
      <c r="D1010" s="540">
        <v>0.88</v>
      </c>
    </row>
    <row r="1011" spans="1:4" ht="15" x14ac:dyDescent="0.25">
      <c r="A1011" s="304">
        <v>11161</v>
      </c>
      <c r="B1011" s="304" t="s">
        <v>6563</v>
      </c>
      <c r="C1011" s="304" t="s">
        <v>5626</v>
      </c>
      <c r="D1011" s="540">
        <v>1.46</v>
      </c>
    </row>
    <row r="1012" spans="1:4" ht="15" x14ac:dyDescent="0.25">
      <c r="A1012" s="304">
        <v>1107</v>
      </c>
      <c r="B1012" s="304" t="s">
        <v>6564</v>
      </c>
      <c r="C1012" s="304" t="s">
        <v>5626</v>
      </c>
      <c r="D1012" s="540">
        <v>1.01</v>
      </c>
    </row>
    <row r="1013" spans="1:4" ht="15" x14ac:dyDescent="0.25">
      <c r="A1013" s="304">
        <v>4758</v>
      </c>
      <c r="B1013" s="304" t="s">
        <v>6565</v>
      </c>
      <c r="C1013" s="304" t="s">
        <v>5566</v>
      </c>
      <c r="D1013" s="540">
        <v>18.739999999999998</v>
      </c>
    </row>
    <row r="1014" spans="1:4" ht="15" x14ac:dyDescent="0.25">
      <c r="A1014" s="304">
        <v>41080</v>
      </c>
      <c r="B1014" s="304" t="s">
        <v>6566</v>
      </c>
      <c r="C1014" s="304" t="s">
        <v>5755</v>
      </c>
      <c r="D1014" s="541">
        <v>3282.42</v>
      </c>
    </row>
    <row r="1015" spans="1:4" ht="15" x14ac:dyDescent="0.25">
      <c r="A1015" s="304">
        <v>25963</v>
      </c>
      <c r="B1015" s="304" t="s">
        <v>6567</v>
      </c>
      <c r="C1015" s="304" t="s">
        <v>5626</v>
      </c>
      <c r="D1015" s="540">
        <v>0.12</v>
      </c>
    </row>
    <row r="1016" spans="1:4" ht="15" x14ac:dyDescent="0.25">
      <c r="A1016" s="304">
        <v>4759</v>
      </c>
      <c r="B1016" s="304" t="s">
        <v>6568</v>
      </c>
      <c r="C1016" s="304" t="s">
        <v>5566</v>
      </c>
      <c r="D1016" s="540">
        <v>15.74</v>
      </c>
    </row>
    <row r="1017" spans="1:4" ht="15" x14ac:dyDescent="0.25">
      <c r="A1017" s="304">
        <v>41068</v>
      </c>
      <c r="B1017" s="304" t="s">
        <v>6569</v>
      </c>
      <c r="C1017" s="304" t="s">
        <v>5755</v>
      </c>
      <c r="D1017" s="541">
        <v>2758</v>
      </c>
    </row>
    <row r="1018" spans="1:4" ht="15" x14ac:dyDescent="0.25">
      <c r="A1018" s="304">
        <v>1108</v>
      </c>
      <c r="B1018" s="304" t="s">
        <v>6570</v>
      </c>
      <c r="C1018" s="304" t="s">
        <v>5575</v>
      </c>
      <c r="D1018" s="540">
        <v>22.69</v>
      </c>
    </row>
    <row r="1019" spans="1:4" ht="15" x14ac:dyDescent="0.25">
      <c r="A1019" s="304">
        <v>1117</v>
      </c>
      <c r="B1019" s="304" t="s">
        <v>6571</v>
      </c>
      <c r="C1019" s="304" t="s">
        <v>5575</v>
      </c>
      <c r="D1019" s="540">
        <v>26.34</v>
      </c>
    </row>
    <row r="1020" spans="1:4" ht="15" x14ac:dyDescent="0.25">
      <c r="A1020" s="304">
        <v>1118</v>
      </c>
      <c r="B1020" s="304" t="s">
        <v>6572</v>
      </c>
      <c r="C1020" s="304" t="s">
        <v>5575</v>
      </c>
      <c r="D1020" s="540">
        <v>33.869999999999997</v>
      </c>
    </row>
    <row r="1021" spans="1:4" ht="15" x14ac:dyDescent="0.25">
      <c r="A1021" s="304">
        <v>1110</v>
      </c>
      <c r="B1021" s="304" t="s">
        <v>6573</v>
      </c>
      <c r="C1021" s="304" t="s">
        <v>5575</v>
      </c>
      <c r="D1021" s="540">
        <v>33.869999999999997</v>
      </c>
    </row>
    <row r="1022" spans="1:4" ht="15" x14ac:dyDescent="0.25">
      <c r="A1022" s="304">
        <v>12618</v>
      </c>
      <c r="B1022" s="304" t="s">
        <v>6574</v>
      </c>
      <c r="C1022" s="304" t="s">
        <v>5555</v>
      </c>
      <c r="D1022" s="540">
        <v>41.03</v>
      </c>
    </row>
    <row r="1023" spans="1:4" ht="15" x14ac:dyDescent="0.25">
      <c r="A1023" s="304">
        <v>40871</v>
      </c>
      <c r="B1023" s="304" t="s">
        <v>6575</v>
      </c>
      <c r="C1023" s="304" t="s">
        <v>5575</v>
      </c>
      <c r="D1023" s="540">
        <v>76.78</v>
      </c>
    </row>
    <row r="1024" spans="1:4" ht="15" x14ac:dyDescent="0.25">
      <c r="A1024" s="304">
        <v>40869</v>
      </c>
      <c r="B1024" s="304" t="s">
        <v>6576</v>
      </c>
      <c r="C1024" s="304" t="s">
        <v>5575</v>
      </c>
      <c r="D1024" s="540">
        <v>25.21</v>
      </c>
    </row>
    <row r="1025" spans="1:4" ht="15" x14ac:dyDescent="0.25">
      <c r="A1025" s="304">
        <v>40870</v>
      </c>
      <c r="B1025" s="304" t="s">
        <v>6577</v>
      </c>
      <c r="C1025" s="304" t="s">
        <v>5575</v>
      </c>
      <c r="D1025" s="540">
        <v>38.520000000000003</v>
      </c>
    </row>
    <row r="1026" spans="1:4" ht="15" x14ac:dyDescent="0.25">
      <c r="A1026" s="304">
        <v>1109</v>
      </c>
      <c r="B1026" s="304" t="s">
        <v>6578</v>
      </c>
      <c r="C1026" s="304" t="s">
        <v>5575</v>
      </c>
      <c r="D1026" s="540">
        <v>22.58</v>
      </c>
    </row>
    <row r="1027" spans="1:4" ht="15" x14ac:dyDescent="0.25">
      <c r="A1027" s="304">
        <v>1119</v>
      </c>
      <c r="B1027" s="304" t="s">
        <v>6579</v>
      </c>
      <c r="C1027" s="304" t="s">
        <v>5575</v>
      </c>
      <c r="D1027" s="540">
        <v>16.93</v>
      </c>
    </row>
    <row r="1028" spans="1:4" ht="15" x14ac:dyDescent="0.25">
      <c r="A1028" s="304">
        <v>13115</v>
      </c>
      <c r="B1028" s="304" t="s">
        <v>6580</v>
      </c>
      <c r="C1028" s="304" t="s">
        <v>5575</v>
      </c>
      <c r="D1028" s="540">
        <v>16.440000000000001</v>
      </c>
    </row>
    <row r="1029" spans="1:4" ht="15" x14ac:dyDescent="0.25">
      <c r="A1029" s="304">
        <v>10541</v>
      </c>
      <c r="B1029" s="304" t="s">
        <v>6581</v>
      </c>
      <c r="C1029" s="304" t="s">
        <v>5575</v>
      </c>
      <c r="D1029" s="540">
        <v>19.09</v>
      </c>
    </row>
    <row r="1030" spans="1:4" ht="15" x14ac:dyDescent="0.25">
      <c r="A1030" s="304">
        <v>10543</v>
      </c>
      <c r="B1030" s="304" t="s">
        <v>6582</v>
      </c>
      <c r="C1030" s="304" t="s">
        <v>5575</v>
      </c>
      <c r="D1030" s="540">
        <v>37.049999999999997</v>
      </c>
    </row>
    <row r="1031" spans="1:4" ht="15" x14ac:dyDescent="0.25">
      <c r="A1031" s="304">
        <v>10544</v>
      </c>
      <c r="B1031" s="304" t="s">
        <v>6583</v>
      </c>
      <c r="C1031" s="304" t="s">
        <v>5575</v>
      </c>
      <c r="D1031" s="540">
        <v>44.56</v>
      </c>
    </row>
    <row r="1032" spans="1:4" ht="15" x14ac:dyDescent="0.25">
      <c r="A1032" s="304">
        <v>10545</v>
      </c>
      <c r="B1032" s="304" t="s">
        <v>6584</v>
      </c>
      <c r="C1032" s="304" t="s">
        <v>5575</v>
      </c>
      <c r="D1032" s="540">
        <v>68.349999999999994</v>
      </c>
    </row>
    <row r="1033" spans="1:4" ht="15" x14ac:dyDescent="0.25">
      <c r="A1033" s="304">
        <v>10542</v>
      </c>
      <c r="B1033" s="304" t="s">
        <v>6585</v>
      </c>
      <c r="C1033" s="304" t="s">
        <v>5575</v>
      </c>
      <c r="D1033" s="540">
        <v>26.31</v>
      </c>
    </row>
    <row r="1034" spans="1:4" ht="15" x14ac:dyDescent="0.25">
      <c r="A1034" s="304">
        <v>38365</v>
      </c>
      <c r="B1034" s="304" t="s">
        <v>6586</v>
      </c>
      <c r="C1034" s="304" t="s">
        <v>5564</v>
      </c>
      <c r="D1034" s="540">
        <v>1.53</v>
      </c>
    </row>
    <row r="1035" spans="1:4" ht="15" x14ac:dyDescent="0.25">
      <c r="A1035" s="304">
        <v>37745</v>
      </c>
      <c r="B1035" s="304" t="s">
        <v>6587</v>
      </c>
      <c r="C1035" s="304" t="s">
        <v>5555</v>
      </c>
      <c r="D1035" s="541">
        <v>240871.75</v>
      </c>
    </row>
    <row r="1036" spans="1:4" ht="15" x14ac:dyDescent="0.25">
      <c r="A1036" s="304">
        <v>37754</v>
      </c>
      <c r="B1036" s="304" t="s">
        <v>6588</v>
      </c>
      <c r="C1036" s="304" t="s">
        <v>5555</v>
      </c>
      <c r="D1036" s="541">
        <v>251543.28</v>
      </c>
    </row>
    <row r="1037" spans="1:4" ht="15" x14ac:dyDescent="0.25">
      <c r="A1037" s="304">
        <v>37748</v>
      </c>
      <c r="B1037" s="304" t="s">
        <v>6589</v>
      </c>
      <c r="C1037" s="304" t="s">
        <v>5555</v>
      </c>
      <c r="D1037" s="541">
        <v>256078.68</v>
      </c>
    </row>
    <row r="1038" spans="1:4" ht="15" x14ac:dyDescent="0.25">
      <c r="A1038" s="304">
        <v>37761</v>
      </c>
      <c r="B1038" s="304" t="s">
        <v>6590</v>
      </c>
      <c r="C1038" s="304" t="s">
        <v>5555</v>
      </c>
      <c r="D1038" s="541">
        <v>211906.15</v>
      </c>
    </row>
    <row r="1039" spans="1:4" ht="15" x14ac:dyDescent="0.25">
      <c r="A1039" s="304">
        <v>37757</v>
      </c>
      <c r="B1039" s="304" t="s">
        <v>6591</v>
      </c>
      <c r="C1039" s="304" t="s">
        <v>5555</v>
      </c>
      <c r="D1039" s="541">
        <v>294991.65000000002</v>
      </c>
    </row>
    <row r="1040" spans="1:4" ht="15" x14ac:dyDescent="0.25">
      <c r="A1040" s="304">
        <v>37759</v>
      </c>
      <c r="B1040" s="304" t="s">
        <v>6592</v>
      </c>
      <c r="C1040" s="304" t="s">
        <v>5555</v>
      </c>
      <c r="D1040" s="541">
        <v>296135.05</v>
      </c>
    </row>
    <row r="1041" spans="1:4" ht="15" x14ac:dyDescent="0.25">
      <c r="A1041" s="304">
        <v>37766</v>
      </c>
      <c r="B1041" s="304" t="s">
        <v>6593</v>
      </c>
      <c r="C1041" s="304" t="s">
        <v>5555</v>
      </c>
      <c r="D1041" s="541">
        <v>296135.02</v>
      </c>
    </row>
    <row r="1042" spans="1:4" ht="15" x14ac:dyDescent="0.25">
      <c r="A1042" s="304">
        <v>37752</v>
      </c>
      <c r="B1042" s="304" t="s">
        <v>6594</v>
      </c>
      <c r="C1042" s="304" t="s">
        <v>5555</v>
      </c>
      <c r="D1042" s="541">
        <v>268541.5</v>
      </c>
    </row>
    <row r="1043" spans="1:4" ht="15" x14ac:dyDescent="0.25">
      <c r="A1043" s="304">
        <v>37760</v>
      </c>
      <c r="B1043" s="304" t="s">
        <v>6595</v>
      </c>
      <c r="C1043" s="304" t="s">
        <v>5555</v>
      </c>
      <c r="D1043" s="541">
        <v>282795.62</v>
      </c>
    </row>
    <row r="1044" spans="1:4" ht="15" x14ac:dyDescent="0.25">
      <c r="A1044" s="304">
        <v>37765</v>
      </c>
      <c r="B1044" s="304" t="s">
        <v>6596</v>
      </c>
      <c r="C1044" s="304" t="s">
        <v>5555</v>
      </c>
      <c r="D1044" s="541">
        <v>197423.37</v>
      </c>
    </row>
    <row r="1045" spans="1:4" ht="15" x14ac:dyDescent="0.25">
      <c r="A1045" s="304">
        <v>37746</v>
      </c>
      <c r="B1045" s="304" t="s">
        <v>6597</v>
      </c>
      <c r="C1045" s="304" t="s">
        <v>5555</v>
      </c>
      <c r="D1045" s="541">
        <v>216441.54</v>
      </c>
    </row>
    <row r="1046" spans="1:4" ht="15" x14ac:dyDescent="0.25">
      <c r="A1046" s="304">
        <v>37750</v>
      </c>
      <c r="B1046" s="304" t="s">
        <v>6598</v>
      </c>
      <c r="C1046" s="304" t="s">
        <v>5555</v>
      </c>
      <c r="D1046" s="541">
        <v>215679.31</v>
      </c>
    </row>
    <row r="1047" spans="1:4" ht="15" x14ac:dyDescent="0.25">
      <c r="A1047" s="304">
        <v>37753</v>
      </c>
      <c r="B1047" s="304" t="s">
        <v>6599</v>
      </c>
      <c r="C1047" s="304" t="s">
        <v>5555</v>
      </c>
      <c r="D1047" s="541">
        <v>214917.04</v>
      </c>
    </row>
    <row r="1048" spans="1:4" ht="15" x14ac:dyDescent="0.25">
      <c r="A1048" s="304">
        <v>37756</v>
      </c>
      <c r="B1048" s="304" t="s">
        <v>6600</v>
      </c>
      <c r="C1048" s="304" t="s">
        <v>5555</v>
      </c>
      <c r="D1048" s="541">
        <v>211906.15</v>
      </c>
    </row>
    <row r="1049" spans="1:4" ht="15" x14ac:dyDescent="0.25">
      <c r="A1049" s="304">
        <v>37755</v>
      </c>
      <c r="B1049" s="304" t="s">
        <v>6601</v>
      </c>
      <c r="C1049" s="304" t="s">
        <v>5555</v>
      </c>
      <c r="D1049" s="541">
        <v>307949.95</v>
      </c>
    </row>
    <row r="1050" spans="1:4" ht="15" x14ac:dyDescent="0.25">
      <c r="A1050" s="304">
        <v>37758</v>
      </c>
      <c r="B1050" s="304" t="s">
        <v>6602</v>
      </c>
      <c r="C1050" s="304" t="s">
        <v>5555</v>
      </c>
      <c r="D1050" s="541">
        <v>347587.08</v>
      </c>
    </row>
    <row r="1051" spans="1:4" ht="15" x14ac:dyDescent="0.25">
      <c r="A1051" s="304">
        <v>37747</v>
      </c>
      <c r="B1051" s="304" t="s">
        <v>6603</v>
      </c>
      <c r="C1051" s="304" t="s">
        <v>5555</v>
      </c>
      <c r="D1051" s="541">
        <v>312752.14</v>
      </c>
    </row>
    <row r="1052" spans="1:4" ht="15" x14ac:dyDescent="0.25">
      <c r="A1052" s="304">
        <v>37767</v>
      </c>
      <c r="B1052" s="304" t="s">
        <v>6604</v>
      </c>
      <c r="C1052" s="304" t="s">
        <v>5555</v>
      </c>
      <c r="D1052" s="541">
        <v>330055.28000000003</v>
      </c>
    </row>
    <row r="1053" spans="1:4" ht="15" x14ac:dyDescent="0.25">
      <c r="A1053" s="304">
        <v>37751</v>
      </c>
      <c r="B1053" s="304" t="s">
        <v>6605</v>
      </c>
      <c r="C1053" s="304" t="s">
        <v>5555</v>
      </c>
      <c r="D1053" s="541">
        <v>330055.28000000003</v>
      </c>
    </row>
    <row r="1054" spans="1:4" ht="15" x14ac:dyDescent="0.25">
      <c r="A1054" s="304">
        <v>37749</v>
      </c>
      <c r="B1054" s="304" t="s">
        <v>6606</v>
      </c>
      <c r="C1054" s="304" t="s">
        <v>5555</v>
      </c>
      <c r="D1054" s="541">
        <v>326244.02</v>
      </c>
    </row>
    <row r="1055" spans="1:4" ht="15" x14ac:dyDescent="0.25">
      <c r="A1055" s="304">
        <v>1159</v>
      </c>
      <c r="B1055" s="304" t="s">
        <v>6607</v>
      </c>
      <c r="C1055" s="304" t="s">
        <v>5555</v>
      </c>
      <c r="D1055" s="541">
        <v>144460.81</v>
      </c>
    </row>
    <row r="1056" spans="1:4" ht="15" x14ac:dyDescent="0.25">
      <c r="A1056" s="304">
        <v>12114</v>
      </c>
      <c r="B1056" s="304" t="s">
        <v>6608</v>
      </c>
      <c r="C1056" s="304" t="s">
        <v>5555</v>
      </c>
      <c r="D1056" s="540">
        <v>123.72</v>
      </c>
    </row>
    <row r="1057" spans="1:4" ht="15" x14ac:dyDescent="0.25">
      <c r="A1057" s="304">
        <v>38106</v>
      </c>
      <c r="B1057" s="304" t="s">
        <v>6609</v>
      </c>
      <c r="C1057" s="304" t="s">
        <v>5555</v>
      </c>
      <c r="D1057" s="540">
        <v>16.809999999999999</v>
      </c>
    </row>
    <row r="1058" spans="1:4" ht="15" x14ac:dyDescent="0.25">
      <c r="A1058" s="304">
        <v>38085</v>
      </c>
      <c r="B1058" s="304" t="s">
        <v>6610</v>
      </c>
      <c r="C1058" s="304" t="s">
        <v>5555</v>
      </c>
      <c r="D1058" s="540">
        <v>19.86</v>
      </c>
    </row>
    <row r="1059" spans="1:4" ht="15" x14ac:dyDescent="0.25">
      <c r="A1059" s="304">
        <v>38599</v>
      </c>
      <c r="B1059" s="304" t="s">
        <v>6611</v>
      </c>
      <c r="C1059" s="304" t="s">
        <v>5555</v>
      </c>
      <c r="D1059" s="540">
        <v>4.74</v>
      </c>
    </row>
    <row r="1060" spans="1:4" ht="15" x14ac:dyDescent="0.25">
      <c r="A1060" s="304">
        <v>38596</v>
      </c>
      <c r="B1060" s="304" t="s">
        <v>6612</v>
      </c>
      <c r="C1060" s="304" t="s">
        <v>5555</v>
      </c>
      <c r="D1060" s="540">
        <v>3.24</v>
      </c>
    </row>
    <row r="1061" spans="1:4" ht="15" x14ac:dyDescent="0.25">
      <c r="A1061" s="304">
        <v>38600</v>
      </c>
      <c r="B1061" s="304" t="s">
        <v>6613</v>
      </c>
      <c r="C1061" s="304" t="s">
        <v>5555</v>
      </c>
      <c r="D1061" s="540">
        <v>5.58</v>
      </c>
    </row>
    <row r="1062" spans="1:4" ht="15" x14ac:dyDescent="0.25">
      <c r="A1062" s="304">
        <v>38597</v>
      </c>
      <c r="B1062" s="304" t="s">
        <v>6614</v>
      </c>
      <c r="C1062" s="304" t="s">
        <v>5555</v>
      </c>
      <c r="D1062" s="540">
        <v>3.96</v>
      </c>
    </row>
    <row r="1063" spans="1:4" ht="15" x14ac:dyDescent="0.25">
      <c r="A1063" s="304">
        <v>659</v>
      </c>
      <c r="B1063" s="304" t="s">
        <v>6615</v>
      </c>
      <c r="C1063" s="304" t="s">
        <v>5555</v>
      </c>
      <c r="D1063" s="540">
        <v>1.93</v>
      </c>
    </row>
    <row r="1064" spans="1:4" ht="15" x14ac:dyDescent="0.25">
      <c r="A1064" s="304">
        <v>660</v>
      </c>
      <c r="B1064" s="304" t="s">
        <v>6616</v>
      </c>
      <c r="C1064" s="304" t="s">
        <v>5555</v>
      </c>
      <c r="D1064" s="540">
        <v>2.82</v>
      </c>
    </row>
    <row r="1065" spans="1:4" ht="15" x14ac:dyDescent="0.25">
      <c r="A1065" s="304">
        <v>658</v>
      </c>
      <c r="B1065" s="304" t="s">
        <v>6617</v>
      </c>
      <c r="C1065" s="304" t="s">
        <v>5555</v>
      </c>
      <c r="D1065" s="540">
        <v>1.55</v>
      </c>
    </row>
    <row r="1066" spans="1:4" ht="15" x14ac:dyDescent="0.25">
      <c r="A1066" s="304">
        <v>38548</v>
      </c>
      <c r="B1066" s="304" t="s">
        <v>6618</v>
      </c>
      <c r="C1066" s="304" t="s">
        <v>5555</v>
      </c>
      <c r="D1066" s="540">
        <v>0.94</v>
      </c>
    </row>
    <row r="1067" spans="1:4" ht="15" x14ac:dyDescent="0.25">
      <c r="A1067" s="304">
        <v>34647</v>
      </c>
      <c r="B1067" s="304" t="s">
        <v>6619</v>
      </c>
      <c r="C1067" s="304" t="s">
        <v>5555</v>
      </c>
      <c r="D1067" s="540">
        <v>1.63</v>
      </c>
    </row>
    <row r="1068" spans="1:4" ht="15" x14ac:dyDescent="0.25">
      <c r="A1068" s="304">
        <v>34649</v>
      </c>
      <c r="B1068" s="304" t="s">
        <v>6620</v>
      </c>
      <c r="C1068" s="304" t="s">
        <v>5555</v>
      </c>
      <c r="D1068" s="540">
        <v>1.68</v>
      </c>
    </row>
    <row r="1069" spans="1:4" ht="15" x14ac:dyDescent="0.25">
      <c r="A1069" s="304">
        <v>34652</v>
      </c>
      <c r="B1069" s="304" t="s">
        <v>6621</v>
      </c>
      <c r="C1069" s="304" t="s">
        <v>5555</v>
      </c>
      <c r="D1069" s="540">
        <v>2.29</v>
      </c>
    </row>
    <row r="1070" spans="1:4" ht="15" x14ac:dyDescent="0.25">
      <c r="A1070" s="304">
        <v>34655</v>
      </c>
      <c r="B1070" s="304" t="s">
        <v>6622</v>
      </c>
      <c r="C1070" s="304" t="s">
        <v>5555</v>
      </c>
      <c r="D1070" s="540">
        <v>2.2200000000000002</v>
      </c>
    </row>
    <row r="1071" spans="1:4" ht="15" x14ac:dyDescent="0.25">
      <c r="A1071" s="304">
        <v>40607</v>
      </c>
      <c r="B1071" s="304" t="s">
        <v>6623</v>
      </c>
      <c r="C1071" s="304" t="s">
        <v>5555</v>
      </c>
      <c r="D1071" s="540">
        <v>2.65</v>
      </c>
    </row>
    <row r="1072" spans="1:4" ht="15" x14ac:dyDescent="0.25">
      <c r="A1072" s="304">
        <v>585</v>
      </c>
      <c r="B1072" s="304" t="s">
        <v>6624</v>
      </c>
      <c r="C1072" s="304" t="s">
        <v>5626</v>
      </c>
      <c r="D1072" s="540">
        <v>21.93</v>
      </c>
    </row>
    <row r="1073" spans="1:4" ht="15" x14ac:dyDescent="0.25">
      <c r="A1073" s="304">
        <v>4777</v>
      </c>
      <c r="B1073" s="304" t="s">
        <v>6625</v>
      </c>
      <c r="C1073" s="304" t="s">
        <v>5626</v>
      </c>
      <c r="D1073" s="540">
        <v>4.74</v>
      </c>
    </row>
    <row r="1074" spans="1:4" ht="15" x14ac:dyDescent="0.25">
      <c r="A1074" s="304">
        <v>587</v>
      </c>
      <c r="B1074" s="304" t="s">
        <v>6626</v>
      </c>
      <c r="C1074" s="304" t="s">
        <v>5626</v>
      </c>
      <c r="D1074" s="540">
        <v>23.5</v>
      </c>
    </row>
    <row r="1075" spans="1:4" ht="15" x14ac:dyDescent="0.25">
      <c r="A1075" s="304">
        <v>590</v>
      </c>
      <c r="B1075" s="304" t="s">
        <v>6627</v>
      </c>
      <c r="C1075" s="304" t="s">
        <v>5626</v>
      </c>
      <c r="D1075" s="540">
        <v>22.71</v>
      </c>
    </row>
    <row r="1076" spans="1:4" ht="15" x14ac:dyDescent="0.25">
      <c r="A1076" s="304">
        <v>592</v>
      </c>
      <c r="B1076" s="304" t="s">
        <v>6628</v>
      </c>
      <c r="C1076" s="304" t="s">
        <v>5626</v>
      </c>
      <c r="D1076" s="540">
        <v>23.5</v>
      </c>
    </row>
    <row r="1077" spans="1:4" ht="15" x14ac:dyDescent="0.25">
      <c r="A1077" s="304">
        <v>586</v>
      </c>
      <c r="B1077" s="304" t="s">
        <v>6629</v>
      </c>
      <c r="C1077" s="304" t="s">
        <v>5575</v>
      </c>
      <c r="D1077" s="540">
        <v>13.81</v>
      </c>
    </row>
    <row r="1078" spans="1:4" ht="15" x14ac:dyDescent="0.25">
      <c r="A1078" s="304">
        <v>591</v>
      </c>
      <c r="B1078" s="304" t="s">
        <v>6630</v>
      </c>
      <c r="C1078" s="304" t="s">
        <v>5626</v>
      </c>
      <c r="D1078" s="540">
        <v>21.93</v>
      </c>
    </row>
    <row r="1079" spans="1:4" ht="15" x14ac:dyDescent="0.25">
      <c r="A1079" s="304">
        <v>588</v>
      </c>
      <c r="B1079" s="304" t="s">
        <v>6631</v>
      </c>
      <c r="C1079" s="304" t="s">
        <v>5575</v>
      </c>
      <c r="D1079" s="540">
        <v>21.85</v>
      </c>
    </row>
    <row r="1080" spans="1:4" ht="15" x14ac:dyDescent="0.25">
      <c r="A1080" s="304">
        <v>589</v>
      </c>
      <c r="B1080" s="304" t="s">
        <v>6632</v>
      </c>
      <c r="C1080" s="304" t="s">
        <v>5575</v>
      </c>
      <c r="D1080" s="540">
        <v>36.94</v>
      </c>
    </row>
    <row r="1081" spans="1:4" ht="15" x14ac:dyDescent="0.25">
      <c r="A1081" s="304">
        <v>584</v>
      </c>
      <c r="B1081" s="304" t="s">
        <v>6633</v>
      </c>
      <c r="C1081" s="304" t="s">
        <v>5575</v>
      </c>
      <c r="D1081" s="540">
        <v>23.34</v>
      </c>
    </row>
    <row r="1082" spans="1:4" ht="15" x14ac:dyDescent="0.25">
      <c r="A1082" s="304">
        <v>4912</v>
      </c>
      <c r="B1082" s="304" t="s">
        <v>6634</v>
      </c>
      <c r="C1082" s="304" t="s">
        <v>5626</v>
      </c>
      <c r="D1082" s="540">
        <v>5.51</v>
      </c>
    </row>
    <row r="1083" spans="1:4" ht="15" x14ac:dyDescent="0.25">
      <c r="A1083" s="304">
        <v>574</v>
      </c>
      <c r="B1083" s="304" t="s">
        <v>6635</v>
      </c>
      <c r="C1083" s="304" t="s">
        <v>5575</v>
      </c>
      <c r="D1083" s="540">
        <v>21.23</v>
      </c>
    </row>
    <row r="1084" spans="1:4" ht="15" x14ac:dyDescent="0.25">
      <c r="A1084" s="304">
        <v>567</v>
      </c>
      <c r="B1084" s="304" t="s">
        <v>6636</v>
      </c>
      <c r="C1084" s="304" t="s">
        <v>5575</v>
      </c>
      <c r="D1084" s="540">
        <v>7.87</v>
      </c>
    </row>
    <row r="1085" spans="1:4" ht="15" x14ac:dyDescent="0.25">
      <c r="A1085" s="304">
        <v>568</v>
      </c>
      <c r="B1085" s="304" t="s">
        <v>6637</v>
      </c>
      <c r="C1085" s="304" t="s">
        <v>5575</v>
      </c>
      <c r="D1085" s="540">
        <v>47.63</v>
      </c>
    </row>
    <row r="1086" spans="1:4" ht="15" x14ac:dyDescent="0.25">
      <c r="A1086" s="304">
        <v>569</v>
      </c>
      <c r="B1086" s="304" t="s">
        <v>6638</v>
      </c>
      <c r="C1086" s="304" t="s">
        <v>5626</v>
      </c>
      <c r="D1086" s="540">
        <v>6.62</v>
      </c>
    </row>
    <row r="1087" spans="1:4" ht="15" x14ac:dyDescent="0.25">
      <c r="A1087" s="304">
        <v>1165</v>
      </c>
      <c r="B1087" s="304" t="s">
        <v>6639</v>
      </c>
      <c r="C1087" s="304" t="s">
        <v>5555</v>
      </c>
      <c r="D1087" s="540">
        <v>10.27</v>
      </c>
    </row>
    <row r="1088" spans="1:4" ht="15" x14ac:dyDescent="0.25">
      <c r="A1088" s="304">
        <v>1164</v>
      </c>
      <c r="B1088" s="304" t="s">
        <v>6640</v>
      </c>
      <c r="C1088" s="304" t="s">
        <v>5555</v>
      </c>
      <c r="D1088" s="540">
        <v>8.32</v>
      </c>
    </row>
    <row r="1089" spans="1:4" ht="15" x14ac:dyDescent="0.25">
      <c r="A1089" s="304">
        <v>1162</v>
      </c>
      <c r="B1089" s="304" t="s">
        <v>6641</v>
      </c>
      <c r="C1089" s="304" t="s">
        <v>5555</v>
      </c>
      <c r="D1089" s="540">
        <v>2.89</v>
      </c>
    </row>
    <row r="1090" spans="1:4" ht="15" x14ac:dyDescent="0.25">
      <c r="A1090" s="304">
        <v>12395</v>
      </c>
      <c r="B1090" s="304" t="s">
        <v>6642</v>
      </c>
      <c r="C1090" s="304" t="s">
        <v>5555</v>
      </c>
      <c r="D1090" s="540">
        <v>2.81</v>
      </c>
    </row>
    <row r="1091" spans="1:4" ht="15" x14ac:dyDescent="0.25">
      <c r="A1091" s="304">
        <v>1170</v>
      </c>
      <c r="B1091" s="304" t="s">
        <v>6643</v>
      </c>
      <c r="C1091" s="304" t="s">
        <v>5555</v>
      </c>
      <c r="D1091" s="540">
        <v>5.45</v>
      </c>
    </row>
    <row r="1092" spans="1:4" ht="15" x14ac:dyDescent="0.25">
      <c r="A1092" s="304">
        <v>1169</v>
      </c>
      <c r="B1092" s="304" t="s">
        <v>6644</v>
      </c>
      <c r="C1092" s="304" t="s">
        <v>5555</v>
      </c>
      <c r="D1092" s="540">
        <v>26.77</v>
      </c>
    </row>
    <row r="1093" spans="1:4" ht="15" x14ac:dyDescent="0.25">
      <c r="A1093" s="304">
        <v>1166</v>
      </c>
      <c r="B1093" s="304" t="s">
        <v>6645</v>
      </c>
      <c r="C1093" s="304" t="s">
        <v>5555</v>
      </c>
      <c r="D1093" s="540">
        <v>14.84</v>
      </c>
    </row>
    <row r="1094" spans="1:4" ht="15" x14ac:dyDescent="0.25">
      <c r="A1094" s="304">
        <v>1163</v>
      </c>
      <c r="B1094" s="304" t="s">
        <v>6646</v>
      </c>
      <c r="C1094" s="304" t="s">
        <v>5555</v>
      </c>
      <c r="D1094" s="540">
        <v>3.74</v>
      </c>
    </row>
    <row r="1095" spans="1:4" ht="15" x14ac:dyDescent="0.25">
      <c r="A1095" s="304">
        <v>12396</v>
      </c>
      <c r="B1095" s="304" t="s">
        <v>6647</v>
      </c>
      <c r="C1095" s="304" t="s">
        <v>5555</v>
      </c>
      <c r="D1095" s="540">
        <v>2.81</v>
      </c>
    </row>
    <row r="1096" spans="1:4" ht="15" x14ac:dyDescent="0.25">
      <c r="A1096" s="304">
        <v>1168</v>
      </c>
      <c r="B1096" s="304" t="s">
        <v>6648</v>
      </c>
      <c r="C1096" s="304" t="s">
        <v>5555</v>
      </c>
      <c r="D1096" s="540">
        <v>38.17</v>
      </c>
    </row>
    <row r="1097" spans="1:4" ht="15" x14ac:dyDescent="0.25">
      <c r="A1097" s="304">
        <v>1167</v>
      </c>
      <c r="B1097" s="304" t="s">
        <v>6649</v>
      </c>
      <c r="C1097" s="304" t="s">
        <v>5555</v>
      </c>
      <c r="D1097" s="540">
        <v>63.85</v>
      </c>
    </row>
    <row r="1098" spans="1:4" ht="15" x14ac:dyDescent="0.25">
      <c r="A1098" s="304">
        <v>36331</v>
      </c>
      <c r="B1098" s="304" t="s">
        <v>6650</v>
      </c>
      <c r="C1098" s="304" t="s">
        <v>5555</v>
      </c>
      <c r="D1098" s="540">
        <v>1.08</v>
      </c>
    </row>
    <row r="1099" spans="1:4" ht="15" x14ac:dyDescent="0.25">
      <c r="A1099" s="304">
        <v>36346</v>
      </c>
      <c r="B1099" s="304" t="s">
        <v>6651</v>
      </c>
      <c r="C1099" s="304" t="s">
        <v>5555</v>
      </c>
      <c r="D1099" s="540">
        <v>1.86</v>
      </c>
    </row>
    <row r="1100" spans="1:4" ht="15" x14ac:dyDescent="0.25">
      <c r="A1100" s="304">
        <v>1210</v>
      </c>
      <c r="B1100" s="304" t="s">
        <v>6652</v>
      </c>
      <c r="C1100" s="304" t="s">
        <v>5555</v>
      </c>
      <c r="D1100" s="540">
        <v>9.74</v>
      </c>
    </row>
    <row r="1101" spans="1:4" ht="15" x14ac:dyDescent="0.25">
      <c r="A1101" s="304">
        <v>1203</v>
      </c>
      <c r="B1101" s="304" t="s">
        <v>6653</v>
      </c>
      <c r="C1101" s="304" t="s">
        <v>5555</v>
      </c>
      <c r="D1101" s="540">
        <v>9.44</v>
      </c>
    </row>
    <row r="1102" spans="1:4" ht="15" x14ac:dyDescent="0.25">
      <c r="A1102" s="304">
        <v>1197</v>
      </c>
      <c r="B1102" s="304" t="s">
        <v>6654</v>
      </c>
      <c r="C1102" s="304" t="s">
        <v>5555</v>
      </c>
      <c r="D1102" s="540">
        <v>1.2</v>
      </c>
    </row>
    <row r="1103" spans="1:4" ht="15" x14ac:dyDescent="0.25">
      <c r="A1103" s="304">
        <v>1202</v>
      </c>
      <c r="B1103" s="304" t="s">
        <v>6655</v>
      </c>
      <c r="C1103" s="304" t="s">
        <v>5555</v>
      </c>
      <c r="D1103" s="540">
        <v>3.24</v>
      </c>
    </row>
    <row r="1104" spans="1:4" ht="15" x14ac:dyDescent="0.25">
      <c r="A1104" s="304">
        <v>1188</v>
      </c>
      <c r="B1104" s="304" t="s">
        <v>6656</v>
      </c>
      <c r="C1104" s="304" t="s">
        <v>5555</v>
      </c>
      <c r="D1104" s="540">
        <v>19.18</v>
      </c>
    </row>
    <row r="1105" spans="1:4" ht="15" x14ac:dyDescent="0.25">
      <c r="A1105" s="304">
        <v>1211</v>
      </c>
      <c r="B1105" s="304" t="s">
        <v>6657</v>
      </c>
      <c r="C1105" s="304" t="s">
        <v>5555</v>
      </c>
      <c r="D1105" s="540">
        <v>9.9</v>
      </c>
    </row>
    <row r="1106" spans="1:4" ht="15" x14ac:dyDescent="0.25">
      <c r="A1106" s="304">
        <v>1198</v>
      </c>
      <c r="B1106" s="304" t="s">
        <v>6658</v>
      </c>
      <c r="C1106" s="304" t="s">
        <v>5555</v>
      </c>
      <c r="D1106" s="540">
        <v>1.78</v>
      </c>
    </row>
    <row r="1107" spans="1:4" ht="15" x14ac:dyDescent="0.25">
      <c r="A1107" s="304">
        <v>1199</v>
      </c>
      <c r="B1107" s="304" t="s">
        <v>6659</v>
      </c>
      <c r="C1107" s="304" t="s">
        <v>5555</v>
      </c>
      <c r="D1107" s="540">
        <v>25.06</v>
      </c>
    </row>
    <row r="1108" spans="1:4" ht="15" x14ac:dyDescent="0.25">
      <c r="A1108" s="304">
        <v>20088</v>
      </c>
      <c r="B1108" s="304" t="s">
        <v>6660</v>
      </c>
      <c r="C1108" s="304" t="s">
        <v>5555</v>
      </c>
      <c r="D1108" s="540">
        <v>9.51</v>
      </c>
    </row>
    <row r="1109" spans="1:4" ht="15" x14ac:dyDescent="0.25">
      <c r="A1109" s="304">
        <v>20089</v>
      </c>
      <c r="B1109" s="304" t="s">
        <v>6661</v>
      </c>
      <c r="C1109" s="304" t="s">
        <v>5555</v>
      </c>
      <c r="D1109" s="540">
        <v>45.34</v>
      </c>
    </row>
    <row r="1110" spans="1:4" ht="15" x14ac:dyDescent="0.25">
      <c r="A1110" s="304">
        <v>20087</v>
      </c>
      <c r="B1110" s="304" t="s">
        <v>6662</v>
      </c>
      <c r="C1110" s="304" t="s">
        <v>5555</v>
      </c>
      <c r="D1110" s="540">
        <v>6.85</v>
      </c>
    </row>
    <row r="1111" spans="1:4" ht="15" x14ac:dyDescent="0.25">
      <c r="A1111" s="304">
        <v>1200</v>
      </c>
      <c r="B1111" s="304" t="s">
        <v>6663</v>
      </c>
      <c r="C1111" s="304" t="s">
        <v>5555</v>
      </c>
      <c r="D1111" s="540">
        <v>5.56</v>
      </c>
    </row>
    <row r="1112" spans="1:4" ht="15" x14ac:dyDescent="0.25">
      <c r="A1112" s="304">
        <v>12909</v>
      </c>
      <c r="B1112" s="304" t="s">
        <v>6664</v>
      </c>
      <c r="C1112" s="304" t="s">
        <v>5555</v>
      </c>
      <c r="D1112" s="540">
        <v>2.52</v>
      </c>
    </row>
    <row r="1113" spans="1:4" ht="15" x14ac:dyDescent="0.25">
      <c r="A1113" s="304">
        <v>12910</v>
      </c>
      <c r="B1113" s="304" t="s">
        <v>6665</v>
      </c>
      <c r="C1113" s="304" t="s">
        <v>5555</v>
      </c>
      <c r="D1113" s="540">
        <v>4.21</v>
      </c>
    </row>
    <row r="1114" spans="1:4" ht="15" x14ac:dyDescent="0.25">
      <c r="A1114" s="304">
        <v>1184</v>
      </c>
      <c r="B1114" s="304" t="s">
        <v>6666</v>
      </c>
      <c r="C1114" s="304" t="s">
        <v>5555</v>
      </c>
      <c r="D1114" s="540">
        <v>61.61</v>
      </c>
    </row>
    <row r="1115" spans="1:4" ht="15" x14ac:dyDescent="0.25">
      <c r="A1115" s="304">
        <v>1191</v>
      </c>
      <c r="B1115" s="304" t="s">
        <v>6667</v>
      </c>
      <c r="C1115" s="304" t="s">
        <v>5555</v>
      </c>
      <c r="D1115" s="540">
        <v>0.87</v>
      </c>
    </row>
    <row r="1116" spans="1:4" ht="15" x14ac:dyDescent="0.25">
      <c r="A1116" s="304">
        <v>1185</v>
      </c>
      <c r="B1116" s="304" t="s">
        <v>6668</v>
      </c>
      <c r="C1116" s="304" t="s">
        <v>5555</v>
      </c>
      <c r="D1116" s="540">
        <v>1</v>
      </c>
    </row>
    <row r="1117" spans="1:4" ht="15" x14ac:dyDescent="0.25">
      <c r="A1117" s="304">
        <v>1189</v>
      </c>
      <c r="B1117" s="304" t="s">
        <v>6669</v>
      </c>
      <c r="C1117" s="304" t="s">
        <v>5555</v>
      </c>
      <c r="D1117" s="540">
        <v>1.73</v>
      </c>
    </row>
    <row r="1118" spans="1:4" ht="15" x14ac:dyDescent="0.25">
      <c r="A1118" s="304">
        <v>1193</v>
      </c>
      <c r="B1118" s="304" t="s">
        <v>6670</v>
      </c>
      <c r="C1118" s="304" t="s">
        <v>5555</v>
      </c>
      <c r="D1118" s="540">
        <v>3.34</v>
      </c>
    </row>
    <row r="1119" spans="1:4" ht="15" x14ac:dyDescent="0.25">
      <c r="A1119" s="304">
        <v>1194</v>
      </c>
      <c r="B1119" s="304" t="s">
        <v>6671</v>
      </c>
      <c r="C1119" s="304" t="s">
        <v>5555</v>
      </c>
      <c r="D1119" s="540">
        <v>6.32</v>
      </c>
    </row>
    <row r="1120" spans="1:4" ht="15" x14ac:dyDescent="0.25">
      <c r="A1120" s="304">
        <v>1195</v>
      </c>
      <c r="B1120" s="304" t="s">
        <v>6672</v>
      </c>
      <c r="C1120" s="304" t="s">
        <v>5555</v>
      </c>
      <c r="D1120" s="540">
        <v>9.5</v>
      </c>
    </row>
    <row r="1121" spans="1:4" ht="15" x14ac:dyDescent="0.25">
      <c r="A1121" s="304">
        <v>1204</v>
      </c>
      <c r="B1121" s="304" t="s">
        <v>6673</v>
      </c>
      <c r="C1121" s="304" t="s">
        <v>5555</v>
      </c>
      <c r="D1121" s="540">
        <v>17.28</v>
      </c>
    </row>
    <row r="1122" spans="1:4" ht="15" x14ac:dyDescent="0.25">
      <c r="A1122" s="304">
        <v>1205</v>
      </c>
      <c r="B1122" s="304" t="s">
        <v>6674</v>
      </c>
      <c r="C1122" s="304" t="s">
        <v>5555</v>
      </c>
      <c r="D1122" s="540">
        <v>40.99</v>
      </c>
    </row>
    <row r="1123" spans="1:4" ht="15" x14ac:dyDescent="0.25">
      <c r="A1123" s="304">
        <v>1207</v>
      </c>
      <c r="B1123" s="304" t="s">
        <v>6675</v>
      </c>
      <c r="C1123" s="304" t="s">
        <v>5555</v>
      </c>
      <c r="D1123" s="540">
        <v>24.78</v>
      </c>
    </row>
    <row r="1124" spans="1:4" ht="15" x14ac:dyDescent="0.25">
      <c r="A1124" s="304">
        <v>1206</v>
      </c>
      <c r="B1124" s="304" t="s">
        <v>6676</v>
      </c>
      <c r="C1124" s="304" t="s">
        <v>5555</v>
      </c>
      <c r="D1124" s="540">
        <v>6.21</v>
      </c>
    </row>
    <row r="1125" spans="1:4" ht="15" x14ac:dyDescent="0.25">
      <c r="A1125" s="304">
        <v>1183</v>
      </c>
      <c r="B1125" s="304" t="s">
        <v>6677</v>
      </c>
      <c r="C1125" s="304" t="s">
        <v>5555</v>
      </c>
      <c r="D1125" s="540">
        <v>16.18</v>
      </c>
    </row>
    <row r="1126" spans="1:4" ht="15" x14ac:dyDescent="0.25">
      <c r="A1126" s="304">
        <v>42685</v>
      </c>
      <c r="B1126" s="304" t="s">
        <v>6678</v>
      </c>
      <c r="C1126" s="304" t="s">
        <v>5555</v>
      </c>
      <c r="D1126" s="540">
        <v>48.63</v>
      </c>
    </row>
    <row r="1127" spans="1:4" ht="15" x14ac:dyDescent="0.25">
      <c r="A1127" s="304">
        <v>42686</v>
      </c>
      <c r="B1127" s="304" t="s">
        <v>6679</v>
      </c>
      <c r="C1127" s="304" t="s">
        <v>5555</v>
      </c>
      <c r="D1127" s="540">
        <v>75.709999999999994</v>
      </c>
    </row>
    <row r="1128" spans="1:4" ht="15" x14ac:dyDescent="0.25">
      <c r="A1128" s="304">
        <v>12894</v>
      </c>
      <c r="B1128" s="304" t="s">
        <v>6680</v>
      </c>
      <c r="C1128" s="304" t="s">
        <v>5555</v>
      </c>
      <c r="D1128" s="540">
        <v>15.66</v>
      </c>
    </row>
    <row r="1129" spans="1:4" ht="15" x14ac:dyDescent="0.25">
      <c r="A1129" s="304">
        <v>12895</v>
      </c>
      <c r="B1129" s="304" t="s">
        <v>6681</v>
      </c>
      <c r="C1129" s="304" t="s">
        <v>5555</v>
      </c>
      <c r="D1129" s="540">
        <v>12.05</v>
      </c>
    </row>
    <row r="1130" spans="1:4" ht="15" x14ac:dyDescent="0.25">
      <c r="A1130" s="304">
        <v>1631</v>
      </c>
      <c r="B1130" s="304" t="s">
        <v>6682</v>
      </c>
      <c r="C1130" s="304" t="s">
        <v>5555</v>
      </c>
      <c r="D1130" s="540">
        <v>120.46</v>
      </c>
    </row>
    <row r="1131" spans="1:4" ht="15" x14ac:dyDescent="0.25">
      <c r="A1131" s="304">
        <v>1633</v>
      </c>
      <c r="B1131" s="304" t="s">
        <v>6683</v>
      </c>
      <c r="C1131" s="304" t="s">
        <v>5555</v>
      </c>
      <c r="D1131" s="540">
        <v>204.67</v>
      </c>
    </row>
    <row r="1132" spans="1:4" ht="15" x14ac:dyDescent="0.25">
      <c r="A1132" s="304">
        <v>10818</v>
      </c>
      <c r="B1132" s="304" t="s">
        <v>6684</v>
      </c>
      <c r="C1132" s="304" t="s">
        <v>5626</v>
      </c>
      <c r="D1132" s="540">
        <v>39.42</v>
      </c>
    </row>
    <row r="1133" spans="1:4" ht="15" x14ac:dyDescent="0.25">
      <c r="A1133" s="304">
        <v>39359</v>
      </c>
      <c r="B1133" s="304" t="s">
        <v>6685</v>
      </c>
      <c r="C1133" s="304" t="s">
        <v>5555</v>
      </c>
      <c r="D1133" s="540">
        <v>21.46</v>
      </c>
    </row>
    <row r="1134" spans="1:4" ht="15" x14ac:dyDescent="0.25">
      <c r="A1134" s="304">
        <v>39360</v>
      </c>
      <c r="B1134" s="304" t="s">
        <v>6686</v>
      </c>
      <c r="C1134" s="304" t="s">
        <v>5555</v>
      </c>
      <c r="D1134" s="540">
        <v>19.5</v>
      </c>
    </row>
    <row r="1135" spans="1:4" ht="15" x14ac:dyDescent="0.25">
      <c r="A1135" s="304">
        <v>10710</v>
      </c>
      <c r="B1135" s="304" t="s">
        <v>6687</v>
      </c>
      <c r="C1135" s="304" t="s">
        <v>5564</v>
      </c>
      <c r="D1135" s="540">
        <v>79.900000000000006</v>
      </c>
    </row>
    <row r="1136" spans="1:4" ht="15" x14ac:dyDescent="0.25">
      <c r="A1136" s="304">
        <v>10709</v>
      </c>
      <c r="B1136" s="304" t="s">
        <v>6688</v>
      </c>
      <c r="C1136" s="304" t="s">
        <v>5564</v>
      </c>
      <c r="D1136" s="540">
        <v>98.16</v>
      </c>
    </row>
    <row r="1137" spans="1:4" ht="15" x14ac:dyDescent="0.25">
      <c r="A1137" s="304">
        <v>39636</v>
      </c>
      <c r="B1137" s="304" t="s">
        <v>6689</v>
      </c>
      <c r="C1137" s="304" t="s">
        <v>5564</v>
      </c>
      <c r="D1137" s="540">
        <v>100.23</v>
      </c>
    </row>
    <row r="1138" spans="1:4" ht="15" x14ac:dyDescent="0.25">
      <c r="A1138" s="304">
        <v>10708</v>
      </c>
      <c r="B1138" s="304" t="s">
        <v>6690</v>
      </c>
      <c r="C1138" s="304" t="s">
        <v>5564</v>
      </c>
      <c r="D1138" s="540">
        <v>30.93</v>
      </c>
    </row>
    <row r="1139" spans="1:4" ht="15" x14ac:dyDescent="0.25">
      <c r="A1139" s="304">
        <v>39635</v>
      </c>
      <c r="B1139" s="304" t="s">
        <v>6691</v>
      </c>
      <c r="C1139" s="304" t="s">
        <v>5564</v>
      </c>
      <c r="D1139" s="540">
        <v>52.66</v>
      </c>
    </row>
    <row r="1140" spans="1:4" ht="15" x14ac:dyDescent="0.25">
      <c r="A1140" s="304">
        <v>6117</v>
      </c>
      <c r="B1140" s="304" t="s">
        <v>6692</v>
      </c>
      <c r="C1140" s="304" t="s">
        <v>5566</v>
      </c>
      <c r="D1140" s="540">
        <v>11.83</v>
      </c>
    </row>
    <row r="1141" spans="1:4" ht="15" x14ac:dyDescent="0.25">
      <c r="A1141" s="304">
        <v>40913</v>
      </c>
      <c r="B1141" s="304" t="s">
        <v>6693</v>
      </c>
      <c r="C1141" s="304" t="s">
        <v>5755</v>
      </c>
      <c r="D1141" s="541">
        <v>2072.42</v>
      </c>
    </row>
    <row r="1142" spans="1:4" ht="15" x14ac:dyDescent="0.25">
      <c r="A1142" s="304">
        <v>1214</v>
      </c>
      <c r="B1142" s="304" t="s">
        <v>6694</v>
      </c>
      <c r="C1142" s="304" t="s">
        <v>5566</v>
      </c>
      <c r="D1142" s="540">
        <v>15.01</v>
      </c>
    </row>
    <row r="1143" spans="1:4" ht="15" x14ac:dyDescent="0.25">
      <c r="A1143" s="304">
        <v>40915</v>
      </c>
      <c r="B1143" s="304" t="s">
        <v>6695</v>
      </c>
      <c r="C1143" s="304" t="s">
        <v>5755</v>
      </c>
      <c r="D1143" s="541">
        <v>2629.46</v>
      </c>
    </row>
    <row r="1144" spans="1:4" ht="15" x14ac:dyDescent="0.25">
      <c r="A1144" s="304">
        <v>1213</v>
      </c>
      <c r="B1144" s="304" t="s">
        <v>6696</v>
      </c>
      <c r="C1144" s="304" t="s">
        <v>5566</v>
      </c>
      <c r="D1144" s="540">
        <v>15.03</v>
      </c>
    </row>
    <row r="1145" spans="1:4" ht="15" x14ac:dyDescent="0.25">
      <c r="A1145" s="304">
        <v>40914</v>
      </c>
      <c r="B1145" s="304" t="s">
        <v>6697</v>
      </c>
      <c r="C1145" s="304" t="s">
        <v>5755</v>
      </c>
      <c r="D1145" s="541">
        <v>2630.47</v>
      </c>
    </row>
    <row r="1146" spans="1:4" ht="15" x14ac:dyDescent="0.25">
      <c r="A1146" s="304">
        <v>5091</v>
      </c>
      <c r="B1146" s="304" t="s">
        <v>6698</v>
      </c>
      <c r="C1146" s="304" t="s">
        <v>5555</v>
      </c>
      <c r="D1146" s="540">
        <v>15.14</v>
      </c>
    </row>
    <row r="1147" spans="1:4" ht="15" x14ac:dyDescent="0.25">
      <c r="A1147" s="304">
        <v>14615</v>
      </c>
      <c r="B1147" s="304" t="s">
        <v>6699</v>
      </c>
      <c r="C1147" s="304" t="s">
        <v>5555</v>
      </c>
      <c r="D1147" s="541">
        <v>3371.77</v>
      </c>
    </row>
    <row r="1148" spans="1:4" ht="15" x14ac:dyDescent="0.25">
      <c r="A1148" s="304">
        <v>2711</v>
      </c>
      <c r="B1148" s="304" t="s">
        <v>6700</v>
      </c>
      <c r="C1148" s="304" t="s">
        <v>5555</v>
      </c>
      <c r="D1148" s="540">
        <v>124.32</v>
      </c>
    </row>
    <row r="1149" spans="1:4" ht="15" x14ac:dyDescent="0.25">
      <c r="A1149" s="304">
        <v>37727</v>
      </c>
      <c r="B1149" s="304" t="s">
        <v>6701</v>
      </c>
      <c r="C1149" s="304" t="s">
        <v>5555</v>
      </c>
      <c r="D1149" s="541">
        <v>9500</v>
      </c>
    </row>
    <row r="1150" spans="1:4" ht="15" x14ac:dyDescent="0.25">
      <c r="A1150" s="304">
        <v>37728</v>
      </c>
      <c r="B1150" s="304" t="s">
        <v>6702</v>
      </c>
      <c r="C1150" s="304" t="s">
        <v>5555</v>
      </c>
      <c r="D1150" s="541">
        <v>12888.11</v>
      </c>
    </row>
    <row r="1151" spans="1:4" ht="15" x14ac:dyDescent="0.25">
      <c r="A1151" s="304">
        <v>37729</v>
      </c>
      <c r="B1151" s="304" t="s">
        <v>6703</v>
      </c>
      <c r="C1151" s="304" t="s">
        <v>5555</v>
      </c>
      <c r="D1151" s="541">
        <v>13951.04</v>
      </c>
    </row>
    <row r="1152" spans="1:4" ht="15" x14ac:dyDescent="0.25">
      <c r="A1152" s="304">
        <v>37730</v>
      </c>
      <c r="B1152" s="304" t="s">
        <v>6704</v>
      </c>
      <c r="C1152" s="304" t="s">
        <v>5555</v>
      </c>
      <c r="D1152" s="541">
        <v>15013.98</v>
      </c>
    </row>
    <row r="1153" spans="1:4" ht="15" x14ac:dyDescent="0.25">
      <c r="A1153" s="304">
        <v>37731</v>
      </c>
      <c r="B1153" s="304" t="s">
        <v>6705</v>
      </c>
      <c r="C1153" s="304" t="s">
        <v>5555</v>
      </c>
      <c r="D1153" s="541">
        <v>16076.92</v>
      </c>
    </row>
    <row r="1154" spans="1:4" ht="15" x14ac:dyDescent="0.25">
      <c r="A1154" s="304">
        <v>37732</v>
      </c>
      <c r="B1154" s="304" t="s">
        <v>6706</v>
      </c>
      <c r="C1154" s="304" t="s">
        <v>5555</v>
      </c>
      <c r="D1154" s="541">
        <v>18335.66</v>
      </c>
    </row>
    <row r="1155" spans="1:4" ht="15" x14ac:dyDescent="0.25">
      <c r="A1155" s="304">
        <v>42250</v>
      </c>
      <c r="B1155" s="304" t="s">
        <v>6707</v>
      </c>
      <c r="C1155" s="304" t="s">
        <v>6708</v>
      </c>
      <c r="D1155" s="541">
        <v>2272.44</v>
      </c>
    </row>
    <row r="1156" spans="1:4" ht="15" x14ac:dyDescent="0.25">
      <c r="A1156" s="304">
        <v>42256</v>
      </c>
      <c r="B1156" s="304" t="s">
        <v>6709</v>
      </c>
      <c r="C1156" s="304" t="s">
        <v>5626</v>
      </c>
      <c r="D1156" s="540">
        <v>4.7699999999999996</v>
      </c>
    </row>
    <row r="1157" spans="1:4" ht="15" x14ac:dyDescent="0.25">
      <c r="A1157" s="304">
        <v>4743</v>
      </c>
      <c r="B1157" s="304" t="s">
        <v>6710</v>
      </c>
      <c r="C1157" s="304" t="s">
        <v>5751</v>
      </c>
      <c r="D1157" s="540">
        <v>39.409999999999997</v>
      </c>
    </row>
    <row r="1158" spans="1:4" ht="15" x14ac:dyDescent="0.25">
      <c r="A1158" s="304">
        <v>4744</v>
      </c>
      <c r="B1158" s="304" t="s">
        <v>6711</v>
      </c>
      <c r="C1158" s="304" t="s">
        <v>5751</v>
      </c>
      <c r="D1158" s="540">
        <v>51.52</v>
      </c>
    </row>
    <row r="1159" spans="1:4" ht="15" x14ac:dyDescent="0.25">
      <c r="A1159" s="304">
        <v>4745</v>
      </c>
      <c r="B1159" s="304" t="s">
        <v>6712</v>
      </c>
      <c r="C1159" s="304" t="s">
        <v>5751</v>
      </c>
      <c r="D1159" s="540">
        <v>69.02</v>
      </c>
    </row>
    <row r="1160" spans="1:4" ht="15" x14ac:dyDescent="0.25">
      <c r="A1160" s="304">
        <v>36496</v>
      </c>
      <c r="B1160" s="304" t="s">
        <v>6713</v>
      </c>
      <c r="C1160" s="304" t="s">
        <v>5555</v>
      </c>
      <c r="D1160" s="541">
        <v>8560.8700000000008</v>
      </c>
    </row>
    <row r="1161" spans="1:4" ht="15" x14ac:dyDescent="0.25">
      <c r="A1161" s="304">
        <v>10630</v>
      </c>
      <c r="B1161" s="304" t="s">
        <v>6714</v>
      </c>
      <c r="C1161" s="304" t="s">
        <v>5555</v>
      </c>
      <c r="D1161" s="541">
        <v>379000.64</v>
      </c>
    </row>
    <row r="1162" spans="1:4" ht="15" x14ac:dyDescent="0.25">
      <c r="A1162" s="304">
        <v>37762</v>
      </c>
      <c r="B1162" s="304" t="s">
        <v>6715</v>
      </c>
      <c r="C1162" s="304" t="s">
        <v>5555</v>
      </c>
      <c r="D1162" s="541">
        <v>325045.75</v>
      </c>
    </row>
    <row r="1163" spans="1:4" ht="15" x14ac:dyDescent="0.25">
      <c r="A1163" s="304">
        <v>37763</v>
      </c>
      <c r="B1163" s="304" t="s">
        <v>6716</v>
      </c>
      <c r="C1163" s="304" t="s">
        <v>5555</v>
      </c>
      <c r="D1163" s="541">
        <v>328993.62</v>
      </c>
    </row>
    <row r="1164" spans="1:4" ht="15" x14ac:dyDescent="0.25">
      <c r="A1164" s="304">
        <v>41992</v>
      </c>
      <c r="B1164" s="304" t="s">
        <v>6717</v>
      </c>
      <c r="C1164" s="304" t="s">
        <v>5555</v>
      </c>
      <c r="D1164" s="541">
        <v>374000</v>
      </c>
    </row>
    <row r="1165" spans="1:4" ht="15" x14ac:dyDescent="0.25">
      <c r="A1165" s="304">
        <v>13215</v>
      </c>
      <c r="B1165" s="304" t="s">
        <v>6718</v>
      </c>
      <c r="C1165" s="304" t="s">
        <v>5555</v>
      </c>
      <c r="D1165" s="541">
        <v>458617.12</v>
      </c>
    </row>
    <row r="1166" spans="1:4" ht="15" x14ac:dyDescent="0.25">
      <c r="A1166" s="304">
        <v>4235</v>
      </c>
      <c r="B1166" s="304" t="s">
        <v>6719</v>
      </c>
      <c r="C1166" s="304" t="s">
        <v>5566</v>
      </c>
      <c r="D1166" s="540">
        <v>13.12</v>
      </c>
    </row>
    <row r="1167" spans="1:4" ht="15" x14ac:dyDescent="0.25">
      <c r="A1167" s="304">
        <v>40976</v>
      </c>
      <c r="B1167" s="304" t="s">
        <v>6720</v>
      </c>
      <c r="C1167" s="304" t="s">
        <v>5755</v>
      </c>
      <c r="D1167" s="541">
        <v>2298.98</v>
      </c>
    </row>
    <row r="1168" spans="1:4" ht="15" x14ac:dyDescent="0.25">
      <c r="A1168" s="304">
        <v>39013</v>
      </c>
      <c r="B1168" s="304" t="s">
        <v>6721</v>
      </c>
      <c r="C1168" s="304" t="s">
        <v>5555</v>
      </c>
      <c r="D1168" s="540">
        <v>0.98</v>
      </c>
    </row>
    <row r="1169" spans="1:4" ht="15" x14ac:dyDescent="0.25">
      <c r="A1169" s="304">
        <v>41967</v>
      </c>
      <c r="B1169" s="304" t="s">
        <v>6722</v>
      </c>
      <c r="C1169" s="304" t="s">
        <v>5628</v>
      </c>
      <c r="D1169" s="540">
        <v>6.2</v>
      </c>
    </row>
    <row r="1170" spans="1:4" ht="15" x14ac:dyDescent="0.25">
      <c r="A1170" s="304">
        <v>12760</v>
      </c>
      <c r="B1170" s="304" t="s">
        <v>6723</v>
      </c>
      <c r="C1170" s="304" t="s">
        <v>5564</v>
      </c>
      <c r="D1170" s="541">
        <v>1171.72</v>
      </c>
    </row>
    <row r="1171" spans="1:4" ht="15" x14ac:dyDescent="0.25">
      <c r="A1171" s="304">
        <v>12759</v>
      </c>
      <c r="B1171" s="304" t="s">
        <v>6724</v>
      </c>
      <c r="C1171" s="304" t="s">
        <v>5564</v>
      </c>
      <c r="D1171" s="540">
        <v>781.13</v>
      </c>
    </row>
    <row r="1172" spans="1:4" ht="15" x14ac:dyDescent="0.25">
      <c r="A1172" s="304">
        <v>40424</v>
      </c>
      <c r="B1172" s="304" t="s">
        <v>6725</v>
      </c>
      <c r="C1172" s="304" t="s">
        <v>5626</v>
      </c>
      <c r="D1172" s="540">
        <v>5.44</v>
      </c>
    </row>
    <row r="1173" spans="1:4" ht="15" x14ac:dyDescent="0.25">
      <c r="A1173" s="304">
        <v>1325</v>
      </c>
      <c r="B1173" s="304" t="s">
        <v>6726</v>
      </c>
      <c r="C1173" s="304" t="s">
        <v>5626</v>
      </c>
      <c r="D1173" s="540">
        <v>6.63</v>
      </c>
    </row>
    <row r="1174" spans="1:4" ht="15" x14ac:dyDescent="0.25">
      <c r="A1174" s="304">
        <v>1327</v>
      </c>
      <c r="B1174" s="304" t="s">
        <v>6727</v>
      </c>
      <c r="C1174" s="304" t="s">
        <v>5626</v>
      </c>
      <c r="D1174" s="540">
        <v>5.94</v>
      </c>
    </row>
    <row r="1175" spans="1:4" ht="15" x14ac:dyDescent="0.25">
      <c r="A1175" s="304">
        <v>1328</v>
      </c>
      <c r="B1175" s="304" t="s">
        <v>6728</v>
      </c>
      <c r="C1175" s="304" t="s">
        <v>5626</v>
      </c>
      <c r="D1175" s="540">
        <v>6.21</v>
      </c>
    </row>
    <row r="1176" spans="1:4" ht="15" x14ac:dyDescent="0.25">
      <c r="A1176" s="304">
        <v>1321</v>
      </c>
      <c r="B1176" s="304" t="s">
        <v>6729</v>
      </c>
      <c r="C1176" s="304" t="s">
        <v>5626</v>
      </c>
      <c r="D1176" s="540">
        <v>6.66</v>
      </c>
    </row>
    <row r="1177" spans="1:4" ht="15" x14ac:dyDescent="0.25">
      <c r="A1177" s="304">
        <v>1318</v>
      </c>
      <c r="B1177" s="304" t="s">
        <v>6730</v>
      </c>
      <c r="C1177" s="304" t="s">
        <v>5626</v>
      </c>
      <c r="D1177" s="540">
        <v>6.4</v>
      </c>
    </row>
    <row r="1178" spans="1:4" ht="15" x14ac:dyDescent="0.25">
      <c r="A1178" s="304">
        <v>1322</v>
      </c>
      <c r="B1178" s="304" t="s">
        <v>6731</v>
      </c>
      <c r="C1178" s="304" t="s">
        <v>5626</v>
      </c>
      <c r="D1178" s="540">
        <v>7.06</v>
      </c>
    </row>
    <row r="1179" spans="1:4" ht="15" x14ac:dyDescent="0.25">
      <c r="A1179" s="304">
        <v>1323</v>
      </c>
      <c r="B1179" s="304" t="s">
        <v>6732</v>
      </c>
      <c r="C1179" s="304" t="s">
        <v>5626</v>
      </c>
      <c r="D1179" s="540">
        <v>6.91</v>
      </c>
    </row>
    <row r="1180" spans="1:4" ht="15" x14ac:dyDescent="0.25">
      <c r="A1180" s="304">
        <v>1319</v>
      </c>
      <c r="B1180" s="304" t="s">
        <v>6733</v>
      </c>
      <c r="C1180" s="304" t="s">
        <v>5626</v>
      </c>
      <c r="D1180" s="540">
        <v>6.11</v>
      </c>
    </row>
    <row r="1181" spans="1:4" ht="15" x14ac:dyDescent="0.25">
      <c r="A1181" s="304">
        <v>11026</v>
      </c>
      <c r="B1181" s="304" t="s">
        <v>6734</v>
      </c>
      <c r="C1181" s="304" t="s">
        <v>5626</v>
      </c>
      <c r="D1181" s="540">
        <v>8.18</v>
      </c>
    </row>
    <row r="1182" spans="1:4" ht="15" x14ac:dyDescent="0.25">
      <c r="A1182" s="304">
        <v>11027</v>
      </c>
      <c r="B1182" s="304" t="s">
        <v>6735</v>
      </c>
      <c r="C1182" s="304" t="s">
        <v>5626</v>
      </c>
      <c r="D1182" s="540">
        <v>8.68</v>
      </c>
    </row>
    <row r="1183" spans="1:4" ht="15" x14ac:dyDescent="0.25">
      <c r="A1183" s="304">
        <v>11046</v>
      </c>
      <c r="B1183" s="304" t="s">
        <v>6736</v>
      </c>
      <c r="C1183" s="304" t="s">
        <v>5626</v>
      </c>
      <c r="D1183" s="540">
        <v>8.44</v>
      </c>
    </row>
    <row r="1184" spans="1:4" ht="15" x14ac:dyDescent="0.25">
      <c r="A1184" s="304">
        <v>11047</v>
      </c>
      <c r="B1184" s="304" t="s">
        <v>6737</v>
      </c>
      <c r="C1184" s="304" t="s">
        <v>5626</v>
      </c>
      <c r="D1184" s="540">
        <v>6.37</v>
      </c>
    </row>
    <row r="1185" spans="1:4" ht="15" x14ac:dyDescent="0.25">
      <c r="A1185" s="304">
        <v>39630</v>
      </c>
      <c r="B1185" s="304" t="s">
        <v>6738</v>
      </c>
      <c r="C1185" s="304" t="s">
        <v>5564</v>
      </c>
      <c r="D1185" s="540">
        <v>59.24</v>
      </c>
    </row>
    <row r="1186" spans="1:4" ht="15" x14ac:dyDescent="0.25">
      <c r="A1186" s="304">
        <v>11049</v>
      </c>
      <c r="B1186" s="304" t="s">
        <v>6739</v>
      </c>
      <c r="C1186" s="304" t="s">
        <v>5626</v>
      </c>
      <c r="D1186" s="540">
        <v>7.86</v>
      </c>
    </row>
    <row r="1187" spans="1:4" ht="15" x14ac:dyDescent="0.25">
      <c r="A1187" s="304">
        <v>39632</v>
      </c>
      <c r="B1187" s="304" t="s">
        <v>6740</v>
      </c>
      <c r="C1187" s="304" t="s">
        <v>5564</v>
      </c>
      <c r="D1187" s="540">
        <v>41.34</v>
      </c>
    </row>
    <row r="1188" spans="1:4" ht="15" x14ac:dyDescent="0.25">
      <c r="A1188" s="304">
        <v>11051</v>
      </c>
      <c r="B1188" s="304" t="s">
        <v>6741</v>
      </c>
      <c r="C1188" s="304" t="s">
        <v>5626</v>
      </c>
      <c r="D1188" s="540">
        <v>8.44</v>
      </c>
    </row>
    <row r="1189" spans="1:4" ht="15" x14ac:dyDescent="0.25">
      <c r="A1189" s="304">
        <v>11061</v>
      </c>
      <c r="B1189" s="304" t="s">
        <v>6742</v>
      </c>
      <c r="C1189" s="304" t="s">
        <v>5626</v>
      </c>
      <c r="D1189" s="540">
        <v>5.9</v>
      </c>
    </row>
    <row r="1190" spans="1:4" ht="15" x14ac:dyDescent="0.25">
      <c r="A1190" s="304">
        <v>1336</v>
      </c>
      <c r="B1190" s="304" t="s">
        <v>6743</v>
      </c>
      <c r="C1190" s="304" t="s">
        <v>5564</v>
      </c>
      <c r="D1190" s="541">
        <v>1580.78</v>
      </c>
    </row>
    <row r="1191" spans="1:4" ht="15" x14ac:dyDescent="0.25">
      <c r="A1191" s="304">
        <v>1333</v>
      </c>
      <c r="B1191" s="304" t="s">
        <v>6744</v>
      </c>
      <c r="C1191" s="304" t="s">
        <v>5626</v>
      </c>
      <c r="D1191" s="540">
        <v>6.14</v>
      </c>
    </row>
    <row r="1192" spans="1:4" ht="15" x14ac:dyDescent="0.25">
      <c r="A1192" s="304">
        <v>1330</v>
      </c>
      <c r="B1192" s="304" t="s">
        <v>6745</v>
      </c>
      <c r="C1192" s="304" t="s">
        <v>5626</v>
      </c>
      <c r="D1192" s="540">
        <v>6.3</v>
      </c>
    </row>
    <row r="1193" spans="1:4" ht="15" x14ac:dyDescent="0.25">
      <c r="A1193" s="304">
        <v>10957</v>
      </c>
      <c r="B1193" s="304" t="s">
        <v>6746</v>
      </c>
      <c r="C1193" s="304" t="s">
        <v>5626</v>
      </c>
      <c r="D1193" s="540">
        <v>7.86</v>
      </c>
    </row>
    <row r="1194" spans="1:4" ht="15" x14ac:dyDescent="0.25">
      <c r="A1194" s="304">
        <v>1332</v>
      </c>
      <c r="B1194" s="304" t="s">
        <v>6747</v>
      </c>
      <c r="C1194" s="304" t="s">
        <v>5626</v>
      </c>
      <c r="D1194" s="540">
        <v>6.55</v>
      </c>
    </row>
    <row r="1195" spans="1:4" ht="15" x14ac:dyDescent="0.25">
      <c r="A1195" s="304">
        <v>1334</v>
      </c>
      <c r="B1195" s="304" t="s">
        <v>6748</v>
      </c>
      <c r="C1195" s="304" t="s">
        <v>5626</v>
      </c>
      <c r="D1195" s="540">
        <v>7.25</v>
      </c>
    </row>
    <row r="1196" spans="1:4" ht="15" x14ac:dyDescent="0.25">
      <c r="A1196" s="304">
        <v>1335</v>
      </c>
      <c r="B1196" s="304" t="s">
        <v>6749</v>
      </c>
      <c r="C1196" s="304" t="s">
        <v>5626</v>
      </c>
      <c r="D1196" s="540">
        <v>7.35</v>
      </c>
    </row>
    <row r="1197" spans="1:4" ht="15" x14ac:dyDescent="0.25">
      <c r="A1197" s="304">
        <v>40425</v>
      </c>
      <c r="B1197" s="304" t="s">
        <v>6750</v>
      </c>
      <c r="C1197" s="304" t="s">
        <v>5626</v>
      </c>
      <c r="D1197" s="540">
        <v>5.47</v>
      </c>
    </row>
    <row r="1198" spans="1:4" ht="15" x14ac:dyDescent="0.25">
      <c r="A1198" s="304">
        <v>1337</v>
      </c>
      <c r="B1198" s="304" t="s">
        <v>6751</v>
      </c>
      <c r="C1198" s="304" t="s">
        <v>5626</v>
      </c>
      <c r="D1198" s="540">
        <v>7.75</v>
      </c>
    </row>
    <row r="1199" spans="1:4" ht="15" x14ac:dyDescent="0.25">
      <c r="A1199" s="304">
        <v>11122</v>
      </c>
      <c r="B1199" s="304" t="s">
        <v>6752</v>
      </c>
      <c r="C1199" s="304" t="s">
        <v>5626</v>
      </c>
      <c r="D1199" s="540">
        <v>25.17</v>
      </c>
    </row>
    <row r="1200" spans="1:4" ht="15" x14ac:dyDescent="0.25">
      <c r="A1200" s="304">
        <v>11123</v>
      </c>
      <c r="B1200" s="304" t="s">
        <v>6753</v>
      </c>
      <c r="C1200" s="304" t="s">
        <v>5626</v>
      </c>
      <c r="D1200" s="540">
        <v>25.17</v>
      </c>
    </row>
    <row r="1201" spans="1:4" ht="15" x14ac:dyDescent="0.25">
      <c r="A1201" s="304">
        <v>11125</v>
      </c>
      <c r="B1201" s="304" t="s">
        <v>6754</v>
      </c>
      <c r="C1201" s="304" t="s">
        <v>5626</v>
      </c>
      <c r="D1201" s="540">
        <v>25.17</v>
      </c>
    </row>
    <row r="1202" spans="1:4" ht="15" x14ac:dyDescent="0.25">
      <c r="A1202" s="304">
        <v>39416</v>
      </c>
      <c r="B1202" s="304" t="s">
        <v>6755</v>
      </c>
      <c r="C1202" s="304" t="s">
        <v>5564</v>
      </c>
      <c r="D1202" s="540">
        <v>29</v>
      </c>
    </row>
    <row r="1203" spans="1:4" ht="15" x14ac:dyDescent="0.25">
      <c r="A1203" s="304">
        <v>39417</v>
      </c>
      <c r="B1203" s="304" t="s">
        <v>6756</v>
      </c>
      <c r="C1203" s="304" t="s">
        <v>5564</v>
      </c>
      <c r="D1203" s="540">
        <v>30.4</v>
      </c>
    </row>
    <row r="1204" spans="1:4" ht="15" x14ac:dyDescent="0.25">
      <c r="A1204" s="304">
        <v>39414</v>
      </c>
      <c r="B1204" s="304" t="s">
        <v>6757</v>
      </c>
      <c r="C1204" s="304" t="s">
        <v>5564</v>
      </c>
      <c r="D1204" s="540">
        <v>27.23</v>
      </c>
    </row>
    <row r="1205" spans="1:4" ht="15" x14ac:dyDescent="0.25">
      <c r="A1205" s="304">
        <v>39415</v>
      </c>
      <c r="B1205" s="304" t="s">
        <v>6758</v>
      </c>
      <c r="C1205" s="304" t="s">
        <v>5564</v>
      </c>
      <c r="D1205" s="540">
        <v>28.86</v>
      </c>
    </row>
    <row r="1206" spans="1:4" ht="15" x14ac:dyDescent="0.25">
      <c r="A1206" s="304">
        <v>39412</v>
      </c>
      <c r="B1206" s="304" t="s">
        <v>6759</v>
      </c>
      <c r="C1206" s="304" t="s">
        <v>5564</v>
      </c>
      <c r="D1206" s="540">
        <v>20.5</v>
      </c>
    </row>
    <row r="1207" spans="1:4" ht="15" x14ac:dyDescent="0.25">
      <c r="A1207" s="304">
        <v>39413</v>
      </c>
      <c r="B1207" s="304" t="s">
        <v>6760</v>
      </c>
      <c r="C1207" s="304" t="s">
        <v>5564</v>
      </c>
      <c r="D1207" s="540">
        <v>20.309999999999999</v>
      </c>
    </row>
    <row r="1208" spans="1:4" ht="15" x14ac:dyDescent="0.25">
      <c r="A1208" s="304">
        <v>1338</v>
      </c>
      <c r="B1208" s="304" t="s">
        <v>6761</v>
      </c>
      <c r="C1208" s="304" t="s">
        <v>5564</v>
      </c>
      <c r="D1208" s="540">
        <v>28.57</v>
      </c>
    </row>
    <row r="1209" spans="1:4" ht="15" x14ac:dyDescent="0.25">
      <c r="A1209" s="304">
        <v>1340</v>
      </c>
      <c r="B1209" s="304" t="s">
        <v>6762</v>
      </c>
      <c r="C1209" s="304" t="s">
        <v>5564</v>
      </c>
      <c r="D1209" s="540">
        <v>33.03</v>
      </c>
    </row>
    <row r="1210" spans="1:4" ht="15" x14ac:dyDescent="0.25">
      <c r="A1210" s="304">
        <v>1341</v>
      </c>
      <c r="B1210" s="304" t="s">
        <v>6763</v>
      </c>
      <c r="C1210" s="304" t="s">
        <v>5564</v>
      </c>
      <c r="D1210" s="540">
        <v>31.81</v>
      </c>
    </row>
    <row r="1211" spans="1:4" ht="15" x14ac:dyDescent="0.25">
      <c r="A1211" s="304">
        <v>1364</v>
      </c>
      <c r="B1211" s="304" t="s">
        <v>6764</v>
      </c>
      <c r="C1211" s="304" t="s">
        <v>5564</v>
      </c>
      <c r="D1211" s="540">
        <v>22.07</v>
      </c>
    </row>
    <row r="1212" spans="1:4" ht="15" x14ac:dyDescent="0.25">
      <c r="A1212" s="304">
        <v>1361</v>
      </c>
      <c r="B1212" s="304" t="s">
        <v>6765</v>
      </c>
      <c r="C1212" s="304" t="s">
        <v>5555</v>
      </c>
      <c r="D1212" s="540">
        <v>92.03</v>
      </c>
    </row>
    <row r="1213" spans="1:4" ht="15" x14ac:dyDescent="0.25">
      <c r="A1213" s="304">
        <v>1362</v>
      </c>
      <c r="B1213" s="304" t="s">
        <v>6766</v>
      </c>
      <c r="C1213" s="304" t="s">
        <v>5564</v>
      </c>
      <c r="D1213" s="540">
        <v>30.72</v>
      </c>
    </row>
    <row r="1214" spans="1:4" ht="15" x14ac:dyDescent="0.25">
      <c r="A1214" s="304">
        <v>11131</v>
      </c>
      <c r="B1214" s="304" t="s">
        <v>6767</v>
      </c>
      <c r="C1214" s="304" t="s">
        <v>5564</v>
      </c>
      <c r="D1214" s="540">
        <v>39.31</v>
      </c>
    </row>
    <row r="1215" spans="1:4" ht="15" x14ac:dyDescent="0.25">
      <c r="A1215" s="304">
        <v>11132</v>
      </c>
      <c r="B1215" s="304" t="s">
        <v>6768</v>
      </c>
      <c r="C1215" s="304" t="s">
        <v>5564</v>
      </c>
      <c r="D1215" s="540">
        <v>46.48</v>
      </c>
    </row>
    <row r="1216" spans="1:4" ht="15" x14ac:dyDescent="0.25">
      <c r="A1216" s="304">
        <v>1363</v>
      </c>
      <c r="B1216" s="304" t="s">
        <v>6769</v>
      </c>
      <c r="C1216" s="304" t="s">
        <v>5564</v>
      </c>
      <c r="D1216" s="540">
        <v>15.63</v>
      </c>
    </row>
    <row r="1217" spans="1:4" ht="15" x14ac:dyDescent="0.25">
      <c r="A1217" s="304">
        <v>11130</v>
      </c>
      <c r="B1217" s="304" t="s">
        <v>6770</v>
      </c>
      <c r="C1217" s="304" t="s">
        <v>5564</v>
      </c>
      <c r="D1217" s="540">
        <v>19.8</v>
      </c>
    </row>
    <row r="1218" spans="1:4" ht="15" x14ac:dyDescent="0.25">
      <c r="A1218" s="304">
        <v>11134</v>
      </c>
      <c r="B1218" s="304" t="s">
        <v>6771</v>
      </c>
      <c r="C1218" s="304" t="s">
        <v>5564</v>
      </c>
      <c r="D1218" s="540">
        <v>29.26</v>
      </c>
    </row>
    <row r="1219" spans="1:4" ht="15" x14ac:dyDescent="0.25">
      <c r="A1219" s="304">
        <v>11135</v>
      </c>
      <c r="B1219" s="304" t="s">
        <v>6772</v>
      </c>
      <c r="C1219" s="304" t="s">
        <v>5564</v>
      </c>
      <c r="D1219" s="540">
        <v>35.659999999999997</v>
      </c>
    </row>
    <row r="1220" spans="1:4" ht="15" x14ac:dyDescent="0.25">
      <c r="A1220" s="304">
        <v>11136</v>
      </c>
      <c r="B1220" s="304" t="s">
        <v>6773</v>
      </c>
      <c r="C1220" s="304" t="s">
        <v>5564</v>
      </c>
      <c r="D1220" s="540">
        <v>38.58</v>
      </c>
    </row>
    <row r="1221" spans="1:4" ht="15" x14ac:dyDescent="0.25">
      <c r="A1221" s="304">
        <v>34743</v>
      </c>
      <c r="B1221" s="304" t="s">
        <v>6774</v>
      </c>
      <c r="C1221" s="304" t="s">
        <v>5564</v>
      </c>
      <c r="D1221" s="540">
        <v>49.11</v>
      </c>
    </row>
    <row r="1222" spans="1:4" ht="15" x14ac:dyDescent="0.25">
      <c r="A1222" s="304">
        <v>11137</v>
      </c>
      <c r="B1222" s="304" t="s">
        <v>6775</v>
      </c>
      <c r="C1222" s="304" t="s">
        <v>5564</v>
      </c>
      <c r="D1222" s="540">
        <v>54.77</v>
      </c>
    </row>
    <row r="1223" spans="1:4" ht="15" x14ac:dyDescent="0.25">
      <c r="A1223" s="304">
        <v>34745</v>
      </c>
      <c r="B1223" s="304" t="s">
        <v>6776</v>
      </c>
      <c r="C1223" s="304" t="s">
        <v>5564</v>
      </c>
      <c r="D1223" s="540">
        <v>62.42</v>
      </c>
    </row>
    <row r="1224" spans="1:4" ht="15" x14ac:dyDescent="0.25">
      <c r="A1224" s="304">
        <v>34746</v>
      </c>
      <c r="B1224" s="304" t="s">
        <v>6777</v>
      </c>
      <c r="C1224" s="304" t="s">
        <v>5564</v>
      </c>
      <c r="D1224" s="540">
        <v>16.07</v>
      </c>
    </row>
    <row r="1225" spans="1:4" ht="15" x14ac:dyDescent="0.25">
      <c r="A1225" s="304">
        <v>1360</v>
      </c>
      <c r="B1225" s="304" t="s">
        <v>6778</v>
      </c>
      <c r="C1225" s="304" t="s">
        <v>5564</v>
      </c>
      <c r="D1225" s="540">
        <v>19.850000000000001</v>
      </c>
    </row>
    <row r="1226" spans="1:4" ht="15" x14ac:dyDescent="0.25">
      <c r="A1226" s="304">
        <v>1346</v>
      </c>
      <c r="B1226" s="304" t="s">
        <v>6779</v>
      </c>
      <c r="C1226" s="304" t="s">
        <v>5564</v>
      </c>
      <c r="D1226" s="540">
        <v>21.46</v>
      </c>
    </row>
    <row r="1227" spans="1:4" ht="15" x14ac:dyDescent="0.25">
      <c r="A1227" s="304">
        <v>1345</v>
      </c>
      <c r="B1227" s="304" t="s">
        <v>6780</v>
      </c>
      <c r="C1227" s="304" t="s">
        <v>5564</v>
      </c>
      <c r="D1227" s="540">
        <v>34.78</v>
      </c>
    </row>
    <row r="1228" spans="1:4" ht="15" x14ac:dyDescent="0.25">
      <c r="A1228" s="304">
        <v>1344</v>
      </c>
      <c r="B1228" s="304" t="s">
        <v>6781</v>
      </c>
      <c r="C1228" s="304" t="s">
        <v>5555</v>
      </c>
      <c r="D1228" s="540">
        <v>37.4</v>
      </c>
    </row>
    <row r="1229" spans="1:4" ht="15" x14ac:dyDescent="0.25">
      <c r="A1229" s="304">
        <v>1342</v>
      </c>
      <c r="B1229" s="304" t="s">
        <v>6782</v>
      </c>
      <c r="C1229" s="304" t="s">
        <v>5555</v>
      </c>
      <c r="D1229" s="540">
        <v>66.12</v>
      </c>
    </row>
    <row r="1230" spans="1:4" ht="15" x14ac:dyDescent="0.25">
      <c r="A1230" s="304">
        <v>1347</v>
      </c>
      <c r="B1230" s="304" t="s">
        <v>6783</v>
      </c>
      <c r="C1230" s="304" t="s">
        <v>5564</v>
      </c>
      <c r="D1230" s="540">
        <v>25.65</v>
      </c>
    </row>
    <row r="1231" spans="1:4" ht="15" x14ac:dyDescent="0.25">
      <c r="A1231" s="304">
        <v>1349</v>
      </c>
      <c r="B1231" s="304" t="s">
        <v>6784</v>
      </c>
      <c r="C1231" s="304" t="s">
        <v>5555</v>
      </c>
      <c r="D1231" s="540">
        <v>94.29</v>
      </c>
    </row>
    <row r="1232" spans="1:4" ht="15" x14ac:dyDescent="0.25">
      <c r="A1232" s="304">
        <v>1350</v>
      </c>
      <c r="B1232" s="304" t="s">
        <v>6785</v>
      </c>
      <c r="C1232" s="304" t="s">
        <v>5555</v>
      </c>
      <c r="D1232" s="540">
        <v>44.19</v>
      </c>
    </row>
    <row r="1233" spans="1:4" ht="15" x14ac:dyDescent="0.25">
      <c r="A1233" s="304">
        <v>1357</v>
      </c>
      <c r="B1233" s="304" t="s">
        <v>6786</v>
      </c>
      <c r="C1233" s="304" t="s">
        <v>5555</v>
      </c>
      <c r="D1233" s="540">
        <v>56.29</v>
      </c>
    </row>
    <row r="1234" spans="1:4" ht="15" x14ac:dyDescent="0.25">
      <c r="A1234" s="304">
        <v>1355</v>
      </c>
      <c r="B1234" s="304" t="s">
        <v>6787</v>
      </c>
      <c r="C1234" s="304" t="s">
        <v>5564</v>
      </c>
      <c r="D1234" s="540">
        <v>25.9</v>
      </c>
    </row>
    <row r="1235" spans="1:4" ht="15" x14ac:dyDescent="0.25">
      <c r="A1235" s="304">
        <v>1358</v>
      </c>
      <c r="B1235" s="304" t="s">
        <v>6788</v>
      </c>
      <c r="C1235" s="304" t="s">
        <v>5564</v>
      </c>
      <c r="D1235" s="540">
        <v>30.01</v>
      </c>
    </row>
    <row r="1236" spans="1:4" ht="15" x14ac:dyDescent="0.25">
      <c r="A1236" s="304">
        <v>1359</v>
      </c>
      <c r="B1236" s="304" t="s">
        <v>6789</v>
      </c>
      <c r="C1236" s="304" t="s">
        <v>5555</v>
      </c>
      <c r="D1236" s="540">
        <v>86.96</v>
      </c>
    </row>
    <row r="1237" spans="1:4" ht="15" x14ac:dyDescent="0.25">
      <c r="A1237" s="304">
        <v>1351</v>
      </c>
      <c r="B1237" s="304" t="s">
        <v>6790</v>
      </c>
      <c r="C1237" s="304" t="s">
        <v>5555</v>
      </c>
      <c r="D1237" s="540">
        <v>28.02</v>
      </c>
    </row>
    <row r="1238" spans="1:4" ht="15" x14ac:dyDescent="0.25">
      <c r="A1238" s="304">
        <v>34659</v>
      </c>
      <c r="B1238" s="304" t="s">
        <v>6791</v>
      </c>
      <c r="C1238" s="304" t="s">
        <v>5564</v>
      </c>
      <c r="D1238" s="540">
        <v>26.61</v>
      </c>
    </row>
    <row r="1239" spans="1:4" ht="15" x14ac:dyDescent="0.25">
      <c r="A1239" s="304">
        <v>34514</v>
      </c>
      <c r="B1239" s="304" t="s">
        <v>6792</v>
      </c>
      <c r="C1239" s="304" t="s">
        <v>5564</v>
      </c>
      <c r="D1239" s="540">
        <v>29.48</v>
      </c>
    </row>
    <row r="1240" spans="1:4" ht="15" x14ac:dyDescent="0.25">
      <c r="A1240" s="304">
        <v>34660</v>
      </c>
      <c r="B1240" s="304" t="s">
        <v>6793</v>
      </c>
      <c r="C1240" s="304" t="s">
        <v>5564</v>
      </c>
      <c r="D1240" s="540">
        <v>37.409999999999997</v>
      </c>
    </row>
    <row r="1241" spans="1:4" ht="15" x14ac:dyDescent="0.25">
      <c r="A1241" s="304">
        <v>34661</v>
      </c>
      <c r="B1241" s="304" t="s">
        <v>6794</v>
      </c>
      <c r="C1241" s="304" t="s">
        <v>5564</v>
      </c>
      <c r="D1241" s="540">
        <v>53.73</v>
      </c>
    </row>
    <row r="1242" spans="1:4" ht="15" x14ac:dyDescent="0.25">
      <c r="A1242" s="304">
        <v>34667</v>
      </c>
      <c r="B1242" s="304" t="s">
        <v>6795</v>
      </c>
      <c r="C1242" s="304" t="s">
        <v>5564</v>
      </c>
      <c r="D1242" s="540">
        <v>19.46</v>
      </c>
    </row>
    <row r="1243" spans="1:4" ht="15" x14ac:dyDescent="0.25">
      <c r="A1243" s="304">
        <v>34668</v>
      </c>
      <c r="B1243" s="304" t="s">
        <v>6796</v>
      </c>
      <c r="C1243" s="304" t="s">
        <v>5564</v>
      </c>
      <c r="D1243" s="540">
        <v>25.43</v>
      </c>
    </row>
    <row r="1244" spans="1:4" ht="15" x14ac:dyDescent="0.25">
      <c r="A1244" s="304">
        <v>34741</v>
      </c>
      <c r="B1244" s="304" t="s">
        <v>6797</v>
      </c>
      <c r="C1244" s="304" t="s">
        <v>5564</v>
      </c>
      <c r="D1244" s="540">
        <v>27.98</v>
      </c>
    </row>
    <row r="1245" spans="1:4" ht="15" x14ac:dyDescent="0.25">
      <c r="A1245" s="304">
        <v>34664</v>
      </c>
      <c r="B1245" s="304" t="s">
        <v>6798</v>
      </c>
      <c r="C1245" s="304" t="s">
        <v>5564</v>
      </c>
      <c r="D1245" s="540">
        <v>30.53</v>
      </c>
    </row>
    <row r="1246" spans="1:4" ht="15" x14ac:dyDescent="0.25">
      <c r="A1246" s="304">
        <v>34665</v>
      </c>
      <c r="B1246" s="304" t="s">
        <v>6799</v>
      </c>
      <c r="C1246" s="304" t="s">
        <v>5564</v>
      </c>
      <c r="D1246" s="540">
        <v>37.9</v>
      </c>
    </row>
    <row r="1247" spans="1:4" ht="15" x14ac:dyDescent="0.25">
      <c r="A1247" s="304">
        <v>34666</v>
      </c>
      <c r="B1247" s="304" t="s">
        <v>6800</v>
      </c>
      <c r="C1247" s="304" t="s">
        <v>5564</v>
      </c>
      <c r="D1247" s="540">
        <v>57.25</v>
      </c>
    </row>
    <row r="1248" spans="1:4" ht="15" x14ac:dyDescent="0.25">
      <c r="A1248" s="304">
        <v>34669</v>
      </c>
      <c r="B1248" s="304" t="s">
        <v>6801</v>
      </c>
      <c r="C1248" s="304" t="s">
        <v>5564</v>
      </c>
      <c r="D1248" s="540">
        <v>20.99</v>
      </c>
    </row>
    <row r="1249" spans="1:4" ht="15" x14ac:dyDescent="0.25">
      <c r="A1249" s="304">
        <v>34670</v>
      </c>
      <c r="B1249" s="304" t="s">
        <v>6802</v>
      </c>
      <c r="C1249" s="304" t="s">
        <v>5564</v>
      </c>
      <c r="D1249" s="540">
        <v>25.67</v>
      </c>
    </row>
    <row r="1250" spans="1:4" ht="15" x14ac:dyDescent="0.25">
      <c r="A1250" s="304">
        <v>34671</v>
      </c>
      <c r="B1250" s="304" t="s">
        <v>6803</v>
      </c>
      <c r="C1250" s="304" t="s">
        <v>5564</v>
      </c>
      <c r="D1250" s="540">
        <v>21.43</v>
      </c>
    </row>
    <row r="1251" spans="1:4" ht="15" x14ac:dyDescent="0.25">
      <c r="A1251" s="304">
        <v>34672</v>
      </c>
      <c r="B1251" s="304" t="s">
        <v>6804</v>
      </c>
      <c r="C1251" s="304" t="s">
        <v>5564</v>
      </c>
      <c r="D1251" s="540">
        <v>22.59</v>
      </c>
    </row>
    <row r="1252" spans="1:4" ht="15" x14ac:dyDescent="0.25">
      <c r="A1252" s="304">
        <v>34673</v>
      </c>
      <c r="B1252" s="304" t="s">
        <v>6805</v>
      </c>
      <c r="C1252" s="304" t="s">
        <v>5564</v>
      </c>
      <c r="D1252" s="540">
        <v>27.57</v>
      </c>
    </row>
    <row r="1253" spans="1:4" ht="15" x14ac:dyDescent="0.25">
      <c r="A1253" s="304">
        <v>34674</v>
      </c>
      <c r="B1253" s="304" t="s">
        <v>6806</v>
      </c>
      <c r="C1253" s="304" t="s">
        <v>5564</v>
      </c>
      <c r="D1253" s="540">
        <v>36.659999999999997</v>
      </c>
    </row>
    <row r="1254" spans="1:4" ht="15" x14ac:dyDescent="0.25">
      <c r="A1254" s="304">
        <v>34675</v>
      </c>
      <c r="B1254" s="304" t="s">
        <v>6807</v>
      </c>
      <c r="C1254" s="304" t="s">
        <v>5564</v>
      </c>
      <c r="D1254" s="540">
        <v>44.69</v>
      </c>
    </row>
    <row r="1255" spans="1:4" ht="15" x14ac:dyDescent="0.25">
      <c r="A1255" s="304">
        <v>34676</v>
      </c>
      <c r="B1255" s="304" t="s">
        <v>6808</v>
      </c>
      <c r="C1255" s="304" t="s">
        <v>5564</v>
      </c>
      <c r="D1255" s="540">
        <v>12.86</v>
      </c>
    </row>
    <row r="1256" spans="1:4" ht="15" x14ac:dyDescent="0.25">
      <c r="A1256" s="304">
        <v>34677</v>
      </c>
      <c r="B1256" s="304" t="s">
        <v>6809</v>
      </c>
      <c r="C1256" s="304" t="s">
        <v>5564</v>
      </c>
      <c r="D1256" s="540">
        <v>17.3</v>
      </c>
    </row>
    <row r="1257" spans="1:4" ht="15" x14ac:dyDescent="0.25">
      <c r="A1257" s="304">
        <v>40623</v>
      </c>
      <c r="B1257" s="304" t="s">
        <v>6810</v>
      </c>
      <c r="C1257" s="304" t="s">
        <v>6022</v>
      </c>
      <c r="D1257" s="540">
        <v>34.54</v>
      </c>
    </row>
    <row r="1258" spans="1:4" ht="15" x14ac:dyDescent="0.25">
      <c r="A1258" s="304">
        <v>11112</v>
      </c>
      <c r="B1258" s="304" t="s">
        <v>6811</v>
      </c>
      <c r="C1258" s="304" t="s">
        <v>5626</v>
      </c>
      <c r="D1258" s="540">
        <v>25.17</v>
      </c>
    </row>
    <row r="1259" spans="1:4" ht="15" x14ac:dyDescent="0.25">
      <c r="A1259" s="304">
        <v>11115</v>
      </c>
      <c r="B1259" s="304" t="s">
        <v>6812</v>
      </c>
      <c r="C1259" s="304" t="s">
        <v>5575</v>
      </c>
      <c r="D1259" s="540">
        <v>11.65</v>
      </c>
    </row>
    <row r="1260" spans="1:4" ht="15" x14ac:dyDescent="0.25">
      <c r="A1260" s="304">
        <v>11113</v>
      </c>
      <c r="B1260" s="304" t="s">
        <v>6813</v>
      </c>
      <c r="C1260" s="304" t="s">
        <v>5626</v>
      </c>
      <c r="D1260" s="540">
        <v>25.17</v>
      </c>
    </row>
    <row r="1261" spans="1:4" ht="15" x14ac:dyDescent="0.25">
      <c r="A1261" s="304">
        <v>11114</v>
      </c>
      <c r="B1261" s="304" t="s">
        <v>6814</v>
      </c>
      <c r="C1261" s="304" t="s">
        <v>5575</v>
      </c>
      <c r="D1261" s="540">
        <v>19.36</v>
      </c>
    </row>
    <row r="1262" spans="1:4" ht="15" x14ac:dyDescent="0.25">
      <c r="A1262" s="304">
        <v>12083</v>
      </c>
      <c r="B1262" s="304" t="s">
        <v>6815</v>
      </c>
      <c r="C1262" s="304" t="s">
        <v>5555</v>
      </c>
      <c r="D1262" s="540">
        <v>635.51</v>
      </c>
    </row>
    <row r="1263" spans="1:4" ht="15" x14ac:dyDescent="0.25">
      <c r="A1263" s="304">
        <v>12081</v>
      </c>
      <c r="B1263" s="304" t="s">
        <v>6816</v>
      </c>
      <c r="C1263" s="304" t="s">
        <v>5555</v>
      </c>
      <c r="D1263" s="540">
        <v>214.91</v>
      </c>
    </row>
    <row r="1264" spans="1:4" ht="15" x14ac:dyDescent="0.25">
      <c r="A1264" s="304">
        <v>12082</v>
      </c>
      <c r="B1264" s="304" t="s">
        <v>6817</v>
      </c>
      <c r="C1264" s="304" t="s">
        <v>5555</v>
      </c>
      <c r="D1264" s="540">
        <v>337.76</v>
      </c>
    </row>
    <row r="1265" spans="1:4" ht="15" x14ac:dyDescent="0.25">
      <c r="A1265" s="304">
        <v>13354</v>
      </c>
      <c r="B1265" s="304" t="s">
        <v>6818</v>
      </c>
      <c r="C1265" s="304" t="s">
        <v>5555</v>
      </c>
      <c r="D1265" s="540">
        <v>504.44</v>
      </c>
    </row>
    <row r="1266" spans="1:4" ht="15" x14ac:dyDescent="0.25">
      <c r="A1266" s="304">
        <v>14057</v>
      </c>
      <c r="B1266" s="304" t="s">
        <v>6819</v>
      </c>
      <c r="C1266" s="304" t="s">
        <v>5555</v>
      </c>
      <c r="D1266" s="540">
        <v>281.64</v>
      </c>
    </row>
    <row r="1267" spans="1:4" ht="15" x14ac:dyDescent="0.25">
      <c r="A1267" s="304">
        <v>14058</v>
      </c>
      <c r="B1267" s="304" t="s">
        <v>6820</v>
      </c>
      <c r="C1267" s="304" t="s">
        <v>5555</v>
      </c>
      <c r="D1267" s="540">
        <v>444.28</v>
      </c>
    </row>
    <row r="1268" spans="1:4" ht="15" x14ac:dyDescent="0.25">
      <c r="A1268" s="304">
        <v>20971</v>
      </c>
      <c r="B1268" s="304" t="s">
        <v>6821</v>
      </c>
      <c r="C1268" s="304" t="s">
        <v>5555</v>
      </c>
      <c r="D1268" s="540">
        <v>11.65</v>
      </c>
    </row>
    <row r="1269" spans="1:4" ht="15" x14ac:dyDescent="0.25">
      <c r="A1269" s="304">
        <v>5047</v>
      </c>
      <c r="B1269" s="304" t="s">
        <v>6822</v>
      </c>
      <c r="C1269" s="304" t="s">
        <v>5555</v>
      </c>
      <c r="D1269" s="540">
        <v>302.69</v>
      </c>
    </row>
    <row r="1270" spans="1:4" ht="15" x14ac:dyDescent="0.25">
      <c r="A1270" s="304">
        <v>13369</v>
      </c>
      <c r="B1270" s="304" t="s">
        <v>6823</v>
      </c>
      <c r="C1270" s="304" t="s">
        <v>5555</v>
      </c>
      <c r="D1270" s="540">
        <v>328.34</v>
      </c>
    </row>
    <row r="1271" spans="1:4" ht="15" x14ac:dyDescent="0.25">
      <c r="A1271" s="304">
        <v>13370</v>
      </c>
      <c r="B1271" s="304" t="s">
        <v>6824</v>
      </c>
      <c r="C1271" s="304" t="s">
        <v>5555</v>
      </c>
      <c r="D1271" s="540">
        <v>455.16</v>
      </c>
    </row>
    <row r="1272" spans="1:4" ht="15" x14ac:dyDescent="0.25">
      <c r="A1272" s="304">
        <v>13279</v>
      </c>
      <c r="B1272" s="304" t="s">
        <v>6825</v>
      </c>
      <c r="C1272" s="304" t="s">
        <v>5626</v>
      </c>
      <c r="D1272" s="540">
        <v>15.3</v>
      </c>
    </row>
    <row r="1273" spans="1:4" ht="15" x14ac:dyDescent="0.25">
      <c r="A1273" s="304">
        <v>11977</v>
      </c>
      <c r="B1273" s="304" t="s">
        <v>6826</v>
      </c>
      <c r="C1273" s="304" t="s">
        <v>5555</v>
      </c>
      <c r="D1273" s="540">
        <v>7.93</v>
      </c>
    </row>
    <row r="1274" spans="1:4" ht="15" x14ac:dyDescent="0.25">
      <c r="A1274" s="304">
        <v>11975</v>
      </c>
      <c r="B1274" s="304" t="s">
        <v>6827</v>
      </c>
      <c r="C1274" s="304" t="s">
        <v>5555</v>
      </c>
      <c r="D1274" s="540">
        <v>17.37</v>
      </c>
    </row>
    <row r="1275" spans="1:4" ht="15" x14ac:dyDescent="0.25">
      <c r="A1275" s="304">
        <v>39746</v>
      </c>
      <c r="B1275" s="304" t="s">
        <v>6828</v>
      </c>
      <c r="C1275" s="304" t="s">
        <v>5555</v>
      </c>
      <c r="D1275" s="540">
        <v>193.35</v>
      </c>
    </row>
    <row r="1276" spans="1:4" ht="15" x14ac:dyDescent="0.25">
      <c r="A1276" s="304">
        <v>11976</v>
      </c>
      <c r="B1276" s="304" t="s">
        <v>6829</v>
      </c>
      <c r="C1276" s="304" t="s">
        <v>5555</v>
      </c>
      <c r="D1276" s="540">
        <v>0.89</v>
      </c>
    </row>
    <row r="1277" spans="1:4" ht="15" x14ac:dyDescent="0.25">
      <c r="A1277" s="304">
        <v>1368</v>
      </c>
      <c r="B1277" s="304" t="s">
        <v>6830</v>
      </c>
      <c r="C1277" s="304" t="s">
        <v>5555</v>
      </c>
      <c r="D1277" s="540">
        <v>59</v>
      </c>
    </row>
    <row r="1278" spans="1:4" ht="15" x14ac:dyDescent="0.25">
      <c r="A1278" s="304">
        <v>1367</v>
      </c>
      <c r="B1278" s="304" t="s">
        <v>6831</v>
      </c>
      <c r="C1278" s="304" t="s">
        <v>5555</v>
      </c>
      <c r="D1278" s="540">
        <v>190.84</v>
      </c>
    </row>
    <row r="1279" spans="1:4" ht="15" x14ac:dyDescent="0.25">
      <c r="A1279" s="304">
        <v>7608</v>
      </c>
      <c r="B1279" s="304" t="s">
        <v>6832</v>
      </c>
      <c r="C1279" s="304" t="s">
        <v>5555</v>
      </c>
      <c r="D1279" s="540">
        <v>4.08</v>
      </c>
    </row>
    <row r="1280" spans="1:4" ht="15" x14ac:dyDescent="0.25">
      <c r="A1280" s="304">
        <v>41900</v>
      </c>
      <c r="B1280" s="304" t="s">
        <v>6833</v>
      </c>
      <c r="C1280" s="304" t="s">
        <v>5626</v>
      </c>
      <c r="D1280" s="540">
        <v>2.97</v>
      </c>
    </row>
    <row r="1281" spans="1:4" ht="15" x14ac:dyDescent="0.25">
      <c r="A1281" s="304">
        <v>41899</v>
      </c>
      <c r="B1281" s="304" t="s">
        <v>6834</v>
      </c>
      <c r="C1281" s="304" t="s">
        <v>6708</v>
      </c>
      <c r="D1281" s="541">
        <v>3159.43</v>
      </c>
    </row>
    <row r="1282" spans="1:4" ht="15" x14ac:dyDescent="0.25">
      <c r="A1282" s="304">
        <v>1380</v>
      </c>
      <c r="B1282" s="304" t="s">
        <v>6835</v>
      </c>
      <c r="C1282" s="304" t="s">
        <v>5626</v>
      </c>
      <c r="D1282" s="540">
        <v>4.16</v>
      </c>
    </row>
    <row r="1283" spans="1:4" ht="15" x14ac:dyDescent="0.25">
      <c r="A1283" s="304">
        <v>1375</v>
      </c>
      <c r="B1283" s="304" t="s">
        <v>6836</v>
      </c>
      <c r="C1283" s="304" t="s">
        <v>5626</v>
      </c>
      <c r="D1283" s="540">
        <v>12.21</v>
      </c>
    </row>
    <row r="1284" spans="1:4" ht="15" x14ac:dyDescent="0.25">
      <c r="A1284" s="304">
        <v>1379</v>
      </c>
      <c r="B1284" s="304" t="s">
        <v>6837</v>
      </c>
      <c r="C1284" s="304" t="s">
        <v>5626</v>
      </c>
      <c r="D1284" s="540">
        <v>0.71</v>
      </c>
    </row>
    <row r="1285" spans="1:4" ht="15" x14ac:dyDescent="0.25">
      <c r="A1285" s="304">
        <v>10511</v>
      </c>
      <c r="B1285" s="304" t="s">
        <v>6838</v>
      </c>
      <c r="C1285" s="304" t="s">
        <v>6839</v>
      </c>
      <c r="D1285" s="540">
        <v>35.5</v>
      </c>
    </row>
    <row r="1286" spans="1:4" ht="15" x14ac:dyDescent="0.25">
      <c r="A1286" s="304">
        <v>13284</v>
      </c>
      <c r="B1286" s="304" t="s">
        <v>6840</v>
      </c>
      <c r="C1286" s="304" t="s">
        <v>5626</v>
      </c>
      <c r="D1286" s="540">
        <v>0.6</v>
      </c>
    </row>
    <row r="1287" spans="1:4" ht="15" x14ac:dyDescent="0.25">
      <c r="A1287" s="304">
        <v>25974</v>
      </c>
      <c r="B1287" s="304" t="s">
        <v>6841</v>
      </c>
      <c r="C1287" s="304" t="s">
        <v>5626</v>
      </c>
      <c r="D1287" s="540">
        <v>2.38</v>
      </c>
    </row>
    <row r="1288" spans="1:4" ht="15" x14ac:dyDescent="0.25">
      <c r="A1288" s="304">
        <v>1382</v>
      </c>
      <c r="B1288" s="304" t="s">
        <v>6842</v>
      </c>
      <c r="C1288" s="304" t="s">
        <v>6839</v>
      </c>
      <c r="D1288" s="540">
        <v>34.21</v>
      </c>
    </row>
    <row r="1289" spans="1:4" ht="15" x14ac:dyDescent="0.25">
      <c r="A1289" s="304">
        <v>34753</v>
      </c>
      <c r="B1289" s="304" t="s">
        <v>6843</v>
      </c>
      <c r="C1289" s="304" t="s">
        <v>5626</v>
      </c>
      <c r="D1289" s="540">
        <v>0.68</v>
      </c>
    </row>
    <row r="1290" spans="1:4" ht="15" x14ac:dyDescent="0.25">
      <c r="A1290" s="304">
        <v>420</v>
      </c>
      <c r="B1290" s="304" t="s">
        <v>6844</v>
      </c>
      <c r="C1290" s="304" t="s">
        <v>5555</v>
      </c>
      <c r="D1290" s="540">
        <v>26.29</v>
      </c>
    </row>
    <row r="1291" spans="1:4" ht="15" x14ac:dyDescent="0.25">
      <c r="A1291" s="304">
        <v>12327</v>
      </c>
      <c r="B1291" s="304" t="s">
        <v>6845</v>
      </c>
      <c r="C1291" s="304" t="s">
        <v>5555</v>
      </c>
      <c r="D1291" s="540">
        <v>31.32</v>
      </c>
    </row>
    <row r="1292" spans="1:4" ht="15" x14ac:dyDescent="0.25">
      <c r="A1292" s="304">
        <v>36148</v>
      </c>
      <c r="B1292" s="304" t="s">
        <v>6846</v>
      </c>
      <c r="C1292" s="304" t="s">
        <v>5555</v>
      </c>
      <c r="D1292" s="540">
        <v>57.84</v>
      </c>
    </row>
    <row r="1293" spans="1:4" ht="15" x14ac:dyDescent="0.25">
      <c r="A1293" s="304">
        <v>12329</v>
      </c>
      <c r="B1293" s="304" t="s">
        <v>6847</v>
      </c>
      <c r="C1293" s="304" t="s">
        <v>5626</v>
      </c>
      <c r="D1293" s="540">
        <v>84.1</v>
      </c>
    </row>
    <row r="1294" spans="1:4" ht="15" x14ac:dyDescent="0.25">
      <c r="A1294" s="304">
        <v>1339</v>
      </c>
      <c r="B1294" s="304" t="s">
        <v>6848</v>
      </c>
      <c r="C1294" s="304" t="s">
        <v>5626</v>
      </c>
      <c r="D1294" s="540">
        <v>28.64</v>
      </c>
    </row>
    <row r="1295" spans="1:4" ht="15" x14ac:dyDescent="0.25">
      <c r="A1295" s="304">
        <v>11849</v>
      </c>
      <c r="B1295" s="304" t="s">
        <v>6849</v>
      </c>
      <c r="C1295" s="304" t="s">
        <v>5628</v>
      </c>
      <c r="D1295" s="540">
        <v>11.27</v>
      </c>
    </row>
    <row r="1296" spans="1:4" ht="15" x14ac:dyDescent="0.25">
      <c r="A1296" s="304">
        <v>37418</v>
      </c>
      <c r="B1296" s="304" t="s">
        <v>6850</v>
      </c>
      <c r="C1296" s="304" t="s">
        <v>5555</v>
      </c>
      <c r="D1296" s="540">
        <v>12.73</v>
      </c>
    </row>
    <row r="1297" spans="1:4" ht="15" x14ac:dyDescent="0.25">
      <c r="A1297" s="304">
        <v>37419</v>
      </c>
      <c r="B1297" s="304" t="s">
        <v>6851</v>
      </c>
      <c r="C1297" s="304" t="s">
        <v>5555</v>
      </c>
      <c r="D1297" s="540">
        <v>13.08</v>
      </c>
    </row>
    <row r="1298" spans="1:4" ht="15" x14ac:dyDescent="0.25">
      <c r="A1298" s="304">
        <v>1427</v>
      </c>
      <c r="B1298" s="304" t="s">
        <v>6852</v>
      </c>
      <c r="C1298" s="304" t="s">
        <v>5555</v>
      </c>
      <c r="D1298" s="540">
        <v>14.57</v>
      </c>
    </row>
    <row r="1299" spans="1:4" ht="15" x14ac:dyDescent="0.25">
      <c r="A1299" s="304">
        <v>1402</v>
      </c>
      <c r="B1299" s="304" t="s">
        <v>6853</v>
      </c>
      <c r="C1299" s="304" t="s">
        <v>5555</v>
      </c>
      <c r="D1299" s="540">
        <v>5.04</v>
      </c>
    </row>
    <row r="1300" spans="1:4" ht="15" x14ac:dyDescent="0.25">
      <c r="A1300" s="304">
        <v>1420</v>
      </c>
      <c r="B1300" s="304" t="s">
        <v>6854</v>
      </c>
      <c r="C1300" s="304" t="s">
        <v>5555</v>
      </c>
      <c r="D1300" s="540">
        <v>6.48</v>
      </c>
    </row>
    <row r="1301" spans="1:4" ht="15" x14ac:dyDescent="0.25">
      <c r="A1301" s="304">
        <v>1419</v>
      </c>
      <c r="B1301" s="304" t="s">
        <v>6855</v>
      </c>
      <c r="C1301" s="304" t="s">
        <v>5555</v>
      </c>
      <c r="D1301" s="540">
        <v>7.83</v>
      </c>
    </row>
    <row r="1302" spans="1:4" ht="15" x14ac:dyDescent="0.25">
      <c r="A1302" s="304">
        <v>1414</v>
      </c>
      <c r="B1302" s="304" t="s">
        <v>6856</v>
      </c>
      <c r="C1302" s="304" t="s">
        <v>5555</v>
      </c>
      <c r="D1302" s="540">
        <v>7.66</v>
      </c>
    </row>
    <row r="1303" spans="1:4" ht="15" x14ac:dyDescent="0.25">
      <c r="A1303" s="304">
        <v>1413</v>
      </c>
      <c r="B1303" s="304" t="s">
        <v>6857</v>
      </c>
      <c r="C1303" s="304" t="s">
        <v>5555</v>
      </c>
      <c r="D1303" s="540">
        <v>11.32</v>
      </c>
    </row>
    <row r="1304" spans="1:4" ht="15" x14ac:dyDescent="0.25">
      <c r="A1304" s="304">
        <v>1412</v>
      </c>
      <c r="B1304" s="304" t="s">
        <v>6858</v>
      </c>
      <c r="C1304" s="304" t="s">
        <v>5555</v>
      </c>
      <c r="D1304" s="540">
        <v>9.59</v>
      </c>
    </row>
    <row r="1305" spans="1:4" ht="15" x14ac:dyDescent="0.25">
      <c r="A1305" s="304">
        <v>1411</v>
      </c>
      <c r="B1305" s="304" t="s">
        <v>6859</v>
      </c>
      <c r="C1305" s="304" t="s">
        <v>5555</v>
      </c>
      <c r="D1305" s="540">
        <v>17.45</v>
      </c>
    </row>
    <row r="1306" spans="1:4" ht="15" x14ac:dyDescent="0.25">
      <c r="A1306" s="304">
        <v>1406</v>
      </c>
      <c r="B1306" s="304" t="s">
        <v>6860</v>
      </c>
      <c r="C1306" s="304" t="s">
        <v>5555</v>
      </c>
      <c r="D1306" s="540">
        <v>11.57</v>
      </c>
    </row>
    <row r="1307" spans="1:4" ht="15" x14ac:dyDescent="0.25">
      <c r="A1307" s="304">
        <v>1407</v>
      </c>
      <c r="B1307" s="304" t="s">
        <v>6861</v>
      </c>
      <c r="C1307" s="304" t="s">
        <v>5555</v>
      </c>
      <c r="D1307" s="540">
        <v>14.43</v>
      </c>
    </row>
    <row r="1308" spans="1:4" ht="15" x14ac:dyDescent="0.25">
      <c r="A1308" s="304">
        <v>1404</v>
      </c>
      <c r="B1308" s="304" t="s">
        <v>6862</v>
      </c>
      <c r="C1308" s="304" t="s">
        <v>5555</v>
      </c>
      <c r="D1308" s="540">
        <v>15.34</v>
      </c>
    </row>
    <row r="1309" spans="1:4" ht="15" x14ac:dyDescent="0.25">
      <c r="A1309" s="304">
        <v>11281</v>
      </c>
      <c r="B1309" s="304" t="s">
        <v>6863</v>
      </c>
      <c r="C1309" s="304" t="s">
        <v>5555</v>
      </c>
      <c r="D1309" s="541">
        <v>10309.780000000001</v>
      </c>
    </row>
    <row r="1310" spans="1:4" ht="15" x14ac:dyDescent="0.25">
      <c r="A1310" s="304">
        <v>1442</v>
      </c>
      <c r="B1310" s="304" t="s">
        <v>6864</v>
      </c>
      <c r="C1310" s="304" t="s">
        <v>5555</v>
      </c>
      <c r="D1310" s="541">
        <v>8654.98</v>
      </c>
    </row>
    <row r="1311" spans="1:4" ht="15" x14ac:dyDescent="0.25">
      <c r="A1311" s="304">
        <v>13457</v>
      </c>
      <c r="B1311" s="304" t="s">
        <v>6865</v>
      </c>
      <c r="C1311" s="304" t="s">
        <v>5555</v>
      </c>
      <c r="D1311" s="541">
        <v>7470.85</v>
      </c>
    </row>
    <row r="1312" spans="1:4" ht="15" x14ac:dyDescent="0.25">
      <c r="A1312" s="304">
        <v>40699</v>
      </c>
      <c r="B1312" s="304" t="s">
        <v>6866</v>
      </c>
      <c r="C1312" s="304" t="s">
        <v>5555</v>
      </c>
      <c r="D1312" s="541">
        <v>5775.25</v>
      </c>
    </row>
    <row r="1313" spans="1:4" ht="15" x14ac:dyDescent="0.25">
      <c r="A1313" s="304">
        <v>40701</v>
      </c>
      <c r="B1313" s="304" t="s">
        <v>6867</v>
      </c>
      <c r="C1313" s="304" t="s">
        <v>5555</v>
      </c>
      <c r="D1313" s="541">
        <v>102114.4</v>
      </c>
    </row>
    <row r="1314" spans="1:4" ht="15" x14ac:dyDescent="0.25">
      <c r="A1314" s="304">
        <v>40700</v>
      </c>
      <c r="B1314" s="304" t="s">
        <v>6868</v>
      </c>
      <c r="C1314" s="304" t="s">
        <v>5555</v>
      </c>
      <c r="D1314" s="541">
        <v>13444.03</v>
      </c>
    </row>
    <row r="1315" spans="1:4" ht="15" x14ac:dyDescent="0.25">
      <c r="A1315" s="304">
        <v>13458</v>
      </c>
      <c r="B1315" s="304" t="s">
        <v>6869</v>
      </c>
      <c r="C1315" s="304" t="s">
        <v>5555</v>
      </c>
      <c r="D1315" s="541">
        <v>12775.16</v>
      </c>
    </row>
    <row r="1316" spans="1:4" ht="15" x14ac:dyDescent="0.25">
      <c r="A1316" s="304">
        <v>36524</v>
      </c>
      <c r="B1316" s="304" t="s">
        <v>6870</v>
      </c>
      <c r="C1316" s="304" t="s">
        <v>5555</v>
      </c>
      <c r="D1316" s="541">
        <v>86280.46</v>
      </c>
    </row>
    <row r="1317" spans="1:4" ht="15" x14ac:dyDescent="0.25">
      <c r="A1317" s="304">
        <v>36526</v>
      </c>
      <c r="B1317" s="304" t="s">
        <v>6871</v>
      </c>
      <c r="C1317" s="304" t="s">
        <v>5555</v>
      </c>
      <c r="D1317" s="541">
        <v>69528.3</v>
      </c>
    </row>
    <row r="1318" spans="1:4" ht="15" x14ac:dyDescent="0.25">
      <c r="A1318" s="304">
        <v>36523</v>
      </c>
      <c r="B1318" s="304" t="s">
        <v>6872</v>
      </c>
      <c r="C1318" s="304" t="s">
        <v>5555</v>
      </c>
      <c r="D1318" s="541">
        <v>148850.72</v>
      </c>
    </row>
    <row r="1319" spans="1:4" ht="15" x14ac:dyDescent="0.25">
      <c r="A1319" s="304">
        <v>36527</v>
      </c>
      <c r="B1319" s="304" t="s">
        <v>6873</v>
      </c>
      <c r="C1319" s="304" t="s">
        <v>5555</v>
      </c>
      <c r="D1319" s="541">
        <v>161682.54</v>
      </c>
    </row>
    <row r="1320" spans="1:4" ht="15" x14ac:dyDescent="0.25">
      <c r="A1320" s="304">
        <v>13803</v>
      </c>
      <c r="B1320" s="304" t="s">
        <v>6874</v>
      </c>
      <c r="C1320" s="304" t="s">
        <v>5555</v>
      </c>
      <c r="D1320" s="541">
        <v>58463</v>
      </c>
    </row>
    <row r="1321" spans="1:4" ht="15" x14ac:dyDescent="0.25">
      <c r="A1321" s="304">
        <v>38642</v>
      </c>
      <c r="B1321" s="304" t="s">
        <v>6875</v>
      </c>
      <c r="C1321" s="304" t="s">
        <v>5555</v>
      </c>
      <c r="D1321" s="541">
        <v>37643.839999999997</v>
      </c>
    </row>
    <row r="1322" spans="1:4" ht="15" x14ac:dyDescent="0.25">
      <c r="A1322" s="304">
        <v>36522</v>
      </c>
      <c r="B1322" s="304" t="s">
        <v>6876</v>
      </c>
      <c r="C1322" s="304" t="s">
        <v>5555</v>
      </c>
      <c r="D1322" s="541">
        <v>43779.34</v>
      </c>
    </row>
    <row r="1323" spans="1:4" ht="15" x14ac:dyDescent="0.25">
      <c r="A1323" s="304">
        <v>36525</v>
      </c>
      <c r="B1323" s="304" t="s">
        <v>6877</v>
      </c>
      <c r="C1323" s="304" t="s">
        <v>5555</v>
      </c>
      <c r="D1323" s="541">
        <v>58630.76</v>
      </c>
    </row>
    <row r="1324" spans="1:4" ht="15" x14ac:dyDescent="0.25">
      <c r="A1324" s="304">
        <v>41991</v>
      </c>
      <c r="B1324" s="304" t="s">
        <v>6878</v>
      </c>
      <c r="C1324" s="304" t="s">
        <v>5555</v>
      </c>
      <c r="D1324" s="541">
        <v>2166.4899999999998</v>
      </c>
    </row>
    <row r="1325" spans="1:4" ht="15" x14ac:dyDescent="0.25">
      <c r="A1325" s="304">
        <v>34348</v>
      </c>
      <c r="B1325" s="304" t="s">
        <v>6879</v>
      </c>
      <c r="C1325" s="304" t="s">
        <v>5575</v>
      </c>
      <c r="D1325" s="540">
        <v>31.03</v>
      </c>
    </row>
    <row r="1326" spans="1:4" ht="15" x14ac:dyDescent="0.25">
      <c r="A1326" s="304">
        <v>34347</v>
      </c>
      <c r="B1326" s="304" t="s">
        <v>6880</v>
      </c>
      <c r="C1326" s="304" t="s">
        <v>5575</v>
      </c>
      <c r="D1326" s="540">
        <v>16.03</v>
      </c>
    </row>
    <row r="1327" spans="1:4" ht="15" x14ac:dyDescent="0.25">
      <c r="A1327" s="304">
        <v>11146</v>
      </c>
      <c r="B1327" s="304" t="s">
        <v>6881</v>
      </c>
      <c r="C1327" s="304" t="s">
        <v>5751</v>
      </c>
      <c r="D1327" s="540">
        <v>393.15</v>
      </c>
    </row>
    <row r="1328" spans="1:4" ht="15" x14ac:dyDescent="0.25">
      <c r="A1328" s="304">
        <v>11147</v>
      </c>
      <c r="B1328" s="304" t="s">
        <v>6882</v>
      </c>
      <c r="C1328" s="304" t="s">
        <v>5751</v>
      </c>
      <c r="D1328" s="540">
        <v>407.71</v>
      </c>
    </row>
    <row r="1329" spans="1:4" ht="15" x14ac:dyDescent="0.25">
      <c r="A1329" s="304">
        <v>34872</v>
      </c>
      <c r="B1329" s="304" t="s">
        <v>6883</v>
      </c>
      <c r="C1329" s="304" t="s">
        <v>5751</v>
      </c>
      <c r="D1329" s="540">
        <v>422.28</v>
      </c>
    </row>
    <row r="1330" spans="1:4" ht="15" x14ac:dyDescent="0.25">
      <c r="A1330" s="304">
        <v>34491</v>
      </c>
      <c r="B1330" s="304" t="s">
        <v>6884</v>
      </c>
      <c r="C1330" s="304" t="s">
        <v>5751</v>
      </c>
      <c r="D1330" s="540">
        <v>430.82</v>
      </c>
    </row>
    <row r="1331" spans="1:4" ht="15" x14ac:dyDescent="0.25">
      <c r="A1331" s="304">
        <v>34770</v>
      </c>
      <c r="B1331" s="304" t="s">
        <v>6885</v>
      </c>
      <c r="C1331" s="304" t="s">
        <v>6708</v>
      </c>
      <c r="D1331" s="540">
        <v>301.14</v>
      </c>
    </row>
    <row r="1332" spans="1:4" ht="15" x14ac:dyDescent="0.25">
      <c r="A1332" s="304">
        <v>1518</v>
      </c>
      <c r="B1332" s="304" t="s">
        <v>6886</v>
      </c>
      <c r="C1332" s="304" t="s">
        <v>6708</v>
      </c>
      <c r="D1332" s="540">
        <v>325</v>
      </c>
    </row>
    <row r="1333" spans="1:4" ht="15" x14ac:dyDescent="0.25">
      <c r="A1333" s="304">
        <v>41965</v>
      </c>
      <c r="B1333" s="304" t="s">
        <v>6887</v>
      </c>
      <c r="C1333" s="304" t="s">
        <v>6708</v>
      </c>
      <c r="D1333" s="540">
        <v>314.86</v>
      </c>
    </row>
    <row r="1334" spans="1:4" ht="15" x14ac:dyDescent="0.25">
      <c r="A1334" s="304">
        <v>34492</v>
      </c>
      <c r="B1334" s="304" t="s">
        <v>6888</v>
      </c>
      <c r="C1334" s="304" t="s">
        <v>5751</v>
      </c>
      <c r="D1334" s="540">
        <v>356.75</v>
      </c>
    </row>
    <row r="1335" spans="1:4" ht="15" x14ac:dyDescent="0.25">
      <c r="A1335" s="304">
        <v>1524</v>
      </c>
      <c r="B1335" s="304" t="s">
        <v>6889</v>
      </c>
      <c r="C1335" s="304" t="s">
        <v>5751</v>
      </c>
      <c r="D1335" s="540">
        <v>415</v>
      </c>
    </row>
    <row r="1336" spans="1:4" ht="15" x14ac:dyDescent="0.25">
      <c r="A1336" s="304">
        <v>38404</v>
      </c>
      <c r="B1336" s="304" t="s">
        <v>6890</v>
      </c>
      <c r="C1336" s="304" t="s">
        <v>5751</v>
      </c>
      <c r="D1336" s="540">
        <v>438.02</v>
      </c>
    </row>
    <row r="1337" spans="1:4" ht="15" x14ac:dyDescent="0.25">
      <c r="A1337" s="304">
        <v>39849</v>
      </c>
      <c r="B1337" s="304" t="s">
        <v>6891</v>
      </c>
      <c r="C1337" s="304" t="s">
        <v>5751</v>
      </c>
      <c r="D1337" s="540">
        <v>437.07</v>
      </c>
    </row>
    <row r="1338" spans="1:4" ht="15" x14ac:dyDescent="0.25">
      <c r="A1338" s="304">
        <v>38464</v>
      </c>
      <c r="B1338" s="304" t="s">
        <v>6892</v>
      </c>
      <c r="C1338" s="304" t="s">
        <v>5751</v>
      </c>
      <c r="D1338" s="540">
        <v>529.13</v>
      </c>
    </row>
    <row r="1339" spans="1:4" ht="15" x14ac:dyDescent="0.25">
      <c r="A1339" s="304">
        <v>34493</v>
      </c>
      <c r="B1339" s="304" t="s">
        <v>6893</v>
      </c>
      <c r="C1339" s="304" t="s">
        <v>5751</v>
      </c>
      <c r="D1339" s="540">
        <v>370.58</v>
      </c>
    </row>
    <row r="1340" spans="1:4" ht="15" x14ac:dyDescent="0.25">
      <c r="A1340" s="304">
        <v>1527</v>
      </c>
      <c r="B1340" s="304" t="s">
        <v>6894</v>
      </c>
      <c r="C1340" s="304" t="s">
        <v>5751</v>
      </c>
      <c r="D1340" s="540">
        <v>432.47</v>
      </c>
    </row>
    <row r="1341" spans="1:4" ht="15" x14ac:dyDescent="0.25">
      <c r="A1341" s="304">
        <v>38405</v>
      </c>
      <c r="B1341" s="304" t="s">
        <v>6895</v>
      </c>
      <c r="C1341" s="304" t="s">
        <v>5751</v>
      </c>
      <c r="D1341" s="540">
        <v>464.3</v>
      </c>
    </row>
    <row r="1342" spans="1:4" ht="15" x14ac:dyDescent="0.25">
      <c r="A1342" s="304">
        <v>38408</v>
      </c>
      <c r="B1342" s="304" t="s">
        <v>6896</v>
      </c>
      <c r="C1342" s="304" t="s">
        <v>5751</v>
      </c>
      <c r="D1342" s="540">
        <v>482.8</v>
      </c>
    </row>
    <row r="1343" spans="1:4" ht="15" x14ac:dyDescent="0.25">
      <c r="A1343" s="304">
        <v>34494</v>
      </c>
      <c r="B1343" s="304" t="s">
        <v>6897</v>
      </c>
      <c r="C1343" s="304" t="s">
        <v>5751</v>
      </c>
      <c r="D1343" s="540">
        <v>387.04</v>
      </c>
    </row>
    <row r="1344" spans="1:4" ht="15" x14ac:dyDescent="0.25">
      <c r="A1344" s="304">
        <v>1525</v>
      </c>
      <c r="B1344" s="304" t="s">
        <v>6898</v>
      </c>
      <c r="C1344" s="304" t="s">
        <v>5751</v>
      </c>
      <c r="D1344" s="540">
        <v>447.03</v>
      </c>
    </row>
    <row r="1345" spans="1:4" ht="15" x14ac:dyDescent="0.25">
      <c r="A1345" s="304">
        <v>38406</v>
      </c>
      <c r="B1345" s="304" t="s">
        <v>6899</v>
      </c>
      <c r="C1345" s="304" t="s">
        <v>5751</v>
      </c>
      <c r="D1345" s="540">
        <v>487.83</v>
      </c>
    </row>
    <row r="1346" spans="1:4" ht="15" x14ac:dyDescent="0.25">
      <c r="A1346" s="304">
        <v>38409</v>
      </c>
      <c r="B1346" s="304" t="s">
        <v>6900</v>
      </c>
      <c r="C1346" s="304" t="s">
        <v>5751</v>
      </c>
      <c r="D1346" s="540">
        <v>520.41999999999996</v>
      </c>
    </row>
    <row r="1347" spans="1:4" ht="15" x14ac:dyDescent="0.25">
      <c r="A1347" s="304">
        <v>34495</v>
      </c>
      <c r="B1347" s="304" t="s">
        <v>6901</v>
      </c>
      <c r="C1347" s="304" t="s">
        <v>5751</v>
      </c>
      <c r="D1347" s="540">
        <v>403.56</v>
      </c>
    </row>
    <row r="1348" spans="1:4" ht="15" x14ac:dyDescent="0.25">
      <c r="A1348" s="304">
        <v>11145</v>
      </c>
      <c r="B1348" s="304" t="s">
        <v>6902</v>
      </c>
      <c r="C1348" s="304" t="s">
        <v>5751</v>
      </c>
      <c r="D1348" s="540">
        <v>463.05</v>
      </c>
    </row>
    <row r="1349" spans="1:4" ht="15" x14ac:dyDescent="0.25">
      <c r="A1349" s="304">
        <v>34496</v>
      </c>
      <c r="B1349" s="304" t="s">
        <v>6903</v>
      </c>
      <c r="C1349" s="304" t="s">
        <v>5751</v>
      </c>
      <c r="D1349" s="540">
        <v>421.55</v>
      </c>
    </row>
    <row r="1350" spans="1:4" ht="15" x14ac:dyDescent="0.25">
      <c r="A1350" s="304">
        <v>34479</v>
      </c>
      <c r="B1350" s="304" t="s">
        <v>6904</v>
      </c>
      <c r="C1350" s="304" t="s">
        <v>5751</v>
      </c>
      <c r="D1350" s="540">
        <v>480.52</v>
      </c>
    </row>
    <row r="1351" spans="1:4" ht="15" x14ac:dyDescent="0.25">
      <c r="A1351" s="304">
        <v>34481</v>
      </c>
      <c r="B1351" s="304" t="s">
        <v>6905</v>
      </c>
      <c r="C1351" s="304" t="s">
        <v>5751</v>
      </c>
      <c r="D1351" s="540">
        <v>540.22</v>
      </c>
    </row>
    <row r="1352" spans="1:4" ht="15" x14ac:dyDescent="0.25">
      <c r="A1352" s="304">
        <v>34483</v>
      </c>
      <c r="B1352" s="304" t="s">
        <v>6906</v>
      </c>
      <c r="C1352" s="304" t="s">
        <v>5751</v>
      </c>
      <c r="D1352" s="540">
        <v>640.70000000000005</v>
      </c>
    </row>
    <row r="1353" spans="1:4" ht="15" x14ac:dyDescent="0.25">
      <c r="A1353" s="304">
        <v>34485</v>
      </c>
      <c r="B1353" s="304" t="s">
        <v>6907</v>
      </c>
      <c r="C1353" s="304" t="s">
        <v>5751</v>
      </c>
      <c r="D1353" s="540">
        <v>822.71</v>
      </c>
    </row>
    <row r="1354" spans="1:4" ht="15" x14ac:dyDescent="0.25">
      <c r="A1354" s="304">
        <v>34497</v>
      </c>
      <c r="B1354" s="304" t="s">
        <v>6908</v>
      </c>
      <c r="C1354" s="304" t="s">
        <v>5751</v>
      </c>
      <c r="D1354" s="541">
        <v>1135.78</v>
      </c>
    </row>
    <row r="1355" spans="1:4" ht="15" x14ac:dyDescent="0.25">
      <c r="A1355" s="304">
        <v>14041</v>
      </c>
      <c r="B1355" s="304" t="s">
        <v>6909</v>
      </c>
      <c r="C1355" s="304" t="s">
        <v>5751</v>
      </c>
      <c r="D1355" s="540">
        <v>355.96</v>
      </c>
    </row>
    <row r="1356" spans="1:4" ht="15" x14ac:dyDescent="0.25">
      <c r="A1356" s="304">
        <v>1523</v>
      </c>
      <c r="B1356" s="304" t="s">
        <v>6910</v>
      </c>
      <c r="C1356" s="304" t="s">
        <v>5751</v>
      </c>
      <c r="D1356" s="540">
        <v>359.36</v>
      </c>
    </row>
    <row r="1357" spans="1:4" ht="15" x14ac:dyDescent="0.25">
      <c r="A1357" s="304">
        <v>14052</v>
      </c>
      <c r="B1357" s="304" t="s">
        <v>6911</v>
      </c>
      <c r="C1357" s="304" t="s">
        <v>5555</v>
      </c>
      <c r="D1357" s="540">
        <v>8.7200000000000006</v>
      </c>
    </row>
    <row r="1358" spans="1:4" ht="15" x14ac:dyDescent="0.25">
      <c r="A1358" s="304">
        <v>14054</v>
      </c>
      <c r="B1358" s="304" t="s">
        <v>6912</v>
      </c>
      <c r="C1358" s="304" t="s">
        <v>5555</v>
      </c>
      <c r="D1358" s="540">
        <v>11.33</v>
      </c>
    </row>
    <row r="1359" spans="1:4" ht="15" x14ac:dyDescent="0.25">
      <c r="A1359" s="304">
        <v>14053</v>
      </c>
      <c r="B1359" s="304" t="s">
        <v>6913</v>
      </c>
      <c r="C1359" s="304" t="s">
        <v>5555</v>
      </c>
      <c r="D1359" s="540">
        <v>8.85</v>
      </c>
    </row>
    <row r="1360" spans="1:4" ht="15" x14ac:dyDescent="0.25">
      <c r="A1360" s="304">
        <v>2558</v>
      </c>
      <c r="B1360" s="304" t="s">
        <v>6914</v>
      </c>
      <c r="C1360" s="304" t="s">
        <v>5555</v>
      </c>
      <c r="D1360" s="540">
        <v>6.66</v>
      </c>
    </row>
    <row r="1361" spans="1:4" ht="15" x14ac:dyDescent="0.25">
      <c r="A1361" s="304">
        <v>2560</v>
      </c>
      <c r="B1361" s="304" t="s">
        <v>6915</v>
      </c>
      <c r="C1361" s="304" t="s">
        <v>5555</v>
      </c>
      <c r="D1361" s="540">
        <v>11.73</v>
      </c>
    </row>
    <row r="1362" spans="1:4" ht="15" x14ac:dyDescent="0.25">
      <c r="A1362" s="304">
        <v>2559</v>
      </c>
      <c r="B1362" s="304" t="s">
        <v>6916</v>
      </c>
      <c r="C1362" s="304" t="s">
        <v>5555</v>
      </c>
      <c r="D1362" s="540">
        <v>9.3800000000000008</v>
      </c>
    </row>
    <row r="1363" spans="1:4" ht="15" x14ac:dyDescent="0.25">
      <c r="A1363" s="304">
        <v>2592</v>
      </c>
      <c r="B1363" s="304" t="s">
        <v>6917</v>
      </c>
      <c r="C1363" s="304" t="s">
        <v>5555</v>
      </c>
      <c r="D1363" s="540">
        <v>155.5</v>
      </c>
    </row>
    <row r="1364" spans="1:4" ht="15" x14ac:dyDescent="0.25">
      <c r="A1364" s="304">
        <v>2566</v>
      </c>
      <c r="B1364" s="304" t="s">
        <v>6918</v>
      </c>
      <c r="C1364" s="304" t="s">
        <v>5555</v>
      </c>
      <c r="D1364" s="540">
        <v>15.65</v>
      </c>
    </row>
    <row r="1365" spans="1:4" ht="15" x14ac:dyDescent="0.25">
      <c r="A1365" s="304">
        <v>2589</v>
      </c>
      <c r="B1365" s="304" t="s">
        <v>6919</v>
      </c>
      <c r="C1365" s="304" t="s">
        <v>5555</v>
      </c>
      <c r="D1365" s="540">
        <v>20.8</v>
      </c>
    </row>
    <row r="1366" spans="1:4" ht="15" x14ac:dyDescent="0.25">
      <c r="A1366" s="304">
        <v>2591</v>
      </c>
      <c r="B1366" s="304" t="s">
        <v>6920</v>
      </c>
      <c r="C1366" s="304" t="s">
        <v>5555</v>
      </c>
      <c r="D1366" s="540">
        <v>7.58</v>
      </c>
    </row>
    <row r="1367" spans="1:4" ht="15" x14ac:dyDescent="0.25">
      <c r="A1367" s="304">
        <v>2590</v>
      </c>
      <c r="B1367" s="304" t="s">
        <v>6921</v>
      </c>
      <c r="C1367" s="304" t="s">
        <v>5555</v>
      </c>
      <c r="D1367" s="540">
        <v>12.76</v>
      </c>
    </row>
    <row r="1368" spans="1:4" ht="15" x14ac:dyDescent="0.25">
      <c r="A1368" s="304">
        <v>2567</v>
      </c>
      <c r="B1368" s="304" t="s">
        <v>6922</v>
      </c>
      <c r="C1368" s="304" t="s">
        <v>5555</v>
      </c>
      <c r="D1368" s="540">
        <v>30.51</v>
      </c>
    </row>
    <row r="1369" spans="1:4" ht="15" x14ac:dyDescent="0.25">
      <c r="A1369" s="304">
        <v>2565</v>
      </c>
      <c r="B1369" s="304" t="s">
        <v>6923</v>
      </c>
      <c r="C1369" s="304" t="s">
        <v>5555</v>
      </c>
      <c r="D1369" s="540">
        <v>7.6</v>
      </c>
    </row>
    <row r="1370" spans="1:4" ht="15" x14ac:dyDescent="0.25">
      <c r="A1370" s="304">
        <v>2568</v>
      </c>
      <c r="B1370" s="304" t="s">
        <v>6924</v>
      </c>
      <c r="C1370" s="304" t="s">
        <v>5555</v>
      </c>
      <c r="D1370" s="540">
        <v>84.72</v>
      </c>
    </row>
    <row r="1371" spans="1:4" ht="15" x14ac:dyDescent="0.25">
      <c r="A1371" s="304">
        <v>2594</v>
      </c>
      <c r="B1371" s="304" t="s">
        <v>6925</v>
      </c>
      <c r="C1371" s="304" t="s">
        <v>5555</v>
      </c>
      <c r="D1371" s="540">
        <v>141.13999999999999</v>
      </c>
    </row>
    <row r="1372" spans="1:4" ht="15" x14ac:dyDescent="0.25">
      <c r="A1372" s="304">
        <v>2587</v>
      </c>
      <c r="B1372" s="304" t="s">
        <v>6926</v>
      </c>
      <c r="C1372" s="304" t="s">
        <v>5555</v>
      </c>
      <c r="D1372" s="540">
        <v>24.05</v>
      </c>
    </row>
    <row r="1373" spans="1:4" ht="15" x14ac:dyDescent="0.25">
      <c r="A1373" s="304">
        <v>2588</v>
      </c>
      <c r="B1373" s="304" t="s">
        <v>6927</v>
      </c>
      <c r="C1373" s="304" t="s">
        <v>5555</v>
      </c>
      <c r="D1373" s="540">
        <v>19.100000000000001</v>
      </c>
    </row>
    <row r="1374" spans="1:4" ht="15" x14ac:dyDescent="0.25">
      <c r="A1374" s="304">
        <v>2569</v>
      </c>
      <c r="B1374" s="304" t="s">
        <v>6928</v>
      </c>
      <c r="C1374" s="304" t="s">
        <v>5555</v>
      </c>
      <c r="D1374" s="540">
        <v>7.36</v>
      </c>
    </row>
    <row r="1375" spans="1:4" ht="15" x14ac:dyDescent="0.25">
      <c r="A1375" s="304">
        <v>2570</v>
      </c>
      <c r="B1375" s="304" t="s">
        <v>6929</v>
      </c>
      <c r="C1375" s="304" t="s">
        <v>5555</v>
      </c>
      <c r="D1375" s="540">
        <v>12.34</v>
      </c>
    </row>
    <row r="1376" spans="1:4" ht="15" x14ac:dyDescent="0.25">
      <c r="A1376" s="304">
        <v>2571</v>
      </c>
      <c r="B1376" s="304" t="s">
        <v>6930</v>
      </c>
      <c r="C1376" s="304" t="s">
        <v>5555</v>
      </c>
      <c r="D1376" s="540">
        <v>36.630000000000003</v>
      </c>
    </row>
    <row r="1377" spans="1:4" ht="15" x14ac:dyDescent="0.25">
      <c r="A1377" s="304">
        <v>2593</v>
      </c>
      <c r="B1377" s="304" t="s">
        <v>6931</v>
      </c>
      <c r="C1377" s="304" t="s">
        <v>5555</v>
      </c>
      <c r="D1377" s="540">
        <v>7.85</v>
      </c>
    </row>
    <row r="1378" spans="1:4" ht="15" x14ac:dyDescent="0.25">
      <c r="A1378" s="304">
        <v>2572</v>
      </c>
      <c r="B1378" s="304" t="s">
        <v>6932</v>
      </c>
      <c r="C1378" s="304" t="s">
        <v>5555</v>
      </c>
      <c r="D1378" s="540">
        <v>108.34</v>
      </c>
    </row>
    <row r="1379" spans="1:4" ht="15" x14ac:dyDescent="0.25">
      <c r="A1379" s="304">
        <v>2595</v>
      </c>
      <c r="B1379" s="304" t="s">
        <v>6933</v>
      </c>
      <c r="C1379" s="304" t="s">
        <v>5555</v>
      </c>
      <c r="D1379" s="540">
        <v>169.03</v>
      </c>
    </row>
    <row r="1380" spans="1:4" ht="15" x14ac:dyDescent="0.25">
      <c r="A1380" s="304">
        <v>2576</v>
      </c>
      <c r="B1380" s="304" t="s">
        <v>6934</v>
      </c>
      <c r="C1380" s="304" t="s">
        <v>5555</v>
      </c>
      <c r="D1380" s="540">
        <v>28.81</v>
      </c>
    </row>
    <row r="1381" spans="1:4" ht="15" x14ac:dyDescent="0.25">
      <c r="A1381" s="304">
        <v>2575</v>
      </c>
      <c r="B1381" s="304" t="s">
        <v>6935</v>
      </c>
      <c r="C1381" s="304" t="s">
        <v>5555</v>
      </c>
      <c r="D1381" s="540">
        <v>21.66</v>
      </c>
    </row>
    <row r="1382" spans="1:4" ht="15" x14ac:dyDescent="0.25">
      <c r="A1382" s="304">
        <v>2573</v>
      </c>
      <c r="B1382" s="304" t="s">
        <v>6936</v>
      </c>
      <c r="C1382" s="304" t="s">
        <v>5555</v>
      </c>
      <c r="D1382" s="540">
        <v>8.99</v>
      </c>
    </row>
    <row r="1383" spans="1:4" ht="15" x14ac:dyDescent="0.25">
      <c r="A1383" s="304">
        <v>2586</v>
      </c>
      <c r="B1383" s="304" t="s">
        <v>6937</v>
      </c>
      <c r="C1383" s="304" t="s">
        <v>5555</v>
      </c>
      <c r="D1383" s="540">
        <v>14.58</v>
      </c>
    </row>
    <row r="1384" spans="1:4" ht="15" x14ac:dyDescent="0.25">
      <c r="A1384" s="304">
        <v>2577</v>
      </c>
      <c r="B1384" s="304" t="s">
        <v>6938</v>
      </c>
      <c r="C1384" s="304" t="s">
        <v>5555</v>
      </c>
      <c r="D1384" s="540">
        <v>39.04</v>
      </c>
    </row>
    <row r="1385" spans="1:4" ht="15" x14ac:dyDescent="0.25">
      <c r="A1385" s="304">
        <v>2574</v>
      </c>
      <c r="B1385" s="304" t="s">
        <v>6939</v>
      </c>
      <c r="C1385" s="304" t="s">
        <v>5555</v>
      </c>
      <c r="D1385" s="540">
        <v>9.0500000000000007</v>
      </c>
    </row>
    <row r="1386" spans="1:4" ht="15" x14ac:dyDescent="0.25">
      <c r="A1386" s="304">
        <v>2578</v>
      </c>
      <c r="B1386" s="304" t="s">
        <v>6940</v>
      </c>
      <c r="C1386" s="304" t="s">
        <v>5555</v>
      </c>
      <c r="D1386" s="540">
        <v>121.9</v>
      </c>
    </row>
    <row r="1387" spans="1:4" ht="15" x14ac:dyDescent="0.25">
      <c r="A1387" s="304">
        <v>2585</v>
      </c>
      <c r="B1387" s="304" t="s">
        <v>6941</v>
      </c>
      <c r="C1387" s="304" t="s">
        <v>5555</v>
      </c>
      <c r="D1387" s="540">
        <v>167.28</v>
      </c>
    </row>
    <row r="1388" spans="1:4" ht="15" x14ac:dyDescent="0.25">
      <c r="A1388" s="304">
        <v>12008</v>
      </c>
      <c r="B1388" s="304" t="s">
        <v>6942</v>
      </c>
      <c r="C1388" s="304" t="s">
        <v>5555</v>
      </c>
      <c r="D1388" s="540">
        <v>89.75</v>
      </c>
    </row>
    <row r="1389" spans="1:4" ht="15" x14ac:dyDescent="0.25">
      <c r="A1389" s="304">
        <v>2582</v>
      </c>
      <c r="B1389" s="304" t="s">
        <v>6943</v>
      </c>
      <c r="C1389" s="304" t="s">
        <v>5555</v>
      </c>
      <c r="D1389" s="540">
        <v>26.73</v>
      </c>
    </row>
    <row r="1390" spans="1:4" ht="15" x14ac:dyDescent="0.25">
      <c r="A1390" s="304">
        <v>2597</v>
      </c>
      <c r="B1390" s="304" t="s">
        <v>6944</v>
      </c>
      <c r="C1390" s="304" t="s">
        <v>5555</v>
      </c>
      <c r="D1390" s="540">
        <v>22.9</v>
      </c>
    </row>
    <row r="1391" spans="1:4" ht="15" x14ac:dyDescent="0.25">
      <c r="A1391" s="304">
        <v>2579</v>
      </c>
      <c r="B1391" s="304" t="s">
        <v>6945</v>
      </c>
      <c r="C1391" s="304" t="s">
        <v>5555</v>
      </c>
      <c r="D1391" s="540">
        <v>10.9</v>
      </c>
    </row>
    <row r="1392" spans="1:4" ht="15" x14ac:dyDescent="0.25">
      <c r="A1392" s="304">
        <v>2581</v>
      </c>
      <c r="B1392" s="304" t="s">
        <v>6946</v>
      </c>
      <c r="C1392" s="304" t="s">
        <v>5555</v>
      </c>
      <c r="D1392" s="540">
        <v>13.95</v>
      </c>
    </row>
    <row r="1393" spans="1:4" ht="15" x14ac:dyDescent="0.25">
      <c r="A1393" s="304">
        <v>2596</v>
      </c>
      <c r="B1393" s="304" t="s">
        <v>6947</v>
      </c>
      <c r="C1393" s="304" t="s">
        <v>5555</v>
      </c>
      <c r="D1393" s="540">
        <v>41.27</v>
      </c>
    </row>
    <row r="1394" spans="1:4" ht="15" x14ac:dyDescent="0.25">
      <c r="A1394" s="304">
        <v>2580</v>
      </c>
      <c r="B1394" s="304" t="s">
        <v>6948</v>
      </c>
      <c r="C1394" s="304" t="s">
        <v>5555</v>
      </c>
      <c r="D1394" s="540">
        <v>11.95</v>
      </c>
    </row>
    <row r="1395" spans="1:4" ht="15" x14ac:dyDescent="0.25">
      <c r="A1395" s="304">
        <v>2583</v>
      </c>
      <c r="B1395" s="304" t="s">
        <v>6949</v>
      </c>
      <c r="C1395" s="304" t="s">
        <v>5555</v>
      </c>
      <c r="D1395" s="540">
        <v>100.38</v>
      </c>
    </row>
    <row r="1396" spans="1:4" ht="15" x14ac:dyDescent="0.25">
      <c r="A1396" s="304">
        <v>2584</v>
      </c>
      <c r="B1396" s="304" t="s">
        <v>6950</v>
      </c>
      <c r="C1396" s="304" t="s">
        <v>5555</v>
      </c>
      <c r="D1396" s="540">
        <v>167.11</v>
      </c>
    </row>
    <row r="1397" spans="1:4" ht="15" x14ac:dyDescent="0.25">
      <c r="A1397" s="304">
        <v>12010</v>
      </c>
      <c r="B1397" s="304" t="s">
        <v>6951</v>
      </c>
      <c r="C1397" s="304" t="s">
        <v>5555</v>
      </c>
      <c r="D1397" s="540">
        <v>6.61</v>
      </c>
    </row>
    <row r="1398" spans="1:4" ht="15" x14ac:dyDescent="0.25">
      <c r="A1398" s="304">
        <v>39329</v>
      </c>
      <c r="B1398" s="304" t="s">
        <v>6952</v>
      </c>
      <c r="C1398" s="304" t="s">
        <v>5555</v>
      </c>
      <c r="D1398" s="540">
        <v>6.91</v>
      </c>
    </row>
    <row r="1399" spans="1:4" ht="15" x14ac:dyDescent="0.25">
      <c r="A1399" s="304">
        <v>39330</v>
      </c>
      <c r="B1399" s="304" t="s">
        <v>6953</v>
      </c>
      <c r="C1399" s="304" t="s">
        <v>5555</v>
      </c>
      <c r="D1399" s="540">
        <v>7.27</v>
      </c>
    </row>
    <row r="1400" spans="1:4" ht="15" x14ac:dyDescent="0.25">
      <c r="A1400" s="304">
        <v>39332</v>
      </c>
      <c r="B1400" s="304" t="s">
        <v>6954</v>
      </c>
      <c r="C1400" s="304" t="s">
        <v>5555</v>
      </c>
      <c r="D1400" s="540">
        <v>8.1300000000000008</v>
      </c>
    </row>
    <row r="1401" spans="1:4" ht="15" x14ac:dyDescent="0.25">
      <c r="A1401" s="304">
        <v>39331</v>
      </c>
      <c r="B1401" s="304" t="s">
        <v>6955</v>
      </c>
      <c r="C1401" s="304" t="s">
        <v>5555</v>
      </c>
      <c r="D1401" s="540">
        <v>6.47</v>
      </c>
    </row>
    <row r="1402" spans="1:4" ht="15" x14ac:dyDescent="0.25">
      <c r="A1402" s="304">
        <v>39333</v>
      </c>
      <c r="B1402" s="304" t="s">
        <v>6956</v>
      </c>
      <c r="C1402" s="304" t="s">
        <v>5555</v>
      </c>
      <c r="D1402" s="540">
        <v>6.31</v>
      </c>
    </row>
    <row r="1403" spans="1:4" ht="15" x14ac:dyDescent="0.25">
      <c r="A1403" s="304">
        <v>39335</v>
      </c>
      <c r="B1403" s="304" t="s">
        <v>6957</v>
      </c>
      <c r="C1403" s="304" t="s">
        <v>5555</v>
      </c>
      <c r="D1403" s="540">
        <v>7.3</v>
      </c>
    </row>
    <row r="1404" spans="1:4" ht="15" x14ac:dyDescent="0.25">
      <c r="A1404" s="304">
        <v>39334</v>
      </c>
      <c r="B1404" s="304" t="s">
        <v>6958</v>
      </c>
      <c r="C1404" s="304" t="s">
        <v>5555</v>
      </c>
      <c r="D1404" s="540">
        <v>5.8</v>
      </c>
    </row>
    <row r="1405" spans="1:4" ht="15" x14ac:dyDescent="0.25">
      <c r="A1405" s="304">
        <v>12016</v>
      </c>
      <c r="B1405" s="304" t="s">
        <v>6959</v>
      </c>
      <c r="C1405" s="304" t="s">
        <v>5555</v>
      </c>
      <c r="D1405" s="540">
        <v>7.28</v>
      </c>
    </row>
    <row r="1406" spans="1:4" ht="15" x14ac:dyDescent="0.25">
      <c r="A1406" s="304">
        <v>12015</v>
      </c>
      <c r="B1406" s="304" t="s">
        <v>6960</v>
      </c>
      <c r="C1406" s="304" t="s">
        <v>5555</v>
      </c>
      <c r="D1406" s="540">
        <v>8.48</v>
      </c>
    </row>
    <row r="1407" spans="1:4" ht="15" x14ac:dyDescent="0.25">
      <c r="A1407" s="304">
        <v>12020</v>
      </c>
      <c r="B1407" s="304" t="s">
        <v>6961</v>
      </c>
      <c r="C1407" s="304" t="s">
        <v>5555</v>
      </c>
      <c r="D1407" s="540">
        <v>7.28</v>
      </c>
    </row>
    <row r="1408" spans="1:4" ht="15" x14ac:dyDescent="0.25">
      <c r="A1408" s="304">
        <v>12019</v>
      </c>
      <c r="B1408" s="304" t="s">
        <v>6962</v>
      </c>
      <c r="C1408" s="304" t="s">
        <v>5555</v>
      </c>
      <c r="D1408" s="540">
        <v>8.48</v>
      </c>
    </row>
    <row r="1409" spans="1:4" ht="15" x14ac:dyDescent="0.25">
      <c r="A1409" s="304">
        <v>39336</v>
      </c>
      <c r="B1409" s="304" t="s">
        <v>6963</v>
      </c>
      <c r="C1409" s="304" t="s">
        <v>5555</v>
      </c>
      <c r="D1409" s="540">
        <v>7.27</v>
      </c>
    </row>
    <row r="1410" spans="1:4" ht="15" x14ac:dyDescent="0.25">
      <c r="A1410" s="304">
        <v>39338</v>
      </c>
      <c r="B1410" s="304" t="s">
        <v>6964</v>
      </c>
      <c r="C1410" s="304" t="s">
        <v>5555</v>
      </c>
      <c r="D1410" s="540">
        <v>8.1300000000000008</v>
      </c>
    </row>
    <row r="1411" spans="1:4" ht="15" x14ac:dyDescent="0.25">
      <c r="A1411" s="304">
        <v>39337</v>
      </c>
      <c r="B1411" s="304" t="s">
        <v>6965</v>
      </c>
      <c r="C1411" s="304" t="s">
        <v>5555</v>
      </c>
      <c r="D1411" s="540">
        <v>6.47</v>
      </c>
    </row>
    <row r="1412" spans="1:4" ht="15" x14ac:dyDescent="0.25">
      <c r="A1412" s="304">
        <v>39341</v>
      </c>
      <c r="B1412" s="304" t="s">
        <v>6966</v>
      </c>
      <c r="C1412" s="304" t="s">
        <v>5555</v>
      </c>
      <c r="D1412" s="540">
        <v>10.6</v>
      </c>
    </row>
    <row r="1413" spans="1:4" ht="15" x14ac:dyDescent="0.25">
      <c r="A1413" s="304">
        <v>39340</v>
      </c>
      <c r="B1413" s="304" t="s">
        <v>6967</v>
      </c>
      <c r="C1413" s="304" t="s">
        <v>5555</v>
      </c>
      <c r="D1413" s="540">
        <v>7.78</v>
      </c>
    </row>
    <row r="1414" spans="1:4" ht="15" x14ac:dyDescent="0.25">
      <c r="A1414" s="304">
        <v>12025</v>
      </c>
      <c r="B1414" s="304" t="s">
        <v>6968</v>
      </c>
      <c r="C1414" s="304" t="s">
        <v>5555</v>
      </c>
      <c r="D1414" s="540">
        <v>8.0399999999999991</v>
      </c>
    </row>
    <row r="1415" spans="1:4" ht="15" x14ac:dyDescent="0.25">
      <c r="A1415" s="304">
        <v>39342</v>
      </c>
      <c r="B1415" s="304" t="s">
        <v>6969</v>
      </c>
      <c r="C1415" s="304" t="s">
        <v>5555</v>
      </c>
      <c r="D1415" s="540">
        <v>10.6</v>
      </c>
    </row>
    <row r="1416" spans="1:4" ht="15" x14ac:dyDescent="0.25">
      <c r="A1416" s="304">
        <v>39343</v>
      </c>
      <c r="B1416" s="304" t="s">
        <v>6970</v>
      </c>
      <c r="C1416" s="304" t="s">
        <v>5555</v>
      </c>
      <c r="D1416" s="540">
        <v>8.9499999999999993</v>
      </c>
    </row>
    <row r="1417" spans="1:4" ht="15" x14ac:dyDescent="0.25">
      <c r="A1417" s="304">
        <v>39345</v>
      </c>
      <c r="B1417" s="304" t="s">
        <v>6971</v>
      </c>
      <c r="C1417" s="304" t="s">
        <v>5555</v>
      </c>
      <c r="D1417" s="540">
        <v>12.11</v>
      </c>
    </row>
    <row r="1418" spans="1:4" ht="15" x14ac:dyDescent="0.25">
      <c r="A1418" s="304">
        <v>39344</v>
      </c>
      <c r="B1418" s="304" t="s">
        <v>6972</v>
      </c>
      <c r="C1418" s="304" t="s">
        <v>5555</v>
      </c>
      <c r="D1418" s="540">
        <v>8.65</v>
      </c>
    </row>
    <row r="1419" spans="1:4" ht="15" x14ac:dyDescent="0.25">
      <c r="A1419" s="304">
        <v>12623</v>
      </c>
      <c r="B1419" s="304" t="s">
        <v>6973</v>
      </c>
      <c r="C1419" s="304" t="s">
        <v>5575</v>
      </c>
      <c r="D1419" s="540">
        <v>10.69</v>
      </c>
    </row>
    <row r="1420" spans="1:4" ht="15" x14ac:dyDescent="0.25">
      <c r="A1420" s="304">
        <v>34498</v>
      </c>
      <c r="B1420" s="304" t="s">
        <v>6974</v>
      </c>
      <c r="C1420" s="304" t="s">
        <v>5555</v>
      </c>
      <c r="D1420" s="540">
        <v>118.16</v>
      </c>
    </row>
    <row r="1421" spans="1:4" ht="15" x14ac:dyDescent="0.25">
      <c r="A1421" s="304">
        <v>13244</v>
      </c>
      <c r="B1421" s="304" t="s">
        <v>6975</v>
      </c>
      <c r="C1421" s="304" t="s">
        <v>5555</v>
      </c>
      <c r="D1421" s="540">
        <v>49.74</v>
      </c>
    </row>
    <row r="1422" spans="1:4" ht="15" x14ac:dyDescent="0.25">
      <c r="A1422" s="304">
        <v>38998</v>
      </c>
      <c r="B1422" s="304" t="s">
        <v>6976</v>
      </c>
      <c r="C1422" s="304" t="s">
        <v>5555</v>
      </c>
      <c r="D1422" s="540">
        <v>7.85</v>
      </c>
    </row>
    <row r="1423" spans="1:4" ht="15" x14ac:dyDescent="0.25">
      <c r="A1423" s="304">
        <v>38999</v>
      </c>
      <c r="B1423" s="304" t="s">
        <v>6977</v>
      </c>
      <c r="C1423" s="304" t="s">
        <v>5555</v>
      </c>
      <c r="D1423" s="540">
        <v>12.99</v>
      </c>
    </row>
    <row r="1424" spans="1:4" ht="15" x14ac:dyDescent="0.25">
      <c r="A1424" s="304">
        <v>38996</v>
      </c>
      <c r="B1424" s="304" t="s">
        <v>6978</v>
      </c>
      <c r="C1424" s="304" t="s">
        <v>5555</v>
      </c>
      <c r="D1424" s="540">
        <v>11.34</v>
      </c>
    </row>
    <row r="1425" spans="1:4" ht="15" x14ac:dyDescent="0.25">
      <c r="A1425" s="304">
        <v>38997</v>
      </c>
      <c r="B1425" s="304" t="s">
        <v>6979</v>
      </c>
      <c r="C1425" s="304" t="s">
        <v>5555</v>
      </c>
      <c r="D1425" s="540">
        <v>18.350000000000001</v>
      </c>
    </row>
    <row r="1426" spans="1:4" ht="15" x14ac:dyDescent="0.25">
      <c r="A1426" s="304">
        <v>39862</v>
      </c>
      <c r="B1426" s="304" t="s">
        <v>6980</v>
      </c>
      <c r="C1426" s="304" t="s">
        <v>5555</v>
      </c>
      <c r="D1426" s="540">
        <v>7.9</v>
      </c>
    </row>
    <row r="1427" spans="1:4" ht="15" x14ac:dyDescent="0.25">
      <c r="A1427" s="304">
        <v>39863</v>
      </c>
      <c r="B1427" s="304" t="s">
        <v>6981</v>
      </c>
      <c r="C1427" s="304" t="s">
        <v>5555</v>
      </c>
      <c r="D1427" s="540">
        <v>8.01</v>
      </c>
    </row>
    <row r="1428" spans="1:4" ht="15" x14ac:dyDescent="0.25">
      <c r="A1428" s="304">
        <v>39864</v>
      </c>
      <c r="B1428" s="304" t="s">
        <v>6982</v>
      </c>
      <c r="C1428" s="304" t="s">
        <v>5555</v>
      </c>
      <c r="D1428" s="540">
        <v>9.94</v>
      </c>
    </row>
    <row r="1429" spans="1:4" ht="15" x14ac:dyDescent="0.25">
      <c r="A1429" s="304">
        <v>39865</v>
      </c>
      <c r="B1429" s="304" t="s">
        <v>6983</v>
      </c>
      <c r="C1429" s="304" t="s">
        <v>5555</v>
      </c>
      <c r="D1429" s="540">
        <v>14.01</v>
      </c>
    </row>
    <row r="1430" spans="1:4" ht="15" x14ac:dyDescent="0.25">
      <c r="A1430" s="304">
        <v>2517</v>
      </c>
      <c r="B1430" s="304" t="s">
        <v>6984</v>
      </c>
      <c r="C1430" s="304" t="s">
        <v>5555</v>
      </c>
      <c r="D1430" s="540">
        <v>16.649999999999999</v>
      </c>
    </row>
    <row r="1431" spans="1:4" ht="15" x14ac:dyDescent="0.25">
      <c r="A1431" s="304">
        <v>2522</v>
      </c>
      <c r="B1431" s="304" t="s">
        <v>6985</v>
      </c>
      <c r="C1431" s="304" t="s">
        <v>5555</v>
      </c>
      <c r="D1431" s="540">
        <v>10.76</v>
      </c>
    </row>
    <row r="1432" spans="1:4" ht="15" x14ac:dyDescent="0.25">
      <c r="A1432" s="304">
        <v>2548</v>
      </c>
      <c r="B1432" s="304" t="s">
        <v>6986</v>
      </c>
      <c r="C1432" s="304" t="s">
        <v>5555</v>
      </c>
      <c r="D1432" s="540">
        <v>6.62</v>
      </c>
    </row>
    <row r="1433" spans="1:4" ht="15" x14ac:dyDescent="0.25">
      <c r="A1433" s="304">
        <v>2516</v>
      </c>
      <c r="B1433" s="304" t="s">
        <v>6987</v>
      </c>
      <c r="C1433" s="304" t="s">
        <v>5555</v>
      </c>
      <c r="D1433" s="540">
        <v>8.64</v>
      </c>
    </row>
    <row r="1434" spans="1:4" ht="15" x14ac:dyDescent="0.25">
      <c r="A1434" s="304">
        <v>2518</v>
      </c>
      <c r="B1434" s="304" t="s">
        <v>6988</v>
      </c>
      <c r="C1434" s="304" t="s">
        <v>5555</v>
      </c>
      <c r="D1434" s="540">
        <v>79.25</v>
      </c>
    </row>
    <row r="1435" spans="1:4" ht="15" x14ac:dyDescent="0.25">
      <c r="A1435" s="304">
        <v>2521</v>
      </c>
      <c r="B1435" s="304" t="s">
        <v>6989</v>
      </c>
      <c r="C1435" s="304" t="s">
        <v>5555</v>
      </c>
      <c r="D1435" s="540">
        <v>33.729999999999997</v>
      </c>
    </row>
    <row r="1436" spans="1:4" ht="15" x14ac:dyDescent="0.25">
      <c r="A1436" s="304">
        <v>2515</v>
      </c>
      <c r="B1436" s="304" t="s">
        <v>6990</v>
      </c>
      <c r="C1436" s="304" t="s">
        <v>5555</v>
      </c>
      <c r="D1436" s="540">
        <v>7.19</v>
      </c>
    </row>
    <row r="1437" spans="1:4" ht="15" x14ac:dyDescent="0.25">
      <c r="A1437" s="304">
        <v>2519</v>
      </c>
      <c r="B1437" s="304" t="s">
        <v>6991</v>
      </c>
      <c r="C1437" s="304" t="s">
        <v>5555</v>
      </c>
      <c r="D1437" s="540">
        <v>95.56</v>
      </c>
    </row>
    <row r="1438" spans="1:4" ht="15" x14ac:dyDescent="0.25">
      <c r="A1438" s="304">
        <v>2520</v>
      </c>
      <c r="B1438" s="304" t="s">
        <v>6992</v>
      </c>
      <c r="C1438" s="304" t="s">
        <v>5555</v>
      </c>
      <c r="D1438" s="540">
        <v>175.88</v>
      </c>
    </row>
    <row r="1439" spans="1:4" ht="15" x14ac:dyDescent="0.25">
      <c r="A1439" s="304">
        <v>1602</v>
      </c>
      <c r="B1439" s="304" t="s">
        <v>6993</v>
      </c>
      <c r="C1439" s="304" t="s">
        <v>5555</v>
      </c>
      <c r="D1439" s="540">
        <v>28.62</v>
      </c>
    </row>
    <row r="1440" spans="1:4" ht="15" x14ac:dyDescent="0.25">
      <c r="A1440" s="304">
        <v>1601</v>
      </c>
      <c r="B1440" s="304" t="s">
        <v>6994</v>
      </c>
      <c r="C1440" s="304" t="s">
        <v>5555</v>
      </c>
      <c r="D1440" s="540">
        <v>25.51</v>
      </c>
    </row>
    <row r="1441" spans="1:4" ht="15" x14ac:dyDescent="0.25">
      <c r="A1441" s="304">
        <v>1598</v>
      </c>
      <c r="B1441" s="304" t="s">
        <v>6995</v>
      </c>
      <c r="C1441" s="304" t="s">
        <v>5555</v>
      </c>
      <c r="D1441" s="540">
        <v>7.55</v>
      </c>
    </row>
    <row r="1442" spans="1:4" ht="15" x14ac:dyDescent="0.25">
      <c r="A1442" s="304">
        <v>1600</v>
      </c>
      <c r="B1442" s="304" t="s">
        <v>6996</v>
      </c>
      <c r="C1442" s="304" t="s">
        <v>5555</v>
      </c>
      <c r="D1442" s="540">
        <v>11.14</v>
      </c>
    </row>
    <row r="1443" spans="1:4" ht="15" x14ac:dyDescent="0.25">
      <c r="A1443" s="304">
        <v>1603</v>
      </c>
      <c r="B1443" s="304" t="s">
        <v>6997</v>
      </c>
      <c r="C1443" s="304" t="s">
        <v>5555</v>
      </c>
      <c r="D1443" s="540">
        <v>43.22</v>
      </c>
    </row>
    <row r="1444" spans="1:4" ht="15" x14ac:dyDescent="0.25">
      <c r="A1444" s="304">
        <v>1599</v>
      </c>
      <c r="B1444" s="304" t="s">
        <v>6998</v>
      </c>
      <c r="C1444" s="304" t="s">
        <v>5555</v>
      </c>
      <c r="D1444" s="540">
        <v>8.76</v>
      </c>
    </row>
    <row r="1445" spans="1:4" ht="15" x14ac:dyDescent="0.25">
      <c r="A1445" s="304">
        <v>1597</v>
      </c>
      <c r="B1445" s="304" t="s">
        <v>6999</v>
      </c>
      <c r="C1445" s="304" t="s">
        <v>5555</v>
      </c>
      <c r="D1445" s="540">
        <v>7.1</v>
      </c>
    </row>
    <row r="1446" spans="1:4" ht="15" x14ac:dyDescent="0.25">
      <c r="A1446" s="304">
        <v>39600</v>
      </c>
      <c r="B1446" s="304" t="s">
        <v>7000</v>
      </c>
      <c r="C1446" s="304" t="s">
        <v>5555</v>
      </c>
      <c r="D1446" s="540">
        <v>8.7799999999999994</v>
      </c>
    </row>
    <row r="1447" spans="1:4" ht="15" x14ac:dyDescent="0.25">
      <c r="A1447" s="304">
        <v>39601</v>
      </c>
      <c r="B1447" s="304" t="s">
        <v>7001</v>
      </c>
      <c r="C1447" s="304" t="s">
        <v>5555</v>
      </c>
      <c r="D1447" s="540">
        <v>15.26</v>
      </c>
    </row>
    <row r="1448" spans="1:4" ht="15" x14ac:dyDescent="0.25">
      <c r="A1448" s="304">
        <v>39602</v>
      </c>
      <c r="B1448" s="304" t="s">
        <v>7002</v>
      </c>
      <c r="C1448" s="304" t="s">
        <v>5555</v>
      </c>
      <c r="D1448" s="540">
        <v>1</v>
      </c>
    </row>
    <row r="1449" spans="1:4" ht="15" x14ac:dyDescent="0.25">
      <c r="A1449" s="304">
        <v>39603</v>
      </c>
      <c r="B1449" s="304" t="s">
        <v>7003</v>
      </c>
      <c r="C1449" s="304" t="s">
        <v>5555</v>
      </c>
      <c r="D1449" s="540">
        <v>1.72</v>
      </c>
    </row>
    <row r="1450" spans="1:4" ht="15" x14ac:dyDescent="0.25">
      <c r="A1450" s="304">
        <v>11821</v>
      </c>
      <c r="B1450" s="304" t="s">
        <v>7004</v>
      </c>
      <c r="C1450" s="304" t="s">
        <v>5555</v>
      </c>
      <c r="D1450" s="540">
        <v>5.83</v>
      </c>
    </row>
    <row r="1451" spans="1:4" ht="15" x14ac:dyDescent="0.25">
      <c r="A1451" s="304">
        <v>1562</v>
      </c>
      <c r="B1451" s="304" t="s">
        <v>7005</v>
      </c>
      <c r="C1451" s="304" t="s">
        <v>5555</v>
      </c>
      <c r="D1451" s="540">
        <v>9.5500000000000007</v>
      </c>
    </row>
    <row r="1452" spans="1:4" ht="15" x14ac:dyDescent="0.25">
      <c r="A1452" s="304">
        <v>1563</v>
      </c>
      <c r="B1452" s="304" t="s">
        <v>7006</v>
      </c>
      <c r="C1452" s="304" t="s">
        <v>5555</v>
      </c>
      <c r="D1452" s="540">
        <v>12.81</v>
      </c>
    </row>
    <row r="1453" spans="1:4" ht="15" x14ac:dyDescent="0.25">
      <c r="A1453" s="304">
        <v>11856</v>
      </c>
      <c r="B1453" s="304" t="s">
        <v>7007</v>
      </c>
      <c r="C1453" s="304" t="s">
        <v>5555</v>
      </c>
      <c r="D1453" s="540">
        <v>3.82</v>
      </c>
    </row>
    <row r="1454" spans="1:4" ht="15" x14ac:dyDescent="0.25">
      <c r="A1454" s="304">
        <v>11857</v>
      </c>
      <c r="B1454" s="304" t="s">
        <v>7008</v>
      </c>
      <c r="C1454" s="304" t="s">
        <v>5555</v>
      </c>
      <c r="D1454" s="540">
        <v>20.100000000000001</v>
      </c>
    </row>
    <row r="1455" spans="1:4" ht="15" x14ac:dyDescent="0.25">
      <c r="A1455" s="304">
        <v>11858</v>
      </c>
      <c r="B1455" s="304" t="s">
        <v>7009</v>
      </c>
      <c r="C1455" s="304" t="s">
        <v>5555</v>
      </c>
      <c r="D1455" s="540">
        <v>24.95</v>
      </c>
    </row>
    <row r="1456" spans="1:4" ht="15" x14ac:dyDescent="0.25">
      <c r="A1456" s="304">
        <v>1539</v>
      </c>
      <c r="B1456" s="304" t="s">
        <v>7010</v>
      </c>
      <c r="C1456" s="304" t="s">
        <v>5555</v>
      </c>
      <c r="D1456" s="540">
        <v>4.49</v>
      </c>
    </row>
    <row r="1457" spans="1:4" ht="15" x14ac:dyDescent="0.25">
      <c r="A1457" s="304">
        <v>11859</v>
      </c>
      <c r="B1457" s="304" t="s">
        <v>7011</v>
      </c>
      <c r="C1457" s="304" t="s">
        <v>5555</v>
      </c>
      <c r="D1457" s="540">
        <v>33.94</v>
      </c>
    </row>
    <row r="1458" spans="1:4" ht="15" x14ac:dyDescent="0.25">
      <c r="A1458" s="304">
        <v>1550</v>
      </c>
      <c r="B1458" s="304" t="s">
        <v>7012</v>
      </c>
      <c r="C1458" s="304" t="s">
        <v>5555</v>
      </c>
      <c r="D1458" s="540">
        <v>4.7300000000000004</v>
      </c>
    </row>
    <row r="1459" spans="1:4" ht="15" x14ac:dyDescent="0.25">
      <c r="A1459" s="304">
        <v>11854</v>
      </c>
      <c r="B1459" s="304" t="s">
        <v>7013</v>
      </c>
      <c r="C1459" s="304" t="s">
        <v>5555</v>
      </c>
      <c r="D1459" s="540">
        <v>5.91</v>
      </c>
    </row>
    <row r="1460" spans="1:4" ht="15" x14ac:dyDescent="0.25">
      <c r="A1460" s="304">
        <v>11862</v>
      </c>
      <c r="B1460" s="304" t="s">
        <v>7014</v>
      </c>
      <c r="C1460" s="304" t="s">
        <v>5555</v>
      </c>
      <c r="D1460" s="540">
        <v>8.3000000000000007</v>
      </c>
    </row>
    <row r="1461" spans="1:4" ht="15" x14ac:dyDescent="0.25">
      <c r="A1461" s="304">
        <v>11863</v>
      </c>
      <c r="B1461" s="304" t="s">
        <v>7015</v>
      </c>
      <c r="C1461" s="304" t="s">
        <v>5555</v>
      </c>
      <c r="D1461" s="540">
        <v>3.35</v>
      </c>
    </row>
    <row r="1462" spans="1:4" ht="15" x14ac:dyDescent="0.25">
      <c r="A1462" s="304">
        <v>11855</v>
      </c>
      <c r="B1462" s="304" t="s">
        <v>7016</v>
      </c>
      <c r="C1462" s="304" t="s">
        <v>5555</v>
      </c>
      <c r="D1462" s="540">
        <v>12.39</v>
      </c>
    </row>
    <row r="1463" spans="1:4" ht="15" x14ac:dyDescent="0.25">
      <c r="A1463" s="304">
        <v>11864</v>
      </c>
      <c r="B1463" s="304" t="s">
        <v>7017</v>
      </c>
      <c r="C1463" s="304" t="s">
        <v>5555</v>
      </c>
      <c r="D1463" s="540">
        <v>18.73</v>
      </c>
    </row>
    <row r="1464" spans="1:4" ht="15" x14ac:dyDescent="0.25">
      <c r="A1464" s="304">
        <v>2527</v>
      </c>
      <c r="B1464" s="304" t="s">
        <v>7018</v>
      </c>
      <c r="C1464" s="304" t="s">
        <v>5555</v>
      </c>
      <c r="D1464" s="540">
        <v>5.96</v>
      </c>
    </row>
    <row r="1465" spans="1:4" ht="15" x14ac:dyDescent="0.25">
      <c r="A1465" s="304">
        <v>2526</v>
      </c>
      <c r="B1465" s="304" t="s">
        <v>7019</v>
      </c>
      <c r="C1465" s="304" t="s">
        <v>5555</v>
      </c>
      <c r="D1465" s="540">
        <v>3.82</v>
      </c>
    </row>
    <row r="1466" spans="1:4" ht="15" x14ac:dyDescent="0.25">
      <c r="A1466" s="304">
        <v>2487</v>
      </c>
      <c r="B1466" s="304" t="s">
        <v>7020</v>
      </c>
      <c r="C1466" s="304" t="s">
        <v>5555</v>
      </c>
      <c r="D1466" s="540">
        <v>1.3</v>
      </c>
    </row>
    <row r="1467" spans="1:4" ht="15" x14ac:dyDescent="0.25">
      <c r="A1467" s="304">
        <v>2483</v>
      </c>
      <c r="B1467" s="304" t="s">
        <v>7021</v>
      </c>
      <c r="C1467" s="304" t="s">
        <v>5555</v>
      </c>
      <c r="D1467" s="540">
        <v>2.72</v>
      </c>
    </row>
    <row r="1468" spans="1:4" ht="15" x14ac:dyDescent="0.25">
      <c r="A1468" s="304">
        <v>2528</v>
      </c>
      <c r="B1468" s="304" t="s">
        <v>7022</v>
      </c>
      <c r="C1468" s="304" t="s">
        <v>5555</v>
      </c>
      <c r="D1468" s="540">
        <v>14.99</v>
      </c>
    </row>
    <row r="1469" spans="1:4" ht="15" x14ac:dyDescent="0.25">
      <c r="A1469" s="304">
        <v>2489</v>
      </c>
      <c r="B1469" s="304" t="s">
        <v>7023</v>
      </c>
      <c r="C1469" s="304" t="s">
        <v>5555</v>
      </c>
      <c r="D1469" s="540">
        <v>6.6</v>
      </c>
    </row>
    <row r="1470" spans="1:4" ht="15" x14ac:dyDescent="0.25">
      <c r="A1470" s="304">
        <v>2488</v>
      </c>
      <c r="B1470" s="304" t="s">
        <v>7024</v>
      </c>
      <c r="C1470" s="304" t="s">
        <v>5555</v>
      </c>
      <c r="D1470" s="540">
        <v>1.52</v>
      </c>
    </row>
    <row r="1471" spans="1:4" ht="15" x14ac:dyDescent="0.25">
      <c r="A1471" s="304">
        <v>2484</v>
      </c>
      <c r="B1471" s="304" t="s">
        <v>7025</v>
      </c>
      <c r="C1471" s="304" t="s">
        <v>5555</v>
      </c>
      <c r="D1471" s="540">
        <v>21.78</v>
      </c>
    </row>
    <row r="1472" spans="1:4" ht="15" x14ac:dyDescent="0.25">
      <c r="A1472" s="304">
        <v>2485</v>
      </c>
      <c r="B1472" s="304" t="s">
        <v>7026</v>
      </c>
      <c r="C1472" s="304" t="s">
        <v>5555</v>
      </c>
      <c r="D1472" s="540">
        <v>34.14</v>
      </c>
    </row>
    <row r="1473" spans="1:4" ht="15" x14ac:dyDescent="0.25">
      <c r="A1473" s="304">
        <v>38005</v>
      </c>
      <c r="B1473" s="304" t="s">
        <v>7027</v>
      </c>
      <c r="C1473" s="304" t="s">
        <v>5555</v>
      </c>
      <c r="D1473" s="540">
        <v>12.46</v>
      </c>
    </row>
    <row r="1474" spans="1:4" ht="15" x14ac:dyDescent="0.25">
      <c r="A1474" s="304">
        <v>38006</v>
      </c>
      <c r="B1474" s="304" t="s">
        <v>7028</v>
      </c>
      <c r="C1474" s="304" t="s">
        <v>5555</v>
      </c>
      <c r="D1474" s="540">
        <v>15.3</v>
      </c>
    </row>
    <row r="1475" spans="1:4" ht="15" x14ac:dyDescent="0.25">
      <c r="A1475" s="304">
        <v>38428</v>
      </c>
      <c r="B1475" s="304" t="s">
        <v>7029</v>
      </c>
      <c r="C1475" s="304" t="s">
        <v>5555</v>
      </c>
      <c r="D1475" s="540">
        <v>14.33</v>
      </c>
    </row>
    <row r="1476" spans="1:4" ht="15" x14ac:dyDescent="0.25">
      <c r="A1476" s="304">
        <v>38007</v>
      </c>
      <c r="B1476" s="304" t="s">
        <v>7030</v>
      </c>
      <c r="C1476" s="304" t="s">
        <v>5555</v>
      </c>
      <c r="D1476" s="540">
        <v>23.41</v>
      </c>
    </row>
    <row r="1477" spans="1:4" ht="15" x14ac:dyDescent="0.25">
      <c r="A1477" s="304">
        <v>38008</v>
      </c>
      <c r="B1477" s="304" t="s">
        <v>7031</v>
      </c>
      <c r="C1477" s="304" t="s">
        <v>5555</v>
      </c>
      <c r="D1477" s="540">
        <v>94.3</v>
      </c>
    </row>
    <row r="1478" spans="1:4" ht="15" x14ac:dyDescent="0.25">
      <c r="A1478" s="304">
        <v>38009</v>
      </c>
      <c r="B1478" s="304" t="s">
        <v>7032</v>
      </c>
      <c r="C1478" s="304" t="s">
        <v>5555</v>
      </c>
      <c r="D1478" s="540">
        <v>115.25</v>
      </c>
    </row>
    <row r="1479" spans="1:4" ht="15" x14ac:dyDescent="0.25">
      <c r="A1479" s="304">
        <v>39279</v>
      </c>
      <c r="B1479" s="304" t="s">
        <v>7033</v>
      </c>
      <c r="C1479" s="304" t="s">
        <v>5555</v>
      </c>
      <c r="D1479" s="540">
        <v>9.5399999999999991</v>
      </c>
    </row>
    <row r="1480" spans="1:4" ht="15" x14ac:dyDescent="0.25">
      <c r="A1480" s="304">
        <v>38845</v>
      </c>
      <c r="B1480" s="304" t="s">
        <v>7034</v>
      </c>
      <c r="C1480" s="304" t="s">
        <v>5555</v>
      </c>
      <c r="D1480" s="540">
        <v>13.8</v>
      </c>
    </row>
    <row r="1481" spans="1:4" ht="15" x14ac:dyDescent="0.25">
      <c r="A1481" s="304">
        <v>39280</v>
      </c>
      <c r="B1481" s="304" t="s">
        <v>7035</v>
      </c>
      <c r="C1481" s="304" t="s">
        <v>5555</v>
      </c>
      <c r="D1481" s="540">
        <v>12.37</v>
      </c>
    </row>
    <row r="1482" spans="1:4" ht="15" x14ac:dyDescent="0.25">
      <c r="A1482" s="304">
        <v>39281</v>
      </c>
      <c r="B1482" s="304" t="s">
        <v>7036</v>
      </c>
      <c r="C1482" s="304" t="s">
        <v>5555</v>
      </c>
      <c r="D1482" s="540">
        <v>16.28</v>
      </c>
    </row>
    <row r="1483" spans="1:4" ht="15" x14ac:dyDescent="0.25">
      <c r="A1483" s="304">
        <v>38849</v>
      </c>
      <c r="B1483" s="304" t="s">
        <v>7037</v>
      </c>
      <c r="C1483" s="304" t="s">
        <v>5555</v>
      </c>
      <c r="D1483" s="540">
        <v>13.95</v>
      </c>
    </row>
    <row r="1484" spans="1:4" ht="15" x14ac:dyDescent="0.25">
      <c r="A1484" s="304">
        <v>39282</v>
      </c>
      <c r="B1484" s="304" t="s">
        <v>7038</v>
      </c>
      <c r="C1484" s="304" t="s">
        <v>5555</v>
      </c>
      <c r="D1484" s="540">
        <v>16.670000000000002</v>
      </c>
    </row>
    <row r="1485" spans="1:4" ht="15" x14ac:dyDescent="0.25">
      <c r="A1485" s="304">
        <v>38852</v>
      </c>
      <c r="B1485" s="304" t="s">
        <v>7039</v>
      </c>
      <c r="C1485" s="304" t="s">
        <v>5555</v>
      </c>
      <c r="D1485" s="540">
        <v>22.68</v>
      </c>
    </row>
    <row r="1486" spans="1:4" ht="15" x14ac:dyDescent="0.25">
      <c r="A1486" s="304">
        <v>38844</v>
      </c>
      <c r="B1486" s="304" t="s">
        <v>7040</v>
      </c>
      <c r="C1486" s="304" t="s">
        <v>5555</v>
      </c>
      <c r="D1486" s="540">
        <v>6.97</v>
      </c>
    </row>
    <row r="1487" spans="1:4" ht="15" x14ac:dyDescent="0.25">
      <c r="A1487" s="304">
        <v>38846</v>
      </c>
      <c r="B1487" s="304" t="s">
        <v>7041</v>
      </c>
      <c r="C1487" s="304" t="s">
        <v>5555</v>
      </c>
      <c r="D1487" s="540">
        <v>7.62</v>
      </c>
    </row>
    <row r="1488" spans="1:4" ht="15" x14ac:dyDescent="0.25">
      <c r="A1488" s="304">
        <v>38847</v>
      </c>
      <c r="B1488" s="304" t="s">
        <v>7042</v>
      </c>
      <c r="C1488" s="304" t="s">
        <v>5555</v>
      </c>
      <c r="D1488" s="540">
        <v>9.3800000000000008</v>
      </c>
    </row>
    <row r="1489" spans="1:4" ht="15" x14ac:dyDescent="0.25">
      <c r="A1489" s="304">
        <v>38850</v>
      </c>
      <c r="B1489" s="304" t="s">
        <v>7043</v>
      </c>
      <c r="C1489" s="304" t="s">
        <v>5555</v>
      </c>
      <c r="D1489" s="540">
        <v>13.04</v>
      </c>
    </row>
    <row r="1490" spans="1:4" ht="15" x14ac:dyDescent="0.25">
      <c r="A1490" s="304">
        <v>38848</v>
      </c>
      <c r="B1490" s="304" t="s">
        <v>7044</v>
      </c>
      <c r="C1490" s="304" t="s">
        <v>5555</v>
      </c>
      <c r="D1490" s="540">
        <v>10.9</v>
      </c>
    </row>
    <row r="1491" spans="1:4" ht="15" x14ac:dyDescent="0.25">
      <c r="A1491" s="304">
        <v>38851</v>
      </c>
      <c r="B1491" s="304" t="s">
        <v>7045</v>
      </c>
      <c r="C1491" s="304" t="s">
        <v>5555</v>
      </c>
      <c r="D1491" s="540">
        <v>19.82</v>
      </c>
    </row>
    <row r="1492" spans="1:4" ht="15" x14ac:dyDescent="0.25">
      <c r="A1492" s="304">
        <v>38860</v>
      </c>
      <c r="B1492" s="304" t="s">
        <v>7046</v>
      </c>
      <c r="C1492" s="304" t="s">
        <v>5555</v>
      </c>
      <c r="D1492" s="540">
        <v>5.6</v>
      </c>
    </row>
    <row r="1493" spans="1:4" ht="15" x14ac:dyDescent="0.25">
      <c r="A1493" s="304">
        <v>38861</v>
      </c>
      <c r="B1493" s="304" t="s">
        <v>7047</v>
      </c>
      <c r="C1493" s="304" t="s">
        <v>5555</v>
      </c>
      <c r="D1493" s="540">
        <v>7.54</v>
      </c>
    </row>
    <row r="1494" spans="1:4" ht="15" x14ac:dyDescent="0.25">
      <c r="A1494" s="304">
        <v>38862</v>
      </c>
      <c r="B1494" s="304" t="s">
        <v>7048</v>
      </c>
      <c r="C1494" s="304" t="s">
        <v>5555</v>
      </c>
      <c r="D1494" s="540">
        <v>6.35</v>
      </c>
    </row>
    <row r="1495" spans="1:4" ht="15" x14ac:dyDescent="0.25">
      <c r="A1495" s="304">
        <v>38863</v>
      </c>
      <c r="B1495" s="304" t="s">
        <v>7049</v>
      </c>
      <c r="C1495" s="304" t="s">
        <v>5555</v>
      </c>
      <c r="D1495" s="540">
        <v>7.3</v>
      </c>
    </row>
    <row r="1496" spans="1:4" ht="15" x14ac:dyDescent="0.25">
      <c r="A1496" s="304">
        <v>38865</v>
      </c>
      <c r="B1496" s="304" t="s">
        <v>7050</v>
      </c>
      <c r="C1496" s="304" t="s">
        <v>5555</v>
      </c>
      <c r="D1496" s="540">
        <v>9.91</v>
      </c>
    </row>
    <row r="1497" spans="1:4" ht="15" x14ac:dyDescent="0.25">
      <c r="A1497" s="304">
        <v>38864</v>
      </c>
      <c r="B1497" s="304" t="s">
        <v>7051</v>
      </c>
      <c r="C1497" s="304" t="s">
        <v>5555</v>
      </c>
      <c r="D1497" s="540">
        <v>15.15</v>
      </c>
    </row>
    <row r="1498" spans="1:4" ht="15" x14ac:dyDescent="0.25">
      <c r="A1498" s="304">
        <v>38866</v>
      </c>
      <c r="B1498" s="304" t="s">
        <v>7052</v>
      </c>
      <c r="C1498" s="304" t="s">
        <v>5555</v>
      </c>
      <c r="D1498" s="540">
        <v>10.67</v>
      </c>
    </row>
    <row r="1499" spans="1:4" ht="15" x14ac:dyDescent="0.25">
      <c r="A1499" s="304">
        <v>38868</v>
      </c>
      <c r="B1499" s="304" t="s">
        <v>7053</v>
      </c>
      <c r="C1499" s="304" t="s">
        <v>5555</v>
      </c>
      <c r="D1499" s="540">
        <v>17.78</v>
      </c>
    </row>
    <row r="1500" spans="1:4" ht="15" x14ac:dyDescent="0.25">
      <c r="A1500" s="304">
        <v>38853</v>
      </c>
      <c r="B1500" s="304" t="s">
        <v>7054</v>
      </c>
      <c r="C1500" s="304" t="s">
        <v>5555</v>
      </c>
      <c r="D1500" s="540">
        <v>5.74</v>
      </c>
    </row>
    <row r="1501" spans="1:4" ht="15" x14ac:dyDescent="0.25">
      <c r="A1501" s="304">
        <v>38854</v>
      </c>
      <c r="B1501" s="304" t="s">
        <v>7055</v>
      </c>
      <c r="C1501" s="304" t="s">
        <v>5555</v>
      </c>
      <c r="D1501" s="540">
        <v>7.85</v>
      </c>
    </row>
    <row r="1502" spans="1:4" ht="15" x14ac:dyDescent="0.25">
      <c r="A1502" s="304">
        <v>38855</v>
      </c>
      <c r="B1502" s="304" t="s">
        <v>7056</v>
      </c>
      <c r="C1502" s="304" t="s">
        <v>5555</v>
      </c>
      <c r="D1502" s="540">
        <v>5.82</v>
      </c>
    </row>
    <row r="1503" spans="1:4" ht="15" x14ac:dyDescent="0.25">
      <c r="A1503" s="304">
        <v>38856</v>
      </c>
      <c r="B1503" s="304" t="s">
        <v>7057</v>
      </c>
      <c r="C1503" s="304" t="s">
        <v>5555</v>
      </c>
      <c r="D1503" s="540">
        <v>9.35</v>
      </c>
    </row>
    <row r="1504" spans="1:4" ht="15" x14ac:dyDescent="0.25">
      <c r="A1504" s="304">
        <v>38857</v>
      </c>
      <c r="B1504" s="304" t="s">
        <v>7058</v>
      </c>
      <c r="C1504" s="304" t="s">
        <v>5555</v>
      </c>
      <c r="D1504" s="540">
        <v>12.37</v>
      </c>
    </row>
    <row r="1505" spans="1:4" ht="15" x14ac:dyDescent="0.25">
      <c r="A1505" s="304">
        <v>38858</v>
      </c>
      <c r="B1505" s="304" t="s">
        <v>7059</v>
      </c>
      <c r="C1505" s="304" t="s">
        <v>5555</v>
      </c>
      <c r="D1505" s="540">
        <v>11.25</v>
      </c>
    </row>
    <row r="1506" spans="1:4" ht="15" x14ac:dyDescent="0.25">
      <c r="A1506" s="304">
        <v>38859</v>
      </c>
      <c r="B1506" s="304" t="s">
        <v>7060</v>
      </c>
      <c r="C1506" s="304" t="s">
        <v>5555</v>
      </c>
      <c r="D1506" s="540">
        <v>18.22</v>
      </c>
    </row>
    <row r="1507" spans="1:4" ht="15" x14ac:dyDescent="0.25">
      <c r="A1507" s="304">
        <v>1607</v>
      </c>
      <c r="B1507" s="304" t="s">
        <v>7061</v>
      </c>
      <c r="C1507" s="304" t="s">
        <v>7062</v>
      </c>
      <c r="D1507" s="540">
        <v>0.14000000000000001</v>
      </c>
    </row>
    <row r="1508" spans="1:4" ht="15" x14ac:dyDescent="0.25">
      <c r="A1508" s="304">
        <v>11467</v>
      </c>
      <c r="B1508" s="304" t="s">
        <v>7063</v>
      </c>
      <c r="C1508" s="304" t="s">
        <v>5555</v>
      </c>
      <c r="D1508" s="540">
        <v>13.17</v>
      </c>
    </row>
    <row r="1509" spans="1:4" ht="15" x14ac:dyDescent="0.25">
      <c r="A1509" s="304">
        <v>38169</v>
      </c>
      <c r="B1509" s="304" t="s">
        <v>7064</v>
      </c>
      <c r="C1509" s="304" t="s">
        <v>7062</v>
      </c>
      <c r="D1509" s="540">
        <v>61.3</v>
      </c>
    </row>
    <row r="1510" spans="1:4" ht="15" x14ac:dyDescent="0.25">
      <c r="A1510" s="304">
        <v>6142</v>
      </c>
      <c r="B1510" s="304" t="s">
        <v>7065</v>
      </c>
      <c r="C1510" s="304" t="s">
        <v>5555</v>
      </c>
      <c r="D1510" s="540">
        <v>6.05</v>
      </c>
    </row>
    <row r="1511" spans="1:4" ht="15" x14ac:dyDescent="0.25">
      <c r="A1511" s="304">
        <v>11686</v>
      </c>
      <c r="B1511" s="304" t="s">
        <v>7066</v>
      </c>
      <c r="C1511" s="304" t="s">
        <v>5555</v>
      </c>
      <c r="D1511" s="540">
        <v>8.4</v>
      </c>
    </row>
    <row r="1512" spans="1:4" ht="15" x14ac:dyDescent="0.25">
      <c r="A1512" s="304">
        <v>37598</v>
      </c>
      <c r="B1512" s="304" t="s">
        <v>7067</v>
      </c>
      <c r="C1512" s="304" t="s">
        <v>5555</v>
      </c>
      <c r="D1512" s="540">
        <v>18.899999999999999</v>
      </c>
    </row>
    <row r="1513" spans="1:4" ht="15" x14ac:dyDescent="0.25">
      <c r="A1513" s="304">
        <v>25398</v>
      </c>
      <c r="B1513" s="304" t="s">
        <v>7068</v>
      </c>
      <c r="C1513" s="304" t="s">
        <v>5555</v>
      </c>
      <c r="D1513" s="541">
        <v>2497.16</v>
      </c>
    </row>
    <row r="1514" spans="1:4" ht="15" x14ac:dyDescent="0.25">
      <c r="A1514" s="304">
        <v>25399</v>
      </c>
      <c r="B1514" s="304" t="s">
        <v>7069</v>
      </c>
      <c r="C1514" s="304" t="s">
        <v>5555</v>
      </c>
      <c r="D1514" s="541">
        <v>1515.99</v>
      </c>
    </row>
    <row r="1515" spans="1:4" ht="15" x14ac:dyDescent="0.25">
      <c r="A1515" s="304">
        <v>10667</v>
      </c>
      <c r="B1515" s="304" t="s">
        <v>7070</v>
      </c>
      <c r="C1515" s="304" t="s">
        <v>5555</v>
      </c>
      <c r="D1515" s="541">
        <v>10340.35</v>
      </c>
    </row>
    <row r="1516" spans="1:4" ht="15" x14ac:dyDescent="0.25">
      <c r="A1516" s="304">
        <v>1613</v>
      </c>
      <c r="B1516" s="304" t="s">
        <v>7071</v>
      </c>
      <c r="C1516" s="304" t="s">
        <v>5555</v>
      </c>
      <c r="D1516" s="541">
        <v>1209.03</v>
      </c>
    </row>
    <row r="1517" spans="1:4" ht="15" x14ac:dyDescent="0.25">
      <c r="A1517" s="304">
        <v>1626</v>
      </c>
      <c r="B1517" s="304" t="s">
        <v>7072</v>
      </c>
      <c r="C1517" s="304" t="s">
        <v>5555</v>
      </c>
      <c r="D1517" s="541">
        <v>1808.25</v>
      </c>
    </row>
    <row r="1518" spans="1:4" ht="15" x14ac:dyDescent="0.25">
      <c r="A1518" s="304">
        <v>1625</v>
      </c>
      <c r="B1518" s="304" t="s">
        <v>7073</v>
      </c>
      <c r="C1518" s="304" t="s">
        <v>5555</v>
      </c>
      <c r="D1518" s="540">
        <v>126.3</v>
      </c>
    </row>
    <row r="1519" spans="1:4" ht="15" x14ac:dyDescent="0.25">
      <c r="A1519" s="304">
        <v>1622</v>
      </c>
      <c r="B1519" s="304" t="s">
        <v>7074</v>
      </c>
      <c r="C1519" s="304" t="s">
        <v>5555</v>
      </c>
      <c r="D1519" s="541">
        <v>4080.49</v>
      </c>
    </row>
    <row r="1520" spans="1:4" ht="15" x14ac:dyDescent="0.25">
      <c r="A1520" s="304">
        <v>1620</v>
      </c>
      <c r="B1520" s="304" t="s">
        <v>7075</v>
      </c>
      <c r="C1520" s="304" t="s">
        <v>5555</v>
      </c>
      <c r="D1520" s="540">
        <v>266.05</v>
      </c>
    </row>
    <row r="1521" spans="1:4" ht="15" x14ac:dyDescent="0.25">
      <c r="A1521" s="304">
        <v>1629</v>
      </c>
      <c r="B1521" s="304" t="s">
        <v>7076</v>
      </c>
      <c r="C1521" s="304" t="s">
        <v>5555</v>
      </c>
      <c r="D1521" s="541">
        <v>9930.9500000000007</v>
      </c>
    </row>
    <row r="1522" spans="1:4" ht="15" x14ac:dyDescent="0.25">
      <c r="A1522" s="304">
        <v>1627</v>
      </c>
      <c r="B1522" s="304" t="s">
        <v>7077</v>
      </c>
      <c r="C1522" s="304" t="s">
        <v>5555</v>
      </c>
      <c r="D1522" s="540">
        <v>508.55</v>
      </c>
    </row>
    <row r="1523" spans="1:4" ht="15" x14ac:dyDescent="0.25">
      <c r="A1523" s="304">
        <v>1623</v>
      </c>
      <c r="B1523" s="304" t="s">
        <v>7078</v>
      </c>
      <c r="C1523" s="304" t="s">
        <v>5555</v>
      </c>
      <c r="D1523" s="540">
        <v>103</v>
      </c>
    </row>
    <row r="1524" spans="1:4" ht="15" x14ac:dyDescent="0.25">
      <c r="A1524" s="304">
        <v>1619</v>
      </c>
      <c r="B1524" s="304" t="s">
        <v>7079</v>
      </c>
      <c r="C1524" s="304" t="s">
        <v>5555</v>
      </c>
      <c r="D1524" s="540">
        <v>141.68</v>
      </c>
    </row>
    <row r="1525" spans="1:4" ht="15" x14ac:dyDescent="0.25">
      <c r="A1525" s="304">
        <v>1630</v>
      </c>
      <c r="B1525" s="304" t="s">
        <v>7080</v>
      </c>
      <c r="C1525" s="304" t="s">
        <v>5555</v>
      </c>
      <c r="D1525" s="541">
        <v>3119.62</v>
      </c>
    </row>
    <row r="1526" spans="1:4" ht="15" x14ac:dyDescent="0.25">
      <c r="A1526" s="304">
        <v>1616</v>
      </c>
      <c r="B1526" s="304" t="s">
        <v>7081</v>
      </c>
      <c r="C1526" s="304" t="s">
        <v>5555</v>
      </c>
      <c r="D1526" s="541">
        <v>4798.03</v>
      </c>
    </row>
    <row r="1527" spans="1:4" ht="15" x14ac:dyDescent="0.25">
      <c r="A1527" s="304">
        <v>1614</v>
      </c>
      <c r="B1527" s="304" t="s">
        <v>7082</v>
      </c>
      <c r="C1527" s="304" t="s">
        <v>5555</v>
      </c>
      <c r="D1527" s="540">
        <v>219.28</v>
      </c>
    </row>
    <row r="1528" spans="1:4" ht="15" x14ac:dyDescent="0.25">
      <c r="A1528" s="304">
        <v>1617</v>
      </c>
      <c r="B1528" s="304" t="s">
        <v>7083</v>
      </c>
      <c r="C1528" s="304" t="s">
        <v>5555</v>
      </c>
      <c r="D1528" s="541">
        <v>5727.81</v>
      </c>
    </row>
    <row r="1529" spans="1:4" ht="15" x14ac:dyDescent="0.25">
      <c r="A1529" s="304">
        <v>1621</v>
      </c>
      <c r="B1529" s="304" t="s">
        <v>7084</v>
      </c>
      <c r="C1529" s="304" t="s">
        <v>5555</v>
      </c>
      <c r="D1529" s="540">
        <v>392.19</v>
      </c>
    </row>
    <row r="1530" spans="1:4" ht="15" x14ac:dyDescent="0.25">
      <c r="A1530" s="304">
        <v>1624</v>
      </c>
      <c r="B1530" s="304" t="s">
        <v>7085</v>
      </c>
      <c r="C1530" s="304" t="s">
        <v>5555</v>
      </c>
      <c r="D1530" s="541">
        <v>14079.24</v>
      </c>
    </row>
    <row r="1531" spans="1:4" ht="15" x14ac:dyDescent="0.25">
      <c r="A1531" s="304">
        <v>1615</v>
      </c>
      <c r="B1531" s="304" t="s">
        <v>7086</v>
      </c>
      <c r="C1531" s="304" t="s">
        <v>5555</v>
      </c>
      <c r="D1531" s="540">
        <v>736.47</v>
      </c>
    </row>
    <row r="1532" spans="1:4" ht="15" x14ac:dyDescent="0.25">
      <c r="A1532" s="304">
        <v>1612</v>
      </c>
      <c r="B1532" s="304" t="s">
        <v>7087</v>
      </c>
      <c r="C1532" s="304" t="s">
        <v>5555</v>
      </c>
      <c r="D1532" s="540">
        <v>97</v>
      </c>
    </row>
    <row r="1533" spans="1:4" ht="15" x14ac:dyDescent="0.25">
      <c r="A1533" s="304">
        <v>1618</v>
      </c>
      <c r="B1533" s="304" t="s">
        <v>7088</v>
      </c>
      <c r="C1533" s="304" t="s">
        <v>5555</v>
      </c>
      <c r="D1533" s="541">
        <v>1012.02</v>
      </c>
    </row>
    <row r="1534" spans="1:4" ht="15" x14ac:dyDescent="0.25">
      <c r="A1534" s="304">
        <v>14211</v>
      </c>
      <c r="B1534" s="304" t="s">
        <v>7089</v>
      </c>
      <c r="C1534" s="304" t="s">
        <v>5555</v>
      </c>
      <c r="D1534" s="540">
        <v>33.11</v>
      </c>
    </row>
    <row r="1535" spans="1:4" ht="15" x14ac:dyDescent="0.25">
      <c r="A1535" s="304">
        <v>34500</v>
      </c>
      <c r="B1535" s="304" t="s">
        <v>7090</v>
      </c>
      <c r="C1535" s="304" t="s">
        <v>5566</v>
      </c>
      <c r="D1535" s="540">
        <v>121.38</v>
      </c>
    </row>
    <row r="1536" spans="1:4" ht="15" x14ac:dyDescent="0.25">
      <c r="A1536" s="304">
        <v>40934</v>
      </c>
      <c r="B1536" s="304" t="s">
        <v>7091</v>
      </c>
      <c r="C1536" s="304" t="s">
        <v>5755</v>
      </c>
      <c r="D1536" s="541">
        <v>21241.24</v>
      </c>
    </row>
    <row r="1537" spans="1:4" ht="15" x14ac:dyDescent="0.25">
      <c r="A1537" s="304">
        <v>5328</v>
      </c>
      <c r="B1537" s="304" t="s">
        <v>7092</v>
      </c>
      <c r="C1537" s="304" t="s">
        <v>5555</v>
      </c>
      <c r="D1537" s="540">
        <v>3.7</v>
      </c>
    </row>
    <row r="1538" spans="1:4" ht="15" x14ac:dyDescent="0.25">
      <c r="A1538" s="304">
        <v>38200</v>
      </c>
      <c r="B1538" s="304" t="s">
        <v>7093</v>
      </c>
      <c r="C1538" s="304" t="s">
        <v>7094</v>
      </c>
      <c r="D1538" s="540">
        <v>514.32000000000005</v>
      </c>
    </row>
    <row r="1539" spans="1:4" ht="15" x14ac:dyDescent="0.25">
      <c r="A1539" s="304">
        <v>39269</v>
      </c>
      <c r="B1539" s="304" t="s">
        <v>7095</v>
      </c>
      <c r="C1539" s="304" t="s">
        <v>5575</v>
      </c>
      <c r="D1539" s="540">
        <v>0.8</v>
      </c>
    </row>
    <row r="1540" spans="1:4" ht="15" x14ac:dyDescent="0.25">
      <c r="A1540" s="304">
        <v>11889</v>
      </c>
      <c r="B1540" s="304" t="s">
        <v>7096</v>
      </c>
      <c r="C1540" s="304" t="s">
        <v>5575</v>
      </c>
      <c r="D1540" s="540">
        <v>1.1100000000000001</v>
      </c>
    </row>
    <row r="1541" spans="1:4" ht="15" x14ac:dyDescent="0.25">
      <c r="A1541" s="304">
        <v>39270</v>
      </c>
      <c r="B1541" s="304" t="s">
        <v>7097</v>
      </c>
      <c r="C1541" s="304" t="s">
        <v>5575</v>
      </c>
      <c r="D1541" s="540">
        <v>1.33</v>
      </c>
    </row>
    <row r="1542" spans="1:4" ht="15" x14ac:dyDescent="0.25">
      <c r="A1542" s="304">
        <v>11890</v>
      </c>
      <c r="B1542" s="304" t="s">
        <v>7098</v>
      </c>
      <c r="C1542" s="304" t="s">
        <v>5575</v>
      </c>
      <c r="D1542" s="540">
        <v>1.73</v>
      </c>
    </row>
    <row r="1543" spans="1:4" ht="15" x14ac:dyDescent="0.25">
      <c r="A1543" s="304">
        <v>11891</v>
      </c>
      <c r="B1543" s="304" t="s">
        <v>7099</v>
      </c>
      <c r="C1543" s="304" t="s">
        <v>5575</v>
      </c>
      <c r="D1543" s="540">
        <v>2.85</v>
      </c>
    </row>
    <row r="1544" spans="1:4" ht="15" x14ac:dyDescent="0.25">
      <c r="A1544" s="304">
        <v>11892</v>
      </c>
      <c r="B1544" s="304" t="s">
        <v>7100</v>
      </c>
      <c r="C1544" s="304" t="s">
        <v>5575</v>
      </c>
      <c r="D1544" s="540">
        <v>4.4000000000000004</v>
      </c>
    </row>
    <row r="1545" spans="1:4" ht="15" x14ac:dyDescent="0.25">
      <c r="A1545" s="304">
        <v>37601</v>
      </c>
      <c r="B1545" s="304" t="s">
        <v>7101</v>
      </c>
      <c r="C1545" s="304" t="s">
        <v>5575</v>
      </c>
      <c r="D1545" s="540">
        <v>4.2</v>
      </c>
    </row>
    <row r="1546" spans="1:4" ht="15" x14ac:dyDescent="0.25">
      <c r="A1546" s="304">
        <v>1634</v>
      </c>
      <c r="B1546" s="304" t="s">
        <v>7102</v>
      </c>
      <c r="C1546" s="304" t="s">
        <v>5575</v>
      </c>
      <c r="D1546" s="540">
        <v>4.33</v>
      </c>
    </row>
    <row r="1547" spans="1:4" ht="15" x14ac:dyDescent="0.25">
      <c r="A1547" s="304">
        <v>5086</v>
      </c>
      <c r="B1547" s="304" t="s">
        <v>7103</v>
      </c>
      <c r="C1547" s="304" t="s">
        <v>5626</v>
      </c>
      <c r="D1547" s="540">
        <v>25.37</v>
      </c>
    </row>
    <row r="1548" spans="1:4" ht="15" x14ac:dyDescent="0.25">
      <c r="A1548" s="304">
        <v>11280</v>
      </c>
      <c r="B1548" s="304" t="s">
        <v>7104</v>
      </c>
      <c r="C1548" s="304" t="s">
        <v>5555</v>
      </c>
      <c r="D1548" s="541">
        <v>9394.58</v>
      </c>
    </row>
    <row r="1549" spans="1:4" ht="15" x14ac:dyDescent="0.25">
      <c r="A1549" s="304">
        <v>40519</v>
      </c>
      <c r="B1549" s="304" t="s">
        <v>7105</v>
      </c>
      <c r="C1549" s="304" t="s">
        <v>5555</v>
      </c>
      <c r="D1549" s="541">
        <v>77445.710000000006</v>
      </c>
    </row>
    <row r="1550" spans="1:4" ht="15" x14ac:dyDescent="0.25">
      <c r="A1550" s="304">
        <v>39869</v>
      </c>
      <c r="B1550" s="304" t="s">
        <v>7106</v>
      </c>
      <c r="C1550" s="304" t="s">
        <v>5555</v>
      </c>
      <c r="D1550" s="540">
        <v>7.85</v>
      </c>
    </row>
    <row r="1551" spans="1:4" ht="15" x14ac:dyDescent="0.25">
      <c r="A1551" s="304">
        <v>39870</v>
      </c>
      <c r="B1551" s="304" t="s">
        <v>7107</v>
      </c>
      <c r="C1551" s="304" t="s">
        <v>5555</v>
      </c>
      <c r="D1551" s="540">
        <v>12</v>
      </c>
    </row>
    <row r="1552" spans="1:4" ht="15" x14ac:dyDescent="0.25">
      <c r="A1552" s="304">
        <v>39871</v>
      </c>
      <c r="B1552" s="304" t="s">
        <v>7108</v>
      </c>
      <c r="C1552" s="304" t="s">
        <v>5555</v>
      </c>
      <c r="D1552" s="540">
        <v>13.45</v>
      </c>
    </row>
    <row r="1553" spans="1:4" ht="15" x14ac:dyDescent="0.25">
      <c r="A1553" s="304">
        <v>12722</v>
      </c>
      <c r="B1553" s="304" t="s">
        <v>7109</v>
      </c>
      <c r="C1553" s="304" t="s">
        <v>5555</v>
      </c>
      <c r="D1553" s="540">
        <v>450.24</v>
      </c>
    </row>
    <row r="1554" spans="1:4" ht="15" x14ac:dyDescent="0.25">
      <c r="A1554" s="304">
        <v>12714</v>
      </c>
      <c r="B1554" s="304" t="s">
        <v>7110</v>
      </c>
      <c r="C1554" s="304" t="s">
        <v>5555</v>
      </c>
      <c r="D1554" s="540">
        <v>2.94</v>
      </c>
    </row>
    <row r="1555" spans="1:4" ht="15" x14ac:dyDescent="0.25">
      <c r="A1555" s="304">
        <v>12715</v>
      </c>
      <c r="B1555" s="304" t="s">
        <v>7111</v>
      </c>
      <c r="C1555" s="304" t="s">
        <v>5555</v>
      </c>
      <c r="D1555" s="540">
        <v>6.63</v>
      </c>
    </row>
    <row r="1556" spans="1:4" ht="15" x14ac:dyDescent="0.25">
      <c r="A1556" s="304">
        <v>12716</v>
      </c>
      <c r="B1556" s="304" t="s">
        <v>7112</v>
      </c>
      <c r="C1556" s="304" t="s">
        <v>5555</v>
      </c>
      <c r="D1556" s="540">
        <v>11.39</v>
      </c>
    </row>
    <row r="1557" spans="1:4" ht="15" x14ac:dyDescent="0.25">
      <c r="A1557" s="304">
        <v>12717</v>
      </c>
      <c r="B1557" s="304" t="s">
        <v>7113</v>
      </c>
      <c r="C1557" s="304" t="s">
        <v>5555</v>
      </c>
      <c r="D1557" s="540">
        <v>22.4</v>
      </c>
    </row>
    <row r="1558" spans="1:4" ht="15" x14ac:dyDescent="0.25">
      <c r="A1558" s="304">
        <v>12718</v>
      </c>
      <c r="B1558" s="304" t="s">
        <v>7114</v>
      </c>
      <c r="C1558" s="304" t="s">
        <v>5555</v>
      </c>
      <c r="D1558" s="540">
        <v>34.369999999999997</v>
      </c>
    </row>
    <row r="1559" spans="1:4" ht="15" x14ac:dyDescent="0.25">
      <c r="A1559" s="304">
        <v>12719</v>
      </c>
      <c r="B1559" s="304" t="s">
        <v>7115</v>
      </c>
      <c r="C1559" s="304" t="s">
        <v>5555</v>
      </c>
      <c r="D1559" s="540">
        <v>54.57</v>
      </c>
    </row>
    <row r="1560" spans="1:4" ht="15" x14ac:dyDescent="0.25">
      <c r="A1560" s="304">
        <v>12720</v>
      </c>
      <c r="B1560" s="304" t="s">
        <v>7116</v>
      </c>
      <c r="C1560" s="304" t="s">
        <v>5555</v>
      </c>
      <c r="D1560" s="540">
        <v>190.01</v>
      </c>
    </row>
    <row r="1561" spans="1:4" ht="15" x14ac:dyDescent="0.25">
      <c r="A1561" s="304">
        <v>12721</v>
      </c>
      <c r="B1561" s="304" t="s">
        <v>7117</v>
      </c>
      <c r="C1561" s="304" t="s">
        <v>5555</v>
      </c>
      <c r="D1561" s="540">
        <v>182.21</v>
      </c>
    </row>
    <row r="1562" spans="1:4" ht="15" x14ac:dyDescent="0.25">
      <c r="A1562" s="304">
        <v>3468</v>
      </c>
      <c r="B1562" s="304" t="s">
        <v>7118</v>
      </c>
      <c r="C1562" s="304" t="s">
        <v>5555</v>
      </c>
      <c r="D1562" s="540">
        <v>22.74</v>
      </c>
    </row>
    <row r="1563" spans="1:4" ht="15" x14ac:dyDescent="0.25">
      <c r="A1563" s="304">
        <v>3465</v>
      </c>
      <c r="B1563" s="304" t="s">
        <v>7119</v>
      </c>
      <c r="C1563" s="304" t="s">
        <v>5555</v>
      </c>
      <c r="D1563" s="540">
        <v>22.73</v>
      </c>
    </row>
    <row r="1564" spans="1:4" ht="15" x14ac:dyDescent="0.25">
      <c r="A1564" s="304">
        <v>12403</v>
      </c>
      <c r="B1564" s="304" t="s">
        <v>7120</v>
      </c>
      <c r="C1564" s="304" t="s">
        <v>5555</v>
      </c>
      <c r="D1564" s="540">
        <v>16.2</v>
      </c>
    </row>
    <row r="1565" spans="1:4" ht="15" x14ac:dyDescent="0.25">
      <c r="A1565" s="304">
        <v>3463</v>
      </c>
      <c r="B1565" s="304" t="s">
        <v>7121</v>
      </c>
      <c r="C1565" s="304" t="s">
        <v>5555</v>
      </c>
      <c r="D1565" s="540">
        <v>9.4600000000000009</v>
      </c>
    </row>
    <row r="1566" spans="1:4" ht="15" x14ac:dyDescent="0.25">
      <c r="A1566" s="304">
        <v>3464</v>
      </c>
      <c r="B1566" s="304" t="s">
        <v>7122</v>
      </c>
      <c r="C1566" s="304" t="s">
        <v>5555</v>
      </c>
      <c r="D1566" s="540">
        <v>9.4600000000000009</v>
      </c>
    </row>
    <row r="1567" spans="1:4" ht="15" x14ac:dyDescent="0.25">
      <c r="A1567" s="304">
        <v>3466</v>
      </c>
      <c r="B1567" s="304" t="s">
        <v>7123</v>
      </c>
      <c r="C1567" s="304" t="s">
        <v>5555</v>
      </c>
      <c r="D1567" s="540">
        <v>57.73</v>
      </c>
    </row>
    <row r="1568" spans="1:4" ht="15" x14ac:dyDescent="0.25">
      <c r="A1568" s="304">
        <v>3467</v>
      </c>
      <c r="B1568" s="304" t="s">
        <v>7124</v>
      </c>
      <c r="C1568" s="304" t="s">
        <v>5555</v>
      </c>
      <c r="D1568" s="540">
        <v>32.6</v>
      </c>
    </row>
    <row r="1569" spans="1:4" ht="15" x14ac:dyDescent="0.25">
      <c r="A1569" s="304">
        <v>3462</v>
      </c>
      <c r="B1569" s="304" t="s">
        <v>7125</v>
      </c>
      <c r="C1569" s="304" t="s">
        <v>5555</v>
      </c>
      <c r="D1569" s="540">
        <v>6.24</v>
      </c>
    </row>
    <row r="1570" spans="1:4" ht="15" x14ac:dyDescent="0.25">
      <c r="A1570" s="304">
        <v>3446</v>
      </c>
      <c r="B1570" s="304" t="s">
        <v>7126</v>
      </c>
      <c r="C1570" s="304" t="s">
        <v>5555</v>
      </c>
      <c r="D1570" s="540">
        <v>19.22</v>
      </c>
    </row>
    <row r="1571" spans="1:4" ht="15" x14ac:dyDescent="0.25">
      <c r="A1571" s="304">
        <v>3445</v>
      </c>
      <c r="B1571" s="304" t="s">
        <v>7127</v>
      </c>
      <c r="C1571" s="304" t="s">
        <v>5555</v>
      </c>
      <c r="D1571" s="540">
        <v>15.69</v>
      </c>
    </row>
    <row r="1572" spans="1:4" ht="15" x14ac:dyDescent="0.25">
      <c r="A1572" s="304">
        <v>3441</v>
      </c>
      <c r="B1572" s="304" t="s">
        <v>7128</v>
      </c>
      <c r="C1572" s="304" t="s">
        <v>5555</v>
      </c>
      <c r="D1572" s="540">
        <v>4.43</v>
      </c>
    </row>
    <row r="1573" spans="1:4" ht="15" x14ac:dyDescent="0.25">
      <c r="A1573" s="304">
        <v>3444</v>
      </c>
      <c r="B1573" s="304" t="s">
        <v>7129</v>
      </c>
      <c r="C1573" s="304" t="s">
        <v>5555</v>
      </c>
      <c r="D1573" s="540">
        <v>9.66</v>
      </c>
    </row>
    <row r="1574" spans="1:4" ht="15" x14ac:dyDescent="0.25">
      <c r="A1574" s="304">
        <v>12402</v>
      </c>
      <c r="B1574" s="304" t="s">
        <v>7130</v>
      </c>
      <c r="C1574" s="304" t="s">
        <v>5555</v>
      </c>
      <c r="D1574" s="540">
        <v>54.03</v>
      </c>
    </row>
    <row r="1575" spans="1:4" ht="15" x14ac:dyDescent="0.25">
      <c r="A1575" s="304">
        <v>3447</v>
      </c>
      <c r="B1575" s="304" t="s">
        <v>7131</v>
      </c>
      <c r="C1575" s="304" t="s">
        <v>5555</v>
      </c>
      <c r="D1575" s="540">
        <v>27.95</v>
      </c>
    </row>
    <row r="1576" spans="1:4" ht="15" x14ac:dyDescent="0.25">
      <c r="A1576" s="304">
        <v>3442</v>
      </c>
      <c r="B1576" s="304" t="s">
        <v>7132</v>
      </c>
      <c r="C1576" s="304" t="s">
        <v>5555</v>
      </c>
      <c r="D1576" s="540">
        <v>6.62</v>
      </c>
    </row>
    <row r="1577" spans="1:4" ht="15" x14ac:dyDescent="0.25">
      <c r="A1577" s="304">
        <v>3448</v>
      </c>
      <c r="B1577" s="304" t="s">
        <v>7133</v>
      </c>
      <c r="C1577" s="304" t="s">
        <v>5555</v>
      </c>
      <c r="D1577" s="540">
        <v>78.989999999999995</v>
      </c>
    </row>
    <row r="1578" spans="1:4" ht="15" x14ac:dyDescent="0.25">
      <c r="A1578" s="304">
        <v>3449</v>
      </c>
      <c r="B1578" s="304" t="s">
        <v>7134</v>
      </c>
      <c r="C1578" s="304" t="s">
        <v>5555</v>
      </c>
      <c r="D1578" s="540">
        <v>138.41</v>
      </c>
    </row>
    <row r="1579" spans="1:4" ht="15" x14ac:dyDescent="0.25">
      <c r="A1579" s="304">
        <v>37438</v>
      </c>
      <c r="B1579" s="304" t="s">
        <v>7135</v>
      </c>
      <c r="C1579" s="304" t="s">
        <v>5555</v>
      </c>
      <c r="D1579" s="540">
        <v>149.16</v>
      </c>
    </row>
    <row r="1580" spans="1:4" ht="15" x14ac:dyDescent="0.25">
      <c r="A1580" s="304">
        <v>37439</v>
      </c>
      <c r="B1580" s="304" t="s">
        <v>7136</v>
      </c>
      <c r="C1580" s="304" t="s">
        <v>5555</v>
      </c>
      <c r="D1580" s="540">
        <v>975.23</v>
      </c>
    </row>
    <row r="1581" spans="1:4" ht="15" x14ac:dyDescent="0.25">
      <c r="A1581" s="304">
        <v>37435</v>
      </c>
      <c r="B1581" s="304" t="s">
        <v>7137</v>
      </c>
      <c r="C1581" s="304" t="s">
        <v>5555</v>
      </c>
      <c r="D1581" s="540">
        <v>17.53</v>
      </c>
    </row>
    <row r="1582" spans="1:4" ht="15" x14ac:dyDescent="0.25">
      <c r="A1582" s="304">
        <v>37436</v>
      </c>
      <c r="B1582" s="304" t="s">
        <v>7138</v>
      </c>
      <c r="C1582" s="304" t="s">
        <v>5555</v>
      </c>
      <c r="D1582" s="540">
        <v>20.68</v>
      </c>
    </row>
    <row r="1583" spans="1:4" ht="15" x14ac:dyDescent="0.25">
      <c r="A1583" s="304">
        <v>37437</v>
      </c>
      <c r="B1583" s="304" t="s">
        <v>7139</v>
      </c>
      <c r="C1583" s="304" t="s">
        <v>5555</v>
      </c>
      <c r="D1583" s="540">
        <v>29.92</v>
      </c>
    </row>
    <row r="1584" spans="1:4" ht="15" x14ac:dyDescent="0.25">
      <c r="A1584" s="304">
        <v>3473</v>
      </c>
      <c r="B1584" s="304" t="s">
        <v>7140</v>
      </c>
      <c r="C1584" s="304" t="s">
        <v>5555</v>
      </c>
      <c r="D1584" s="540">
        <v>21.73</v>
      </c>
    </row>
    <row r="1585" spans="1:4" ht="15" x14ac:dyDescent="0.25">
      <c r="A1585" s="304">
        <v>3474</v>
      </c>
      <c r="B1585" s="304" t="s">
        <v>7141</v>
      </c>
      <c r="C1585" s="304" t="s">
        <v>5555</v>
      </c>
      <c r="D1585" s="540">
        <v>17.91</v>
      </c>
    </row>
    <row r="1586" spans="1:4" ht="15" x14ac:dyDescent="0.25">
      <c r="A1586" s="304">
        <v>3450</v>
      </c>
      <c r="B1586" s="304" t="s">
        <v>7142</v>
      </c>
      <c r="C1586" s="304" t="s">
        <v>5555</v>
      </c>
      <c r="D1586" s="540">
        <v>5.19</v>
      </c>
    </row>
    <row r="1587" spans="1:4" ht="15" x14ac:dyDescent="0.25">
      <c r="A1587" s="304">
        <v>3443</v>
      </c>
      <c r="B1587" s="304" t="s">
        <v>7143</v>
      </c>
      <c r="C1587" s="304" t="s">
        <v>5555</v>
      </c>
      <c r="D1587" s="540">
        <v>11.14</v>
      </c>
    </row>
    <row r="1588" spans="1:4" ht="15" x14ac:dyDescent="0.25">
      <c r="A1588" s="304">
        <v>3453</v>
      </c>
      <c r="B1588" s="304" t="s">
        <v>7144</v>
      </c>
      <c r="C1588" s="304" t="s">
        <v>5555</v>
      </c>
      <c r="D1588" s="540">
        <v>63.43</v>
      </c>
    </row>
    <row r="1589" spans="1:4" ht="15" x14ac:dyDescent="0.25">
      <c r="A1589" s="304">
        <v>3452</v>
      </c>
      <c r="B1589" s="304" t="s">
        <v>7145</v>
      </c>
      <c r="C1589" s="304" t="s">
        <v>5555</v>
      </c>
      <c r="D1589" s="540">
        <v>31.31</v>
      </c>
    </row>
    <row r="1590" spans="1:4" ht="15" x14ac:dyDescent="0.25">
      <c r="A1590" s="304">
        <v>3451</v>
      </c>
      <c r="B1590" s="304" t="s">
        <v>7146</v>
      </c>
      <c r="C1590" s="304" t="s">
        <v>5555</v>
      </c>
      <c r="D1590" s="540">
        <v>6.21</v>
      </c>
    </row>
    <row r="1591" spans="1:4" ht="15" x14ac:dyDescent="0.25">
      <c r="A1591" s="304">
        <v>3454</v>
      </c>
      <c r="B1591" s="304" t="s">
        <v>7147</v>
      </c>
      <c r="C1591" s="304" t="s">
        <v>5555</v>
      </c>
      <c r="D1591" s="540">
        <v>96.48</v>
      </c>
    </row>
    <row r="1592" spans="1:4" ht="15" x14ac:dyDescent="0.25">
      <c r="A1592" s="304">
        <v>3458</v>
      </c>
      <c r="B1592" s="304" t="s">
        <v>7148</v>
      </c>
      <c r="C1592" s="304" t="s">
        <v>5555</v>
      </c>
      <c r="D1592" s="540">
        <v>17.420000000000002</v>
      </c>
    </row>
    <row r="1593" spans="1:4" ht="15" x14ac:dyDescent="0.25">
      <c r="A1593" s="304">
        <v>3457</v>
      </c>
      <c r="B1593" s="304" t="s">
        <v>7149</v>
      </c>
      <c r="C1593" s="304" t="s">
        <v>5555</v>
      </c>
      <c r="D1593" s="540">
        <v>13.08</v>
      </c>
    </row>
    <row r="1594" spans="1:4" ht="15" x14ac:dyDescent="0.25">
      <c r="A1594" s="304">
        <v>3455</v>
      </c>
      <c r="B1594" s="304" t="s">
        <v>7150</v>
      </c>
      <c r="C1594" s="304" t="s">
        <v>5555</v>
      </c>
      <c r="D1594" s="540">
        <v>3.71</v>
      </c>
    </row>
    <row r="1595" spans="1:4" ht="15" x14ac:dyDescent="0.25">
      <c r="A1595" s="304">
        <v>3472</v>
      </c>
      <c r="B1595" s="304" t="s">
        <v>7151</v>
      </c>
      <c r="C1595" s="304" t="s">
        <v>5555</v>
      </c>
      <c r="D1595" s="540">
        <v>8.34</v>
      </c>
    </row>
    <row r="1596" spans="1:4" ht="15" x14ac:dyDescent="0.25">
      <c r="A1596" s="304">
        <v>3470</v>
      </c>
      <c r="B1596" s="304" t="s">
        <v>7152</v>
      </c>
      <c r="C1596" s="304" t="s">
        <v>5555</v>
      </c>
      <c r="D1596" s="540">
        <v>48.64</v>
      </c>
    </row>
    <row r="1597" spans="1:4" ht="15" x14ac:dyDescent="0.25">
      <c r="A1597" s="304">
        <v>3471</v>
      </c>
      <c r="B1597" s="304" t="s">
        <v>7153</v>
      </c>
      <c r="C1597" s="304" t="s">
        <v>5555</v>
      </c>
      <c r="D1597" s="540">
        <v>26.73</v>
      </c>
    </row>
    <row r="1598" spans="1:4" ht="15" x14ac:dyDescent="0.25">
      <c r="A1598" s="304">
        <v>3456</v>
      </c>
      <c r="B1598" s="304" t="s">
        <v>7154</v>
      </c>
      <c r="C1598" s="304" t="s">
        <v>5555</v>
      </c>
      <c r="D1598" s="540">
        <v>5.55</v>
      </c>
    </row>
    <row r="1599" spans="1:4" ht="15" x14ac:dyDescent="0.25">
      <c r="A1599" s="304">
        <v>3459</v>
      </c>
      <c r="B1599" s="304" t="s">
        <v>7155</v>
      </c>
      <c r="C1599" s="304" t="s">
        <v>5555</v>
      </c>
      <c r="D1599" s="540">
        <v>68.61</v>
      </c>
    </row>
    <row r="1600" spans="1:4" ht="15" x14ac:dyDescent="0.25">
      <c r="A1600" s="304">
        <v>3469</v>
      </c>
      <c r="B1600" s="304" t="s">
        <v>7156</v>
      </c>
      <c r="C1600" s="304" t="s">
        <v>5555</v>
      </c>
      <c r="D1600" s="540">
        <v>130.47999999999999</v>
      </c>
    </row>
    <row r="1601" spans="1:4" ht="15" x14ac:dyDescent="0.25">
      <c r="A1601" s="304">
        <v>3460</v>
      </c>
      <c r="B1601" s="304" t="s">
        <v>7157</v>
      </c>
      <c r="C1601" s="304" t="s">
        <v>5555</v>
      </c>
      <c r="D1601" s="540">
        <v>190.39</v>
      </c>
    </row>
    <row r="1602" spans="1:4" ht="15" x14ac:dyDescent="0.25">
      <c r="A1602" s="304">
        <v>3461</v>
      </c>
      <c r="B1602" s="304" t="s">
        <v>7158</v>
      </c>
      <c r="C1602" s="304" t="s">
        <v>5555</v>
      </c>
      <c r="D1602" s="540">
        <v>486.63</v>
      </c>
    </row>
    <row r="1603" spans="1:4" ht="15" x14ac:dyDescent="0.25">
      <c r="A1603" s="304">
        <v>37433</v>
      </c>
      <c r="B1603" s="304" t="s">
        <v>7159</v>
      </c>
      <c r="C1603" s="304" t="s">
        <v>5555</v>
      </c>
      <c r="D1603" s="540">
        <v>149.16</v>
      </c>
    </row>
    <row r="1604" spans="1:4" ht="15" x14ac:dyDescent="0.25">
      <c r="A1604" s="304">
        <v>37430</v>
      </c>
      <c r="B1604" s="304" t="s">
        <v>7160</v>
      </c>
      <c r="C1604" s="304" t="s">
        <v>5555</v>
      </c>
      <c r="D1604" s="540">
        <v>18.690000000000001</v>
      </c>
    </row>
    <row r="1605" spans="1:4" ht="15" x14ac:dyDescent="0.25">
      <c r="A1605" s="304">
        <v>37434</v>
      </c>
      <c r="B1605" s="304" t="s">
        <v>7161</v>
      </c>
      <c r="C1605" s="304" t="s">
        <v>5555</v>
      </c>
      <c r="D1605" s="541">
        <v>1390.81</v>
      </c>
    </row>
    <row r="1606" spans="1:4" ht="15" x14ac:dyDescent="0.25">
      <c r="A1606" s="304">
        <v>37431</v>
      </c>
      <c r="B1606" s="304" t="s">
        <v>7162</v>
      </c>
      <c r="C1606" s="304" t="s">
        <v>5555</v>
      </c>
      <c r="D1606" s="540">
        <v>25.35</v>
      </c>
    </row>
    <row r="1607" spans="1:4" ht="15" x14ac:dyDescent="0.25">
      <c r="A1607" s="304">
        <v>37432</v>
      </c>
      <c r="B1607" s="304" t="s">
        <v>7163</v>
      </c>
      <c r="C1607" s="304" t="s">
        <v>5555</v>
      </c>
      <c r="D1607" s="540">
        <v>46.77</v>
      </c>
    </row>
    <row r="1608" spans="1:4" ht="15" x14ac:dyDescent="0.25">
      <c r="A1608" s="304">
        <v>37413</v>
      </c>
      <c r="B1608" s="304" t="s">
        <v>7164</v>
      </c>
      <c r="C1608" s="304" t="s">
        <v>5555</v>
      </c>
      <c r="D1608" s="540">
        <v>2.92</v>
      </c>
    </row>
    <row r="1609" spans="1:4" ht="15" x14ac:dyDescent="0.25">
      <c r="A1609" s="304">
        <v>37414</v>
      </c>
      <c r="B1609" s="304" t="s">
        <v>7165</v>
      </c>
      <c r="C1609" s="304" t="s">
        <v>5555</v>
      </c>
      <c r="D1609" s="540">
        <v>3.31</v>
      </c>
    </row>
    <row r="1610" spans="1:4" ht="15" x14ac:dyDescent="0.25">
      <c r="A1610" s="304">
        <v>37415</v>
      </c>
      <c r="B1610" s="304" t="s">
        <v>7166</v>
      </c>
      <c r="C1610" s="304" t="s">
        <v>5555</v>
      </c>
      <c r="D1610" s="540">
        <v>6.02</v>
      </c>
    </row>
    <row r="1611" spans="1:4" ht="15" x14ac:dyDescent="0.25">
      <c r="A1611" s="304">
        <v>37416</v>
      </c>
      <c r="B1611" s="304" t="s">
        <v>7167</v>
      </c>
      <c r="C1611" s="304" t="s">
        <v>5555</v>
      </c>
      <c r="D1611" s="540">
        <v>2.73</v>
      </c>
    </row>
    <row r="1612" spans="1:4" ht="15" x14ac:dyDescent="0.25">
      <c r="A1612" s="304">
        <v>37417</v>
      </c>
      <c r="B1612" s="304" t="s">
        <v>7168</v>
      </c>
      <c r="C1612" s="304" t="s">
        <v>5555</v>
      </c>
      <c r="D1612" s="540">
        <v>3.92</v>
      </c>
    </row>
    <row r="1613" spans="1:4" ht="15" x14ac:dyDescent="0.25">
      <c r="A1613" s="304">
        <v>3112</v>
      </c>
      <c r="B1613" s="304" t="s">
        <v>7169</v>
      </c>
      <c r="C1613" s="304" t="s">
        <v>7062</v>
      </c>
      <c r="D1613" s="540">
        <v>51.27</v>
      </c>
    </row>
    <row r="1614" spans="1:4" ht="15" x14ac:dyDescent="0.25">
      <c r="A1614" s="304">
        <v>3113</v>
      </c>
      <c r="B1614" s="304" t="s">
        <v>7170</v>
      </c>
      <c r="C1614" s="304" t="s">
        <v>7062</v>
      </c>
      <c r="D1614" s="540">
        <v>59.07</v>
      </c>
    </row>
    <row r="1615" spans="1:4" ht="15" x14ac:dyDescent="0.25">
      <c r="A1615" s="304">
        <v>3114</v>
      </c>
      <c r="B1615" s="304" t="s">
        <v>7171</v>
      </c>
      <c r="C1615" s="304" t="s">
        <v>5555</v>
      </c>
      <c r="D1615" s="540">
        <v>26.68</v>
      </c>
    </row>
    <row r="1616" spans="1:4" ht="15" x14ac:dyDescent="0.25">
      <c r="A1616" s="304">
        <v>34519</v>
      </c>
      <c r="B1616" s="304" t="s">
        <v>7172</v>
      </c>
      <c r="C1616" s="304" t="s">
        <v>5555</v>
      </c>
      <c r="D1616" s="540">
        <v>64.73</v>
      </c>
    </row>
    <row r="1617" spans="1:4" ht="15" x14ac:dyDescent="0.25">
      <c r="A1617" s="304">
        <v>10510</v>
      </c>
      <c r="B1617" s="304" t="s">
        <v>7173</v>
      </c>
      <c r="C1617" s="304" t="s">
        <v>5555</v>
      </c>
      <c r="D1617" s="540">
        <v>70.92</v>
      </c>
    </row>
    <row r="1618" spans="1:4" ht="15" x14ac:dyDescent="0.25">
      <c r="A1618" s="304">
        <v>1649</v>
      </c>
      <c r="B1618" s="304" t="s">
        <v>7174</v>
      </c>
      <c r="C1618" s="304" t="s">
        <v>5555</v>
      </c>
      <c r="D1618" s="540">
        <v>41.08</v>
      </c>
    </row>
    <row r="1619" spans="1:4" ht="15" x14ac:dyDescent="0.25">
      <c r="A1619" s="304">
        <v>1653</v>
      </c>
      <c r="B1619" s="304" t="s">
        <v>7175</v>
      </c>
      <c r="C1619" s="304" t="s">
        <v>5555</v>
      </c>
      <c r="D1619" s="540">
        <v>32.18</v>
      </c>
    </row>
    <row r="1620" spans="1:4" ht="15" x14ac:dyDescent="0.25">
      <c r="A1620" s="304">
        <v>1647</v>
      </c>
      <c r="B1620" s="304" t="s">
        <v>7176</v>
      </c>
      <c r="C1620" s="304" t="s">
        <v>5555</v>
      </c>
      <c r="D1620" s="540">
        <v>11.52</v>
      </c>
    </row>
    <row r="1621" spans="1:4" ht="15" x14ac:dyDescent="0.25">
      <c r="A1621" s="304">
        <v>1648</v>
      </c>
      <c r="B1621" s="304" t="s">
        <v>7177</v>
      </c>
      <c r="C1621" s="304" t="s">
        <v>5555</v>
      </c>
      <c r="D1621" s="540">
        <v>22.12</v>
      </c>
    </row>
    <row r="1622" spans="1:4" ht="15" x14ac:dyDescent="0.25">
      <c r="A1622" s="304">
        <v>1651</v>
      </c>
      <c r="B1622" s="304" t="s">
        <v>7178</v>
      </c>
      <c r="C1622" s="304" t="s">
        <v>5555</v>
      </c>
      <c r="D1622" s="540">
        <v>102.64</v>
      </c>
    </row>
    <row r="1623" spans="1:4" ht="15" x14ac:dyDescent="0.25">
      <c r="A1623" s="304">
        <v>1650</v>
      </c>
      <c r="B1623" s="304" t="s">
        <v>7179</v>
      </c>
      <c r="C1623" s="304" t="s">
        <v>5555</v>
      </c>
      <c r="D1623" s="540">
        <v>56.73</v>
      </c>
    </row>
    <row r="1624" spans="1:4" ht="15" x14ac:dyDescent="0.25">
      <c r="A1624" s="304">
        <v>1654</v>
      </c>
      <c r="B1624" s="304" t="s">
        <v>7180</v>
      </c>
      <c r="C1624" s="304" t="s">
        <v>5555</v>
      </c>
      <c r="D1624" s="540">
        <v>15.81</v>
      </c>
    </row>
    <row r="1625" spans="1:4" ht="15" x14ac:dyDescent="0.25">
      <c r="A1625" s="304">
        <v>1652</v>
      </c>
      <c r="B1625" s="304" t="s">
        <v>7181</v>
      </c>
      <c r="C1625" s="304" t="s">
        <v>5555</v>
      </c>
      <c r="D1625" s="540">
        <v>147.32</v>
      </c>
    </row>
    <row r="1626" spans="1:4" ht="15" x14ac:dyDescent="0.25">
      <c r="A1626" s="304">
        <v>1747</v>
      </c>
      <c r="B1626" s="304" t="s">
        <v>7182</v>
      </c>
      <c r="C1626" s="304" t="s">
        <v>5555</v>
      </c>
      <c r="D1626" s="540">
        <v>160.72999999999999</v>
      </c>
    </row>
    <row r="1627" spans="1:4" ht="15" x14ac:dyDescent="0.25">
      <c r="A1627" s="304">
        <v>1744</v>
      </c>
      <c r="B1627" s="304" t="s">
        <v>7183</v>
      </c>
      <c r="C1627" s="304" t="s">
        <v>5555</v>
      </c>
      <c r="D1627" s="540">
        <v>111.33</v>
      </c>
    </row>
    <row r="1628" spans="1:4" ht="15" x14ac:dyDescent="0.25">
      <c r="A1628" s="304">
        <v>1743</v>
      </c>
      <c r="B1628" s="304" t="s">
        <v>7184</v>
      </c>
      <c r="C1628" s="304" t="s">
        <v>5555</v>
      </c>
      <c r="D1628" s="540">
        <v>146.19999999999999</v>
      </c>
    </row>
    <row r="1629" spans="1:4" ht="15" x14ac:dyDescent="0.25">
      <c r="A1629" s="304">
        <v>7241</v>
      </c>
      <c r="B1629" s="304" t="s">
        <v>7185</v>
      </c>
      <c r="C1629" s="304" t="s">
        <v>5564</v>
      </c>
      <c r="D1629" s="540">
        <v>58.57</v>
      </c>
    </row>
    <row r="1630" spans="1:4" ht="15" x14ac:dyDescent="0.25">
      <c r="A1630" s="304">
        <v>39640</v>
      </c>
      <c r="B1630" s="304" t="s">
        <v>7186</v>
      </c>
      <c r="C1630" s="304" t="s">
        <v>5555</v>
      </c>
      <c r="D1630" s="540">
        <v>6.27</v>
      </c>
    </row>
    <row r="1631" spans="1:4" ht="15" x14ac:dyDescent="0.25">
      <c r="A1631" s="304">
        <v>11013</v>
      </c>
      <c r="B1631" s="304" t="s">
        <v>7187</v>
      </c>
      <c r="C1631" s="304" t="s">
        <v>5555</v>
      </c>
      <c r="D1631" s="540">
        <v>12.92</v>
      </c>
    </row>
    <row r="1632" spans="1:4" ht="15" x14ac:dyDescent="0.25">
      <c r="A1632" s="304">
        <v>11017</v>
      </c>
      <c r="B1632" s="304" t="s">
        <v>7188</v>
      </c>
      <c r="C1632" s="304" t="s">
        <v>5555</v>
      </c>
      <c r="D1632" s="540">
        <v>5.51</v>
      </c>
    </row>
    <row r="1633" spans="1:4" ht="15" x14ac:dyDescent="0.25">
      <c r="A1633" s="304">
        <v>20236</v>
      </c>
      <c r="B1633" s="304" t="s">
        <v>7189</v>
      </c>
      <c r="C1633" s="304" t="s">
        <v>5555</v>
      </c>
      <c r="D1633" s="540">
        <v>24.27</v>
      </c>
    </row>
    <row r="1634" spans="1:4" ht="15" x14ac:dyDescent="0.25">
      <c r="A1634" s="304">
        <v>7215</v>
      </c>
      <c r="B1634" s="304" t="s">
        <v>7190</v>
      </c>
      <c r="C1634" s="304" t="s">
        <v>5555</v>
      </c>
      <c r="D1634" s="540">
        <v>20.78</v>
      </c>
    </row>
    <row r="1635" spans="1:4" ht="15" x14ac:dyDescent="0.25">
      <c r="A1635" s="304">
        <v>7216</v>
      </c>
      <c r="B1635" s="304" t="s">
        <v>7191</v>
      </c>
      <c r="C1635" s="304" t="s">
        <v>5555</v>
      </c>
      <c r="D1635" s="540">
        <v>86.87</v>
      </c>
    </row>
    <row r="1636" spans="1:4" ht="15" x14ac:dyDescent="0.25">
      <c r="A1636" s="304">
        <v>20235</v>
      </c>
      <c r="B1636" s="304" t="s">
        <v>7192</v>
      </c>
      <c r="C1636" s="304" t="s">
        <v>5555</v>
      </c>
      <c r="D1636" s="540">
        <v>43.92</v>
      </c>
    </row>
    <row r="1637" spans="1:4" ht="15" x14ac:dyDescent="0.25">
      <c r="A1637" s="304">
        <v>7181</v>
      </c>
      <c r="B1637" s="304" t="s">
        <v>7193</v>
      </c>
      <c r="C1637" s="304" t="s">
        <v>5555</v>
      </c>
      <c r="D1637" s="540">
        <v>4.66</v>
      </c>
    </row>
    <row r="1638" spans="1:4" ht="15" x14ac:dyDescent="0.25">
      <c r="A1638" s="304">
        <v>40866</v>
      </c>
      <c r="B1638" s="304" t="s">
        <v>7194</v>
      </c>
      <c r="C1638" s="304" t="s">
        <v>5555</v>
      </c>
      <c r="D1638" s="540">
        <v>9.8800000000000008</v>
      </c>
    </row>
    <row r="1639" spans="1:4" ht="15" x14ac:dyDescent="0.25">
      <c r="A1639" s="304">
        <v>7214</v>
      </c>
      <c r="B1639" s="304" t="s">
        <v>7195</v>
      </c>
      <c r="C1639" s="304" t="s">
        <v>5555</v>
      </c>
      <c r="D1639" s="540">
        <v>29.76</v>
      </c>
    </row>
    <row r="1640" spans="1:4" ht="15" x14ac:dyDescent="0.25">
      <c r="A1640" s="304">
        <v>7219</v>
      </c>
      <c r="B1640" s="304" t="s">
        <v>7196</v>
      </c>
      <c r="C1640" s="304" t="s">
        <v>5555</v>
      </c>
      <c r="D1640" s="540">
        <v>30.8</v>
      </c>
    </row>
    <row r="1641" spans="1:4" ht="15" x14ac:dyDescent="0.25">
      <c r="A1641" s="304">
        <v>37972</v>
      </c>
      <c r="B1641" s="304" t="s">
        <v>7197</v>
      </c>
      <c r="C1641" s="304" t="s">
        <v>5555</v>
      </c>
      <c r="D1641" s="540">
        <v>4.46</v>
      </c>
    </row>
    <row r="1642" spans="1:4" ht="15" x14ac:dyDescent="0.25">
      <c r="A1642" s="304">
        <v>37973</v>
      </c>
      <c r="B1642" s="304" t="s">
        <v>7198</v>
      </c>
      <c r="C1642" s="304" t="s">
        <v>5555</v>
      </c>
      <c r="D1642" s="540">
        <v>7.15</v>
      </c>
    </row>
    <row r="1643" spans="1:4" ht="15" x14ac:dyDescent="0.25">
      <c r="A1643" s="304">
        <v>37971</v>
      </c>
      <c r="B1643" s="304" t="s">
        <v>7199</v>
      </c>
      <c r="C1643" s="304" t="s">
        <v>5555</v>
      </c>
      <c r="D1643" s="540">
        <v>2.68</v>
      </c>
    </row>
    <row r="1644" spans="1:4" ht="15" x14ac:dyDescent="0.25">
      <c r="A1644" s="304">
        <v>20094</v>
      </c>
      <c r="B1644" s="304" t="s">
        <v>7200</v>
      </c>
      <c r="C1644" s="304" t="s">
        <v>5555</v>
      </c>
      <c r="D1644" s="540">
        <v>15.71</v>
      </c>
    </row>
    <row r="1645" spans="1:4" ht="15" x14ac:dyDescent="0.25">
      <c r="A1645" s="304">
        <v>20095</v>
      </c>
      <c r="B1645" s="304" t="s">
        <v>7201</v>
      </c>
      <c r="C1645" s="304" t="s">
        <v>5555</v>
      </c>
      <c r="D1645" s="540">
        <v>20.010000000000002</v>
      </c>
    </row>
    <row r="1646" spans="1:4" ht="15" x14ac:dyDescent="0.25">
      <c r="A1646" s="304">
        <v>1954</v>
      </c>
      <c r="B1646" s="304" t="s">
        <v>7202</v>
      </c>
      <c r="C1646" s="304" t="s">
        <v>5555</v>
      </c>
      <c r="D1646" s="540">
        <v>109.89</v>
      </c>
    </row>
    <row r="1647" spans="1:4" ht="15" x14ac:dyDescent="0.25">
      <c r="A1647" s="304">
        <v>1926</v>
      </c>
      <c r="B1647" s="304" t="s">
        <v>7203</v>
      </c>
      <c r="C1647" s="304" t="s">
        <v>5555</v>
      </c>
      <c r="D1647" s="540">
        <v>1.45</v>
      </c>
    </row>
    <row r="1648" spans="1:4" ht="15" x14ac:dyDescent="0.25">
      <c r="A1648" s="304">
        <v>1927</v>
      </c>
      <c r="B1648" s="304" t="s">
        <v>7204</v>
      </c>
      <c r="C1648" s="304" t="s">
        <v>5555</v>
      </c>
      <c r="D1648" s="540">
        <v>1.91</v>
      </c>
    </row>
    <row r="1649" spans="1:4" ht="15" x14ac:dyDescent="0.25">
      <c r="A1649" s="304">
        <v>1923</v>
      </c>
      <c r="B1649" s="304" t="s">
        <v>7205</v>
      </c>
      <c r="C1649" s="304" t="s">
        <v>5555</v>
      </c>
      <c r="D1649" s="540">
        <v>3.13</v>
      </c>
    </row>
    <row r="1650" spans="1:4" ht="15" x14ac:dyDescent="0.25">
      <c r="A1650" s="304">
        <v>1929</v>
      </c>
      <c r="B1650" s="304" t="s">
        <v>7206</v>
      </c>
      <c r="C1650" s="304" t="s">
        <v>5555</v>
      </c>
      <c r="D1650" s="540">
        <v>5.13</v>
      </c>
    </row>
    <row r="1651" spans="1:4" ht="15" x14ac:dyDescent="0.25">
      <c r="A1651" s="304">
        <v>1930</v>
      </c>
      <c r="B1651" s="304" t="s">
        <v>7207</v>
      </c>
      <c r="C1651" s="304" t="s">
        <v>5555</v>
      </c>
      <c r="D1651" s="540">
        <v>9.9499999999999993</v>
      </c>
    </row>
    <row r="1652" spans="1:4" ht="15" x14ac:dyDescent="0.25">
      <c r="A1652" s="304">
        <v>1924</v>
      </c>
      <c r="B1652" s="304" t="s">
        <v>7208</v>
      </c>
      <c r="C1652" s="304" t="s">
        <v>5555</v>
      </c>
      <c r="D1652" s="540">
        <v>17.149999999999999</v>
      </c>
    </row>
    <row r="1653" spans="1:4" ht="15" x14ac:dyDescent="0.25">
      <c r="A1653" s="304">
        <v>1922</v>
      </c>
      <c r="B1653" s="304" t="s">
        <v>7209</v>
      </c>
      <c r="C1653" s="304" t="s">
        <v>5555</v>
      </c>
      <c r="D1653" s="540">
        <v>25.48</v>
      </c>
    </row>
    <row r="1654" spans="1:4" ht="15" x14ac:dyDescent="0.25">
      <c r="A1654" s="304">
        <v>1953</v>
      </c>
      <c r="B1654" s="304" t="s">
        <v>7210</v>
      </c>
      <c r="C1654" s="304" t="s">
        <v>5555</v>
      </c>
      <c r="D1654" s="540">
        <v>44.52</v>
      </c>
    </row>
    <row r="1655" spans="1:4" ht="15" x14ac:dyDescent="0.25">
      <c r="A1655" s="304">
        <v>1962</v>
      </c>
      <c r="B1655" s="304" t="s">
        <v>7211</v>
      </c>
      <c r="C1655" s="304" t="s">
        <v>5555</v>
      </c>
      <c r="D1655" s="540">
        <v>145.66999999999999</v>
      </c>
    </row>
    <row r="1656" spans="1:4" ht="15" x14ac:dyDescent="0.25">
      <c r="A1656" s="304">
        <v>1955</v>
      </c>
      <c r="B1656" s="304" t="s">
        <v>7212</v>
      </c>
      <c r="C1656" s="304" t="s">
        <v>5555</v>
      </c>
      <c r="D1656" s="540">
        <v>1.92</v>
      </c>
    </row>
    <row r="1657" spans="1:4" ht="15" x14ac:dyDescent="0.25">
      <c r="A1657" s="304">
        <v>1956</v>
      </c>
      <c r="B1657" s="304" t="s">
        <v>7213</v>
      </c>
      <c r="C1657" s="304" t="s">
        <v>5555</v>
      </c>
      <c r="D1657" s="540">
        <v>2.48</v>
      </c>
    </row>
    <row r="1658" spans="1:4" ht="15" x14ac:dyDescent="0.25">
      <c r="A1658" s="304">
        <v>1957</v>
      </c>
      <c r="B1658" s="304" t="s">
        <v>7214</v>
      </c>
      <c r="C1658" s="304" t="s">
        <v>5555</v>
      </c>
      <c r="D1658" s="540">
        <v>5.64</v>
      </c>
    </row>
    <row r="1659" spans="1:4" ht="15" x14ac:dyDescent="0.25">
      <c r="A1659" s="304">
        <v>1958</v>
      </c>
      <c r="B1659" s="304" t="s">
        <v>7215</v>
      </c>
      <c r="C1659" s="304" t="s">
        <v>5555</v>
      </c>
      <c r="D1659" s="540">
        <v>10.02</v>
      </c>
    </row>
    <row r="1660" spans="1:4" ht="15" x14ac:dyDescent="0.25">
      <c r="A1660" s="304">
        <v>1959</v>
      </c>
      <c r="B1660" s="304" t="s">
        <v>7216</v>
      </c>
      <c r="C1660" s="304" t="s">
        <v>5555</v>
      </c>
      <c r="D1660" s="540">
        <v>12.22</v>
      </c>
    </row>
    <row r="1661" spans="1:4" ht="15" x14ac:dyDescent="0.25">
      <c r="A1661" s="304">
        <v>1925</v>
      </c>
      <c r="B1661" s="304" t="s">
        <v>7217</v>
      </c>
      <c r="C1661" s="304" t="s">
        <v>5555</v>
      </c>
      <c r="D1661" s="540">
        <v>30.2</v>
      </c>
    </row>
    <row r="1662" spans="1:4" ht="15" x14ac:dyDescent="0.25">
      <c r="A1662" s="304">
        <v>1960</v>
      </c>
      <c r="B1662" s="304" t="s">
        <v>7218</v>
      </c>
      <c r="C1662" s="304" t="s">
        <v>5555</v>
      </c>
      <c r="D1662" s="540">
        <v>42.94</v>
      </c>
    </row>
    <row r="1663" spans="1:4" ht="15" x14ac:dyDescent="0.25">
      <c r="A1663" s="304">
        <v>1961</v>
      </c>
      <c r="B1663" s="304" t="s">
        <v>7219</v>
      </c>
      <c r="C1663" s="304" t="s">
        <v>5555</v>
      </c>
      <c r="D1663" s="540">
        <v>61.7</v>
      </c>
    </row>
    <row r="1664" spans="1:4" ht="15" x14ac:dyDescent="0.25">
      <c r="A1664" s="304">
        <v>38426</v>
      </c>
      <c r="B1664" s="304" t="s">
        <v>7220</v>
      </c>
      <c r="C1664" s="304" t="s">
        <v>5555</v>
      </c>
      <c r="D1664" s="540">
        <v>15.57</v>
      </c>
    </row>
    <row r="1665" spans="1:4" ht="15" x14ac:dyDescent="0.25">
      <c r="A1665" s="304">
        <v>38423</v>
      </c>
      <c r="B1665" s="304" t="s">
        <v>7221</v>
      </c>
      <c r="C1665" s="304" t="s">
        <v>5555</v>
      </c>
      <c r="D1665" s="540">
        <v>35.33</v>
      </c>
    </row>
    <row r="1666" spans="1:4" ht="15" x14ac:dyDescent="0.25">
      <c r="A1666" s="304">
        <v>38421</v>
      </c>
      <c r="B1666" s="304" t="s">
        <v>7222</v>
      </c>
      <c r="C1666" s="304" t="s">
        <v>5555</v>
      </c>
      <c r="D1666" s="540">
        <v>16.68</v>
      </c>
    </row>
    <row r="1667" spans="1:4" ht="15" x14ac:dyDescent="0.25">
      <c r="A1667" s="304">
        <v>38422</v>
      </c>
      <c r="B1667" s="304" t="s">
        <v>7223</v>
      </c>
      <c r="C1667" s="304" t="s">
        <v>5555</v>
      </c>
      <c r="D1667" s="540">
        <v>24.38</v>
      </c>
    </row>
    <row r="1668" spans="1:4" ht="15" x14ac:dyDescent="0.25">
      <c r="A1668" s="304">
        <v>39866</v>
      </c>
      <c r="B1668" s="304" t="s">
        <v>7224</v>
      </c>
      <c r="C1668" s="304" t="s">
        <v>5555</v>
      </c>
      <c r="D1668" s="540">
        <v>10.39</v>
      </c>
    </row>
    <row r="1669" spans="1:4" ht="15" x14ac:dyDescent="0.25">
      <c r="A1669" s="304">
        <v>39867</v>
      </c>
      <c r="B1669" s="304" t="s">
        <v>7225</v>
      </c>
      <c r="C1669" s="304" t="s">
        <v>5555</v>
      </c>
      <c r="D1669" s="540">
        <v>23.1</v>
      </c>
    </row>
    <row r="1670" spans="1:4" ht="15" x14ac:dyDescent="0.25">
      <c r="A1670" s="304">
        <v>39868</v>
      </c>
      <c r="B1670" s="304" t="s">
        <v>7226</v>
      </c>
      <c r="C1670" s="304" t="s">
        <v>5555</v>
      </c>
      <c r="D1670" s="540">
        <v>41.63</v>
      </c>
    </row>
    <row r="1671" spans="1:4" ht="15" x14ac:dyDescent="0.25">
      <c r="A1671" s="304">
        <v>37999</v>
      </c>
      <c r="B1671" s="304" t="s">
        <v>7227</v>
      </c>
      <c r="C1671" s="304" t="s">
        <v>5555</v>
      </c>
      <c r="D1671" s="540">
        <v>4.28</v>
      </c>
    </row>
    <row r="1672" spans="1:4" ht="15" x14ac:dyDescent="0.25">
      <c r="A1672" s="304">
        <v>38000</v>
      </c>
      <c r="B1672" s="304" t="s">
        <v>7228</v>
      </c>
      <c r="C1672" s="304" t="s">
        <v>5555</v>
      </c>
      <c r="D1672" s="540">
        <v>5.66</v>
      </c>
    </row>
    <row r="1673" spans="1:4" ht="15" x14ac:dyDescent="0.25">
      <c r="A1673" s="304">
        <v>38129</v>
      </c>
      <c r="B1673" s="304" t="s">
        <v>7229</v>
      </c>
      <c r="C1673" s="304" t="s">
        <v>5555</v>
      </c>
      <c r="D1673" s="540">
        <v>3.34</v>
      </c>
    </row>
    <row r="1674" spans="1:4" ht="15" x14ac:dyDescent="0.25">
      <c r="A1674" s="304">
        <v>38025</v>
      </c>
      <c r="B1674" s="304" t="s">
        <v>7230</v>
      </c>
      <c r="C1674" s="304" t="s">
        <v>5555</v>
      </c>
      <c r="D1674" s="540">
        <v>5.57</v>
      </c>
    </row>
    <row r="1675" spans="1:4" ht="15" x14ac:dyDescent="0.25">
      <c r="A1675" s="304">
        <v>38026</v>
      </c>
      <c r="B1675" s="304" t="s">
        <v>7231</v>
      </c>
      <c r="C1675" s="304" t="s">
        <v>5555</v>
      </c>
      <c r="D1675" s="540">
        <v>14.93</v>
      </c>
    </row>
    <row r="1676" spans="1:4" ht="15" x14ac:dyDescent="0.25">
      <c r="A1676" s="304">
        <v>1858</v>
      </c>
      <c r="B1676" s="304" t="s">
        <v>7232</v>
      </c>
      <c r="C1676" s="304" t="s">
        <v>5555</v>
      </c>
      <c r="D1676" s="540">
        <v>22</v>
      </c>
    </row>
    <row r="1677" spans="1:4" ht="15" x14ac:dyDescent="0.25">
      <c r="A1677" s="304">
        <v>1844</v>
      </c>
      <c r="B1677" s="304" t="s">
        <v>7233</v>
      </c>
      <c r="C1677" s="304" t="s">
        <v>5555</v>
      </c>
      <c r="D1677" s="540">
        <v>81.13</v>
      </c>
    </row>
    <row r="1678" spans="1:4" ht="15" x14ac:dyDescent="0.25">
      <c r="A1678" s="304">
        <v>1863</v>
      </c>
      <c r="B1678" s="304" t="s">
        <v>7234</v>
      </c>
      <c r="C1678" s="304" t="s">
        <v>5555</v>
      </c>
      <c r="D1678" s="540">
        <v>31.93</v>
      </c>
    </row>
    <row r="1679" spans="1:4" ht="15" x14ac:dyDescent="0.25">
      <c r="A1679" s="304">
        <v>1865</v>
      </c>
      <c r="B1679" s="304" t="s">
        <v>7235</v>
      </c>
      <c r="C1679" s="304" t="s">
        <v>5555</v>
      </c>
      <c r="D1679" s="540">
        <v>116.51</v>
      </c>
    </row>
    <row r="1680" spans="1:4" ht="15" x14ac:dyDescent="0.25">
      <c r="A1680" s="304">
        <v>36355</v>
      </c>
      <c r="B1680" s="304" t="s">
        <v>7236</v>
      </c>
      <c r="C1680" s="304" t="s">
        <v>5555</v>
      </c>
      <c r="D1680" s="540">
        <v>4.34</v>
      </c>
    </row>
    <row r="1681" spans="1:4" ht="15" x14ac:dyDescent="0.25">
      <c r="A1681" s="304">
        <v>36356</v>
      </c>
      <c r="B1681" s="304" t="s">
        <v>7237</v>
      </c>
      <c r="C1681" s="304" t="s">
        <v>5555</v>
      </c>
      <c r="D1681" s="540">
        <v>7.3</v>
      </c>
    </row>
    <row r="1682" spans="1:4" ht="15" x14ac:dyDescent="0.25">
      <c r="A1682" s="304">
        <v>1932</v>
      </c>
      <c r="B1682" s="304" t="s">
        <v>7238</v>
      </c>
      <c r="C1682" s="304" t="s">
        <v>5555</v>
      </c>
      <c r="D1682" s="540">
        <v>6.02</v>
      </c>
    </row>
    <row r="1683" spans="1:4" ht="15" x14ac:dyDescent="0.25">
      <c r="A1683" s="304">
        <v>1933</v>
      </c>
      <c r="B1683" s="304" t="s">
        <v>7239</v>
      </c>
      <c r="C1683" s="304" t="s">
        <v>5555</v>
      </c>
      <c r="D1683" s="540">
        <v>2.65</v>
      </c>
    </row>
    <row r="1684" spans="1:4" ht="15" x14ac:dyDescent="0.25">
      <c r="A1684" s="304">
        <v>1951</v>
      </c>
      <c r="B1684" s="304" t="s">
        <v>7240</v>
      </c>
      <c r="C1684" s="304" t="s">
        <v>5555</v>
      </c>
      <c r="D1684" s="540">
        <v>11.77</v>
      </c>
    </row>
    <row r="1685" spans="1:4" ht="15" x14ac:dyDescent="0.25">
      <c r="A1685" s="304">
        <v>1966</v>
      </c>
      <c r="B1685" s="304" t="s">
        <v>7241</v>
      </c>
      <c r="C1685" s="304" t="s">
        <v>5555</v>
      </c>
      <c r="D1685" s="540">
        <v>13.54</v>
      </c>
    </row>
    <row r="1686" spans="1:4" ht="15" x14ac:dyDescent="0.25">
      <c r="A1686" s="304">
        <v>1952</v>
      </c>
      <c r="B1686" s="304" t="s">
        <v>7242</v>
      </c>
      <c r="C1686" s="304" t="s">
        <v>5555</v>
      </c>
      <c r="D1686" s="540">
        <v>50.87</v>
      </c>
    </row>
    <row r="1687" spans="1:4" ht="15" x14ac:dyDescent="0.25">
      <c r="A1687" s="304">
        <v>20104</v>
      </c>
      <c r="B1687" s="304" t="s">
        <v>7243</v>
      </c>
      <c r="C1687" s="304" t="s">
        <v>5555</v>
      </c>
      <c r="D1687" s="540">
        <v>375.88</v>
      </c>
    </row>
    <row r="1688" spans="1:4" ht="15" x14ac:dyDescent="0.25">
      <c r="A1688" s="304">
        <v>20105</v>
      </c>
      <c r="B1688" s="304" t="s">
        <v>7244</v>
      </c>
      <c r="C1688" s="304" t="s">
        <v>5555</v>
      </c>
      <c r="D1688" s="540">
        <v>585.46</v>
      </c>
    </row>
    <row r="1689" spans="1:4" ht="15" x14ac:dyDescent="0.25">
      <c r="A1689" s="304">
        <v>1965</v>
      </c>
      <c r="B1689" s="304" t="s">
        <v>7245</v>
      </c>
      <c r="C1689" s="304" t="s">
        <v>5555</v>
      </c>
      <c r="D1689" s="540">
        <v>27.46</v>
      </c>
    </row>
    <row r="1690" spans="1:4" ht="15" x14ac:dyDescent="0.25">
      <c r="A1690" s="304">
        <v>10765</v>
      </c>
      <c r="B1690" s="304" t="s">
        <v>7246</v>
      </c>
      <c r="C1690" s="304" t="s">
        <v>5555</v>
      </c>
      <c r="D1690" s="540">
        <v>6.94</v>
      </c>
    </row>
    <row r="1691" spans="1:4" ht="15" x14ac:dyDescent="0.25">
      <c r="A1691" s="304">
        <v>10767</v>
      </c>
      <c r="B1691" s="304" t="s">
        <v>7247</v>
      </c>
      <c r="C1691" s="304" t="s">
        <v>5555</v>
      </c>
      <c r="D1691" s="540">
        <v>22.74</v>
      </c>
    </row>
    <row r="1692" spans="1:4" ht="15" x14ac:dyDescent="0.25">
      <c r="A1692" s="304">
        <v>1970</v>
      </c>
      <c r="B1692" s="304" t="s">
        <v>7248</v>
      </c>
      <c r="C1692" s="304" t="s">
        <v>5555</v>
      </c>
      <c r="D1692" s="540">
        <v>28.5</v>
      </c>
    </row>
    <row r="1693" spans="1:4" ht="15" x14ac:dyDescent="0.25">
      <c r="A1693" s="304">
        <v>1967</v>
      </c>
      <c r="B1693" s="304" t="s">
        <v>7249</v>
      </c>
      <c r="C1693" s="304" t="s">
        <v>5555</v>
      </c>
      <c r="D1693" s="540">
        <v>3.17</v>
      </c>
    </row>
    <row r="1694" spans="1:4" ht="15" x14ac:dyDescent="0.25">
      <c r="A1694" s="304">
        <v>1968</v>
      </c>
      <c r="B1694" s="304" t="s">
        <v>7250</v>
      </c>
      <c r="C1694" s="304" t="s">
        <v>5555</v>
      </c>
      <c r="D1694" s="540">
        <v>6.64</v>
      </c>
    </row>
    <row r="1695" spans="1:4" ht="15" x14ac:dyDescent="0.25">
      <c r="A1695" s="304">
        <v>1969</v>
      </c>
      <c r="B1695" s="304" t="s">
        <v>7251</v>
      </c>
      <c r="C1695" s="304" t="s">
        <v>5555</v>
      </c>
      <c r="D1695" s="540">
        <v>19.55</v>
      </c>
    </row>
    <row r="1696" spans="1:4" ht="15" x14ac:dyDescent="0.25">
      <c r="A1696" s="304">
        <v>1839</v>
      </c>
      <c r="B1696" s="304" t="s">
        <v>7252</v>
      </c>
      <c r="C1696" s="304" t="s">
        <v>5555</v>
      </c>
      <c r="D1696" s="540">
        <v>104.44</v>
      </c>
    </row>
    <row r="1697" spans="1:4" ht="15" x14ac:dyDescent="0.25">
      <c r="A1697" s="304">
        <v>1835</v>
      </c>
      <c r="B1697" s="304" t="s">
        <v>7253</v>
      </c>
      <c r="C1697" s="304" t="s">
        <v>5555</v>
      </c>
      <c r="D1697" s="540">
        <v>22.2</v>
      </c>
    </row>
    <row r="1698" spans="1:4" ht="15" x14ac:dyDescent="0.25">
      <c r="A1698" s="304">
        <v>1823</v>
      </c>
      <c r="B1698" s="304" t="s">
        <v>7254</v>
      </c>
      <c r="C1698" s="304" t="s">
        <v>5555</v>
      </c>
      <c r="D1698" s="540">
        <v>42.93</v>
      </c>
    </row>
    <row r="1699" spans="1:4" ht="15" x14ac:dyDescent="0.25">
      <c r="A1699" s="304">
        <v>1827</v>
      </c>
      <c r="B1699" s="304" t="s">
        <v>7255</v>
      </c>
      <c r="C1699" s="304" t="s">
        <v>5555</v>
      </c>
      <c r="D1699" s="540">
        <v>103.42</v>
      </c>
    </row>
    <row r="1700" spans="1:4" ht="15" x14ac:dyDescent="0.25">
      <c r="A1700" s="304">
        <v>1831</v>
      </c>
      <c r="B1700" s="304" t="s">
        <v>7256</v>
      </c>
      <c r="C1700" s="304" t="s">
        <v>5555</v>
      </c>
      <c r="D1700" s="540">
        <v>22.58</v>
      </c>
    </row>
    <row r="1701" spans="1:4" ht="15" x14ac:dyDescent="0.25">
      <c r="A1701" s="304">
        <v>1825</v>
      </c>
      <c r="B1701" s="304" t="s">
        <v>7257</v>
      </c>
      <c r="C1701" s="304" t="s">
        <v>5555</v>
      </c>
      <c r="D1701" s="540">
        <v>55.72</v>
      </c>
    </row>
    <row r="1702" spans="1:4" ht="15" x14ac:dyDescent="0.25">
      <c r="A1702" s="304">
        <v>1828</v>
      </c>
      <c r="B1702" s="304" t="s">
        <v>7258</v>
      </c>
      <c r="C1702" s="304" t="s">
        <v>5555</v>
      </c>
      <c r="D1702" s="540">
        <v>126.21</v>
      </c>
    </row>
    <row r="1703" spans="1:4" ht="15" x14ac:dyDescent="0.25">
      <c r="A1703" s="304">
        <v>1845</v>
      </c>
      <c r="B1703" s="304" t="s">
        <v>7259</v>
      </c>
      <c r="C1703" s="304" t="s">
        <v>5555</v>
      </c>
      <c r="D1703" s="540">
        <v>28.29</v>
      </c>
    </row>
    <row r="1704" spans="1:4" ht="15" x14ac:dyDescent="0.25">
      <c r="A1704" s="304">
        <v>1824</v>
      </c>
      <c r="B1704" s="304" t="s">
        <v>7260</v>
      </c>
      <c r="C1704" s="304" t="s">
        <v>5555</v>
      </c>
      <c r="D1704" s="540">
        <v>66.790000000000006</v>
      </c>
    </row>
    <row r="1705" spans="1:4" ht="15" x14ac:dyDescent="0.25">
      <c r="A1705" s="304">
        <v>1941</v>
      </c>
      <c r="B1705" s="304" t="s">
        <v>7261</v>
      </c>
      <c r="C1705" s="304" t="s">
        <v>5555</v>
      </c>
      <c r="D1705" s="540">
        <v>21.53</v>
      </c>
    </row>
    <row r="1706" spans="1:4" ht="15" x14ac:dyDescent="0.25">
      <c r="A1706" s="304">
        <v>1940</v>
      </c>
      <c r="B1706" s="304" t="s">
        <v>7262</v>
      </c>
      <c r="C1706" s="304" t="s">
        <v>5555</v>
      </c>
      <c r="D1706" s="540">
        <v>16.27</v>
      </c>
    </row>
    <row r="1707" spans="1:4" ht="15" x14ac:dyDescent="0.25">
      <c r="A1707" s="304">
        <v>1937</v>
      </c>
      <c r="B1707" s="304" t="s">
        <v>7263</v>
      </c>
      <c r="C1707" s="304" t="s">
        <v>5555</v>
      </c>
      <c r="D1707" s="540">
        <v>3.37</v>
      </c>
    </row>
    <row r="1708" spans="1:4" ht="15" x14ac:dyDescent="0.25">
      <c r="A1708" s="304">
        <v>1939</v>
      </c>
      <c r="B1708" s="304" t="s">
        <v>7264</v>
      </c>
      <c r="C1708" s="304" t="s">
        <v>5555</v>
      </c>
      <c r="D1708" s="540">
        <v>6.69</v>
      </c>
    </row>
    <row r="1709" spans="1:4" ht="15" x14ac:dyDescent="0.25">
      <c r="A1709" s="304">
        <v>1942</v>
      </c>
      <c r="B1709" s="304" t="s">
        <v>7265</v>
      </c>
      <c r="C1709" s="304" t="s">
        <v>5555</v>
      </c>
      <c r="D1709" s="540">
        <v>30.72</v>
      </c>
    </row>
    <row r="1710" spans="1:4" ht="15" x14ac:dyDescent="0.25">
      <c r="A1710" s="304">
        <v>1938</v>
      </c>
      <c r="B1710" s="304" t="s">
        <v>7266</v>
      </c>
      <c r="C1710" s="304" t="s">
        <v>5555</v>
      </c>
      <c r="D1710" s="540">
        <v>4.28</v>
      </c>
    </row>
    <row r="1711" spans="1:4" ht="15" x14ac:dyDescent="0.25">
      <c r="A1711" s="304">
        <v>42692</v>
      </c>
      <c r="B1711" s="304" t="s">
        <v>7267</v>
      </c>
      <c r="C1711" s="304" t="s">
        <v>5555</v>
      </c>
      <c r="D1711" s="540">
        <v>258.49</v>
      </c>
    </row>
    <row r="1712" spans="1:4" ht="15" x14ac:dyDescent="0.25">
      <c r="A1712" s="304">
        <v>42693</v>
      </c>
      <c r="B1712" s="304" t="s">
        <v>7268</v>
      </c>
      <c r="C1712" s="304" t="s">
        <v>5555</v>
      </c>
      <c r="D1712" s="540">
        <v>425.2</v>
      </c>
    </row>
    <row r="1713" spans="1:4" ht="15" x14ac:dyDescent="0.25">
      <c r="A1713" s="304">
        <v>42695</v>
      </c>
      <c r="B1713" s="304" t="s">
        <v>7269</v>
      </c>
      <c r="C1713" s="304" t="s">
        <v>5555</v>
      </c>
      <c r="D1713" s="540">
        <v>323.3</v>
      </c>
    </row>
    <row r="1714" spans="1:4" ht="15" x14ac:dyDescent="0.25">
      <c r="A1714" s="304">
        <v>42694</v>
      </c>
      <c r="B1714" s="304" t="s">
        <v>7270</v>
      </c>
      <c r="C1714" s="304" t="s">
        <v>5555</v>
      </c>
      <c r="D1714" s="540">
        <v>477.96</v>
      </c>
    </row>
    <row r="1715" spans="1:4" ht="15" x14ac:dyDescent="0.25">
      <c r="A1715" s="304">
        <v>20097</v>
      </c>
      <c r="B1715" s="304" t="s">
        <v>7271</v>
      </c>
      <c r="C1715" s="304" t="s">
        <v>5555</v>
      </c>
      <c r="D1715" s="540">
        <v>26.93</v>
      </c>
    </row>
    <row r="1716" spans="1:4" ht="15" x14ac:dyDescent="0.25">
      <c r="A1716" s="304">
        <v>20098</v>
      </c>
      <c r="B1716" s="304" t="s">
        <v>7272</v>
      </c>
      <c r="C1716" s="304" t="s">
        <v>5555</v>
      </c>
      <c r="D1716" s="540">
        <v>90.79</v>
      </c>
    </row>
    <row r="1717" spans="1:4" ht="15" x14ac:dyDescent="0.25">
      <c r="A1717" s="304">
        <v>20096</v>
      </c>
      <c r="B1717" s="304" t="s">
        <v>7273</v>
      </c>
      <c r="C1717" s="304" t="s">
        <v>5555</v>
      </c>
      <c r="D1717" s="540">
        <v>17.62</v>
      </c>
    </row>
    <row r="1718" spans="1:4" ht="15" x14ac:dyDescent="0.25">
      <c r="A1718" s="304">
        <v>1964</v>
      </c>
      <c r="B1718" s="304" t="s">
        <v>7274</v>
      </c>
      <c r="C1718" s="304" t="s">
        <v>5555</v>
      </c>
      <c r="D1718" s="540">
        <v>16.28</v>
      </c>
    </row>
    <row r="1719" spans="1:4" ht="15" x14ac:dyDescent="0.25">
      <c r="A1719" s="304">
        <v>1880</v>
      </c>
      <c r="B1719" s="304" t="s">
        <v>7275</v>
      </c>
      <c r="C1719" s="304" t="s">
        <v>5555</v>
      </c>
      <c r="D1719" s="540">
        <v>2.16</v>
      </c>
    </row>
    <row r="1720" spans="1:4" ht="15" x14ac:dyDescent="0.25">
      <c r="A1720" s="304">
        <v>39274</v>
      </c>
      <c r="B1720" s="304" t="s">
        <v>7276</v>
      </c>
      <c r="C1720" s="304" t="s">
        <v>5555</v>
      </c>
      <c r="D1720" s="540">
        <v>1.67</v>
      </c>
    </row>
    <row r="1721" spans="1:4" ht="15" x14ac:dyDescent="0.25">
      <c r="A1721" s="304">
        <v>2628</v>
      </c>
      <c r="B1721" s="304" t="s">
        <v>7277</v>
      </c>
      <c r="C1721" s="304" t="s">
        <v>5555</v>
      </c>
      <c r="D1721" s="540">
        <v>197.89</v>
      </c>
    </row>
    <row r="1722" spans="1:4" ht="15" x14ac:dyDescent="0.25">
      <c r="A1722" s="304">
        <v>2622</v>
      </c>
      <c r="B1722" s="304" t="s">
        <v>7278</v>
      </c>
      <c r="C1722" s="304" t="s">
        <v>5555</v>
      </c>
      <c r="D1722" s="540">
        <v>4.7</v>
      </c>
    </row>
    <row r="1723" spans="1:4" ht="15" x14ac:dyDescent="0.25">
      <c r="A1723" s="304">
        <v>2623</v>
      </c>
      <c r="B1723" s="304" t="s">
        <v>7279</v>
      </c>
      <c r="C1723" s="304" t="s">
        <v>5555</v>
      </c>
      <c r="D1723" s="540">
        <v>5.65</v>
      </c>
    </row>
    <row r="1724" spans="1:4" ht="15" x14ac:dyDescent="0.25">
      <c r="A1724" s="304">
        <v>2624</v>
      </c>
      <c r="B1724" s="304" t="s">
        <v>7280</v>
      </c>
      <c r="C1724" s="304" t="s">
        <v>5555</v>
      </c>
      <c r="D1724" s="540">
        <v>8.99</v>
      </c>
    </row>
    <row r="1725" spans="1:4" ht="15" x14ac:dyDescent="0.25">
      <c r="A1725" s="304">
        <v>2625</v>
      </c>
      <c r="B1725" s="304" t="s">
        <v>7281</v>
      </c>
      <c r="C1725" s="304" t="s">
        <v>5555</v>
      </c>
      <c r="D1725" s="540">
        <v>18.989999999999998</v>
      </c>
    </row>
    <row r="1726" spans="1:4" ht="15" x14ac:dyDescent="0.25">
      <c r="A1726" s="304">
        <v>2626</v>
      </c>
      <c r="B1726" s="304" t="s">
        <v>7282</v>
      </c>
      <c r="C1726" s="304" t="s">
        <v>5555</v>
      </c>
      <c r="D1726" s="540">
        <v>27.82</v>
      </c>
    </row>
    <row r="1727" spans="1:4" ht="15" x14ac:dyDescent="0.25">
      <c r="A1727" s="304">
        <v>2630</v>
      </c>
      <c r="B1727" s="304" t="s">
        <v>7283</v>
      </c>
      <c r="C1727" s="304" t="s">
        <v>5555</v>
      </c>
      <c r="D1727" s="540">
        <v>42.31</v>
      </c>
    </row>
    <row r="1728" spans="1:4" ht="15" x14ac:dyDescent="0.25">
      <c r="A1728" s="304">
        <v>2627</v>
      </c>
      <c r="B1728" s="304" t="s">
        <v>7284</v>
      </c>
      <c r="C1728" s="304" t="s">
        <v>5555</v>
      </c>
      <c r="D1728" s="540">
        <v>74.540000000000006</v>
      </c>
    </row>
    <row r="1729" spans="1:4" ht="15" x14ac:dyDescent="0.25">
      <c r="A1729" s="304">
        <v>2629</v>
      </c>
      <c r="B1729" s="304" t="s">
        <v>7285</v>
      </c>
      <c r="C1729" s="304" t="s">
        <v>5555</v>
      </c>
      <c r="D1729" s="540">
        <v>100.82</v>
      </c>
    </row>
    <row r="1730" spans="1:4" ht="15" x14ac:dyDescent="0.25">
      <c r="A1730" s="304">
        <v>12033</v>
      </c>
      <c r="B1730" s="304" t="s">
        <v>7286</v>
      </c>
      <c r="C1730" s="304" t="s">
        <v>5555</v>
      </c>
      <c r="D1730" s="540">
        <v>6.9</v>
      </c>
    </row>
    <row r="1731" spans="1:4" ht="15" x14ac:dyDescent="0.25">
      <c r="A1731" s="304">
        <v>40408</v>
      </c>
      <c r="B1731" s="304" t="s">
        <v>7287</v>
      </c>
      <c r="C1731" s="304" t="s">
        <v>5555</v>
      </c>
      <c r="D1731" s="540">
        <v>4.53</v>
      </c>
    </row>
    <row r="1732" spans="1:4" ht="15" x14ac:dyDescent="0.25">
      <c r="A1732" s="304">
        <v>40409</v>
      </c>
      <c r="B1732" s="304" t="s">
        <v>7288</v>
      </c>
      <c r="C1732" s="304" t="s">
        <v>5555</v>
      </c>
      <c r="D1732" s="540">
        <v>1.6</v>
      </c>
    </row>
    <row r="1733" spans="1:4" ht="15" x14ac:dyDescent="0.25">
      <c r="A1733" s="304">
        <v>39276</v>
      </c>
      <c r="B1733" s="304" t="s">
        <v>7289</v>
      </c>
      <c r="C1733" s="304" t="s">
        <v>5555</v>
      </c>
      <c r="D1733" s="540">
        <v>4.09</v>
      </c>
    </row>
    <row r="1734" spans="1:4" ht="15" x14ac:dyDescent="0.25">
      <c r="A1734" s="304">
        <v>39277</v>
      </c>
      <c r="B1734" s="304" t="s">
        <v>7290</v>
      </c>
      <c r="C1734" s="304" t="s">
        <v>5555</v>
      </c>
      <c r="D1734" s="540">
        <v>11.03</v>
      </c>
    </row>
    <row r="1735" spans="1:4" ht="15" x14ac:dyDescent="0.25">
      <c r="A1735" s="304">
        <v>12034</v>
      </c>
      <c r="B1735" s="304" t="s">
        <v>7291</v>
      </c>
      <c r="C1735" s="304" t="s">
        <v>5555</v>
      </c>
      <c r="D1735" s="540">
        <v>3.13</v>
      </c>
    </row>
    <row r="1736" spans="1:4" ht="15" x14ac:dyDescent="0.25">
      <c r="A1736" s="304">
        <v>39879</v>
      </c>
      <c r="B1736" s="304" t="s">
        <v>7292</v>
      </c>
      <c r="C1736" s="304" t="s">
        <v>5555</v>
      </c>
      <c r="D1736" s="540">
        <v>2.92</v>
      </c>
    </row>
    <row r="1737" spans="1:4" ht="15" x14ac:dyDescent="0.25">
      <c r="A1737" s="304">
        <v>39880</v>
      </c>
      <c r="B1737" s="304" t="s">
        <v>7293</v>
      </c>
      <c r="C1737" s="304" t="s">
        <v>5555</v>
      </c>
      <c r="D1737" s="540">
        <v>6.47</v>
      </c>
    </row>
    <row r="1738" spans="1:4" ht="15" x14ac:dyDescent="0.25">
      <c r="A1738" s="304">
        <v>39881</v>
      </c>
      <c r="B1738" s="304" t="s">
        <v>7294</v>
      </c>
      <c r="C1738" s="304" t="s">
        <v>5555</v>
      </c>
      <c r="D1738" s="540">
        <v>10.38</v>
      </c>
    </row>
    <row r="1739" spans="1:4" ht="15" x14ac:dyDescent="0.25">
      <c r="A1739" s="304">
        <v>39882</v>
      </c>
      <c r="B1739" s="304" t="s">
        <v>7295</v>
      </c>
      <c r="C1739" s="304" t="s">
        <v>5555</v>
      </c>
      <c r="D1739" s="540">
        <v>27.35</v>
      </c>
    </row>
    <row r="1740" spans="1:4" ht="15" x14ac:dyDescent="0.25">
      <c r="A1740" s="304">
        <v>39883</v>
      </c>
      <c r="B1740" s="304" t="s">
        <v>7296</v>
      </c>
      <c r="C1740" s="304" t="s">
        <v>5555</v>
      </c>
      <c r="D1740" s="540">
        <v>43.68</v>
      </c>
    </row>
    <row r="1741" spans="1:4" ht="15" x14ac:dyDescent="0.25">
      <c r="A1741" s="304">
        <v>39884</v>
      </c>
      <c r="B1741" s="304" t="s">
        <v>7297</v>
      </c>
      <c r="C1741" s="304" t="s">
        <v>5555</v>
      </c>
      <c r="D1741" s="540">
        <v>64.87</v>
      </c>
    </row>
    <row r="1742" spans="1:4" ht="15" x14ac:dyDescent="0.25">
      <c r="A1742" s="304">
        <v>39885</v>
      </c>
      <c r="B1742" s="304" t="s">
        <v>7298</v>
      </c>
      <c r="C1742" s="304" t="s">
        <v>5555</v>
      </c>
      <c r="D1742" s="540">
        <v>154.18</v>
      </c>
    </row>
    <row r="1743" spans="1:4" ht="15" x14ac:dyDescent="0.25">
      <c r="A1743" s="304">
        <v>1777</v>
      </c>
      <c r="B1743" s="304" t="s">
        <v>7299</v>
      </c>
      <c r="C1743" s="304" t="s">
        <v>5555</v>
      </c>
      <c r="D1743" s="540">
        <v>44.29</v>
      </c>
    </row>
    <row r="1744" spans="1:4" ht="15" x14ac:dyDescent="0.25">
      <c r="A1744" s="304">
        <v>1819</v>
      </c>
      <c r="B1744" s="304" t="s">
        <v>7300</v>
      </c>
      <c r="C1744" s="304" t="s">
        <v>5555</v>
      </c>
      <c r="D1744" s="540">
        <v>32.22</v>
      </c>
    </row>
    <row r="1745" spans="1:4" ht="15" x14ac:dyDescent="0.25">
      <c r="A1745" s="304">
        <v>1775</v>
      </c>
      <c r="B1745" s="304" t="s">
        <v>7301</v>
      </c>
      <c r="C1745" s="304" t="s">
        <v>5555</v>
      </c>
      <c r="D1745" s="540">
        <v>9.6300000000000008</v>
      </c>
    </row>
    <row r="1746" spans="1:4" ht="15" x14ac:dyDescent="0.25">
      <c r="A1746" s="304">
        <v>1776</v>
      </c>
      <c r="B1746" s="304" t="s">
        <v>7302</v>
      </c>
      <c r="C1746" s="304" t="s">
        <v>5555</v>
      </c>
      <c r="D1746" s="540">
        <v>26.22</v>
      </c>
    </row>
    <row r="1747" spans="1:4" ht="15" x14ac:dyDescent="0.25">
      <c r="A1747" s="304">
        <v>1778</v>
      </c>
      <c r="B1747" s="304" t="s">
        <v>7303</v>
      </c>
      <c r="C1747" s="304" t="s">
        <v>5555</v>
      </c>
      <c r="D1747" s="540">
        <v>107.22</v>
      </c>
    </row>
    <row r="1748" spans="1:4" ht="15" x14ac:dyDescent="0.25">
      <c r="A1748" s="304">
        <v>1818</v>
      </c>
      <c r="B1748" s="304" t="s">
        <v>7304</v>
      </c>
      <c r="C1748" s="304" t="s">
        <v>5555</v>
      </c>
      <c r="D1748" s="540">
        <v>71.17</v>
      </c>
    </row>
    <row r="1749" spans="1:4" ht="15" x14ac:dyDescent="0.25">
      <c r="A1749" s="304">
        <v>1820</v>
      </c>
      <c r="B1749" s="304" t="s">
        <v>7305</v>
      </c>
      <c r="C1749" s="304" t="s">
        <v>5555</v>
      </c>
      <c r="D1749" s="540">
        <v>13.91</v>
      </c>
    </row>
    <row r="1750" spans="1:4" ht="15" x14ac:dyDescent="0.25">
      <c r="A1750" s="304">
        <v>1779</v>
      </c>
      <c r="B1750" s="304" t="s">
        <v>7306</v>
      </c>
      <c r="C1750" s="304" t="s">
        <v>5555</v>
      </c>
      <c r="D1750" s="540">
        <v>155.93</v>
      </c>
    </row>
    <row r="1751" spans="1:4" ht="15" x14ac:dyDescent="0.25">
      <c r="A1751" s="304">
        <v>1780</v>
      </c>
      <c r="B1751" s="304" t="s">
        <v>7307</v>
      </c>
      <c r="C1751" s="304" t="s">
        <v>5555</v>
      </c>
      <c r="D1751" s="540">
        <v>321.45999999999998</v>
      </c>
    </row>
    <row r="1752" spans="1:4" ht="15" x14ac:dyDescent="0.25">
      <c r="A1752" s="304">
        <v>1783</v>
      </c>
      <c r="B1752" s="304" t="s">
        <v>7308</v>
      </c>
      <c r="C1752" s="304" t="s">
        <v>5555</v>
      </c>
      <c r="D1752" s="540">
        <v>33.99</v>
      </c>
    </row>
    <row r="1753" spans="1:4" ht="15" x14ac:dyDescent="0.25">
      <c r="A1753" s="304">
        <v>1782</v>
      </c>
      <c r="B1753" s="304" t="s">
        <v>7309</v>
      </c>
      <c r="C1753" s="304" t="s">
        <v>5555</v>
      </c>
      <c r="D1753" s="540">
        <v>26.87</v>
      </c>
    </row>
    <row r="1754" spans="1:4" ht="15" x14ac:dyDescent="0.25">
      <c r="A1754" s="304">
        <v>1817</v>
      </c>
      <c r="B1754" s="304" t="s">
        <v>7310</v>
      </c>
      <c r="C1754" s="304" t="s">
        <v>5555</v>
      </c>
      <c r="D1754" s="540">
        <v>8</v>
      </c>
    </row>
    <row r="1755" spans="1:4" ht="15" x14ac:dyDescent="0.25">
      <c r="A1755" s="304">
        <v>1781</v>
      </c>
      <c r="B1755" s="304" t="s">
        <v>7311</v>
      </c>
      <c r="C1755" s="304" t="s">
        <v>5555</v>
      </c>
      <c r="D1755" s="540">
        <v>17.510000000000002</v>
      </c>
    </row>
    <row r="1756" spans="1:4" ht="15" x14ac:dyDescent="0.25">
      <c r="A1756" s="304">
        <v>1784</v>
      </c>
      <c r="B1756" s="304" t="s">
        <v>7312</v>
      </c>
      <c r="C1756" s="304" t="s">
        <v>5555</v>
      </c>
      <c r="D1756" s="540">
        <v>95.97</v>
      </c>
    </row>
    <row r="1757" spans="1:4" ht="15" x14ac:dyDescent="0.25">
      <c r="A1757" s="304">
        <v>1810</v>
      </c>
      <c r="B1757" s="304" t="s">
        <v>7313</v>
      </c>
      <c r="C1757" s="304" t="s">
        <v>5555</v>
      </c>
      <c r="D1757" s="540">
        <v>53.23</v>
      </c>
    </row>
    <row r="1758" spans="1:4" ht="15" x14ac:dyDescent="0.25">
      <c r="A1758" s="304">
        <v>1811</v>
      </c>
      <c r="B1758" s="304" t="s">
        <v>7314</v>
      </c>
      <c r="C1758" s="304" t="s">
        <v>5555</v>
      </c>
      <c r="D1758" s="540">
        <v>11.51</v>
      </c>
    </row>
    <row r="1759" spans="1:4" ht="15" x14ac:dyDescent="0.25">
      <c r="A1759" s="304">
        <v>1812</v>
      </c>
      <c r="B1759" s="304" t="s">
        <v>7315</v>
      </c>
      <c r="C1759" s="304" t="s">
        <v>5555</v>
      </c>
      <c r="D1759" s="540">
        <v>134.38</v>
      </c>
    </row>
    <row r="1760" spans="1:4" ht="15" x14ac:dyDescent="0.25">
      <c r="A1760" s="304">
        <v>40386</v>
      </c>
      <c r="B1760" s="304" t="s">
        <v>7316</v>
      </c>
      <c r="C1760" s="304" t="s">
        <v>5555</v>
      </c>
      <c r="D1760" s="540">
        <v>41.43</v>
      </c>
    </row>
    <row r="1761" spans="1:4" ht="15" x14ac:dyDescent="0.25">
      <c r="A1761" s="304">
        <v>40384</v>
      </c>
      <c r="B1761" s="304" t="s">
        <v>7317</v>
      </c>
      <c r="C1761" s="304" t="s">
        <v>5555</v>
      </c>
      <c r="D1761" s="540">
        <v>28.37</v>
      </c>
    </row>
    <row r="1762" spans="1:4" ht="15" x14ac:dyDescent="0.25">
      <c r="A1762" s="304">
        <v>40379</v>
      </c>
      <c r="B1762" s="304" t="s">
        <v>7318</v>
      </c>
      <c r="C1762" s="304" t="s">
        <v>5555</v>
      </c>
      <c r="D1762" s="540">
        <v>9.8000000000000007</v>
      </c>
    </row>
    <row r="1763" spans="1:4" ht="15" x14ac:dyDescent="0.25">
      <c r="A1763" s="304">
        <v>40423</v>
      </c>
      <c r="B1763" s="304" t="s">
        <v>7319</v>
      </c>
      <c r="C1763" s="304" t="s">
        <v>5555</v>
      </c>
      <c r="D1763" s="540">
        <v>18.559999999999999</v>
      </c>
    </row>
    <row r="1764" spans="1:4" ht="15" x14ac:dyDescent="0.25">
      <c r="A1764" s="304">
        <v>40389</v>
      </c>
      <c r="B1764" s="304" t="s">
        <v>7320</v>
      </c>
      <c r="C1764" s="304" t="s">
        <v>5555</v>
      </c>
      <c r="D1764" s="540">
        <v>117.69</v>
      </c>
    </row>
    <row r="1765" spans="1:4" ht="15" x14ac:dyDescent="0.25">
      <c r="A1765" s="304">
        <v>40388</v>
      </c>
      <c r="B1765" s="304" t="s">
        <v>7321</v>
      </c>
      <c r="C1765" s="304" t="s">
        <v>5555</v>
      </c>
      <c r="D1765" s="540">
        <v>58.91</v>
      </c>
    </row>
    <row r="1766" spans="1:4" ht="15" x14ac:dyDescent="0.25">
      <c r="A1766" s="304">
        <v>40381</v>
      </c>
      <c r="B1766" s="304" t="s">
        <v>7322</v>
      </c>
      <c r="C1766" s="304" t="s">
        <v>5555</v>
      </c>
      <c r="D1766" s="540">
        <v>13.07</v>
      </c>
    </row>
    <row r="1767" spans="1:4" ht="15" x14ac:dyDescent="0.25">
      <c r="A1767" s="304">
        <v>40391</v>
      </c>
      <c r="B1767" s="304" t="s">
        <v>7323</v>
      </c>
      <c r="C1767" s="304" t="s">
        <v>5555</v>
      </c>
      <c r="D1767" s="540">
        <v>305.48</v>
      </c>
    </row>
    <row r="1768" spans="1:4" ht="15" x14ac:dyDescent="0.25">
      <c r="A1768" s="304">
        <v>40414</v>
      </c>
      <c r="B1768" s="304" t="s">
        <v>7324</v>
      </c>
      <c r="C1768" s="304" t="s">
        <v>5555</v>
      </c>
      <c r="D1768" s="540">
        <v>11.89</v>
      </c>
    </row>
    <row r="1769" spans="1:4" ht="15" x14ac:dyDescent="0.25">
      <c r="A1769" s="304">
        <v>40416</v>
      </c>
      <c r="B1769" s="304" t="s">
        <v>7325</v>
      </c>
      <c r="C1769" s="304" t="s">
        <v>5555</v>
      </c>
      <c r="D1769" s="540">
        <v>16.43</v>
      </c>
    </row>
    <row r="1770" spans="1:4" ht="15" x14ac:dyDescent="0.25">
      <c r="A1770" s="304">
        <v>40418</v>
      </c>
      <c r="B1770" s="304" t="s">
        <v>7326</v>
      </c>
      <c r="C1770" s="304" t="s">
        <v>5555</v>
      </c>
      <c r="D1770" s="540">
        <v>19.600000000000001</v>
      </c>
    </row>
    <row r="1771" spans="1:4" ht="15" x14ac:dyDescent="0.25">
      <c r="A1771" s="304">
        <v>2615</v>
      </c>
      <c r="B1771" s="304" t="s">
        <v>7327</v>
      </c>
      <c r="C1771" s="304" t="s">
        <v>5555</v>
      </c>
      <c r="D1771" s="540">
        <v>131.44999999999999</v>
      </c>
    </row>
    <row r="1772" spans="1:4" ht="15" x14ac:dyDescent="0.25">
      <c r="A1772" s="304">
        <v>2635</v>
      </c>
      <c r="B1772" s="304" t="s">
        <v>7328</v>
      </c>
      <c r="C1772" s="304" t="s">
        <v>5555</v>
      </c>
      <c r="D1772" s="540">
        <v>3.92</v>
      </c>
    </row>
    <row r="1773" spans="1:4" ht="15" x14ac:dyDescent="0.25">
      <c r="A1773" s="304">
        <v>2609</v>
      </c>
      <c r="B1773" s="304" t="s">
        <v>7329</v>
      </c>
      <c r="C1773" s="304" t="s">
        <v>5555</v>
      </c>
      <c r="D1773" s="540">
        <v>4.41</v>
      </c>
    </row>
    <row r="1774" spans="1:4" ht="15" x14ac:dyDescent="0.25">
      <c r="A1774" s="304">
        <v>2634</v>
      </c>
      <c r="B1774" s="304" t="s">
        <v>7330</v>
      </c>
      <c r="C1774" s="304" t="s">
        <v>5555</v>
      </c>
      <c r="D1774" s="540">
        <v>5.8</v>
      </c>
    </row>
    <row r="1775" spans="1:4" ht="15" x14ac:dyDescent="0.25">
      <c r="A1775" s="304">
        <v>2611</v>
      </c>
      <c r="B1775" s="304" t="s">
        <v>7331</v>
      </c>
      <c r="C1775" s="304" t="s">
        <v>5555</v>
      </c>
      <c r="D1775" s="540">
        <v>16.34</v>
      </c>
    </row>
    <row r="1776" spans="1:4" ht="15" x14ac:dyDescent="0.25">
      <c r="A1776" s="304">
        <v>2612</v>
      </c>
      <c r="B1776" s="304" t="s">
        <v>7332</v>
      </c>
      <c r="C1776" s="304" t="s">
        <v>5555</v>
      </c>
      <c r="D1776" s="540">
        <v>23.77</v>
      </c>
    </row>
    <row r="1777" spans="1:4" ht="15" x14ac:dyDescent="0.25">
      <c r="A1777" s="304">
        <v>2613</v>
      </c>
      <c r="B1777" s="304" t="s">
        <v>7333</v>
      </c>
      <c r="C1777" s="304" t="s">
        <v>5555</v>
      </c>
      <c r="D1777" s="540">
        <v>57.38</v>
      </c>
    </row>
    <row r="1778" spans="1:4" ht="15" x14ac:dyDescent="0.25">
      <c r="A1778" s="304">
        <v>2614</v>
      </c>
      <c r="B1778" s="304" t="s">
        <v>7334</v>
      </c>
      <c r="C1778" s="304" t="s">
        <v>5555</v>
      </c>
      <c r="D1778" s="540">
        <v>79.790000000000006</v>
      </c>
    </row>
    <row r="1779" spans="1:4" ht="15" x14ac:dyDescent="0.25">
      <c r="A1779" s="304">
        <v>34359</v>
      </c>
      <c r="B1779" s="304" t="s">
        <v>7335</v>
      </c>
      <c r="C1779" s="304" t="s">
        <v>5555</v>
      </c>
      <c r="D1779" s="540">
        <v>6.97</v>
      </c>
    </row>
    <row r="1780" spans="1:4" ht="15" x14ac:dyDescent="0.25">
      <c r="A1780" s="304">
        <v>1789</v>
      </c>
      <c r="B1780" s="304" t="s">
        <v>7336</v>
      </c>
      <c r="C1780" s="304" t="s">
        <v>5555</v>
      </c>
      <c r="D1780" s="540">
        <v>42.51</v>
      </c>
    </row>
    <row r="1781" spans="1:4" ht="15" x14ac:dyDescent="0.25">
      <c r="A1781" s="304">
        <v>1788</v>
      </c>
      <c r="B1781" s="304" t="s">
        <v>7337</v>
      </c>
      <c r="C1781" s="304" t="s">
        <v>5555</v>
      </c>
      <c r="D1781" s="540">
        <v>34.07</v>
      </c>
    </row>
    <row r="1782" spans="1:4" ht="15" x14ac:dyDescent="0.25">
      <c r="A1782" s="304">
        <v>1786</v>
      </c>
      <c r="B1782" s="304" t="s">
        <v>7338</v>
      </c>
      <c r="C1782" s="304" t="s">
        <v>5555</v>
      </c>
      <c r="D1782" s="540">
        <v>8.4600000000000009</v>
      </c>
    </row>
    <row r="1783" spans="1:4" ht="15" x14ac:dyDescent="0.25">
      <c r="A1783" s="304">
        <v>1787</v>
      </c>
      <c r="B1783" s="304" t="s">
        <v>7339</v>
      </c>
      <c r="C1783" s="304" t="s">
        <v>5555</v>
      </c>
      <c r="D1783" s="540">
        <v>20.260000000000002</v>
      </c>
    </row>
    <row r="1784" spans="1:4" ht="15" x14ac:dyDescent="0.25">
      <c r="A1784" s="304">
        <v>1791</v>
      </c>
      <c r="B1784" s="304" t="s">
        <v>7340</v>
      </c>
      <c r="C1784" s="304" t="s">
        <v>5555</v>
      </c>
      <c r="D1784" s="540">
        <v>122.86</v>
      </c>
    </row>
    <row r="1785" spans="1:4" ht="15" x14ac:dyDescent="0.25">
      <c r="A1785" s="304">
        <v>1790</v>
      </c>
      <c r="B1785" s="304" t="s">
        <v>7341</v>
      </c>
      <c r="C1785" s="304" t="s">
        <v>5555</v>
      </c>
      <c r="D1785" s="540">
        <v>70.8</v>
      </c>
    </row>
    <row r="1786" spans="1:4" ht="15" x14ac:dyDescent="0.25">
      <c r="A1786" s="304">
        <v>1813</v>
      </c>
      <c r="B1786" s="304" t="s">
        <v>7342</v>
      </c>
      <c r="C1786" s="304" t="s">
        <v>5555</v>
      </c>
      <c r="D1786" s="540">
        <v>13.43</v>
      </c>
    </row>
    <row r="1787" spans="1:4" ht="15" x14ac:dyDescent="0.25">
      <c r="A1787" s="304">
        <v>1792</v>
      </c>
      <c r="B1787" s="304" t="s">
        <v>7343</v>
      </c>
      <c r="C1787" s="304" t="s">
        <v>5555</v>
      </c>
      <c r="D1787" s="540">
        <v>165.85</v>
      </c>
    </row>
    <row r="1788" spans="1:4" ht="15" x14ac:dyDescent="0.25">
      <c r="A1788" s="304">
        <v>1793</v>
      </c>
      <c r="B1788" s="304" t="s">
        <v>7344</v>
      </c>
      <c r="C1788" s="304" t="s">
        <v>5555</v>
      </c>
      <c r="D1788" s="540">
        <v>335.12</v>
      </c>
    </row>
    <row r="1789" spans="1:4" ht="15" x14ac:dyDescent="0.25">
      <c r="A1789" s="304">
        <v>1809</v>
      </c>
      <c r="B1789" s="304" t="s">
        <v>7345</v>
      </c>
      <c r="C1789" s="304" t="s">
        <v>5555</v>
      </c>
      <c r="D1789" s="540">
        <v>39.85</v>
      </c>
    </row>
    <row r="1790" spans="1:4" ht="15" x14ac:dyDescent="0.25">
      <c r="A1790" s="304">
        <v>1814</v>
      </c>
      <c r="B1790" s="304" t="s">
        <v>7346</v>
      </c>
      <c r="C1790" s="304" t="s">
        <v>5555</v>
      </c>
      <c r="D1790" s="540">
        <v>32.74</v>
      </c>
    </row>
    <row r="1791" spans="1:4" ht="15" x14ac:dyDescent="0.25">
      <c r="A1791" s="304">
        <v>1803</v>
      </c>
      <c r="B1791" s="304" t="s">
        <v>7347</v>
      </c>
      <c r="C1791" s="304" t="s">
        <v>5555</v>
      </c>
      <c r="D1791" s="540">
        <v>8.27</v>
      </c>
    </row>
    <row r="1792" spans="1:4" ht="15" x14ac:dyDescent="0.25">
      <c r="A1792" s="304">
        <v>1805</v>
      </c>
      <c r="B1792" s="304" t="s">
        <v>7348</v>
      </c>
      <c r="C1792" s="304" t="s">
        <v>5555</v>
      </c>
      <c r="D1792" s="540">
        <v>19</v>
      </c>
    </row>
    <row r="1793" spans="1:4" ht="15" x14ac:dyDescent="0.25">
      <c r="A1793" s="304">
        <v>1821</v>
      </c>
      <c r="B1793" s="304" t="s">
        <v>7349</v>
      </c>
      <c r="C1793" s="304" t="s">
        <v>5555</v>
      </c>
      <c r="D1793" s="540">
        <v>112.25</v>
      </c>
    </row>
    <row r="1794" spans="1:4" ht="15" x14ac:dyDescent="0.25">
      <c r="A1794" s="304">
        <v>1806</v>
      </c>
      <c r="B1794" s="304" t="s">
        <v>7350</v>
      </c>
      <c r="C1794" s="304" t="s">
        <v>5555</v>
      </c>
      <c r="D1794" s="540">
        <v>66.81</v>
      </c>
    </row>
    <row r="1795" spans="1:4" ht="15" x14ac:dyDescent="0.25">
      <c r="A1795" s="304">
        <v>1804</v>
      </c>
      <c r="B1795" s="304" t="s">
        <v>7351</v>
      </c>
      <c r="C1795" s="304" t="s">
        <v>5555</v>
      </c>
      <c r="D1795" s="540">
        <v>11.77</v>
      </c>
    </row>
    <row r="1796" spans="1:4" ht="15" x14ac:dyDescent="0.25">
      <c r="A1796" s="304">
        <v>1807</v>
      </c>
      <c r="B1796" s="304" t="s">
        <v>7352</v>
      </c>
      <c r="C1796" s="304" t="s">
        <v>5555</v>
      </c>
      <c r="D1796" s="540">
        <v>160.54</v>
      </c>
    </row>
    <row r="1797" spans="1:4" ht="15" x14ac:dyDescent="0.25">
      <c r="A1797" s="304">
        <v>1808</v>
      </c>
      <c r="B1797" s="304" t="s">
        <v>7353</v>
      </c>
      <c r="C1797" s="304" t="s">
        <v>5555</v>
      </c>
      <c r="D1797" s="540">
        <v>321.86</v>
      </c>
    </row>
    <row r="1798" spans="1:4" ht="15" x14ac:dyDescent="0.25">
      <c r="A1798" s="304">
        <v>1797</v>
      </c>
      <c r="B1798" s="304" t="s">
        <v>7354</v>
      </c>
      <c r="C1798" s="304" t="s">
        <v>5555</v>
      </c>
      <c r="D1798" s="540">
        <v>48.27</v>
      </c>
    </row>
    <row r="1799" spans="1:4" ht="15" x14ac:dyDescent="0.25">
      <c r="A1799" s="304">
        <v>1796</v>
      </c>
      <c r="B1799" s="304" t="s">
        <v>7355</v>
      </c>
      <c r="C1799" s="304" t="s">
        <v>5555</v>
      </c>
      <c r="D1799" s="540">
        <v>37.03</v>
      </c>
    </row>
    <row r="1800" spans="1:4" ht="15" x14ac:dyDescent="0.25">
      <c r="A1800" s="304">
        <v>1794</v>
      </c>
      <c r="B1800" s="304" t="s">
        <v>7356</v>
      </c>
      <c r="C1800" s="304" t="s">
        <v>5555</v>
      </c>
      <c r="D1800" s="540">
        <v>8.84</v>
      </c>
    </row>
    <row r="1801" spans="1:4" ht="15" x14ac:dyDescent="0.25">
      <c r="A1801" s="304">
        <v>1816</v>
      </c>
      <c r="B1801" s="304" t="s">
        <v>7357</v>
      </c>
      <c r="C1801" s="304" t="s">
        <v>5555</v>
      </c>
      <c r="D1801" s="540">
        <v>19.93</v>
      </c>
    </row>
    <row r="1802" spans="1:4" ht="15" x14ac:dyDescent="0.25">
      <c r="A1802" s="304">
        <v>1815</v>
      </c>
      <c r="B1802" s="304" t="s">
        <v>7358</v>
      </c>
      <c r="C1802" s="304" t="s">
        <v>5555</v>
      </c>
      <c r="D1802" s="540">
        <v>153.05000000000001</v>
      </c>
    </row>
    <row r="1803" spans="1:4" ht="15" x14ac:dyDescent="0.25">
      <c r="A1803" s="304">
        <v>1798</v>
      </c>
      <c r="B1803" s="304" t="s">
        <v>7359</v>
      </c>
      <c r="C1803" s="304" t="s">
        <v>5555</v>
      </c>
      <c r="D1803" s="540">
        <v>68.48</v>
      </c>
    </row>
    <row r="1804" spans="1:4" ht="15" x14ac:dyDescent="0.25">
      <c r="A1804" s="304">
        <v>1795</v>
      </c>
      <c r="B1804" s="304" t="s">
        <v>7360</v>
      </c>
      <c r="C1804" s="304" t="s">
        <v>5555</v>
      </c>
      <c r="D1804" s="540">
        <v>12.24</v>
      </c>
    </row>
    <row r="1805" spans="1:4" ht="15" x14ac:dyDescent="0.25">
      <c r="A1805" s="304">
        <v>1799</v>
      </c>
      <c r="B1805" s="304" t="s">
        <v>7361</v>
      </c>
      <c r="C1805" s="304" t="s">
        <v>5555</v>
      </c>
      <c r="D1805" s="540">
        <v>199.34</v>
      </c>
    </row>
    <row r="1806" spans="1:4" ht="15" x14ac:dyDescent="0.25">
      <c r="A1806" s="304">
        <v>1800</v>
      </c>
      <c r="B1806" s="304" t="s">
        <v>7362</v>
      </c>
      <c r="C1806" s="304" t="s">
        <v>5555</v>
      </c>
      <c r="D1806" s="540">
        <v>380.58</v>
      </c>
    </row>
    <row r="1807" spans="1:4" ht="15" x14ac:dyDescent="0.25">
      <c r="A1807" s="304">
        <v>1802</v>
      </c>
      <c r="B1807" s="304" t="s">
        <v>7363</v>
      </c>
      <c r="C1807" s="304" t="s">
        <v>5555</v>
      </c>
      <c r="D1807" s="540">
        <v>951.98</v>
      </c>
    </row>
    <row r="1808" spans="1:4" ht="15" x14ac:dyDescent="0.25">
      <c r="A1808" s="304">
        <v>40385</v>
      </c>
      <c r="B1808" s="304" t="s">
        <v>7364</v>
      </c>
      <c r="C1808" s="304" t="s">
        <v>5555</v>
      </c>
      <c r="D1808" s="540">
        <v>41.43</v>
      </c>
    </row>
    <row r="1809" spans="1:4" ht="15" x14ac:dyDescent="0.25">
      <c r="A1809" s="304">
        <v>40383</v>
      </c>
      <c r="B1809" s="304" t="s">
        <v>7365</v>
      </c>
      <c r="C1809" s="304" t="s">
        <v>5555</v>
      </c>
      <c r="D1809" s="540">
        <v>28.37</v>
      </c>
    </row>
    <row r="1810" spans="1:4" ht="15" x14ac:dyDescent="0.25">
      <c r="A1810" s="304">
        <v>40378</v>
      </c>
      <c r="B1810" s="304" t="s">
        <v>7366</v>
      </c>
      <c r="C1810" s="304" t="s">
        <v>5555</v>
      </c>
      <c r="D1810" s="540">
        <v>9.8000000000000007</v>
      </c>
    </row>
    <row r="1811" spans="1:4" ht="15" x14ac:dyDescent="0.25">
      <c r="A1811" s="304">
        <v>40382</v>
      </c>
      <c r="B1811" s="304" t="s">
        <v>7367</v>
      </c>
      <c r="C1811" s="304" t="s">
        <v>5555</v>
      </c>
      <c r="D1811" s="540">
        <v>18.559999999999999</v>
      </c>
    </row>
    <row r="1812" spans="1:4" ht="15" x14ac:dyDescent="0.25">
      <c r="A1812" s="304">
        <v>40422</v>
      </c>
      <c r="B1812" s="304" t="s">
        <v>7368</v>
      </c>
      <c r="C1812" s="304" t="s">
        <v>5555</v>
      </c>
      <c r="D1812" s="540">
        <v>126.43</v>
      </c>
    </row>
    <row r="1813" spans="1:4" ht="15" x14ac:dyDescent="0.25">
      <c r="A1813" s="304">
        <v>40387</v>
      </c>
      <c r="B1813" s="304" t="s">
        <v>7369</v>
      </c>
      <c r="C1813" s="304" t="s">
        <v>5555</v>
      </c>
      <c r="D1813" s="540">
        <v>64.37</v>
      </c>
    </row>
    <row r="1814" spans="1:4" ht="15" x14ac:dyDescent="0.25">
      <c r="A1814" s="304">
        <v>40380</v>
      </c>
      <c r="B1814" s="304" t="s">
        <v>7370</v>
      </c>
      <c r="C1814" s="304" t="s">
        <v>5555</v>
      </c>
      <c r="D1814" s="540">
        <v>13.07</v>
      </c>
    </row>
    <row r="1815" spans="1:4" ht="15" x14ac:dyDescent="0.25">
      <c r="A1815" s="304">
        <v>40390</v>
      </c>
      <c r="B1815" s="304" t="s">
        <v>7371</v>
      </c>
      <c r="C1815" s="304" t="s">
        <v>5555</v>
      </c>
      <c r="D1815" s="540">
        <v>266.27999999999997</v>
      </c>
    </row>
    <row r="1816" spans="1:4" ht="15" x14ac:dyDescent="0.25">
      <c r="A1816" s="304">
        <v>40413</v>
      </c>
      <c r="B1816" s="304" t="s">
        <v>7372</v>
      </c>
      <c r="C1816" s="304" t="s">
        <v>5555</v>
      </c>
      <c r="D1816" s="540">
        <v>12.91</v>
      </c>
    </row>
    <row r="1817" spans="1:4" ht="15" x14ac:dyDescent="0.25">
      <c r="A1817" s="304">
        <v>40415</v>
      </c>
      <c r="B1817" s="304" t="s">
        <v>7373</v>
      </c>
      <c r="C1817" s="304" t="s">
        <v>5555</v>
      </c>
      <c r="D1817" s="540">
        <v>18.399999999999999</v>
      </c>
    </row>
    <row r="1818" spans="1:4" ht="15" x14ac:dyDescent="0.25">
      <c r="A1818" s="304">
        <v>40417</v>
      </c>
      <c r="B1818" s="304" t="s">
        <v>7374</v>
      </c>
      <c r="C1818" s="304" t="s">
        <v>5555</v>
      </c>
      <c r="D1818" s="540">
        <v>21.71</v>
      </c>
    </row>
    <row r="1819" spans="1:4" ht="15" x14ac:dyDescent="0.25">
      <c r="A1819" s="304">
        <v>39271</v>
      </c>
      <c r="B1819" s="304" t="s">
        <v>7375</v>
      </c>
      <c r="C1819" s="304" t="s">
        <v>5555</v>
      </c>
      <c r="D1819" s="540">
        <v>1.39</v>
      </c>
    </row>
    <row r="1820" spans="1:4" ht="15" x14ac:dyDescent="0.25">
      <c r="A1820" s="304">
        <v>39273</v>
      </c>
      <c r="B1820" s="304" t="s">
        <v>7376</v>
      </c>
      <c r="C1820" s="304" t="s">
        <v>5555</v>
      </c>
      <c r="D1820" s="540">
        <v>2.36</v>
      </c>
    </row>
    <row r="1821" spans="1:4" ht="15" x14ac:dyDescent="0.25">
      <c r="A1821" s="304">
        <v>39272</v>
      </c>
      <c r="B1821" s="304" t="s">
        <v>7377</v>
      </c>
      <c r="C1821" s="304" t="s">
        <v>5555</v>
      </c>
      <c r="D1821" s="540">
        <v>1.71</v>
      </c>
    </row>
    <row r="1822" spans="1:4" ht="15" x14ac:dyDescent="0.25">
      <c r="A1822" s="304">
        <v>1875</v>
      </c>
      <c r="B1822" s="304" t="s">
        <v>7378</v>
      </c>
      <c r="C1822" s="304" t="s">
        <v>5555</v>
      </c>
      <c r="D1822" s="540">
        <v>3.77</v>
      </c>
    </row>
    <row r="1823" spans="1:4" ht="15" x14ac:dyDescent="0.25">
      <c r="A1823" s="304">
        <v>1874</v>
      </c>
      <c r="B1823" s="304" t="s">
        <v>7379</v>
      </c>
      <c r="C1823" s="304" t="s">
        <v>5555</v>
      </c>
      <c r="D1823" s="540">
        <v>3.11</v>
      </c>
    </row>
    <row r="1824" spans="1:4" ht="15" x14ac:dyDescent="0.25">
      <c r="A1824" s="304">
        <v>1870</v>
      </c>
      <c r="B1824" s="304" t="s">
        <v>7380</v>
      </c>
      <c r="C1824" s="304" t="s">
        <v>5555</v>
      </c>
      <c r="D1824" s="540">
        <v>1.8</v>
      </c>
    </row>
    <row r="1825" spans="1:4" ht="15" x14ac:dyDescent="0.25">
      <c r="A1825" s="304">
        <v>1884</v>
      </c>
      <c r="B1825" s="304" t="s">
        <v>7381</v>
      </c>
      <c r="C1825" s="304" t="s">
        <v>5555</v>
      </c>
      <c r="D1825" s="540">
        <v>2.76</v>
      </c>
    </row>
    <row r="1826" spans="1:4" ht="15" x14ac:dyDescent="0.25">
      <c r="A1826" s="304">
        <v>1887</v>
      </c>
      <c r="B1826" s="304" t="s">
        <v>7382</v>
      </c>
      <c r="C1826" s="304" t="s">
        <v>5555</v>
      </c>
      <c r="D1826" s="540">
        <v>15.65</v>
      </c>
    </row>
    <row r="1827" spans="1:4" ht="15" x14ac:dyDescent="0.25">
      <c r="A1827" s="304">
        <v>1876</v>
      </c>
      <c r="B1827" s="304" t="s">
        <v>7383</v>
      </c>
      <c r="C1827" s="304" t="s">
        <v>5555</v>
      </c>
      <c r="D1827" s="540">
        <v>6.13</v>
      </c>
    </row>
    <row r="1828" spans="1:4" ht="15" x14ac:dyDescent="0.25">
      <c r="A1828" s="304">
        <v>1879</v>
      </c>
      <c r="B1828" s="304" t="s">
        <v>7384</v>
      </c>
      <c r="C1828" s="304" t="s">
        <v>5555</v>
      </c>
      <c r="D1828" s="540">
        <v>1.82</v>
      </c>
    </row>
    <row r="1829" spans="1:4" ht="15" x14ac:dyDescent="0.25">
      <c r="A1829" s="304">
        <v>1877</v>
      </c>
      <c r="B1829" s="304" t="s">
        <v>7385</v>
      </c>
      <c r="C1829" s="304" t="s">
        <v>5555</v>
      </c>
      <c r="D1829" s="540">
        <v>15.67</v>
      </c>
    </row>
    <row r="1830" spans="1:4" ht="15" x14ac:dyDescent="0.25">
      <c r="A1830" s="304">
        <v>1878</v>
      </c>
      <c r="B1830" s="304" t="s">
        <v>7386</v>
      </c>
      <c r="C1830" s="304" t="s">
        <v>5555</v>
      </c>
      <c r="D1830" s="540">
        <v>31.48</v>
      </c>
    </row>
    <row r="1831" spans="1:4" ht="15" x14ac:dyDescent="0.25">
      <c r="A1831" s="304">
        <v>2621</v>
      </c>
      <c r="B1831" s="304" t="s">
        <v>7387</v>
      </c>
      <c r="C1831" s="304" t="s">
        <v>5555</v>
      </c>
      <c r="D1831" s="540">
        <v>139.82</v>
      </c>
    </row>
    <row r="1832" spans="1:4" ht="15" x14ac:dyDescent="0.25">
      <c r="A1832" s="304">
        <v>2616</v>
      </c>
      <c r="B1832" s="304" t="s">
        <v>7388</v>
      </c>
      <c r="C1832" s="304" t="s">
        <v>5555</v>
      </c>
      <c r="D1832" s="540">
        <v>3.95</v>
      </c>
    </row>
    <row r="1833" spans="1:4" ht="15" x14ac:dyDescent="0.25">
      <c r="A1833" s="304">
        <v>2633</v>
      </c>
      <c r="B1833" s="304" t="s">
        <v>7389</v>
      </c>
      <c r="C1833" s="304" t="s">
        <v>5555</v>
      </c>
      <c r="D1833" s="540">
        <v>4.47</v>
      </c>
    </row>
    <row r="1834" spans="1:4" ht="15" x14ac:dyDescent="0.25">
      <c r="A1834" s="304">
        <v>2617</v>
      </c>
      <c r="B1834" s="304" t="s">
        <v>7390</v>
      </c>
      <c r="C1834" s="304" t="s">
        <v>5555</v>
      </c>
      <c r="D1834" s="540">
        <v>6.08</v>
      </c>
    </row>
    <row r="1835" spans="1:4" ht="15" x14ac:dyDescent="0.25">
      <c r="A1835" s="304">
        <v>2618</v>
      </c>
      <c r="B1835" s="304" t="s">
        <v>7391</v>
      </c>
      <c r="C1835" s="304" t="s">
        <v>5555</v>
      </c>
      <c r="D1835" s="540">
        <v>13.85</v>
      </c>
    </row>
    <row r="1836" spans="1:4" ht="15" x14ac:dyDescent="0.25">
      <c r="A1836" s="304">
        <v>2632</v>
      </c>
      <c r="B1836" s="304" t="s">
        <v>7392</v>
      </c>
      <c r="C1836" s="304" t="s">
        <v>5555</v>
      </c>
      <c r="D1836" s="540">
        <v>16.89</v>
      </c>
    </row>
    <row r="1837" spans="1:4" ht="15" x14ac:dyDescent="0.25">
      <c r="A1837" s="304">
        <v>2631</v>
      </c>
      <c r="B1837" s="304" t="s">
        <v>7393</v>
      </c>
      <c r="C1837" s="304" t="s">
        <v>5555</v>
      </c>
      <c r="D1837" s="540">
        <v>24.8</v>
      </c>
    </row>
    <row r="1838" spans="1:4" ht="15" x14ac:dyDescent="0.25">
      <c r="A1838" s="304">
        <v>2619</v>
      </c>
      <c r="B1838" s="304" t="s">
        <v>7394</v>
      </c>
      <c r="C1838" s="304" t="s">
        <v>5555</v>
      </c>
      <c r="D1838" s="540">
        <v>62.79</v>
      </c>
    </row>
    <row r="1839" spans="1:4" ht="15" x14ac:dyDescent="0.25">
      <c r="A1839" s="304">
        <v>2620</v>
      </c>
      <c r="B1839" s="304" t="s">
        <v>7395</v>
      </c>
      <c r="C1839" s="304" t="s">
        <v>5555</v>
      </c>
      <c r="D1839" s="540">
        <v>82.44</v>
      </c>
    </row>
    <row r="1840" spans="1:4" ht="15" x14ac:dyDescent="0.25">
      <c r="A1840" s="304">
        <v>25968</v>
      </c>
      <c r="B1840" s="304" t="s">
        <v>7396</v>
      </c>
      <c r="C1840" s="304" t="s">
        <v>5555</v>
      </c>
      <c r="D1840" s="540">
        <v>39.74</v>
      </c>
    </row>
    <row r="1841" spans="1:4" ht="15" x14ac:dyDescent="0.25">
      <c r="A1841" s="304">
        <v>38369</v>
      </c>
      <c r="B1841" s="304" t="s">
        <v>7397</v>
      </c>
      <c r="C1841" s="304" t="s">
        <v>5555</v>
      </c>
      <c r="D1841" s="540">
        <v>12.44</v>
      </c>
    </row>
    <row r="1842" spans="1:4" ht="15" x14ac:dyDescent="0.25">
      <c r="A1842" s="304">
        <v>38370</v>
      </c>
      <c r="B1842" s="304" t="s">
        <v>7398</v>
      </c>
      <c r="C1842" s="304" t="s">
        <v>5555</v>
      </c>
      <c r="D1842" s="540">
        <v>12.44</v>
      </c>
    </row>
    <row r="1843" spans="1:4" ht="15" x14ac:dyDescent="0.25">
      <c r="A1843" s="304">
        <v>38372</v>
      </c>
      <c r="B1843" s="304" t="s">
        <v>7399</v>
      </c>
      <c r="C1843" s="304" t="s">
        <v>5555</v>
      </c>
      <c r="D1843" s="540">
        <v>15.49</v>
      </c>
    </row>
    <row r="1844" spans="1:4" ht="15" x14ac:dyDescent="0.25">
      <c r="A1844" s="304">
        <v>2357</v>
      </c>
      <c r="B1844" s="304" t="s">
        <v>7400</v>
      </c>
      <c r="C1844" s="304" t="s">
        <v>5566</v>
      </c>
      <c r="D1844" s="540">
        <v>49.3</v>
      </c>
    </row>
    <row r="1845" spans="1:4" ht="15" x14ac:dyDescent="0.25">
      <c r="A1845" s="304">
        <v>40806</v>
      </c>
      <c r="B1845" s="304" t="s">
        <v>7401</v>
      </c>
      <c r="C1845" s="304" t="s">
        <v>5755</v>
      </c>
      <c r="D1845" s="541">
        <v>8630.61</v>
      </c>
    </row>
    <row r="1846" spans="1:4" ht="15" x14ac:dyDescent="0.25">
      <c r="A1846" s="304">
        <v>2355</v>
      </c>
      <c r="B1846" s="304" t="s">
        <v>7402</v>
      </c>
      <c r="C1846" s="304" t="s">
        <v>5566</v>
      </c>
      <c r="D1846" s="540">
        <v>65.37</v>
      </c>
    </row>
    <row r="1847" spans="1:4" ht="15" x14ac:dyDescent="0.25">
      <c r="A1847" s="304">
        <v>40805</v>
      </c>
      <c r="B1847" s="304" t="s">
        <v>7403</v>
      </c>
      <c r="C1847" s="304" t="s">
        <v>5755</v>
      </c>
      <c r="D1847" s="541">
        <v>11441.94</v>
      </c>
    </row>
    <row r="1848" spans="1:4" ht="15" x14ac:dyDescent="0.25">
      <c r="A1848" s="304">
        <v>2358</v>
      </c>
      <c r="B1848" s="304" t="s">
        <v>7404</v>
      </c>
      <c r="C1848" s="304" t="s">
        <v>5566</v>
      </c>
      <c r="D1848" s="540">
        <v>41.04</v>
      </c>
    </row>
    <row r="1849" spans="1:4" ht="15" x14ac:dyDescent="0.25">
      <c r="A1849" s="304">
        <v>40807</v>
      </c>
      <c r="B1849" s="304" t="s">
        <v>7405</v>
      </c>
      <c r="C1849" s="304" t="s">
        <v>5755</v>
      </c>
      <c r="D1849" s="541">
        <v>7183.79</v>
      </c>
    </row>
    <row r="1850" spans="1:4" ht="15" x14ac:dyDescent="0.25">
      <c r="A1850" s="304">
        <v>2359</v>
      </c>
      <c r="B1850" s="304" t="s">
        <v>7406</v>
      </c>
      <c r="C1850" s="304" t="s">
        <v>5566</v>
      </c>
      <c r="D1850" s="540">
        <v>57.68</v>
      </c>
    </row>
    <row r="1851" spans="1:4" ht="15" x14ac:dyDescent="0.25">
      <c r="A1851" s="304">
        <v>40808</v>
      </c>
      <c r="B1851" s="304" t="s">
        <v>7407</v>
      </c>
      <c r="C1851" s="304" t="s">
        <v>5755</v>
      </c>
      <c r="D1851" s="541">
        <v>10097.120000000001</v>
      </c>
    </row>
    <row r="1852" spans="1:4" ht="15" x14ac:dyDescent="0.25">
      <c r="A1852" s="304">
        <v>39397</v>
      </c>
      <c r="B1852" s="304" t="s">
        <v>7408</v>
      </c>
      <c r="C1852" s="304" t="s">
        <v>5628</v>
      </c>
      <c r="D1852" s="540">
        <v>15.23</v>
      </c>
    </row>
    <row r="1853" spans="1:4" ht="15" x14ac:dyDescent="0.25">
      <c r="A1853" s="304">
        <v>2692</v>
      </c>
      <c r="B1853" s="304" t="s">
        <v>7409</v>
      </c>
      <c r="C1853" s="304" t="s">
        <v>5628</v>
      </c>
      <c r="D1853" s="540">
        <v>7.21</v>
      </c>
    </row>
    <row r="1854" spans="1:4" ht="15" x14ac:dyDescent="0.25">
      <c r="A1854" s="304">
        <v>6</v>
      </c>
      <c r="B1854" s="304" t="s">
        <v>7410</v>
      </c>
      <c r="C1854" s="304" t="s">
        <v>5628</v>
      </c>
      <c r="D1854" s="540">
        <v>2.99</v>
      </c>
    </row>
    <row r="1855" spans="1:4" ht="15" x14ac:dyDescent="0.25">
      <c r="A1855" s="304">
        <v>5330</v>
      </c>
      <c r="B1855" s="304" t="s">
        <v>7411</v>
      </c>
      <c r="C1855" s="304" t="s">
        <v>5628</v>
      </c>
      <c r="D1855" s="540">
        <v>31.32</v>
      </c>
    </row>
    <row r="1856" spans="1:4" ht="15" x14ac:dyDescent="0.25">
      <c r="A1856" s="304">
        <v>26017</v>
      </c>
      <c r="B1856" s="304" t="s">
        <v>7412</v>
      </c>
      <c r="C1856" s="304" t="s">
        <v>5555</v>
      </c>
      <c r="D1856" s="540">
        <v>23.43</v>
      </c>
    </row>
    <row r="1857" spans="1:4" ht="15" x14ac:dyDescent="0.25">
      <c r="A1857" s="304">
        <v>25931</v>
      </c>
      <c r="B1857" s="304" t="s">
        <v>7413</v>
      </c>
      <c r="C1857" s="304" t="s">
        <v>5555</v>
      </c>
      <c r="D1857" s="540">
        <v>74.47</v>
      </c>
    </row>
    <row r="1858" spans="1:4" ht="15" x14ac:dyDescent="0.25">
      <c r="A1858" s="304">
        <v>38140</v>
      </c>
      <c r="B1858" s="304" t="s">
        <v>7414</v>
      </c>
      <c r="C1858" s="304" t="s">
        <v>5555</v>
      </c>
      <c r="D1858" s="540">
        <v>18.059999999999999</v>
      </c>
    </row>
    <row r="1859" spans="1:4" ht="15" x14ac:dyDescent="0.25">
      <c r="A1859" s="304">
        <v>13887</v>
      </c>
      <c r="B1859" s="304" t="s">
        <v>7415</v>
      </c>
      <c r="C1859" s="304" t="s">
        <v>5555</v>
      </c>
      <c r="D1859" s="540">
        <v>427.58</v>
      </c>
    </row>
    <row r="1860" spans="1:4" ht="15" x14ac:dyDescent="0.25">
      <c r="A1860" s="304">
        <v>26018</v>
      </c>
      <c r="B1860" s="304" t="s">
        <v>7416</v>
      </c>
      <c r="C1860" s="304" t="s">
        <v>5555</v>
      </c>
      <c r="D1860" s="540">
        <v>19.03</v>
      </c>
    </row>
    <row r="1861" spans="1:4" ht="15" x14ac:dyDescent="0.25">
      <c r="A1861" s="304">
        <v>26019</v>
      </c>
      <c r="B1861" s="304" t="s">
        <v>7417</v>
      </c>
      <c r="C1861" s="304" t="s">
        <v>5555</v>
      </c>
      <c r="D1861" s="540">
        <v>17.97</v>
      </c>
    </row>
    <row r="1862" spans="1:4" ht="15" x14ac:dyDescent="0.25">
      <c r="A1862" s="304">
        <v>26020</v>
      </c>
      <c r="B1862" s="304" t="s">
        <v>7418</v>
      </c>
      <c r="C1862" s="304" t="s">
        <v>5555</v>
      </c>
      <c r="D1862" s="540">
        <v>4.68</v>
      </c>
    </row>
    <row r="1863" spans="1:4" ht="15" x14ac:dyDescent="0.25">
      <c r="A1863" s="304">
        <v>34544</v>
      </c>
      <c r="B1863" s="304" t="s">
        <v>7419</v>
      </c>
      <c r="C1863" s="304" t="s">
        <v>5555</v>
      </c>
      <c r="D1863" s="541">
        <v>1150.17</v>
      </c>
    </row>
    <row r="1864" spans="1:4" ht="15" x14ac:dyDescent="0.25">
      <c r="A1864" s="304">
        <v>34729</v>
      </c>
      <c r="B1864" s="304" t="s">
        <v>7420</v>
      </c>
      <c r="C1864" s="304" t="s">
        <v>5555</v>
      </c>
      <c r="D1864" s="540">
        <v>904.79</v>
      </c>
    </row>
    <row r="1865" spans="1:4" ht="15" x14ac:dyDescent="0.25">
      <c r="A1865" s="304">
        <v>34734</v>
      </c>
      <c r="B1865" s="304" t="s">
        <v>7421</v>
      </c>
      <c r="C1865" s="304" t="s">
        <v>5555</v>
      </c>
      <c r="D1865" s="541">
        <v>1400.9</v>
      </c>
    </row>
    <row r="1866" spans="1:4" ht="15" x14ac:dyDescent="0.25">
      <c r="A1866" s="304">
        <v>34738</v>
      </c>
      <c r="B1866" s="304" t="s">
        <v>7422</v>
      </c>
      <c r="C1866" s="304" t="s">
        <v>5555</v>
      </c>
      <c r="D1866" s="541">
        <v>3272.95</v>
      </c>
    </row>
    <row r="1867" spans="1:4" ht="15" x14ac:dyDescent="0.25">
      <c r="A1867" s="304">
        <v>2391</v>
      </c>
      <c r="B1867" s="304" t="s">
        <v>7423</v>
      </c>
      <c r="C1867" s="304" t="s">
        <v>5555</v>
      </c>
      <c r="D1867" s="540">
        <v>266.2</v>
      </c>
    </row>
    <row r="1868" spans="1:4" ht="15" x14ac:dyDescent="0.25">
      <c r="A1868" s="304">
        <v>2374</v>
      </c>
      <c r="B1868" s="304" t="s">
        <v>7424</v>
      </c>
      <c r="C1868" s="304" t="s">
        <v>5555</v>
      </c>
      <c r="D1868" s="540">
        <v>301.99</v>
      </c>
    </row>
    <row r="1869" spans="1:4" ht="15" x14ac:dyDescent="0.25">
      <c r="A1869" s="304">
        <v>2377</v>
      </c>
      <c r="B1869" s="304" t="s">
        <v>7425</v>
      </c>
      <c r="C1869" s="304" t="s">
        <v>5555</v>
      </c>
      <c r="D1869" s="540">
        <v>423.82</v>
      </c>
    </row>
    <row r="1870" spans="1:4" ht="15" x14ac:dyDescent="0.25">
      <c r="A1870" s="304">
        <v>2393</v>
      </c>
      <c r="B1870" s="304" t="s">
        <v>7426</v>
      </c>
      <c r="C1870" s="304" t="s">
        <v>5555</v>
      </c>
      <c r="D1870" s="540">
        <v>709.74</v>
      </c>
    </row>
    <row r="1871" spans="1:4" ht="15" x14ac:dyDescent="0.25">
      <c r="A1871" s="304">
        <v>34705</v>
      </c>
      <c r="B1871" s="304" t="s">
        <v>7427</v>
      </c>
      <c r="C1871" s="304" t="s">
        <v>5555</v>
      </c>
      <c r="D1871" s="540">
        <v>620.77</v>
      </c>
    </row>
    <row r="1872" spans="1:4" ht="15" x14ac:dyDescent="0.25">
      <c r="A1872" s="304">
        <v>34707</v>
      </c>
      <c r="B1872" s="304" t="s">
        <v>7428</v>
      </c>
      <c r="C1872" s="304" t="s">
        <v>5555</v>
      </c>
      <c r="D1872" s="541">
        <v>1150.29</v>
      </c>
    </row>
    <row r="1873" spans="1:4" ht="15" x14ac:dyDescent="0.25">
      <c r="A1873" s="304">
        <v>2378</v>
      </c>
      <c r="B1873" s="304" t="s">
        <v>7429</v>
      </c>
      <c r="C1873" s="304" t="s">
        <v>5555</v>
      </c>
      <c r="D1873" s="540">
        <v>974.92</v>
      </c>
    </row>
    <row r="1874" spans="1:4" ht="15" x14ac:dyDescent="0.25">
      <c r="A1874" s="304">
        <v>2379</v>
      </c>
      <c r="B1874" s="304" t="s">
        <v>7430</v>
      </c>
      <c r="C1874" s="304" t="s">
        <v>5555</v>
      </c>
      <c r="D1874" s="540">
        <v>974.92</v>
      </c>
    </row>
    <row r="1875" spans="1:4" ht="15" x14ac:dyDescent="0.25">
      <c r="A1875" s="304">
        <v>2376</v>
      </c>
      <c r="B1875" s="304" t="s">
        <v>7431</v>
      </c>
      <c r="C1875" s="304" t="s">
        <v>5555</v>
      </c>
      <c r="D1875" s="541">
        <v>1605.69</v>
      </c>
    </row>
    <row r="1876" spans="1:4" ht="15" x14ac:dyDescent="0.25">
      <c r="A1876" s="304">
        <v>2394</v>
      </c>
      <c r="B1876" s="304" t="s">
        <v>7432</v>
      </c>
      <c r="C1876" s="304" t="s">
        <v>5555</v>
      </c>
      <c r="D1876" s="541">
        <v>3432.67</v>
      </c>
    </row>
    <row r="1877" spans="1:4" ht="15" x14ac:dyDescent="0.25">
      <c r="A1877" s="304">
        <v>34686</v>
      </c>
      <c r="B1877" s="304" t="s">
        <v>7433</v>
      </c>
      <c r="C1877" s="304" t="s">
        <v>5555</v>
      </c>
      <c r="D1877" s="540">
        <v>10.3</v>
      </c>
    </row>
    <row r="1878" spans="1:4" ht="15" x14ac:dyDescent="0.25">
      <c r="A1878" s="304">
        <v>34616</v>
      </c>
      <c r="B1878" s="304" t="s">
        <v>7434</v>
      </c>
      <c r="C1878" s="304" t="s">
        <v>5555</v>
      </c>
      <c r="D1878" s="540">
        <v>39.83</v>
      </c>
    </row>
    <row r="1879" spans="1:4" ht="15" x14ac:dyDescent="0.25">
      <c r="A1879" s="304">
        <v>34623</v>
      </c>
      <c r="B1879" s="304" t="s">
        <v>7435</v>
      </c>
      <c r="C1879" s="304" t="s">
        <v>5555</v>
      </c>
      <c r="D1879" s="540">
        <v>39.22</v>
      </c>
    </row>
    <row r="1880" spans="1:4" ht="15" x14ac:dyDescent="0.25">
      <c r="A1880" s="304">
        <v>34628</v>
      </c>
      <c r="B1880" s="304" t="s">
        <v>7436</v>
      </c>
      <c r="C1880" s="304" t="s">
        <v>5555</v>
      </c>
      <c r="D1880" s="540">
        <v>56.18</v>
      </c>
    </row>
    <row r="1881" spans="1:4" ht="15" x14ac:dyDescent="0.25">
      <c r="A1881" s="304">
        <v>34653</v>
      </c>
      <c r="B1881" s="304" t="s">
        <v>7437</v>
      </c>
      <c r="C1881" s="304" t="s">
        <v>5555</v>
      </c>
      <c r="D1881" s="540">
        <v>6.95</v>
      </c>
    </row>
    <row r="1882" spans="1:4" ht="15" x14ac:dyDescent="0.25">
      <c r="A1882" s="304">
        <v>34688</v>
      </c>
      <c r="B1882" s="304" t="s">
        <v>7438</v>
      </c>
      <c r="C1882" s="304" t="s">
        <v>5555</v>
      </c>
      <c r="D1882" s="540">
        <v>12.59</v>
      </c>
    </row>
    <row r="1883" spans="1:4" ht="15" x14ac:dyDescent="0.25">
      <c r="A1883" s="304">
        <v>34709</v>
      </c>
      <c r="B1883" s="304" t="s">
        <v>7439</v>
      </c>
      <c r="C1883" s="304" t="s">
        <v>5555</v>
      </c>
      <c r="D1883" s="540">
        <v>48.8</v>
      </c>
    </row>
    <row r="1884" spans="1:4" ht="15" x14ac:dyDescent="0.25">
      <c r="A1884" s="304">
        <v>34714</v>
      </c>
      <c r="B1884" s="304" t="s">
        <v>7440</v>
      </c>
      <c r="C1884" s="304" t="s">
        <v>5555</v>
      </c>
      <c r="D1884" s="540">
        <v>58.29</v>
      </c>
    </row>
    <row r="1885" spans="1:4" ht="15" x14ac:dyDescent="0.25">
      <c r="A1885" s="304">
        <v>2388</v>
      </c>
      <c r="B1885" s="304" t="s">
        <v>7441</v>
      </c>
      <c r="C1885" s="304" t="s">
        <v>5555</v>
      </c>
      <c r="D1885" s="540">
        <v>48.43</v>
      </c>
    </row>
    <row r="1886" spans="1:4" ht="15" x14ac:dyDescent="0.25">
      <c r="A1886" s="304">
        <v>34606</v>
      </c>
      <c r="B1886" s="304" t="s">
        <v>7442</v>
      </c>
      <c r="C1886" s="304" t="s">
        <v>5555</v>
      </c>
      <c r="D1886" s="540">
        <v>74.3</v>
      </c>
    </row>
    <row r="1887" spans="1:4" ht="15" x14ac:dyDescent="0.25">
      <c r="A1887" s="304">
        <v>34689</v>
      </c>
      <c r="B1887" s="304" t="s">
        <v>7443</v>
      </c>
      <c r="C1887" s="304" t="s">
        <v>5555</v>
      </c>
      <c r="D1887" s="540">
        <v>23.65</v>
      </c>
    </row>
    <row r="1888" spans="1:4" ht="15" x14ac:dyDescent="0.25">
      <c r="A1888" s="304">
        <v>2370</v>
      </c>
      <c r="B1888" s="304" t="s">
        <v>7444</v>
      </c>
      <c r="C1888" s="304" t="s">
        <v>5555</v>
      </c>
      <c r="D1888" s="540">
        <v>9</v>
      </c>
    </row>
    <row r="1889" spans="1:4" ht="15" x14ac:dyDescent="0.25">
      <c r="A1889" s="304">
        <v>2386</v>
      </c>
      <c r="B1889" s="304" t="s">
        <v>7445</v>
      </c>
      <c r="C1889" s="304" t="s">
        <v>5555</v>
      </c>
      <c r="D1889" s="540">
        <v>15.09</v>
      </c>
    </row>
    <row r="1890" spans="1:4" ht="15" x14ac:dyDescent="0.25">
      <c r="A1890" s="304">
        <v>2392</v>
      </c>
      <c r="B1890" s="304" t="s">
        <v>7446</v>
      </c>
      <c r="C1890" s="304" t="s">
        <v>5555</v>
      </c>
      <c r="D1890" s="540">
        <v>60.41</v>
      </c>
    </row>
    <row r="1891" spans="1:4" ht="15" x14ac:dyDescent="0.25">
      <c r="A1891" s="304">
        <v>2373</v>
      </c>
      <c r="B1891" s="304" t="s">
        <v>7447</v>
      </c>
      <c r="C1891" s="304" t="s">
        <v>5555</v>
      </c>
      <c r="D1891" s="540">
        <v>85.12</v>
      </c>
    </row>
    <row r="1892" spans="1:4" ht="15" x14ac:dyDescent="0.25">
      <c r="A1892" s="304">
        <v>39465</v>
      </c>
      <c r="B1892" s="304" t="s">
        <v>7448</v>
      </c>
      <c r="C1892" s="304" t="s">
        <v>5555</v>
      </c>
      <c r="D1892" s="540">
        <v>52</v>
      </c>
    </row>
    <row r="1893" spans="1:4" ht="15" x14ac:dyDescent="0.25">
      <c r="A1893" s="304">
        <v>39466</v>
      </c>
      <c r="B1893" s="304" t="s">
        <v>7449</v>
      </c>
      <c r="C1893" s="304" t="s">
        <v>5555</v>
      </c>
      <c r="D1893" s="540">
        <v>58.5</v>
      </c>
    </row>
    <row r="1894" spans="1:4" ht="15" x14ac:dyDescent="0.25">
      <c r="A1894" s="304">
        <v>39467</v>
      </c>
      <c r="B1894" s="304" t="s">
        <v>7450</v>
      </c>
      <c r="C1894" s="304" t="s">
        <v>5555</v>
      </c>
      <c r="D1894" s="540">
        <v>74.819999999999993</v>
      </c>
    </row>
    <row r="1895" spans="1:4" ht="15" x14ac:dyDescent="0.25">
      <c r="A1895" s="304">
        <v>39468</v>
      </c>
      <c r="B1895" s="304" t="s">
        <v>7451</v>
      </c>
      <c r="C1895" s="304" t="s">
        <v>5555</v>
      </c>
      <c r="D1895" s="540">
        <v>133</v>
      </c>
    </row>
    <row r="1896" spans="1:4" ht="15" x14ac:dyDescent="0.25">
      <c r="A1896" s="304">
        <v>39469</v>
      </c>
      <c r="B1896" s="304" t="s">
        <v>7452</v>
      </c>
      <c r="C1896" s="304" t="s">
        <v>5555</v>
      </c>
      <c r="D1896" s="540">
        <v>54.18</v>
      </c>
    </row>
    <row r="1897" spans="1:4" ht="15" x14ac:dyDescent="0.25">
      <c r="A1897" s="304">
        <v>39470</v>
      </c>
      <c r="B1897" s="304" t="s">
        <v>7453</v>
      </c>
      <c r="C1897" s="304" t="s">
        <v>5555</v>
      </c>
      <c r="D1897" s="540">
        <v>66.569999999999993</v>
      </c>
    </row>
    <row r="1898" spans="1:4" ht="15" x14ac:dyDescent="0.25">
      <c r="A1898" s="304">
        <v>39471</v>
      </c>
      <c r="B1898" s="304" t="s">
        <v>7454</v>
      </c>
      <c r="C1898" s="304" t="s">
        <v>5555</v>
      </c>
      <c r="D1898" s="540">
        <v>80</v>
      </c>
    </row>
    <row r="1899" spans="1:4" ht="15" x14ac:dyDescent="0.25">
      <c r="A1899" s="304">
        <v>39472</v>
      </c>
      <c r="B1899" s="304" t="s">
        <v>7455</v>
      </c>
      <c r="C1899" s="304" t="s">
        <v>5555</v>
      </c>
      <c r="D1899" s="540">
        <v>138.99</v>
      </c>
    </row>
    <row r="1900" spans="1:4" ht="15" x14ac:dyDescent="0.25">
      <c r="A1900" s="304">
        <v>39473</v>
      </c>
      <c r="B1900" s="304" t="s">
        <v>7456</v>
      </c>
      <c r="C1900" s="304" t="s">
        <v>5555</v>
      </c>
      <c r="D1900" s="540">
        <v>89.79</v>
      </c>
    </row>
    <row r="1901" spans="1:4" ht="15" x14ac:dyDescent="0.25">
      <c r="A1901" s="304">
        <v>39474</v>
      </c>
      <c r="B1901" s="304" t="s">
        <v>7457</v>
      </c>
      <c r="C1901" s="304" t="s">
        <v>5555</v>
      </c>
      <c r="D1901" s="540">
        <v>95.72</v>
      </c>
    </row>
    <row r="1902" spans="1:4" ht="15" x14ac:dyDescent="0.25">
      <c r="A1902" s="304">
        <v>39475</v>
      </c>
      <c r="B1902" s="304" t="s">
        <v>7458</v>
      </c>
      <c r="C1902" s="304" t="s">
        <v>5555</v>
      </c>
      <c r="D1902" s="540">
        <v>108.61</v>
      </c>
    </row>
    <row r="1903" spans="1:4" ht="15" x14ac:dyDescent="0.25">
      <c r="A1903" s="304">
        <v>39476</v>
      </c>
      <c r="B1903" s="304" t="s">
        <v>7459</v>
      </c>
      <c r="C1903" s="304" t="s">
        <v>5555</v>
      </c>
      <c r="D1903" s="540">
        <v>204.45</v>
      </c>
    </row>
    <row r="1904" spans="1:4" ht="15" x14ac:dyDescent="0.25">
      <c r="A1904" s="304">
        <v>39477</v>
      </c>
      <c r="B1904" s="304" t="s">
        <v>7460</v>
      </c>
      <c r="C1904" s="304" t="s">
        <v>5555</v>
      </c>
      <c r="D1904" s="540">
        <v>100.17</v>
      </c>
    </row>
    <row r="1905" spans="1:4" ht="15" x14ac:dyDescent="0.25">
      <c r="A1905" s="304">
        <v>39478</v>
      </c>
      <c r="B1905" s="304" t="s">
        <v>7461</v>
      </c>
      <c r="C1905" s="304" t="s">
        <v>5555</v>
      </c>
      <c r="D1905" s="540">
        <v>103.27</v>
      </c>
    </row>
    <row r="1906" spans="1:4" ht="15" x14ac:dyDescent="0.25">
      <c r="A1906" s="304">
        <v>39479</v>
      </c>
      <c r="B1906" s="304" t="s">
        <v>7462</v>
      </c>
      <c r="C1906" s="304" t="s">
        <v>5555</v>
      </c>
      <c r="D1906" s="540">
        <v>121.68</v>
      </c>
    </row>
    <row r="1907" spans="1:4" ht="15" x14ac:dyDescent="0.25">
      <c r="A1907" s="304">
        <v>39480</v>
      </c>
      <c r="B1907" s="304" t="s">
        <v>7463</v>
      </c>
      <c r="C1907" s="304" t="s">
        <v>5555</v>
      </c>
      <c r="D1907" s="540">
        <v>251.08</v>
      </c>
    </row>
    <row r="1908" spans="1:4" ht="15" x14ac:dyDescent="0.25">
      <c r="A1908" s="304">
        <v>39459</v>
      </c>
      <c r="B1908" s="304" t="s">
        <v>7464</v>
      </c>
      <c r="C1908" s="304" t="s">
        <v>5555</v>
      </c>
      <c r="D1908" s="540">
        <v>213.1</v>
      </c>
    </row>
    <row r="1909" spans="1:4" ht="15" x14ac:dyDescent="0.25">
      <c r="A1909" s="304">
        <v>39445</v>
      </c>
      <c r="B1909" s="304" t="s">
        <v>7465</v>
      </c>
      <c r="C1909" s="304" t="s">
        <v>5555</v>
      </c>
      <c r="D1909" s="540">
        <v>107</v>
      </c>
    </row>
    <row r="1910" spans="1:4" ht="15" x14ac:dyDescent="0.25">
      <c r="A1910" s="304">
        <v>39446</v>
      </c>
      <c r="B1910" s="304" t="s">
        <v>7466</v>
      </c>
      <c r="C1910" s="304" t="s">
        <v>5555</v>
      </c>
      <c r="D1910" s="540">
        <v>108.9</v>
      </c>
    </row>
    <row r="1911" spans="1:4" ht="15" x14ac:dyDescent="0.25">
      <c r="A1911" s="304">
        <v>39447</v>
      </c>
      <c r="B1911" s="304" t="s">
        <v>7467</v>
      </c>
      <c r="C1911" s="304" t="s">
        <v>5555</v>
      </c>
      <c r="D1911" s="540">
        <v>116.46</v>
      </c>
    </row>
    <row r="1912" spans="1:4" ht="15" x14ac:dyDescent="0.25">
      <c r="A1912" s="304">
        <v>39448</v>
      </c>
      <c r="B1912" s="304" t="s">
        <v>7468</v>
      </c>
      <c r="C1912" s="304" t="s">
        <v>5555</v>
      </c>
      <c r="D1912" s="540">
        <v>198.58</v>
      </c>
    </row>
    <row r="1913" spans="1:4" ht="15" x14ac:dyDescent="0.25">
      <c r="A1913" s="304">
        <v>39450</v>
      </c>
      <c r="B1913" s="304" t="s">
        <v>7469</v>
      </c>
      <c r="C1913" s="304" t="s">
        <v>5555</v>
      </c>
      <c r="D1913" s="540">
        <v>121.15</v>
      </c>
    </row>
    <row r="1914" spans="1:4" ht="15" x14ac:dyDescent="0.25">
      <c r="A1914" s="304">
        <v>39451</v>
      </c>
      <c r="B1914" s="304" t="s">
        <v>7470</v>
      </c>
      <c r="C1914" s="304" t="s">
        <v>5555</v>
      </c>
      <c r="D1914" s="540">
        <v>132.13999999999999</v>
      </c>
    </row>
    <row r="1915" spans="1:4" ht="15" x14ac:dyDescent="0.25">
      <c r="A1915" s="304">
        <v>39452</v>
      </c>
      <c r="B1915" s="304" t="s">
        <v>7471</v>
      </c>
      <c r="C1915" s="304" t="s">
        <v>5555</v>
      </c>
      <c r="D1915" s="540">
        <v>132.93</v>
      </c>
    </row>
    <row r="1916" spans="1:4" ht="15" x14ac:dyDescent="0.25">
      <c r="A1916" s="304">
        <v>39523</v>
      </c>
      <c r="B1916" s="304" t="s">
        <v>7472</v>
      </c>
      <c r="C1916" s="304" t="s">
        <v>5555</v>
      </c>
      <c r="D1916" s="540">
        <v>222.47</v>
      </c>
    </row>
    <row r="1917" spans="1:4" ht="15" x14ac:dyDescent="0.25">
      <c r="A1917" s="304">
        <v>39449</v>
      </c>
      <c r="B1917" s="304" t="s">
        <v>7473</v>
      </c>
      <c r="C1917" s="304" t="s">
        <v>5555</v>
      </c>
      <c r="D1917" s="540">
        <v>246.36</v>
      </c>
    </row>
    <row r="1918" spans="1:4" ht="15" x14ac:dyDescent="0.25">
      <c r="A1918" s="304">
        <v>39455</v>
      </c>
      <c r="B1918" s="304" t="s">
        <v>7474</v>
      </c>
      <c r="C1918" s="304" t="s">
        <v>5555</v>
      </c>
      <c r="D1918" s="540">
        <v>121.91</v>
      </c>
    </row>
    <row r="1919" spans="1:4" ht="15" x14ac:dyDescent="0.25">
      <c r="A1919" s="304">
        <v>39456</v>
      </c>
      <c r="B1919" s="304" t="s">
        <v>7475</v>
      </c>
      <c r="C1919" s="304" t="s">
        <v>5555</v>
      </c>
      <c r="D1919" s="540">
        <v>122</v>
      </c>
    </row>
    <row r="1920" spans="1:4" ht="15" x14ac:dyDescent="0.25">
      <c r="A1920" s="304">
        <v>39457</v>
      </c>
      <c r="B1920" s="304" t="s">
        <v>7476</v>
      </c>
      <c r="C1920" s="304" t="s">
        <v>5555</v>
      </c>
      <c r="D1920" s="540">
        <v>133</v>
      </c>
    </row>
    <row r="1921" spans="1:4" ht="15" x14ac:dyDescent="0.25">
      <c r="A1921" s="304">
        <v>39458</v>
      </c>
      <c r="B1921" s="304" t="s">
        <v>7477</v>
      </c>
      <c r="C1921" s="304" t="s">
        <v>5555</v>
      </c>
      <c r="D1921" s="540">
        <v>248.18</v>
      </c>
    </row>
    <row r="1922" spans="1:4" ht="15" x14ac:dyDescent="0.25">
      <c r="A1922" s="304">
        <v>39464</v>
      </c>
      <c r="B1922" s="304" t="s">
        <v>7478</v>
      </c>
      <c r="C1922" s="304" t="s">
        <v>5555</v>
      </c>
      <c r="D1922" s="540">
        <v>399.09</v>
      </c>
    </row>
    <row r="1923" spans="1:4" ht="15" x14ac:dyDescent="0.25">
      <c r="A1923" s="304">
        <v>39460</v>
      </c>
      <c r="B1923" s="304" t="s">
        <v>7479</v>
      </c>
      <c r="C1923" s="304" t="s">
        <v>5555</v>
      </c>
      <c r="D1923" s="540">
        <v>151.37</v>
      </c>
    </row>
    <row r="1924" spans="1:4" ht="15" x14ac:dyDescent="0.25">
      <c r="A1924" s="304">
        <v>39461</v>
      </c>
      <c r="B1924" s="304" t="s">
        <v>7480</v>
      </c>
      <c r="C1924" s="304" t="s">
        <v>5555</v>
      </c>
      <c r="D1924" s="540">
        <v>177.37</v>
      </c>
    </row>
    <row r="1925" spans="1:4" ht="15" x14ac:dyDescent="0.25">
      <c r="A1925" s="304">
        <v>39462</v>
      </c>
      <c r="B1925" s="304" t="s">
        <v>7481</v>
      </c>
      <c r="C1925" s="304" t="s">
        <v>5555</v>
      </c>
      <c r="D1925" s="540">
        <v>170.93</v>
      </c>
    </row>
    <row r="1926" spans="1:4" ht="15" x14ac:dyDescent="0.25">
      <c r="A1926" s="304">
        <v>39463</v>
      </c>
      <c r="B1926" s="304" t="s">
        <v>7482</v>
      </c>
      <c r="C1926" s="304" t="s">
        <v>5555</v>
      </c>
      <c r="D1926" s="540">
        <v>396</v>
      </c>
    </row>
    <row r="1927" spans="1:4" ht="15" x14ac:dyDescent="0.25">
      <c r="A1927" s="304">
        <v>26039</v>
      </c>
      <c r="B1927" s="304" t="s">
        <v>7483</v>
      </c>
      <c r="C1927" s="304" t="s">
        <v>5555</v>
      </c>
      <c r="D1927" s="541">
        <v>249588.52</v>
      </c>
    </row>
    <row r="1928" spans="1:4" ht="15" x14ac:dyDescent="0.25">
      <c r="A1928" s="304">
        <v>2401</v>
      </c>
      <c r="B1928" s="304" t="s">
        <v>7484</v>
      </c>
      <c r="C1928" s="304" t="s">
        <v>5555</v>
      </c>
      <c r="D1928" s="541">
        <v>57408.12</v>
      </c>
    </row>
    <row r="1929" spans="1:4" ht="15" x14ac:dyDescent="0.25">
      <c r="A1929" s="304">
        <v>38870</v>
      </c>
      <c r="B1929" s="304" t="s">
        <v>7485</v>
      </c>
      <c r="C1929" s="304" t="s">
        <v>5555</v>
      </c>
      <c r="D1929" s="540">
        <v>32.61</v>
      </c>
    </row>
    <row r="1930" spans="1:4" ht="15" x14ac:dyDescent="0.25">
      <c r="A1930" s="304">
        <v>38869</v>
      </c>
      <c r="B1930" s="304" t="s">
        <v>7486</v>
      </c>
      <c r="C1930" s="304" t="s">
        <v>5555</v>
      </c>
      <c r="D1930" s="540">
        <v>28.77</v>
      </c>
    </row>
    <row r="1931" spans="1:4" ht="15" x14ac:dyDescent="0.25">
      <c r="A1931" s="304">
        <v>38872</v>
      </c>
      <c r="B1931" s="304" t="s">
        <v>7487</v>
      </c>
      <c r="C1931" s="304" t="s">
        <v>5555</v>
      </c>
      <c r="D1931" s="540">
        <v>44.55</v>
      </c>
    </row>
    <row r="1932" spans="1:4" ht="15" x14ac:dyDescent="0.25">
      <c r="A1932" s="304">
        <v>38871</v>
      </c>
      <c r="B1932" s="304" t="s">
        <v>7488</v>
      </c>
      <c r="C1932" s="304" t="s">
        <v>5555</v>
      </c>
      <c r="D1932" s="540">
        <v>35.840000000000003</v>
      </c>
    </row>
    <row r="1933" spans="1:4" ht="15" x14ac:dyDescent="0.25">
      <c r="A1933" s="304">
        <v>39283</v>
      </c>
      <c r="B1933" s="304" t="s">
        <v>7489</v>
      </c>
      <c r="C1933" s="304" t="s">
        <v>5555</v>
      </c>
      <c r="D1933" s="540">
        <v>111.62</v>
      </c>
    </row>
    <row r="1934" spans="1:4" ht="15" x14ac:dyDescent="0.25">
      <c r="A1934" s="304">
        <v>39284</v>
      </c>
      <c r="B1934" s="304" t="s">
        <v>7490</v>
      </c>
      <c r="C1934" s="304" t="s">
        <v>5555</v>
      </c>
      <c r="D1934" s="540">
        <v>120.96</v>
      </c>
    </row>
    <row r="1935" spans="1:4" ht="15" x14ac:dyDescent="0.25">
      <c r="A1935" s="304">
        <v>39285</v>
      </c>
      <c r="B1935" s="304" t="s">
        <v>7491</v>
      </c>
      <c r="C1935" s="304" t="s">
        <v>5555</v>
      </c>
      <c r="D1935" s="540">
        <v>122.71</v>
      </c>
    </row>
    <row r="1936" spans="1:4" ht="15" x14ac:dyDescent="0.25">
      <c r="A1936" s="304">
        <v>39286</v>
      </c>
      <c r="B1936" s="304" t="s">
        <v>7492</v>
      </c>
      <c r="C1936" s="304" t="s">
        <v>5555</v>
      </c>
      <c r="D1936" s="540">
        <v>120.03</v>
      </c>
    </row>
    <row r="1937" spans="1:4" ht="15" x14ac:dyDescent="0.25">
      <c r="A1937" s="304">
        <v>39287</v>
      </c>
      <c r="B1937" s="304" t="s">
        <v>7493</v>
      </c>
      <c r="C1937" s="304" t="s">
        <v>5555</v>
      </c>
      <c r="D1937" s="540">
        <v>140.94</v>
      </c>
    </row>
    <row r="1938" spans="1:4" ht="15" x14ac:dyDescent="0.25">
      <c r="A1938" s="304">
        <v>39288</v>
      </c>
      <c r="B1938" s="304" t="s">
        <v>7494</v>
      </c>
      <c r="C1938" s="304" t="s">
        <v>5555</v>
      </c>
      <c r="D1938" s="540">
        <v>150.41999999999999</v>
      </c>
    </row>
    <row r="1939" spans="1:4" ht="15" x14ac:dyDescent="0.25">
      <c r="A1939" s="304">
        <v>2414</v>
      </c>
      <c r="B1939" s="304" t="s">
        <v>7495</v>
      </c>
      <c r="C1939" s="304" t="s">
        <v>5564</v>
      </c>
      <c r="D1939" s="540">
        <v>90.68</v>
      </c>
    </row>
    <row r="1940" spans="1:4" ht="15" x14ac:dyDescent="0.25">
      <c r="A1940" s="304">
        <v>2413</v>
      </c>
      <c r="B1940" s="304" t="s">
        <v>7496</v>
      </c>
      <c r="C1940" s="304" t="s">
        <v>5564</v>
      </c>
      <c r="D1940" s="540">
        <v>87.23</v>
      </c>
    </row>
    <row r="1941" spans="1:4" ht="15" x14ac:dyDescent="0.25">
      <c r="A1941" s="304">
        <v>2405</v>
      </c>
      <c r="B1941" s="304" t="s">
        <v>7497</v>
      </c>
      <c r="C1941" s="304" t="s">
        <v>5564</v>
      </c>
      <c r="D1941" s="540">
        <v>101.53</v>
      </c>
    </row>
    <row r="1942" spans="1:4" ht="15" x14ac:dyDescent="0.25">
      <c r="A1942" s="304">
        <v>13361</v>
      </c>
      <c r="B1942" s="304" t="s">
        <v>7498</v>
      </c>
      <c r="C1942" s="304" t="s">
        <v>5564</v>
      </c>
      <c r="D1942" s="540">
        <v>84.94</v>
      </c>
    </row>
    <row r="1943" spans="1:4" ht="15" x14ac:dyDescent="0.25">
      <c r="A1943" s="304">
        <v>11987</v>
      </c>
      <c r="B1943" s="304" t="s">
        <v>7499</v>
      </c>
      <c r="C1943" s="304" t="s">
        <v>5564</v>
      </c>
      <c r="D1943" s="540">
        <v>227.27</v>
      </c>
    </row>
    <row r="1944" spans="1:4" ht="15" x14ac:dyDescent="0.25">
      <c r="A1944" s="304">
        <v>2416</v>
      </c>
      <c r="B1944" s="304" t="s">
        <v>7500</v>
      </c>
      <c r="C1944" s="304" t="s">
        <v>5564</v>
      </c>
      <c r="D1944" s="540">
        <v>100.55</v>
      </c>
    </row>
    <row r="1945" spans="1:4" ht="15" x14ac:dyDescent="0.25">
      <c r="A1945" s="304">
        <v>2412</v>
      </c>
      <c r="B1945" s="304" t="s">
        <v>7501</v>
      </c>
      <c r="C1945" s="304" t="s">
        <v>5564</v>
      </c>
      <c r="D1945" s="540">
        <v>97.1</v>
      </c>
    </row>
    <row r="1946" spans="1:4" ht="15" x14ac:dyDescent="0.25">
      <c r="A1946" s="304">
        <v>2411</v>
      </c>
      <c r="B1946" s="304" t="s">
        <v>7502</v>
      </c>
      <c r="C1946" s="304" t="s">
        <v>5564</v>
      </c>
      <c r="D1946" s="540">
        <v>84.94</v>
      </c>
    </row>
    <row r="1947" spans="1:4" ht="15" x14ac:dyDescent="0.25">
      <c r="A1947" s="304">
        <v>2406</v>
      </c>
      <c r="B1947" s="304" t="s">
        <v>7503</v>
      </c>
      <c r="C1947" s="304" t="s">
        <v>5564</v>
      </c>
      <c r="D1947" s="540">
        <v>82.64</v>
      </c>
    </row>
    <row r="1948" spans="1:4" ht="15" x14ac:dyDescent="0.25">
      <c r="A1948" s="304">
        <v>10571</v>
      </c>
      <c r="B1948" s="304" t="s">
        <v>7504</v>
      </c>
      <c r="C1948" s="304" t="s">
        <v>5564</v>
      </c>
      <c r="D1948" s="540">
        <v>202.02</v>
      </c>
    </row>
    <row r="1949" spans="1:4" ht="15" x14ac:dyDescent="0.25">
      <c r="A1949" s="304">
        <v>11985</v>
      </c>
      <c r="B1949" s="304" t="s">
        <v>7505</v>
      </c>
      <c r="C1949" s="304" t="s">
        <v>5564</v>
      </c>
      <c r="D1949" s="540">
        <v>195.13</v>
      </c>
    </row>
    <row r="1950" spans="1:4" ht="15" x14ac:dyDescent="0.25">
      <c r="A1950" s="304">
        <v>2410</v>
      </c>
      <c r="B1950" s="304" t="s">
        <v>7506</v>
      </c>
      <c r="C1950" s="304" t="s">
        <v>5564</v>
      </c>
      <c r="D1950" s="540">
        <v>86.08</v>
      </c>
    </row>
    <row r="1951" spans="1:4" ht="15" x14ac:dyDescent="0.25">
      <c r="A1951" s="304">
        <v>2417</v>
      </c>
      <c r="B1951" s="304" t="s">
        <v>7507</v>
      </c>
      <c r="C1951" s="304" t="s">
        <v>5564</v>
      </c>
      <c r="D1951" s="540">
        <v>91.82</v>
      </c>
    </row>
    <row r="1952" spans="1:4" ht="15" x14ac:dyDescent="0.25">
      <c r="A1952" s="304">
        <v>2415</v>
      </c>
      <c r="B1952" s="304" t="s">
        <v>7508</v>
      </c>
      <c r="C1952" s="304" t="s">
        <v>5564</v>
      </c>
      <c r="D1952" s="540">
        <v>73.459999999999994</v>
      </c>
    </row>
    <row r="1953" spans="1:4" ht="15" x14ac:dyDescent="0.25">
      <c r="A1953" s="304">
        <v>13360</v>
      </c>
      <c r="B1953" s="304" t="s">
        <v>7509</v>
      </c>
      <c r="C1953" s="304" t="s">
        <v>5564</v>
      </c>
      <c r="D1953" s="540">
        <v>73.459999999999994</v>
      </c>
    </row>
    <row r="1954" spans="1:4" ht="15" x14ac:dyDescent="0.25">
      <c r="A1954" s="304">
        <v>11983</v>
      </c>
      <c r="B1954" s="304" t="s">
        <v>7510</v>
      </c>
      <c r="C1954" s="304" t="s">
        <v>5564</v>
      </c>
      <c r="D1954" s="540">
        <v>179.06</v>
      </c>
    </row>
    <row r="1955" spans="1:4" ht="15" x14ac:dyDescent="0.25">
      <c r="A1955" s="304">
        <v>11986</v>
      </c>
      <c r="B1955" s="304" t="s">
        <v>7511</v>
      </c>
      <c r="C1955" s="304" t="s">
        <v>5564</v>
      </c>
      <c r="D1955" s="540">
        <v>218.09</v>
      </c>
    </row>
    <row r="1956" spans="1:4" ht="15" x14ac:dyDescent="0.25">
      <c r="A1956" s="304">
        <v>25976</v>
      </c>
      <c r="B1956" s="304" t="s">
        <v>7512</v>
      </c>
      <c r="C1956" s="304" t="s">
        <v>5564</v>
      </c>
      <c r="D1956" s="540">
        <v>476.79</v>
      </c>
    </row>
    <row r="1957" spans="1:4" ht="15" x14ac:dyDescent="0.25">
      <c r="A1957" s="304">
        <v>10629</v>
      </c>
      <c r="B1957" s="304" t="s">
        <v>7513</v>
      </c>
      <c r="C1957" s="304" t="s">
        <v>5564</v>
      </c>
      <c r="D1957" s="540">
        <v>503.01</v>
      </c>
    </row>
    <row r="1958" spans="1:4" ht="15" x14ac:dyDescent="0.25">
      <c r="A1958" s="304">
        <v>10698</v>
      </c>
      <c r="B1958" s="304" t="s">
        <v>7514</v>
      </c>
      <c r="C1958" s="304" t="s">
        <v>5564</v>
      </c>
      <c r="D1958" s="540">
        <v>154.94999999999999</v>
      </c>
    </row>
    <row r="1959" spans="1:4" ht="15" x14ac:dyDescent="0.25">
      <c r="A1959" s="304">
        <v>40521</v>
      </c>
      <c r="B1959" s="304" t="s">
        <v>7515</v>
      </c>
      <c r="C1959" s="304" t="s">
        <v>5555</v>
      </c>
      <c r="D1959" s="541">
        <v>82080</v>
      </c>
    </row>
    <row r="1960" spans="1:4" ht="15" x14ac:dyDescent="0.25">
      <c r="A1960" s="304">
        <v>2432</v>
      </c>
      <c r="B1960" s="304" t="s">
        <v>7516</v>
      </c>
      <c r="C1960" s="304" t="s">
        <v>5555</v>
      </c>
      <c r="D1960" s="540">
        <v>21.56</v>
      </c>
    </row>
    <row r="1961" spans="1:4" ht="15" x14ac:dyDescent="0.25">
      <c r="A1961" s="304">
        <v>2418</v>
      </c>
      <c r="B1961" s="304" t="s">
        <v>7517</v>
      </c>
      <c r="C1961" s="304" t="s">
        <v>5555</v>
      </c>
      <c r="D1961" s="540">
        <v>10</v>
      </c>
    </row>
    <row r="1962" spans="1:4" ht="15" x14ac:dyDescent="0.25">
      <c r="A1962" s="304">
        <v>2433</v>
      </c>
      <c r="B1962" s="304" t="s">
        <v>7518</v>
      </c>
      <c r="C1962" s="304" t="s">
        <v>5555</v>
      </c>
      <c r="D1962" s="540">
        <v>7.3</v>
      </c>
    </row>
    <row r="1963" spans="1:4" ht="15" x14ac:dyDescent="0.25">
      <c r="A1963" s="304">
        <v>2420</v>
      </c>
      <c r="B1963" s="304" t="s">
        <v>7519</v>
      </c>
      <c r="C1963" s="304" t="s">
        <v>5555</v>
      </c>
      <c r="D1963" s="540">
        <v>12.54</v>
      </c>
    </row>
    <row r="1964" spans="1:4" ht="15" x14ac:dyDescent="0.25">
      <c r="A1964" s="304">
        <v>2421</v>
      </c>
      <c r="B1964" s="304" t="s">
        <v>7520</v>
      </c>
      <c r="C1964" s="304" t="s">
        <v>5555</v>
      </c>
      <c r="D1964" s="540">
        <v>27.36</v>
      </c>
    </row>
    <row r="1965" spans="1:4" ht="15" x14ac:dyDescent="0.25">
      <c r="A1965" s="304">
        <v>11447</v>
      </c>
      <c r="B1965" s="304" t="s">
        <v>7521</v>
      </c>
      <c r="C1965" s="304" t="s">
        <v>5555</v>
      </c>
      <c r="D1965" s="540">
        <v>24.78</v>
      </c>
    </row>
    <row r="1966" spans="1:4" ht="15" x14ac:dyDescent="0.25">
      <c r="A1966" s="304">
        <v>2429</v>
      </c>
      <c r="B1966" s="304" t="s">
        <v>7522</v>
      </c>
      <c r="C1966" s="304" t="s">
        <v>5555</v>
      </c>
      <c r="D1966" s="540">
        <v>62.73</v>
      </c>
    </row>
    <row r="1967" spans="1:4" ht="15" x14ac:dyDescent="0.25">
      <c r="A1967" s="304">
        <v>11449</v>
      </c>
      <c r="B1967" s="304" t="s">
        <v>7523</v>
      </c>
      <c r="C1967" s="304" t="s">
        <v>5555</v>
      </c>
      <c r="D1967" s="540">
        <v>67.58</v>
      </c>
    </row>
    <row r="1968" spans="1:4" ht="15" x14ac:dyDescent="0.25">
      <c r="A1968" s="304">
        <v>11451</v>
      </c>
      <c r="B1968" s="304" t="s">
        <v>7524</v>
      </c>
      <c r="C1968" s="304" t="s">
        <v>5555</v>
      </c>
      <c r="D1968" s="540">
        <v>66.45</v>
      </c>
    </row>
    <row r="1969" spans="1:4" ht="15" x14ac:dyDescent="0.25">
      <c r="A1969" s="304">
        <v>11116</v>
      </c>
      <c r="B1969" s="304" t="s">
        <v>7525</v>
      </c>
      <c r="C1969" s="304" t="s">
        <v>5555</v>
      </c>
      <c r="D1969" s="540">
        <v>419.54</v>
      </c>
    </row>
    <row r="1970" spans="1:4" ht="15" x14ac:dyDescent="0.25">
      <c r="A1970" s="304">
        <v>38411</v>
      </c>
      <c r="B1970" s="304" t="s">
        <v>7526</v>
      </c>
      <c r="C1970" s="304" t="s">
        <v>5555</v>
      </c>
      <c r="D1970" s="541">
        <v>1103.26</v>
      </c>
    </row>
    <row r="1971" spans="1:4" ht="15" x14ac:dyDescent="0.25">
      <c r="A1971" s="304">
        <v>1370</v>
      </c>
      <c r="B1971" s="304" t="s">
        <v>7527</v>
      </c>
      <c r="C1971" s="304" t="s">
        <v>5555</v>
      </c>
      <c r="D1971" s="540">
        <v>80.34</v>
      </c>
    </row>
    <row r="1972" spans="1:4" ht="15" x14ac:dyDescent="0.25">
      <c r="A1972" s="304">
        <v>38189</v>
      </c>
      <c r="B1972" s="304" t="s">
        <v>7528</v>
      </c>
      <c r="C1972" s="304" t="s">
        <v>5555</v>
      </c>
      <c r="D1972" s="540">
        <v>168.82</v>
      </c>
    </row>
    <row r="1973" spans="1:4" ht="15" x14ac:dyDescent="0.25">
      <c r="A1973" s="304">
        <v>38190</v>
      </c>
      <c r="B1973" s="304" t="s">
        <v>7529</v>
      </c>
      <c r="C1973" s="304" t="s">
        <v>5555</v>
      </c>
      <c r="D1973" s="540">
        <v>379.63</v>
      </c>
    </row>
    <row r="1974" spans="1:4" ht="15" x14ac:dyDescent="0.25">
      <c r="A1974" s="304">
        <v>36516</v>
      </c>
      <c r="B1974" s="304" t="s">
        <v>7530</v>
      </c>
      <c r="C1974" s="304" t="s">
        <v>5555</v>
      </c>
      <c r="D1974" s="541">
        <v>83173.789999999994</v>
      </c>
    </row>
    <row r="1975" spans="1:4" ht="15" x14ac:dyDescent="0.25">
      <c r="A1975" s="304">
        <v>34777</v>
      </c>
      <c r="B1975" s="304" t="s">
        <v>7531</v>
      </c>
      <c r="C1975" s="304" t="s">
        <v>5555</v>
      </c>
      <c r="D1975" s="540">
        <v>1.32</v>
      </c>
    </row>
    <row r="1976" spans="1:4" ht="15" x14ac:dyDescent="0.25">
      <c r="A1976" s="304">
        <v>7273</v>
      </c>
      <c r="B1976" s="304" t="s">
        <v>7532</v>
      </c>
      <c r="C1976" s="304" t="s">
        <v>5555</v>
      </c>
      <c r="D1976" s="540">
        <v>2.1800000000000002</v>
      </c>
    </row>
    <row r="1977" spans="1:4" ht="15" x14ac:dyDescent="0.25">
      <c r="A1977" s="304">
        <v>7272</v>
      </c>
      <c r="B1977" s="304" t="s">
        <v>7533</v>
      </c>
      <c r="C1977" s="304" t="s">
        <v>5555</v>
      </c>
      <c r="D1977" s="540">
        <v>3.04</v>
      </c>
    </row>
    <row r="1978" spans="1:4" ht="15" x14ac:dyDescent="0.25">
      <c r="A1978" s="304">
        <v>10605</v>
      </c>
      <c r="B1978" s="304" t="s">
        <v>7534</v>
      </c>
      <c r="C1978" s="304" t="s">
        <v>5555</v>
      </c>
      <c r="D1978" s="540">
        <v>2.74</v>
      </c>
    </row>
    <row r="1979" spans="1:4" ht="15" x14ac:dyDescent="0.25">
      <c r="A1979" s="304">
        <v>10604</v>
      </c>
      <c r="B1979" s="304" t="s">
        <v>7535</v>
      </c>
      <c r="C1979" s="304" t="s">
        <v>5555</v>
      </c>
      <c r="D1979" s="540">
        <v>5.46</v>
      </c>
    </row>
    <row r="1980" spans="1:4" ht="15" x14ac:dyDescent="0.25">
      <c r="A1980" s="304">
        <v>672</v>
      </c>
      <c r="B1980" s="304" t="s">
        <v>7536</v>
      </c>
      <c r="C1980" s="304" t="s">
        <v>5555</v>
      </c>
      <c r="D1980" s="540">
        <v>5.51</v>
      </c>
    </row>
    <row r="1981" spans="1:4" ht="15" x14ac:dyDescent="0.25">
      <c r="A1981" s="304">
        <v>668</v>
      </c>
      <c r="B1981" s="304" t="s">
        <v>7537</v>
      </c>
      <c r="C1981" s="304" t="s">
        <v>5555</v>
      </c>
      <c r="D1981" s="540">
        <v>8.69</v>
      </c>
    </row>
    <row r="1982" spans="1:4" ht="15" x14ac:dyDescent="0.25">
      <c r="A1982" s="304">
        <v>10578</v>
      </c>
      <c r="B1982" s="304" t="s">
        <v>7538</v>
      </c>
      <c r="C1982" s="304" t="s">
        <v>5555</v>
      </c>
      <c r="D1982" s="540">
        <v>15.15</v>
      </c>
    </row>
    <row r="1983" spans="1:4" ht="15" x14ac:dyDescent="0.25">
      <c r="A1983" s="304">
        <v>666</v>
      </c>
      <c r="B1983" s="304" t="s">
        <v>7539</v>
      </c>
      <c r="C1983" s="304" t="s">
        <v>5555</v>
      </c>
      <c r="D1983" s="540">
        <v>15.05</v>
      </c>
    </row>
    <row r="1984" spans="1:4" ht="15" x14ac:dyDescent="0.25">
      <c r="A1984" s="304">
        <v>665</v>
      </c>
      <c r="B1984" s="304" t="s">
        <v>7540</v>
      </c>
      <c r="C1984" s="304" t="s">
        <v>5555</v>
      </c>
      <c r="D1984" s="540">
        <v>28.19</v>
      </c>
    </row>
    <row r="1985" spans="1:4" ht="15" x14ac:dyDescent="0.25">
      <c r="A1985" s="304">
        <v>10577</v>
      </c>
      <c r="B1985" s="304" t="s">
        <v>7541</v>
      </c>
      <c r="C1985" s="304" t="s">
        <v>5555</v>
      </c>
      <c r="D1985" s="540">
        <v>22.07</v>
      </c>
    </row>
    <row r="1986" spans="1:4" ht="15" x14ac:dyDescent="0.25">
      <c r="A1986" s="304">
        <v>10583</v>
      </c>
      <c r="B1986" s="304" t="s">
        <v>7542</v>
      </c>
      <c r="C1986" s="304" t="s">
        <v>5555</v>
      </c>
      <c r="D1986" s="540">
        <v>12.37</v>
      </c>
    </row>
    <row r="1987" spans="1:4" ht="15" x14ac:dyDescent="0.25">
      <c r="A1987" s="304">
        <v>10579</v>
      </c>
      <c r="B1987" s="304" t="s">
        <v>7543</v>
      </c>
      <c r="C1987" s="304" t="s">
        <v>5555</v>
      </c>
      <c r="D1987" s="540">
        <v>20.18</v>
      </c>
    </row>
    <row r="1988" spans="1:4" ht="15" x14ac:dyDescent="0.25">
      <c r="A1988" s="304">
        <v>10582</v>
      </c>
      <c r="B1988" s="304" t="s">
        <v>7544</v>
      </c>
      <c r="C1988" s="304" t="s">
        <v>5555</v>
      </c>
      <c r="D1988" s="540">
        <v>7.06</v>
      </c>
    </row>
    <row r="1989" spans="1:4" ht="15" x14ac:dyDescent="0.25">
      <c r="A1989" s="304">
        <v>2436</v>
      </c>
      <c r="B1989" s="304" t="s">
        <v>7545</v>
      </c>
      <c r="C1989" s="304" t="s">
        <v>5566</v>
      </c>
      <c r="D1989" s="540">
        <v>15.87</v>
      </c>
    </row>
    <row r="1990" spans="1:4" ht="15" x14ac:dyDescent="0.25">
      <c r="A1990" s="304">
        <v>40918</v>
      </c>
      <c r="B1990" s="304" t="s">
        <v>7546</v>
      </c>
      <c r="C1990" s="304" t="s">
        <v>5755</v>
      </c>
      <c r="D1990" s="541">
        <v>2777.02</v>
      </c>
    </row>
    <row r="1991" spans="1:4" ht="15" x14ac:dyDescent="0.25">
      <c r="A1991" s="304">
        <v>2439</v>
      </c>
      <c r="B1991" s="304" t="s">
        <v>7547</v>
      </c>
      <c r="C1991" s="304" t="s">
        <v>5566</v>
      </c>
      <c r="D1991" s="540">
        <v>28.6</v>
      </c>
    </row>
    <row r="1992" spans="1:4" ht="15" x14ac:dyDescent="0.25">
      <c r="A1992" s="304">
        <v>40923</v>
      </c>
      <c r="B1992" s="304" t="s">
        <v>7548</v>
      </c>
      <c r="C1992" s="304" t="s">
        <v>5755</v>
      </c>
      <c r="D1992" s="541">
        <v>5008.2299999999996</v>
      </c>
    </row>
    <row r="1993" spans="1:4" ht="15" x14ac:dyDescent="0.25">
      <c r="A1993" s="304">
        <v>10998</v>
      </c>
      <c r="B1993" s="304" t="s">
        <v>7549</v>
      </c>
      <c r="C1993" s="304" t="s">
        <v>5626</v>
      </c>
      <c r="D1993" s="540">
        <v>16.77</v>
      </c>
    </row>
    <row r="1994" spans="1:4" ht="15" x14ac:dyDescent="0.25">
      <c r="A1994" s="304">
        <v>11002</v>
      </c>
      <c r="B1994" s="304" t="s">
        <v>7550</v>
      </c>
      <c r="C1994" s="304" t="s">
        <v>5626</v>
      </c>
      <c r="D1994" s="540">
        <v>15.36</v>
      </c>
    </row>
    <row r="1995" spans="1:4" ht="15" x14ac:dyDescent="0.25">
      <c r="A1995" s="304">
        <v>10999</v>
      </c>
      <c r="B1995" s="304" t="s">
        <v>7551</v>
      </c>
      <c r="C1995" s="304" t="s">
        <v>5626</v>
      </c>
      <c r="D1995" s="540">
        <v>14.76</v>
      </c>
    </row>
    <row r="1996" spans="1:4" ht="15" x14ac:dyDescent="0.25">
      <c r="A1996" s="304">
        <v>10997</v>
      </c>
      <c r="B1996" s="304" t="s">
        <v>7552</v>
      </c>
      <c r="C1996" s="304" t="s">
        <v>5626</v>
      </c>
      <c r="D1996" s="540">
        <v>16</v>
      </c>
    </row>
    <row r="1997" spans="1:4" ht="15" x14ac:dyDescent="0.25">
      <c r="A1997" s="304">
        <v>2685</v>
      </c>
      <c r="B1997" s="304" t="s">
        <v>7553</v>
      </c>
      <c r="C1997" s="304" t="s">
        <v>5575</v>
      </c>
      <c r="D1997" s="540">
        <v>4.04</v>
      </c>
    </row>
    <row r="1998" spans="1:4" ht="15" x14ac:dyDescent="0.25">
      <c r="A1998" s="304">
        <v>2680</v>
      </c>
      <c r="B1998" s="304" t="s">
        <v>7554</v>
      </c>
      <c r="C1998" s="304" t="s">
        <v>5575</v>
      </c>
      <c r="D1998" s="540">
        <v>5.92</v>
      </c>
    </row>
    <row r="1999" spans="1:4" ht="15" x14ac:dyDescent="0.25">
      <c r="A1999" s="304">
        <v>2684</v>
      </c>
      <c r="B1999" s="304" t="s">
        <v>7555</v>
      </c>
      <c r="C1999" s="304" t="s">
        <v>5575</v>
      </c>
      <c r="D1999" s="540">
        <v>5.39</v>
      </c>
    </row>
    <row r="2000" spans="1:4" ht="15" x14ac:dyDescent="0.25">
      <c r="A2000" s="304">
        <v>2673</v>
      </c>
      <c r="B2000" s="304" t="s">
        <v>7556</v>
      </c>
      <c r="C2000" s="304" t="s">
        <v>5575</v>
      </c>
      <c r="D2000" s="540">
        <v>2.08</v>
      </c>
    </row>
    <row r="2001" spans="1:4" ht="15" x14ac:dyDescent="0.25">
      <c r="A2001" s="304">
        <v>2681</v>
      </c>
      <c r="B2001" s="304" t="s">
        <v>7557</v>
      </c>
      <c r="C2001" s="304" t="s">
        <v>5575</v>
      </c>
      <c r="D2001" s="540">
        <v>9.68</v>
      </c>
    </row>
    <row r="2002" spans="1:4" ht="15" x14ac:dyDescent="0.25">
      <c r="A2002" s="304">
        <v>2682</v>
      </c>
      <c r="B2002" s="304" t="s">
        <v>7558</v>
      </c>
      <c r="C2002" s="304" t="s">
        <v>5575</v>
      </c>
      <c r="D2002" s="540">
        <v>14.12</v>
      </c>
    </row>
    <row r="2003" spans="1:4" ht="15" x14ac:dyDescent="0.25">
      <c r="A2003" s="304">
        <v>2686</v>
      </c>
      <c r="B2003" s="304" t="s">
        <v>7559</v>
      </c>
      <c r="C2003" s="304" t="s">
        <v>5575</v>
      </c>
      <c r="D2003" s="540">
        <v>17.7</v>
      </c>
    </row>
    <row r="2004" spans="1:4" ht="15" x14ac:dyDescent="0.25">
      <c r="A2004" s="304">
        <v>2674</v>
      </c>
      <c r="B2004" s="304" t="s">
        <v>7560</v>
      </c>
      <c r="C2004" s="304" t="s">
        <v>5575</v>
      </c>
      <c r="D2004" s="540">
        <v>2.59</v>
      </c>
    </row>
    <row r="2005" spans="1:4" ht="15" x14ac:dyDescent="0.25">
      <c r="A2005" s="304">
        <v>2683</v>
      </c>
      <c r="B2005" s="304" t="s">
        <v>7561</v>
      </c>
      <c r="C2005" s="304" t="s">
        <v>5575</v>
      </c>
      <c r="D2005" s="540">
        <v>27.9</v>
      </c>
    </row>
    <row r="2006" spans="1:4" ht="15" x14ac:dyDescent="0.25">
      <c r="A2006" s="304">
        <v>2676</v>
      </c>
      <c r="B2006" s="304" t="s">
        <v>7562</v>
      </c>
      <c r="C2006" s="304" t="s">
        <v>5575</v>
      </c>
      <c r="D2006" s="540">
        <v>1.21</v>
      </c>
    </row>
    <row r="2007" spans="1:4" ht="15" x14ac:dyDescent="0.25">
      <c r="A2007" s="304">
        <v>2678</v>
      </c>
      <c r="B2007" s="304" t="s">
        <v>7563</v>
      </c>
      <c r="C2007" s="304" t="s">
        <v>5575</v>
      </c>
      <c r="D2007" s="540">
        <v>1.51</v>
      </c>
    </row>
    <row r="2008" spans="1:4" ht="15" x14ac:dyDescent="0.25">
      <c r="A2008" s="304">
        <v>2679</v>
      </c>
      <c r="B2008" s="304" t="s">
        <v>7564</v>
      </c>
      <c r="C2008" s="304" t="s">
        <v>5575</v>
      </c>
      <c r="D2008" s="540">
        <v>2.33</v>
      </c>
    </row>
    <row r="2009" spans="1:4" ht="15" x14ac:dyDescent="0.25">
      <c r="A2009" s="304">
        <v>12070</v>
      </c>
      <c r="B2009" s="304" t="s">
        <v>7565</v>
      </c>
      <c r="C2009" s="304" t="s">
        <v>5575</v>
      </c>
      <c r="D2009" s="540">
        <v>3.25</v>
      </c>
    </row>
    <row r="2010" spans="1:4" ht="15" x14ac:dyDescent="0.25">
      <c r="A2010" s="304">
        <v>2675</v>
      </c>
      <c r="B2010" s="304" t="s">
        <v>7566</v>
      </c>
      <c r="C2010" s="304" t="s">
        <v>5575</v>
      </c>
      <c r="D2010" s="540">
        <v>4.22</v>
      </c>
    </row>
    <row r="2011" spans="1:4" ht="15" x14ac:dyDescent="0.25">
      <c r="A2011" s="304">
        <v>12067</v>
      </c>
      <c r="B2011" s="304" t="s">
        <v>7567</v>
      </c>
      <c r="C2011" s="304" t="s">
        <v>5575</v>
      </c>
      <c r="D2011" s="540">
        <v>5.73</v>
      </c>
    </row>
    <row r="2012" spans="1:4" ht="15" x14ac:dyDescent="0.25">
      <c r="A2012" s="304">
        <v>40401</v>
      </c>
      <c r="B2012" s="304" t="s">
        <v>7568</v>
      </c>
      <c r="C2012" s="304" t="s">
        <v>5575</v>
      </c>
      <c r="D2012" s="540">
        <v>2.08</v>
      </c>
    </row>
    <row r="2013" spans="1:4" ht="15" x14ac:dyDescent="0.25">
      <c r="A2013" s="304">
        <v>40402</v>
      </c>
      <c r="B2013" s="304" t="s">
        <v>7569</v>
      </c>
      <c r="C2013" s="304" t="s">
        <v>5575</v>
      </c>
      <c r="D2013" s="540">
        <v>2.67</v>
      </c>
    </row>
    <row r="2014" spans="1:4" ht="15" x14ac:dyDescent="0.25">
      <c r="A2014" s="304">
        <v>40400</v>
      </c>
      <c r="B2014" s="304" t="s">
        <v>7570</v>
      </c>
      <c r="C2014" s="304" t="s">
        <v>5575</v>
      </c>
      <c r="D2014" s="540">
        <v>1.41</v>
      </c>
    </row>
    <row r="2015" spans="1:4" ht="15" x14ac:dyDescent="0.25">
      <c r="A2015" s="304">
        <v>2504</v>
      </c>
      <c r="B2015" s="304" t="s">
        <v>7571</v>
      </c>
      <c r="C2015" s="304" t="s">
        <v>5575</v>
      </c>
      <c r="D2015" s="540">
        <v>10.16</v>
      </c>
    </row>
    <row r="2016" spans="1:4" ht="15" x14ac:dyDescent="0.25">
      <c r="A2016" s="304">
        <v>2501</v>
      </c>
      <c r="B2016" s="304" t="s">
        <v>7572</v>
      </c>
      <c r="C2016" s="304" t="s">
        <v>5575</v>
      </c>
      <c r="D2016" s="540">
        <v>13.33</v>
      </c>
    </row>
    <row r="2017" spans="1:4" ht="15" x14ac:dyDescent="0.25">
      <c r="A2017" s="304">
        <v>2502</v>
      </c>
      <c r="B2017" s="304" t="s">
        <v>7573</v>
      </c>
      <c r="C2017" s="304" t="s">
        <v>5575</v>
      </c>
      <c r="D2017" s="540">
        <v>20.11</v>
      </c>
    </row>
    <row r="2018" spans="1:4" ht="15" x14ac:dyDescent="0.25">
      <c r="A2018" s="304">
        <v>2503</v>
      </c>
      <c r="B2018" s="304" t="s">
        <v>7574</v>
      </c>
      <c r="C2018" s="304" t="s">
        <v>5575</v>
      </c>
      <c r="D2018" s="540">
        <v>25.88</v>
      </c>
    </row>
    <row r="2019" spans="1:4" ht="15" x14ac:dyDescent="0.25">
      <c r="A2019" s="304">
        <v>2500</v>
      </c>
      <c r="B2019" s="304" t="s">
        <v>7575</v>
      </c>
      <c r="C2019" s="304" t="s">
        <v>5575</v>
      </c>
      <c r="D2019" s="540">
        <v>34.479999999999997</v>
      </c>
    </row>
    <row r="2020" spans="1:4" ht="15" x14ac:dyDescent="0.25">
      <c r="A2020" s="304">
        <v>2505</v>
      </c>
      <c r="B2020" s="304" t="s">
        <v>7576</v>
      </c>
      <c r="C2020" s="304" t="s">
        <v>5575</v>
      </c>
      <c r="D2020" s="540">
        <v>53.73</v>
      </c>
    </row>
    <row r="2021" spans="1:4" ht="15" x14ac:dyDescent="0.25">
      <c r="A2021" s="304">
        <v>12056</v>
      </c>
      <c r="B2021" s="304" t="s">
        <v>7577</v>
      </c>
      <c r="C2021" s="304" t="s">
        <v>5575</v>
      </c>
      <c r="D2021" s="540">
        <v>21.71</v>
      </c>
    </row>
    <row r="2022" spans="1:4" ht="15" x14ac:dyDescent="0.25">
      <c r="A2022" s="304">
        <v>12057</v>
      </c>
      <c r="B2022" s="304" t="s">
        <v>7578</v>
      </c>
      <c r="C2022" s="304" t="s">
        <v>5575</v>
      </c>
      <c r="D2022" s="540">
        <v>18.440000000000001</v>
      </c>
    </row>
    <row r="2023" spans="1:4" ht="15" x14ac:dyDescent="0.25">
      <c r="A2023" s="304">
        <v>12059</v>
      </c>
      <c r="B2023" s="304" t="s">
        <v>7579</v>
      </c>
      <c r="C2023" s="304" t="s">
        <v>5575</v>
      </c>
      <c r="D2023" s="540">
        <v>6.47</v>
      </c>
    </row>
    <row r="2024" spans="1:4" ht="15" x14ac:dyDescent="0.25">
      <c r="A2024" s="304">
        <v>12058</v>
      </c>
      <c r="B2024" s="304" t="s">
        <v>7580</v>
      </c>
      <c r="C2024" s="304" t="s">
        <v>5575</v>
      </c>
      <c r="D2024" s="540">
        <v>11.49</v>
      </c>
    </row>
    <row r="2025" spans="1:4" ht="15" x14ac:dyDescent="0.25">
      <c r="A2025" s="304">
        <v>12060</v>
      </c>
      <c r="B2025" s="304" t="s">
        <v>7581</v>
      </c>
      <c r="C2025" s="304" t="s">
        <v>5575</v>
      </c>
      <c r="D2025" s="540">
        <v>47.91</v>
      </c>
    </row>
    <row r="2026" spans="1:4" ht="15" x14ac:dyDescent="0.25">
      <c r="A2026" s="304">
        <v>12061</v>
      </c>
      <c r="B2026" s="304" t="s">
        <v>7582</v>
      </c>
      <c r="C2026" s="304" t="s">
        <v>5575</v>
      </c>
      <c r="D2026" s="540">
        <v>29.25</v>
      </c>
    </row>
    <row r="2027" spans="1:4" ht="15" x14ac:dyDescent="0.25">
      <c r="A2027" s="304">
        <v>12062</v>
      </c>
      <c r="B2027" s="304" t="s">
        <v>7583</v>
      </c>
      <c r="C2027" s="304" t="s">
        <v>5575</v>
      </c>
      <c r="D2027" s="540">
        <v>53.95</v>
      </c>
    </row>
    <row r="2028" spans="1:4" ht="15" x14ac:dyDescent="0.25">
      <c r="A2028" s="304">
        <v>21137</v>
      </c>
      <c r="B2028" s="304" t="s">
        <v>7584</v>
      </c>
      <c r="C2028" s="304" t="s">
        <v>5575</v>
      </c>
      <c r="D2028" s="540">
        <v>9.3699999999999992</v>
      </c>
    </row>
    <row r="2029" spans="1:4" ht="15" x14ac:dyDescent="0.25">
      <c r="A2029" s="304">
        <v>2687</v>
      </c>
      <c r="B2029" s="304" t="s">
        <v>7585</v>
      </c>
      <c r="C2029" s="304" t="s">
        <v>5575</v>
      </c>
      <c r="D2029" s="540">
        <v>1.05</v>
      </c>
    </row>
    <row r="2030" spans="1:4" ht="15" x14ac:dyDescent="0.25">
      <c r="A2030" s="304">
        <v>2689</v>
      </c>
      <c r="B2030" s="304" t="s">
        <v>7586</v>
      </c>
      <c r="C2030" s="304" t="s">
        <v>5575</v>
      </c>
      <c r="D2030" s="540">
        <v>1.25</v>
      </c>
    </row>
    <row r="2031" spans="1:4" ht="15" x14ac:dyDescent="0.25">
      <c r="A2031" s="304">
        <v>2688</v>
      </c>
      <c r="B2031" s="304" t="s">
        <v>7587</v>
      </c>
      <c r="C2031" s="304" t="s">
        <v>5575</v>
      </c>
      <c r="D2031" s="540">
        <v>1.36</v>
      </c>
    </row>
    <row r="2032" spans="1:4" ht="15" x14ac:dyDescent="0.25">
      <c r="A2032" s="304">
        <v>2690</v>
      </c>
      <c r="B2032" s="304" t="s">
        <v>7588</v>
      </c>
      <c r="C2032" s="304" t="s">
        <v>5575</v>
      </c>
      <c r="D2032" s="540">
        <v>2.33</v>
      </c>
    </row>
    <row r="2033" spans="1:4" ht="15" x14ac:dyDescent="0.25">
      <c r="A2033" s="304">
        <v>39243</v>
      </c>
      <c r="B2033" s="304" t="s">
        <v>7589</v>
      </c>
      <c r="C2033" s="304" t="s">
        <v>5575</v>
      </c>
      <c r="D2033" s="540">
        <v>1.53</v>
      </c>
    </row>
    <row r="2034" spans="1:4" ht="15" x14ac:dyDescent="0.25">
      <c r="A2034" s="304">
        <v>39244</v>
      </c>
      <c r="B2034" s="304" t="s">
        <v>7590</v>
      </c>
      <c r="C2034" s="304" t="s">
        <v>5575</v>
      </c>
      <c r="D2034" s="540">
        <v>2.0699999999999998</v>
      </c>
    </row>
    <row r="2035" spans="1:4" ht="15" x14ac:dyDescent="0.25">
      <c r="A2035" s="304">
        <v>39245</v>
      </c>
      <c r="B2035" s="304" t="s">
        <v>7591</v>
      </c>
      <c r="C2035" s="304" t="s">
        <v>5575</v>
      </c>
      <c r="D2035" s="540">
        <v>3.99</v>
      </c>
    </row>
    <row r="2036" spans="1:4" ht="15" x14ac:dyDescent="0.25">
      <c r="A2036" s="304">
        <v>39254</v>
      </c>
      <c r="B2036" s="304" t="s">
        <v>7592</v>
      </c>
      <c r="C2036" s="304" t="s">
        <v>5575</v>
      </c>
      <c r="D2036" s="540">
        <v>5.97</v>
      </c>
    </row>
    <row r="2037" spans="1:4" ht="15" x14ac:dyDescent="0.25">
      <c r="A2037" s="304">
        <v>39255</v>
      </c>
      <c r="B2037" s="304" t="s">
        <v>7593</v>
      </c>
      <c r="C2037" s="304" t="s">
        <v>5575</v>
      </c>
      <c r="D2037" s="540">
        <v>11.05</v>
      </c>
    </row>
    <row r="2038" spans="1:4" ht="15" x14ac:dyDescent="0.25">
      <c r="A2038" s="304">
        <v>39253</v>
      </c>
      <c r="B2038" s="304" t="s">
        <v>7594</v>
      </c>
      <c r="C2038" s="304" t="s">
        <v>5575</v>
      </c>
      <c r="D2038" s="540">
        <v>7.61</v>
      </c>
    </row>
    <row r="2039" spans="1:4" ht="15" x14ac:dyDescent="0.25">
      <c r="A2039" s="304">
        <v>2446</v>
      </c>
      <c r="B2039" s="304" t="s">
        <v>7595</v>
      </c>
      <c r="C2039" s="304" t="s">
        <v>5575</v>
      </c>
      <c r="D2039" s="540">
        <v>5.19</v>
      </c>
    </row>
    <row r="2040" spans="1:4" ht="15" x14ac:dyDescent="0.25">
      <c r="A2040" s="304">
        <v>2442</v>
      </c>
      <c r="B2040" s="304" t="s">
        <v>7596</v>
      </c>
      <c r="C2040" s="304" t="s">
        <v>5575</v>
      </c>
      <c r="D2040" s="540">
        <v>7.27</v>
      </c>
    </row>
    <row r="2041" spans="1:4" ht="15" x14ac:dyDescent="0.25">
      <c r="A2041" s="304">
        <v>39246</v>
      </c>
      <c r="B2041" s="304" t="s">
        <v>7597</v>
      </c>
      <c r="C2041" s="304" t="s">
        <v>5575</v>
      </c>
      <c r="D2041" s="540">
        <v>3.61</v>
      </c>
    </row>
    <row r="2042" spans="1:4" ht="15" x14ac:dyDescent="0.25">
      <c r="A2042" s="304">
        <v>39247</v>
      </c>
      <c r="B2042" s="304" t="s">
        <v>7598</v>
      </c>
      <c r="C2042" s="304" t="s">
        <v>5575</v>
      </c>
      <c r="D2042" s="540">
        <v>3.15</v>
      </c>
    </row>
    <row r="2043" spans="1:4" ht="15" x14ac:dyDescent="0.25">
      <c r="A2043" s="304">
        <v>39248</v>
      </c>
      <c r="B2043" s="304" t="s">
        <v>7599</v>
      </c>
      <c r="C2043" s="304" t="s">
        <v>5575</v>
      </c>
      <c r="D2043" s="540">
        <v>10.130000000000001</v>
      </c>
    </row>
    <row r="2044" spans="1:4" ht="15" x14ac:dyDescent="0.25">
      <c r="A2044" s="304">
        <v>2438</v>
      </c>
      <c r="B2044" s="304" t="s">
        <v>7600</v>
      </c>
      <c r="C2044" s="304" t="s">
        <v>5566</v>
      </c>
      <c r="D2044" s="540">
        <v>19.73</v>
      </c>
    </row>
    <row r="2045" spans="1:4" ht="15" x14ac:dyDescent="0.25">
      <c r="A2045" s="304">
        <v>40922</v>
      </c>
      <c r="B2045" s="304" t="s">
        <v>7601</v>
      </c>
      <c r="C2045" s="304" t="s">
        <v>5755</v>
      </c>
      <c r="D2045" s="541">
        <v>3456.76</v>
      </c>
    </row>
    <row r="2046" spans="1:4" ht="15" x14ac:dyDescent="0.25">
      <c r="A2046" s="304">
        <v>36486</v>
      </c>
      <c r="B2046" s="304" t="s">
        <v>7602</v>
      </c>
      <c r="C2046" s="304" t="s">
        <v>5555</v>
      </c>
      <c r="D2046" s="541">
        <v>35977.949999999997</v>
      </c>
    </row>
    <row r="2047" spans="1:4" ht="15" x14ac:dyDescent="0.25">
      <c r="A2047" s="304">
        <v>37777</v>
      </c>
      <c r="B2047" s="304" t="s">
        <v>7603</v>
      </c>
      <c r="C2047" s="304" t="s">
        <v>5555</v>
      </c>
      <c r="D2047" s="541">
        <v>169383.5</v>
      </c>
    </row>
    <row r="2048" spans="1:4" ht="15" x14ac:dyDescent="0.25">
      <c r="A2048" s="304">
        <v>12624</v>
      </c>
      <c r="B2048" s="304" t="s">
        <v>7604</v>
      </c>
      <c r="C2048" s="304" t="s">
        <v>5555</v>
      </c>
      <c r="D2048" s="540">
        <v>10.26</v>
      </c>
    </row>
    <row r="2049" spans="1:4" ht="15" x14ac:dyDescent="0.25">
      <c r="A2049" s="304">
        <v>10638</v>
      </c>
      <c r="B2049" s="304" t="s">
        <v>7605</v>
      </c>
      <c r="C2049" s="304" t="s">
        <v>5555</v>
      </c>
      <c r="D2049" s="541">
        <v>321403.49</v>
      </c>
    </row>
    <row r="2050" spans="1:4" ht="15" x14ac:dyDescent="0.25">
      <c r="A2050" s="304">
        <v>10635</v>
      </c>
      <c r="B2050" s="304" t="s">
        <v>7606</v>
      </c>
      <c r="C2050" s="304" t="s">
        <v>5555</v>
      </c>
      <c r="D2050" s="541">
        <v>111093.39</v>
      </c>
    </row>
    <row r="2051" spans="1:4" ht="15" x14ac:dyDescent="0.25">
      <c r="A2051" s="304">
        <v>10634</v>
      </c>
      <c r="B2051" s="304" t="s">
        <v>7607</v>
      </c>
      <c r="C2051" s="304" t="s">
        <v>5555</v>
      </c>
      <c r="D2051" s="541">
        <v>95130</v>
      </c>
    </row>
    <row r="2052" spans="1:4" ht="15" x14ac:dyDescent="0.25">
      <c r="A2052" s="304">
        <v>10636</v>
      </c>
      <c r="B2052" s="304" t="s">
        <v>7608</v>
      </c>
      <c r="C2052" s="304" t="s">
        <v>5555</v>
      </c>
      <c r="D2052" s="541">
        <v>209499.55</v>
      </c>
    </row>
    <row r="2053" spans="1:4" ht="15" x14ac:dyDescent="0.25">
      <c r="A2053" s="304">
        <v>10637</v>
      </c>
      <c r="B2053" s="304" t="s">
        <v>7609</v>
      </c>
      <c r="C2053" s="304" t="s">
        <v>5555</v>
      </c>
      <c r="D2053" s="541">
        <v>219138.74</v>
      </c>
    </row>
    <row r="2054" spans="1:4" ht="15" x14ac:dyDescent="0.25">
      <c r="A2054" s="304">
        <v>517</v>
      </c>
      <c r="B2054" s="304" t="s">
        <v>7610</v>
      </c>
      <c r="C2054" s="304" t="s">
        <v>5628</v>
      </c>
      <c r="D2054" s="540">
        <v>8.26</v>
      </c>
    </row>
    <row r="2055" spans="1:4" ht="15" x14ac:dyDescent="0.25">
      <c r="A2055" s="304">
        <v>41904</v>
      </c>
      <c r="B2055" s="304" t="s">
        <v>7611</v>
      </c>
      <c r="C2055" s="304" t="s">
        <v>6708</v>
      </c>
      <c r="D2055" s="541">
        <v>2419.91</v>
      </c>
    </row>
    <row r="2056" spans="1:4" ht="15" x14ac:dyDescent="0.25">
      <c r="A2056" s="304">
        <v>41905</v>
      </c>
      <c r="B2056" s="304" t="s">
        <v>7612</v>
      </c>
      <c r="C2056" s="304" t="s">
        <v>5626</v>
      </c>
      <c r="D2056" s="540">
        <v>2.2000000000000002</v>
      </c>
    </row>
    <row r="2057" spans="1:4" ht="15" x14ac:dyDescent="0.25">
      <c r="A2057" s="304">
        <v>41903</v>
      </c>
      <c r="B2057" s="304" t="s">
        <v>7613</v>
      </c>
      <c r="C2057" s="304" t="s">
        <v>5626</v>
      </c>
      <c r="D2057" s="540">
        <v>2.59</v>
      </c>
    </row>
    <row r="2058" spans="1:4" ht="15" x14ac:dyDescent="0.25">
      <c r="A2058" s="304">
        <v>37534</v>
      </c>
      <c r="B2058" s="304" t="s">
        <v>7614</v>
      </c>
      <c r="C2058" s="304" t="s">
        <v>5626</v>
      </c>
      <c r="D2058" s="540">
        <v>15.19</v>
      </c>
    </row>
    <row r="2059" spans="1:4" ht="15" x14ac:dyDescent="0.25">
      <c r="A2059" s="304">
        <v>37535</v>
      </c>
      <c r="B2059" s="304" t="s">
        <v>7615</v>
      </c>
      <c r="C2059" s="304" t="s">
        <v>5626</v>
      </c>
      <c r="D2059" s="540">
        <v>15.19</v>
      </c>
    </row>
    <row r="2060" spans="1:4" ht="15" x14ac:dyDescent="0.25">
      <c r="A2060" s="304">
        <v>37533</v>
      </c>
      <c r="B2060" s="304" t="s">
        <v>7616</v>
      </c>
      <c r="C2060" s="304" t="s">
        <v>5626</v>
      </c>
      <c r="D2060" s="540">
        <v>15.19</v>
      </c>
    </row>
    <row r="2061" spans="1:4" ht="15" x14ac:dyDescent="0.25">
      <c r="A2061" s="304">
        <v>37537</v>
      </c>
      <c r="B2061" s="304" t="s">
        <v>7617</v>
      </c>
      <c r="C2061" s="304" t="s">
        <v>5626</v>
      </c>
      <c r="D2061" s="540">
        <v>11.5</v>
      </c>
    </row>
    <row r="2062" spans="1:4" ht="15" x14ac:dyDescent="0.25">
      <c r="A2062" s="304">
        <v>37536</v>
      </c>
      <c r="B2062" s="304" t="s">
        <v>7618</v>
      </c>
      <c r="C2062" s="304" t="s">
        <v>5626</v>
      </c>
      <c r="D2062" s="540">
        <v>11.5</v>
      </c>
    </row>
    <row r="2063" spans="1:4" ht="15" x14ac:dyDescent="0.25">
      <c r="A2063" s="304">
        <v>37532</v>
      </c>
      <c r="B2063" s="304" t="s">
        <v>7619</v>
      </c>
      <c r="C2063" s="304" t="s">
        <v>5626</v>
      </c>
      <c r="D2063" s="540">
        <v>11.5</v>
      </c>
    </row>
    <row r="2064" spans="1:4" ht="15" x14ac:dyDescent="0.25">
      <c r="A2064" s="304">
        <v>2696</v>
      </c>
      <c r="B2064" s="304" t="s">
        <v>7620</v>
      </c>
      <c r="C2064" s="304" t="s">
        <v>5566</v>
      </c>
      <c r="D2064" s="540">
        <v>17.28</v>
      </c>
    </row>
    <row r="2065" spans="1:4" ht="15" x14ac:dyDescent="0.25">
      <c r="A2065" s="304">
        <v>40928</v>
      </c>
      <c r="B2065" s="304" t="s">
        <v>7621</v>
      </c>
      <c r="C2065" s="304" t="s">
        <v>5755</v>
      </c>
      <c r="D2065" s="541">
        <v>3025.04</v>
      </c>
    </row>
    <row r="2066" spans="1:4" ht="15" x14ac:dyDescent="0.25">
      <c r="A2066" s="304">
        <v>4083</v>
      </c>
      <c r="B2066" s="304" t="s">
        <v>7622</v>
      </c>
      <c r="C2066" s="304" t="s">
        <v>5566</v>
      </c>
      <c r="D2066" s="540">
        <v>17.28</v>
      </c>
    </row>
    <row r="2067" spans="1:4" ht="15" x14ac:dyDescent="0.25">
      <c r="A2067" s="304">
        <v>40818</v>
      </c>
      <c r="B2067" s="304" t="s">
        <v>7623</v>
      </c>
      <c r="C2067" s="304" t="s">
        <v>5755</v>
      </c>
      <c r="D2067" s="541">
        <v>3025.04</v>
      </c>
    </row>
    <row r="2068" spans="1:4" ht="15" x14ac:dyDescent="0.25">
      <c r="A2068" s="304">
        <v>2705</v>
      </c>
      <c r="B2068" s="304" t="s">
        <v>7624</v>
      </c>
      <c r="C2068" s="304" t="s">
        <v>7625</v>
      </c>
      <c r="D2068" s="540">
        <v>0.64</v>
      </c>
    </row>
    <row r="2069" spans="1:4" ht="15" x14ac:dyDescent="0.25">
      <c r="A2069" s="304">
        <v>14250</v>
      </c>
      <c r="B2069" s="304" t="s">
        <v>7626</v>
      </c>
      <c r="C2069" s="304" t="s">
        <v>7625</v>
      </c>
      <c r="D2069" s="540">
        <v>0.65</v>
      </c>
    </row>
    <row r="2070" spans="1:4" ht="15" x14ac:dyDescent="0.25">
      <c r="A2070" s="304">
        <v>11683</v>
      </c>
      <c r="B2070" s="304" t="s">
        <v>7627</v>
      </c>
      <c r="C2070" s="304" t="s">
        <v>5555</v>
      </c>
      <c r="D2070" s="540">
        <v>21.78</v>
      </c>
    </row>
    <row r="2071" spans="1:4" ht="15" x14ac:dyDescent="0.25">
      <c r="A2071" s="304">
        <v>11684</v>
      </c>
      <c r="B2071" s="304" t="s">
        <v>7628</v>
      </c>
      <c r="C2071" s="304" t="s">
        <v>5555</v>
      </c>
      <c r="D2071" s="540">
        <v>23.84</v>
      </c>
    </row>
    <row r="2072" spans="1:4" ht="15" x14ac:dyDescent="0.25">
      <c r="A2072" s="304">
        <v>6141</v>
      </c>
      <c r="B2072" s="304" t="s">
        <v>7629</v>
      </c>
      <c r="C2072" s="304" t="s">
        <v>5555</v>
      </c>
      <c r="D2072" s="540">
        <v>3.15</v>
      </c>
    </row>
    <row r="2073" spans="1:4" ht="15" x14ac:dyDescent="0.25">
      <c r="A2073" s="304">
        <v>11681</v>
      </c>
      <c r="B2073" s="304" t="s">
        <v>7630</v>
      </c>
      <c r="C2073" s="304" t="s">
        <v>5555</v>
      </c>
      <c r="D2073" s="540">
        <v>6.26</v>
      </c>
    </row>
    <row r="2074" spans="1:4" ht="15" x14ac:dyDescent="0.25">
      <c r="A2074" s="304">
        <v>2706</v>
      </c>
      <c r="B2074" s="304" t="s">
        <v>7631</v>
      </c>
      <c r="C2074" s="304" t="s">
        <v>5566</v>
      </c>
      <c r="D2074" s="540">
        <v>82.81</v>
      </c>
    </row>
    <row r="2075" spans="1:4" ht="15" x14ac:dyDescent="0.25">
      <c r="A2075" s="304">
        <v>40811</v>
      </c>
      <c r="B2075" s="304" t="s">
        <v>7632</v>
      </c>
      <c r="C2075" s="304" t="s">
        <v>5755</v>
      </c>
      <c r="D2075" s="541">
        <v>14490.15</v>
      </c>
    </row>
    <row r="2076" spans="1:4" ht="15" x14ac:dyDescent="0.25">
      <c r="A2076" s="304">
        <v>2707</v>
      </c>
      <c r="B2076" s="304" t="s">
        <v>7633</v>
      </c>
      <c r="C2076" s="304" t="s">
        <v>5566</v>
      </c>
      <c r="D2076" s="540">
        <v>94.23</v>
      </c>
    </row>
    <row r="2077" spans="1:4" ht="15" x14ac:dyDescent="0.25">
      <c r="A2077" s="304">
        <v>40813</v>
      </c>
      <c r="B2077" s="304" t="s">
        <v>7634</v>
      </c>
      <c r="C2077" s="304" t="s">
        <v>5755</v>
      </c>
      <c r="D2077" s="541">
        <v>16492.78</v>
      </c>
    </row>
    <row r="2078" spans="1:4" ht="15" x14ac:dyDescent="0.25">
      <c r="A2078" s="304">
        <v>2708</v>
      </c>
      <c r="B2078" s="304" t="s">
        <v>7635</v>
      </c>
      <c r="C2078" s="304" t="s">
        <v>5566</v>
      </c>
      <c r="D2078" s="540">
        <v>128.83000000000001</v>
      </c>
    </row>
    <row r="2079" spans="1:4" ht="15" x14ac:dyDescent="0.25">
      <c r="A2079" s="304">
        <v>40814</v>
      </c>
      <c r="B2079" s="304" t="s">
        <v>7636</v>
      </c>
      <c r="C2079" s="304" t="s">
        <v>5755</v>
      </c>
      <c r="D2079" s="541">
        <v>22545.17</v>
      </c>
    </row>
    <row r="2080" spans="1:4" ht="15" x14ac:dyDescent="0.25">
      <c r="A2080" s="304">
        <v>34779</v>
      </c>
      <c r="B2080" s="304" t="s">
        <v>7637</v>
      </c>
      <c r="C2080" s="304" t="s">
        <v>5566</v>
      </c>
      <c r="D2080" s="540">
        <v>84.01</v>
      </c>
    </row>
    <row r="2081" spans="1:4" ht="15" x14ac:dyDescent="0.25">
      <c r="A2081" s="304">
        <v>40936</v>
      </c>
      <c r="B2081" s="304" t="s">
        <v>7638</v>
      </c>
      <c r="C2081" s="304" t="s">
        <v>5755</v>
      </c>
      <c r="D2081" s="541">
        <v>14701.53</v>
      </c>
    </row>
    <row r="2082" spans="1:4" ht="15" x14ac:dyDescent="0.25">
      <c r="A2082" s="304">
        <v>34780</v>
      </c>
      <c r="B2082" s="304" t="s">
        <v>7639</v>
      </c>
      <c r="C2082" s="304" t="s">
        <v>5566</v>
      </c>
      <c r="D2082" s="540">
        <v>94.77</v>
      </c>
    </row>
    <row r="2083" spans="1:4" ht="15" x14ac:dyDescent="0.25">
      <c r="A2083" s="304">
        <v>40937</v>
      </c>
      <c r="B2083" s="304" t="s">
        <v>7640</v>
      </c>
      <c r="C2083" s="304" t="s">
        <v>5755</v>
      </c>
      <c r="D2083" s="541">
        <v>16586.23</v>
      </c>
    </row>
    <row r="2084" spans="1:4" ht="15" x14ac:dyDescent="0.25">
      <c r="A2084" s="304">
        <v>34782</v>
      </c>
      <c r="B2084" s="304" t="s">
        <v>7641</v>
      </c>
      <c r="C2084" s="304" t="s">
        <v>5566</v>
      </c>
      <c r="D2084" s="540">
        <v>129.88</v>
      </c>
    </row>
    <row r="2085" spans="1:4" ht="15" x14ac:dyDescent="0.25">
      <c r="A2085" s="304">
        <v>40938</v>
      </c>
      <c r="B2085" s="304" t="s">
        <v>7642</v>
      </c>
      <c r="C2085" s="304" t="s">
        <v>5755</v>
      </c>
      <c r="D2085" s="541">
        <v>22729.85</v>
      </c>
    </row>
    <row r="2086" spans="1:4" ht="15" x14ac:dyDescent="0.25">
      <c r="A2086" s="304">
        <v>34783</v>
      </c>
      <c r="B2086" s="304" t="s">
        <v>7643</v>
      </c>
      <c r="C2086" s="304" t="s">
        <v>5566</v>
      </c>
      <c r="D2086" s="540">
        <v>120.09</v>
      </c>
    </row>
    <row r="2087" spans="1:4" ht="15" x14ac:dyDescent="0.25">
      <c r="A2087" s="304">
        <v>40939</v>
      </c>
      <c r="B2087" s="304" t="s">
        <v>7644</v>
      </c>
      <c r="C2087" s="304" t="s">
        <v>5755</v>
      </c>
      <c r="D2087" s="541">
        <v>21016.2</v>
      </c>
    </row>
    <row r="2088" spans="1:4" ht="15" x14ac:dyDescent="0.25">
      <c r="A2088" s="304">
        <v>34785</v>
      </c>
      <c r="B2088" s="304" t="s">
        <v>7645</v>
      </c>
      <c r="C2088" s="304" t="s">
        <v>5566</v>
      </c>
      <c r="D2088" s="540">
        <v>117.3</v>
      </c>
    </row>
    <row r="2089" spans="1:4" ht="15" x14ac:dyDescent="0.25">
      <c r="A2089" s="304">
        <v>40940</v>
      </c>
      <c r="B2089" s="304" t="s">
        <v>7646</v>
      </c>
      <c r="C2089" s="304" t="s">
        <v>5755</v>
      </c>
      <c r="D2089" s="541">
        <v>20527.7</v>
      </c>
    </row>
    <row r="2090" spans="1:4" ht="15" x14ac:dyDescent="0.25">
      <c r="A2090" s="304">
        <v>38403</v>
      </c>
      <c r="B2090" s="304" t="s">
        <v>7647</v>
      </c>
      <c r="C2090" s="304" t="s">
        <v>5555</v>
      </c>
      <c r="D2090" s="540">
        <v>30.79</v>
      </c>
    </row>
    <row r="2091" spans="1:4" ht="15" x14ac:dyDescent="0.25">
      <c r="A2091" s="304">
        <v>43494</v>
      </c>
      <c r="B2091" s="304" t="s">
        <v>7648</v>
      </c>
      <c r="C2091" s="304" t="s">
        <v>5755</v>
      </c>
      <c r="D2091" s="540">
        <v>114.12</v>
      </c>
    </row>
    <row r="2092" spans="1:4" ht="15" x14ac:dyDescent="0.25">
      <c r="A2092" s="304">
        <v>43482</v>
      </c>
      <c r="B2092" s="304" t="s">
        <v>7648</v>
      </c>
      <c r="C2092" s="304" t="s">
        <v>5566</v>
      </c>
      <c r="D2092" s="540">
        <v>0.61</v>
      </c>
    </row>
    <row r="2093" spans="1:4" ht="15" x14ac:dyDescent="0.25">
      <c r="A2093" s="304">
        <v>43483</v>
      </c>
      <c r="B2093" s="304" t="s">
        <v>7649</v>
      </c>
      <c r="C2093" s="304" t="s">
        <v>5566</v>
      </c>
      <c r="D2093" s="540">
        <v>1.08</v>
      </c>
    </row>
    <row r="2094" spans="1:4" ht="15" x14ac:dyDescent="0.25">
      <c r="A2094" s="304">
        <v>43495</v>
      </c>
      <c r="B2094" s="304" t="s">
        <v>7650</v>
      </c>
      <c r="C2094" s="304" t="s">
        <v>5755</v>
      </c>
      <c r="D2094" s="540">
        <v>203.86</v>
      </c>
    </row>
    <row r="2095" spans="1:4" ht="15" x14ac:dyDescent="0.25">
      <c r="A2095" s="304">
        <v>43484</v>
      </c>
      <c r="B2095" s="304" t="s">
        <v>7651</v>
      </c>
      <c r="C2095" s="304" t="s">
        <v>5566</v>
      </c>
      <c r="D2095" s="540">
        <v>0.93</v>
      </c>
    </row>
    <row r="2096" spans="1:4" ht="15" x14ac:dyDescent="0.25">
      <c r="A2096" s="304">
        <v>43496</v>
      </c>
      <c r="B2096" s="304" t="s">
        <v>7652</v>
      </c>
      <c r="C2096" s="304" t="s">
        <v>5755</v>
      </c>
      <c r="D2096" s="540">
        <v>175.1</v>
      </c>
    </row>
    <row r="2097" spans="1:4" ht="15" x14ac:dyDescent="0.25">
      <c r="A2097" s="304">
        <v>43485</v>
      </c>
      <c r="B2097" s="304" t="s">
        <v>7653</v>
      </c>
      <c r="C2097" s="304" t="s">
        <v>5566</v>
      </c>
      <c r="D2097" s="540">
        <v>0.83</v>
      </c>
    </row>
    <row r="2098" spans="1:4" ht="15" x14ac:dyDescent="0.25">
      <c r="A2098" s="304">
        <v>43497</v>
      </c>
      <c r="B2098" s="304" t="s">
        <v>7654</v>
      </c>
      <c r="C2098" s="304" t="s">
        <v>5755</v>
      </c>
      <c r="D2098" s="540">
        <v>156.65</v>
      </c>
    </row>
    <row r="2099" spans="1:4" ht="15" x14ac:dyDescent="0.25">
      <c r="A2099" s="304">
        <v>43499</v>
      </c>
      <c r="B2099" s="304" t="s">
        <v>7655</v>
      </c>
      <c r="C2099" s="304" t="s">
        <v>5755</v>
      </c>
      <c r="D2099" s="540">
        <v>179.44</v>
      </c>
    </row>
    <row r="2100" spans="1:4" ht="15" x14ac:dyDescent="0.25">
      <c r="A2100" s="304">
        <v>43487</v>
      </c>
      <c r="B2100" s="304" t="s">
        <v>7655</v>
      </c>
      <c r="C2100" s="304" t="s">
        <v>5566</v>
      </c>
      <c r="D2100" s="540">
        <v>0.95</v>
      </c>
    </row>
    <row r="2101" spans="1:4" ht="15" x14ac:dyDescent="0.25">
      <c r="A2101" s="304">
        <v>43486</v>
      </c>
      <c r="B2101" s="304" t="s">
        <v>7656</v>
      </c>
      <c r="C2101" s="304" t="s">
        <v>5566</v>
      </c>
      <c r="D2101" s="540">
        <v>0.56999999999999995</v>
      </c>
    </row>
    <row r="2102" spans="1:4" ht="15" x14ac:dyDescent="0.25">
      <c r="A2102" s="304">
        <v>43498</v>
      </c>
      <c r="B2102" s="304" t="s">
        <v>7657</v>
      </c>
      <c r="C2102" s="304" t="s">
        <v>5755</v>
      </c>
      <c r="D2102" s="540">
        <v>108.24</v>
      </c>
    </row>
    <row r="2103" spans="1:4" ht="15" x14ac:dyDescent="0.25">
      <c r="A2103" s="304">
        <v>43488</v>
      </c>
      <c r="B2103" s="304" t="s">
        <v>7658</v>
      </c>
      <c r="C2103" s="304" t="s">
        <v>5566</v>
      </c>
      <c r="D2103" s="540">
        <v>0.66</v>
      </c>
    </row>
    <row r="2104" spans="1:4" ht="15" x14ac:dyDescent="0.25">
      <c r="A2104" s="304">
        <v>43500</v>
      </c>
      <c r="B2104" s="304" t="s">
        <v>7659</v>
      </c>
      <c r="C2104" s="304" t="s">
        <v>5755</v>
      </c>
      <c r="D2104" s="540">
        <v>125.38</v>
      </c>
    </row>
    <row r="2105" spans="1:4" ht="15" x14ac:dyDescent="0.25">
      <c r="A2105" s="304">
        <v>43489</v>
      </c>
      <c r="B2105" s="304" t="s">
        <v>7660</v>
      </c>
      <c r="C2105" s="304" t="s">
        <v>5566</v>
      </c>
      <c r="D2105" s="540">
        <v>0.96</v>
      </c>
    </row>
    <row r="2106" spans="1:4" ht="15" x14ac:dyDescent="0.25">
      <c r="A2106" s="304">
        <v>43501</v>
      </c>
      <c r="B2106" s="304" t="s">
        <v>7661</v>
      </c>
      <c r="C2106" s="304" t="s">
        <v>5755</v>
      </c>
      <c r="D2106" s="540">
        <v>181.88</v>
      </c>
    </row>
    <row r="2107" spans="1:4" ht="15" x14ac:dyDescent="0.25">
      <c r="A2107" s="304">
        <v>43490</v>
      </c>
      <c r="B2107" s="304" t="s">
        <v>7662</v>
      </c>
      <c r="C2107" s="304" t="s">
        <v>5566</v>
      </c>
      <c r="D2107" s="540">
        <v>1.46</v>
      </c>
    </row>
    <row r="2108" spans="1:4" ht="15" x14ac:dyDescent="0.25">
      <c r="A2108" s="304">
        <v>43502</v>
      </c>
      <c r="B2108" s="304" t="s">
        <v>7663</v>
      </c>
      <c r="C2108" s="304" t="s">
        <v>5755</v>
      </c>
      <c r="D2108" s="540">
        <v>275.92</v>
      </c>
    </row>
    <row r="2109" spans="1:4" ht="15" x14ac:dyDescent="0.25">
      <c r="A2109" s="304">
        <v>43491</v>
      </c>
      <c r="B2109" s="304" t="s">
        <v>7664</v>
      </c>
      <c r="C2109" s="304" t="s">
        <v>5566</v>
      </c>
      <c r="D2109" s="540">
        <v>1.02</v>
      </c>
    </row>
    <row r="2110" spans="1:4" ht="15" x14ac:dyDescent="0.25">
      <c r="A2110" s="304">
        <v>43503</v>
      </c>
      <c r="B2110" s="304" t="s">
        <v>7665</v>
      </c>
      <c r="C2110" s="304" t="s">
        <v>5755</v>
      </c>
      <c r="D2110" s="540">
        <v>192.76</v>
      </c>
    </row>
    <row r="2111" spans="1:4" ht="15" x14ac:dyDescent="0.25">
      <c r="A2111" s="304">
        <v>43492</v>
      </c>
      <c r="B2111" s="304" t="s">
        <v>7666</v>
      </c>
      <c r="C2111" s="304" t="s">
        <v>5566</v>
      </c>
      <c r="D2111" s="540">
        <v>1.36</v>
      </c>
    </row>
    <row r="2112" spans="1:4" ht="15" x14ac:dyDescent="0.25">
      <c r="A2112" s="304">
        <v>43504</v>
      </c>
      <c r="B2112" s="304" t="s">
        <v>7667</v>
      </c>
      <c r="C2112" s="304" t="s">
        <v>5755</v>
      </c>
      <c r="D2112" s="540">
        <v>255.78</v>
      </c>
    </row>
    <row r="2113" spans="1:4" ht="15" x14ac:dyDescent="0.25">
      <c r="A2113" s="304">
        <v>43493</v>
      </c>
      <c r="B2113" s="304" t="s">
        <v>7668</v>
      </c>
      <c r="C2113" s="304" t="s">
        <v>5566</v>
      </c>
      <c r="D2113" s="540">
        <v>0.54</v>
      </c>
    </row>
    <row r="2114" spans="1:4" ht="15" x14ac:dyDescent="0.25">
      <c r="A2114" s="304">
        <v>43505</v>
      </c>
      <c r="B2114" s="304" t="s">
        <v>7669</v>
      </c>
      <c r="C2114" s="304" t="s">
        <v>5755</v>
      </c>
      <c r="D2114" s="540">
        <v>102.76</v>
      </c>
    </row>
    <row r="2115" spans="1:4" ht="15" x14ac:dyDescent="0.25">
      <c r="A2115" s="304">
        <v>37774</v>
      </c>
      <c r="B2115" s="304" t="s">
        <v>7670</v>
      </c>
      <c r="C2115" s="304" t="s">
        <v>5555</v>
      </c>
      <c r="D2115" s="541">
        <v>188694.18</v>
      </c>
    </row>
    <row r="2116" spans="1:4" ht="15" x14ac:dyDescent="0.25">
      <c r="A2116" s="304">
        <v>38630</v>
      </c>
      <c r="B2116" s="304" t="s">
        <v>7671</v>
      </c>
      <c r="C2116" s="304" t="s">
        <v>5555</v>
      </c>
      <c r="D2116" s="541">
        <v>972265.62</v>
      </c>
    </row>
    <row r="2117" spans="1:4" ht="15" x14ac:dyDescent="0.25">
      <c r="A2117" s="304">
        <v>38629</v>
      </c>
      <c r="B2117" s="304" t="s">
        <v>7672</v>
      </c>
      <c r="C2117" s="304" t="s">
        <v>5555</v>
      </c>
      <c r="D2117" s="541">
        <v>1447265.62</v>
      </c>
    </row>
    <row r="2118" spans="1:4" ht="15" x14ac:dyDescent="0.25">
      <c r="A2118" s="304">
        <v>38476</v>
      </c>
      <c r="B2118" s="304" t="s">
        <v>7673</v>
      </c>
      <c r="C2118" s="304" t="s">
        <v>5555</v>
      </c>
      <c r="D2118" s="540">
        <v>231.46</v>
      </c>
    </row>
    <row r="2119" spans="1:4" ht="15" x14ac:dyDescent="0.25">
      <c r="A2119" s="304">
        <v>38477</v>
      </c>
      <c r="B2119" s="304" t="s">
        <v>7674</v>
      </c>
      <c r="C2119" s="304" t="s">
        <v>5555</v>
      </c>
      <c r="D2119" s="540">
        <v>655.51</v>
      </c>
    </row>
    <row r="2120" spans="1:4" ht="15" x14ac:dyDescent="0.25">
      <c r="A2120" s="304">
        <v>40635</v>
      </c>
      <c r="B2120" s="304" t="s">
        <v>7675</v>
      </c>
      <c r="C2120" s="304" t="s">
        <v>5555</v>
      </c>
      <c r="D2120" s="541">
        <v>539363.80000000005</v>
      </c>
    </row>
    <row r="2121" spans="1:4" ht="15" x14ac:dyDescent="0.25">
      <c r="A2121" s="304">
        <v>36483</v>
      </c>
      <c r="B2121" s="304" t="s">
        <v>7676</v>
      </c>
      <c r="C2121" s="304" t="s">
        <v>5555</v>
      </c>
      <c r="D2121" s="541">
        <v>488750</v>
      </c>
    </row>
    <row r="2122" spans="1:4" ht="15" x14ac:dyDescent="0.25">
      <c r="A2122" s="304">
        <v>14525</v>
      </c>
      <c r="B2122" s="304" t="s">
        <v>7677</v>
      </c>
      <c r="C2122" s="304" t="s">
        <v>5555</v>
      </c>
      <c r="D2122" s="541">
        <v>511750</v>
      </c>
    </row>
    <row r="2123" spans="1:4" ht="15" x14ac:dyDescent="0.25">
      <c r="A2123" s="304">
        <v>36482</v>
      </c>
      <c r="B2123" s="304" t="s">
        <v>7678</v>
      </c>
      <c r="C2123" s="304" t="s">
        <v>5555</v>
      </c>
      <c r="D2123" s="541">
        <v>438896.9</v>
      </c>
    </row>
    <row r="2124" spans="1:4" ht="15" x14ac:dyDescent="0.25">
      <c r="A2124" s="304">
        <v>36408</v>
      </c>
      <c r="B2124" s="304" t="s">
        <v>7679</v>
      </c>
      <c r="C2124" s="304" t="s">
        <v>5555</v>
      </c>
      <c r="D2124" s="541">
        <v>524400</v>
      </c>
    </row>
    <row r="2125" spans="1:4" ht="15" x14ac:dyDescent="0.25">
      <c r="A2125" s="304">
        <v>2723</v>
      </c>
      <c r="B2125" s="304" t="s">
        <v>7680</v>
      </c>
      <c r="C2125" s="304" t="s">
        <v>5555</v>
      </c>
      <c r="D2125" s="541">
        <v>402500</v>
      </c>
    </row>
    <row r="2126" spans="1:4" ht="15" x14ac:dyDescent="0.25">
      <c r="A2126" s="304">
        <v>36481</v>
      </c>
      <c r="B2126" s="304" t="s">
        <v>7681</v>
      </c>
      <c r="C2126" s="304" t="s">
        <v>5555</v>
      </c>
      <c r="D2126" s="541">
        <v>480125</v>
      </c>
    </row>
    <row r="2127" spans="1:4" ht="15" x14ac:dyDescent="0.25">
      <c r="A2127" s="304">
        <v>10685</v>
      </c>
      <c r="B2127" s="304" t="s">
        <v>7682</v>
      </c>
      <c r="C2127" s="304" t="s">
        <v>5555</v>
      </c>
      <c r="D2127" s="541">
        <v>460000</v>
      </c>
    </row>
    <row r="2128" spans="1:4" ht="15" x14ac:dyDescent="0.25">
      <c r="A2128" s="304">
        <v>40636</v>
      </c>
      <c r="B2128" s="304" t="s">
        <v>7683</v>
      </c>
      <c r="C2128" s="304" t="s">
        <v>5555</v>
      </c>
      <c r="D2128" s="541">
        <v>519238.8</v>
      </c>
    </row>
    <row r="2129" spans="1:4" ht="15" x14ac:dyDescent="0.25">
      <c r="A2129" s="304">
        <v>4111</v>
      </c>
      <c r="B2129" s="304" t="s">
        <v>7684</v>
      </c>
      <c r="C2129" s="304" t="s">
        <v>5555</v>
      </c>
      <c r="D2129" s="540">
        <v>28.13</v>
      </c>
    </row>
    <row r="2130" spans="1:4" ht="15" x14ac:dyDescent="0.25">
      <c r="A2130" s="304">
        <v>26021</v>
      </c>
      <c r="B2130" s="304" t="s">
        <v>7685</v>
      </c>
      <c r="C2130" s="304" t="s">
        <v>5555</v>
      </c>
      <c r="D2130" s="540">
        <v>43.27</v>
      </c>
    </row>
    <row r="2131" spans="1:4" ht="15" x14ac:dyDescent="0.25">
      <c r="A2131" s="304">
        <v>12</v>
      </c>
      <c r="B2131" s="304" t="s">
        <v>7686</v>
      </c>
      <c r="C2131" s="304" t="s">
        <v>5555</v>
      </c>
      <c r="D2131" s="540">
        <v>6</v>
      </c>
    </row>
    <row r="2132" spans="1:4" ht="15" x14ac:dyDescent="0.25">
      <c r="A2132" s="304">
        <v>37554</v>
      </c>
      <c r="B2132" s="304" t="s">
        <v>7687</v>
      </c>
      <c r="C2132" s="304" t="s">
        <v>5555</v>
      </c>
      <c r="D2132" s="540">
        <v>143.76</v>
      </c>
    </row>
    <row r="2133" spans="1:4" ht="15" x14ac:dyDescent="0.25">
      <c r="A2133" s="304">
        <v>37555</v>
      </c>
      <c r="B2133" s="304" t="s">
        <v>7688</v>
      </c>
      <c r="C2133" s="304" t="s">
        <v>5555</v>
      </c>
      <c r="D2133" s="540">
        <v>174.88</v>
      </c>
    </row>
    <row r="2134" spans="1:4" ht="15" x14ac:dyDescent="0.25">
      <c r="A2134" s="304">
        <v>10902</v>
      </c>
      <c r="B2134" s="304" t="s">
        <v>7689</v>
      </c>
      <c r="C2134" s="304" t="s">
        <v>5555</v>
      </c>
      <c r="D2134" s="540">
        <v>43.88</v>
      </c>
    </row>
    <row r="2135" spans="1:4" ht="15" x14ac:dyDescent="0.25">
      <c r="A2135" s="304">
        <v>20965</v>
      </c>
      <c r="B2135" s="304" t="s">
        <v>7690</v>
      </c>
      <c r="C2135" s="304" t="s">
        <v>5555</v>
      </c>
      <c r="D2135" s="540">
        <v>44.29</v>
      </c>
    </row>
    <row r="2136" spans="1:4" ht="15" x14ac:dyDescent="0.25">
      <c r="A2136" s="304">
        <v>20966</v>
      </c>
      <c r="B2136" s="304" t="s">
        <v>7691</v>
      </c>
      <c r="C2136" s="304" t="s">
        <v>5555</v>
      </c>
      <c r="D2136" s="540">
        <v>47.69</v>
      </c>
    </row>
    <row r="2137" spans="1:4" ht="15" x14ac:dyDescent="0.25">
      <c r="A2137" s="304">
        <v>10903</v>
      </c>
      <c r="B2137" s="304" t="s">
        <v>7692</v>
      </c>
      <c r="C2137" s="304" t="s">
        <v>5555</v>
      </c>
      <c r="D2137" s="540">
        <v>72.28</v>
      </c>
    </row>
    <row r="2138" spans="1:4" ht="15" x14ac:dyDescent="0.25">
      <c r="A2138" s="304">
        <v>20967</v>
      </c>
      <c r="B2138" s="304" t="s">
        <v>7693</v>
      </c>
      <c r="C2138" s="304" t="s">
        <v>5555</v>
      </c>
      <c r="D2138" s="540">
        <v>72.28</v>
      </c>
    </row>
    <row r="2139" spans="1:4" ht="15" x14ac:dyDescent="0.25">
      <c r="A2139" s="304">
        <v>20968</v>
      </c>
      <c r="B2139" s="304" t="s">
        <v>7694</v>
      </c>
      <c r="C2139" s="304" t="s">
        <v>5555</v>
      </c>
      <c r="D2139" s="540">
        <v>79.28</v>
      </c>
    </row>
    <row r="2140" spans="1:4" ht="15" x14ac:dyDescent="0.25">
      <c r="A2140" s="304">
        <v>11359</v>
      </c>
      <c r="B2140" s="304" t="s">
        <v>7695</v>
      </c>
      <c r="C2140" s="304" t="s">
        <v>5555</v>
      </c>
      <c r="D2140" s="540">
        <v>680</v>
      </c>
    </row>
    <row r="2141" spans="1:4" ht="15" x14ac:dyDescent="0.25">
      <c r="A2141" s="304">
        <v>39017</v>
      </c>
      <c r="B2141" s="304" t="s">
        <v>7696</v>
      </c>
      <c r="C2141" s="304" t="s">
        <v>5555</v>
      </c>
      <c r="D2141" s="540">
        <v>0.14000000000000001</v>
      </c>
    </row>
    <row r="2142" spans="1:4" ht="15" x14ac:dyDescent="0.25">
      <c r="A2142" s="304">
        <v>39315</v>
      </c>
      <c r="B2142" s="304" t="s">
        <v>7697</v>
      </c>
      <c r="C2142" s="304" t="s">
        <v>5555</v>
      </c>
      <c r="D2142" s="540">
        <v>0.23</v>
      </c>
    </row>
    <row r="2143" spans="1:4" ht="15" x14ac:dyDescent="0.25">
      <c r="A2143" s="304">
        <v>39016</v>
      </c>
      <c r="B2143" s="304" t="s">
        <v>7698</v>
      </c>
      <c r="C2143" s="304" t="s">
        <v>5555</v>
      </c>
      <c r="D2143" s="540">
        <v>0.23</v>
      </c>
    </row>
    <row r="2144" spans="1:4" ht="15" x14ac:dyDescent="0.25">
      <c r="A2144" s="304">
        <v>40432</v>
      </c>
      <c r="B2144" s="304" t="s">
        <v>7699</v>
      </c>
      <c r="C2144" s="304" t="s">
        <v>5555</v>
      </c>
      <c r="D2144" s="540">
        <v>1.82</v>
      </c>
    </row>
    <row r="2145" spans="1:4" ht="15" x14ac:dyDescent="0.25">
      <c r="A2145" s="304">
        <v>39481</v>
      </c>
      <c r="B2145" s="304" t="s">
        <v>7700</v>
      </c>
      <c r="C2145" s="304" t="s">
        <v>5555</v>
      </c>
      <c r="D2145" s="540">
        <v>1.1499999999999999</v>
      </c>
    </row>
    <row r="2146" spans="1:4" ht="15" x14ac:dyDescent="0.25">
      <c r="A2146" s="304">
        <v>40433</v>
      </c>
      <c r="B2146" s="304" t="s">
        <v>7701</v>
      </c>
      <c r="C2146" s="304" t="s">
        <v>5555</v>
      </c>
      <c r="D2146" s="540">
        <v>1.01</v>
      </c>
    </row>
    <row r="2147" spans="1:4" ht="15" x14ac:dyDescent="0.25">
      <c r="A2147" s="304">
        <v>20219</v>
      </c>
      <c r="B2147" s="304" t="s">
        <v>7702</v>
      </c>
      <c r="C2147" s="304" t="s">
        <v>5555</v>
      </c>
      <c r="D2147" s="541">
        <v>74000</v>
      </c>
    </row>
    <row r="2148" spans="1:4" ht="15" x14ac:dyDescent="0.25">
      <c r="A2148" s="304">
        <v>36484</v>
      </c>
      <c r="B2148" s="304" t="s">
        <v>7703</v>
      </c>
      <c r="C2148" s="304" t="s">
        <v>5555</v>
      </c>
      <c r="D2148" s="541">
        <v>157088.51999999999</v>
      </c>
    </row>
    <row r="2149" spans="1:4" ht="15" x14ac:dyDescent="0.25">
      <c r="A2149" s="304">
        <v>38367</v>
      </c>
      <c r="B2149" s="304" t="s">
        <v>7704</v>
      </c>
      <c r="C2149" s="304" t="s">
        <v>5555</v>
      </c>
      <c r="D2149" s="540">
        <v>12.43</v>
      </c>
    </row>
    <row r="2150" spans="1:4" ht="15" x14ac:dyDescent="0.25">
      <c r="A2150" s="304">
        <v>38368</v>
      </c>
      <c r="B2150" s="304" t="s">
        <v>7705</v>
      </c>
      <c r="C2150" s="304" t="s">
        <v>5555</v>
      </c>
      <c r="D2150" s="540">
        <v>6.02</v>
      </c>
    </row>
    <row r="2151" spans="1:4" ht="15" x14ac:dyDescent="0.25">
      <c r="A2151" s="304">
        <v>38091</v>
      </c>
      <c r="B2151" s="304" t="s">
        <v>7706</v>
      </c>
      <c r="C2151" s="304" t="s">
        <v>5555</v>
      </c>
      <c r="D2151" s="540">
        <v>2.21</v>
      </c>
    </row>
    <row r="2152" spans="1:4" ht="15" x14ac:dyDescent="0.25">
      <c r="A2152" s="304">
        <v>38095</v>
      </c>
      <c r="B2152" s="304" t="s">
        <v>7707</v>
      </c>
      <c r="C2152" s="304" t="s">
        <v>5555</v>
      </c>
      <c r="D2152" s="540">
        <v>4.68</v>
      </c>
    </row>
    <row r="2153" spans="1:4" ht="15" x14ac:dyDescent="0.25">
      <c r="A2153" s="304">
        <v>38092</v>
      </c>
      <c r="B2153" s="304" t="s">
        <v>7708</v>
      </c>
      <c r="C2153" s="304" t="s">
        <v>5555</v>
      </c>
      <c r="D2153" s="540">
        <v>2.1</v>
      </c>
    </row>
    <row r="2154" spans="1:4" ht="15" x14ac:dyDescent="0.25">
      <c r="A2154" s="304">
        <v>38093</v>
      </c>
      <c r="B2154" s="304" t="s">
        <v>7709</v>
      </c>
      <c r="C2154" s="304" t="s">
        <v>5555</v>
      </c>
      <c r="D2154" s="540">
        <v>2.17</v>
      </c>
    </row>
    <row r="2155" spans="1:4" ht="15" x14ac:dyDescent="0.25">
      <c r="A2155" s="304">
        <v>38096</v>
      </c>
      <c r="B2155" s="304" t="s">
        <v>7710</v>
      </c>
      <c r="C2155" s="304" t="s">
        <v>5555</v>
      </c>
      <c r="D2155" s="540">
        <v>5.04</v>
      </c>
    </row>
    <row r="2156" spans="1:4" ht="15" x14ac:dyDescent="0.25">
      <c r="A2156" s="304">
        <v>38094</v>
      </c>
      <c r="B2156" s="304" t="s">
        <v>7711</v>
      </c>
      <c r="C2156" s="304" t="s">
        <v>5555</v>
      </c>
      <c r="D2156" s="540">
        <v>2.66</v>
      </c>
    </row>
    <row r="2157" spans="1:4" ht="15" x14ac:dyDescent="0.25">
      <c r="A2157" s="304">
        <v>38097</v>
      </c>
      <c r="B2157" s="304" t="s">
        <v>7712</v>
      </c>
      <c r="C2157" s="304" t="s">
        <v>5555</v>
      </c>
      <c r="D2157" s="540">
        <v>5.4</v>
      </c>
    </row>
    <row r="2158" spans="1:4" ht="15" x14ac:dyDescent="0.25">
      <c r="A2158" s="304">
        <v>38098</v>
      </c>
      <c r="B2158" s="304" t="s">
        <v>7713</v>
      </c>
      <c r="C2158" s="304" t="s">
        <v>5555</v>
      </c>
      <c r="D2158" s="540">
        <v>5.4</v>
      </c>
    </row>
    <row r="2159" spans="1:4" ht="15" x14ac:dyDescent="0.25">
      <c r="A2159" s="304">
        <v>11186</v>
      </c>
      <c r="B2159" s="304" t="s">
        <v>7714</v>
      </c>
      <c r="C2159" s="304" t="s">
        <v>5564</v>
      </c>
      <c r="D2159" s="540">
        <v>458.66</v>
      </c>
    </row>
    <row r="2160" spans="1:4" ht="15" x14ac:dyDescent="0.25">
      <c r="A2160" s="304">
        <v>11558</v>
      </c>
      <c r="B2160" s="304" t="s">
        <v>7715</v>
      </c>
      <c r="C2160" s="304" t="s">
        <v>6022</v>
      </c>
      <c r="D2160" s="540">
        <v>11.12</v>
      </c>
    </row>
    <row r="2161" spans="1:4" ht="15" x14ac:dyDescent="0.25">
      <c r="A2161" s="304">
        <v>11557</v>
      </c>
      <c r="B2161" s="304" t="s">
        <v>7716</v>
      </c>
      <c r="C2161" s="304" t="s">
        <v>6022</v>
      </c>
      <c r="D2161" s="540">
        <v>28.14</v>
      </c>
    </row>
    <row r="2162" spans="1:4" ht="15" x14ac:dyDescent="0.25">
      <c r="A2162" s="304">
        <v>2759</v>
      </c>
      <c r="B2162" s="304" t="s">
        <v>7717</v>
      </c>
      <c r="C2162" s="304" t="s">
        <v>5555</v>
      </c>
      <c r="D2162" s="540">
        <v>4.8</v>
      </c>
    </row>
    <row r="2163" spans="1:4" ht="15" x14ac:dyDescent="0.25">
      <c r="A2163" s="304">
        <v>38124</v>
      </c>
      <c r="B2163" s="304" t="s">
        <v>7718</v>
      </c>
      <c r="C2163" s="304" t="s">
        <v>5555</v>
      </c>
      <c r="D2163" s="540">
        <v>26.8</v>
      </c>
    </row>
    <row r="2164" spans="1:4" ht="15" x14ac:dyDescent="0.25">
      <c r="A2164" s="304">
        <v>38380</v>
      </c>
      <c r="B2164" s="304" t="s">
        <v>7719</v>
      </c>
      <c r="C2164" s="304" t="s">
        <v>5555</v>
      </c>
      <c r="D2164" s="540">
        <v>19.760000000000002</v>
      </c>
    </row>
    <row r="2165" spans="1:4" ht="15" x14ac:dyDescent="0.25">
      <c r="A2165" s="304">
        <v>20059</v>
      </c>
      <c r="B2165" s="304" t="s">
        <v>7720</v>
      </c>
      <c r="C2165" s="304" t="s">
        <v>5555</v>
      </c>
      <c r="D2165" s="540">
        <v>14.56</v>
      </c>
    </row>
    <row r="2166" spans="1:4" ht="15" x14ac:dyDescent="0.25">
      <c r="A2166" s="304">
        <v>42429</v>
      </c>
      <c r="B2166" s="304" t="s">
        <v>7721</v>
      </c>
      <c r="C2166" s="304" t="s">
        <v>5555</v>
      </c>
      <c r="D2166" s="541">
        <v>3422.44</v>
      </c>
    </row>
    <row r="2167" spans="1:4" ht="15" x14ac:dyDescent="0.25">
      <c r="A2167" s="304">
        <v>38538</v>
      </c>
      <c r="B2167" s="304" t="s">
        <v>7722</v>
      </c>
      <c r="C2167" s="304" t="s">
        <v>5575</v>
      </c>
      <c r="D2167" s="540">
        <v>40</v>
      </c>
    </row>
    <row r="2168" spans="1:4" ht="15" x14ac:dyDescent="0.25">
      <c r="A2168" s="304">
        <v>38539</v>
      </c>
      <c r="B2168" s="304" t="s">
        <v>7723</v>
      </c>
      <c r="C2168" s="304" t="s">
        <v>5575</v>
      </c>
      <c r="D2168" s="540">
        <v>54.39</v>
      </c>
    </row>
    <row r="2169" spans="1:4" ht="15" x14ac:dyDescent="0.25">
      <c r="A2169" s="304">
        <v>38540</v>
      </c>
      <c r="B2169" s="304" t="s">
        <v>7724</v>
      </c>
      <c r="C2169" s="304" t="s">
        <v>5575</v>
      </c>
      <c r="D2169" s="540">
        <v>139.4</v>
      </c>
    </row>
    <row r="2170" spans="1:4" ht="15" x14ac:dyDescent="0.25">
      <c r="A2170" s="304">
        <v>38384</v>
      </c>
      <c r="B2170" s="304" t="s">
        <v>7725</v>
      </c>
      <c r="C2170" s="304" t="s">
        <v>5555</v>
      </c>
      <c r="D2170" s="540">
        <v>15.61</v>
      </c>
    </row>
    <row r="2171" spans="1:4" ht="15" x14ac:dyDescent="0.25">
      <c r="A2171" s="304">
        <v>13</v>
      </c>
      <c r="B2171" s="304" t="s">
        <v>7726</v>
      </c>
      <c r="C2171" s="304" t="s">
        <v>5626</v>
      </c>
      <c r="D2171" s="540">
        <v>9.23</v>
      </c>
    </row>
    <row r="2172" spans="1:4" ht="15" x14ac:dyDescent="0.25">
      <c r="A2172" s="304">
        <v>2762</v>
      </c>
      <c r="B2172" s="304" t="s">
        <v>7727</v>
      </c>
      <c r="C2172" s="304" t="s">
        <v>5575</v>
      </c>
      <c r="D2172" s="540">
        <v>6</v>
      </c>
    </row>
    <row r="2173" spans="1:4" ht="15" x14ac:dyDescent="0.25">
      <c r="A2173" s="304">
        <v>21142</v>
      </c>
      <c r="B2173" s="304" t="s">
        <v>7728</v>
      </c>
      <c r="C2173" s="304" t="s">
        <v>5555</v>
      </c>
      <c r="D2173" s="540">
        <v>17.440000000000001</v>
      </c>
    </row>
    <row r="2174" spans="1:4" ht="15" x14ac:dyDescent="0.25">
      <c r="A2174" s="304">
        <v>12865</v>
      </c>
      <c r="B2174" s="304" t="s">
        <v>7729</v>
      </c>
      <c r="C2174" s="304" t="s">
        <v>5566</v>
      </c>
      <c r="D2174" s="540">
        <v>16.14</v>
      </c>
    </row>
    <row r="2175" spans="1:4" ht="15" x14ac:dyDescent="0.25">
      <c r="A2175" s="304">
        <v>41074</v>
      </c>
      <c r="B2175" s="304" t="s">
        <v>7730</v>
      </c>
      <c r="C2175" s="304" t="s">
        <v>5755</v>
      </c>
      <c r="D2175" s="541">
        <v>2826.95</v>
      </c>
    </row>
    <row r="2176" spans="1:4" ht="15" x14ac:dyDescent="0.25">
      <c r="A2176" s="304">
        <v>4223</v>
      </c>
      <c r="B2176" s="304" t="s">
        <v>7731</v>
      </c>
      <c r="C2176" s="304" t="s">
        <v>5628</v>
      </c>
      <c r="D2176" s="540">
        <v>3.71</v>
      </c>
    </row>
    <row r="2177" spans="1:4" ht="15" x14ac:dyDescent="0.25">
      <c r="A2177" s="304">
        <v>37372</v>
      </c>
      <c r="B2177" s="304" t="s">
        <v>7732</v>
      </c>
      <c r="C2177" s="304" t="s">
        <v>5566</v>
      </c>
      <c r="D2177" s="540">
        <v>0.35</v>
      </c>
    </row>
    <row r="2178" spans="1:4" ht="15" x14ac:dyDescent="0.25">
      <c r="A2178" s="304">
        <v>40863</v>
      </c>
      <c r="B2178" s="304" t="s">
        <v>7733</v>
      </c>
      <c r="C2178" s="304" t="s">
        <v>5755</v>
      </c>
      <c r="D2178" s="540">
        <v>65.94</v>
      </c>
    </row>
    <row r="2179" spans="1:4" ht="15" x14ac:dyDescent="0.25">
      <c r="A2179" s="304">
        <v>38475</v>
      </c>
      <c r="B2179" s="304" t="s">
        <v>7734</v>
      </c>
      <c r="C2179" s="304" t="s">
        <v>5555</v>
      </c>
      <c r="D2179" s="540">
        <v>27.27</v>
      </c>
    </row>
    <row r="2180" spans="1:4" ht="15" x14ac:dyDescent="0.25">
      <c r="A2180" s="304">
        <v>38474</v>
      </c>
      <c r="B2180" s="304" t="s">
        <v>7735</v>
      </c>
      <c r="C2180" s="304" t="s">
        <v>5555</v>
      </c>
      <c r="D2180" s="540">
        <v>33.72</v>
      </c>
    </row>
    <row r="2181" spans="1:4" ht="15" x14ac:dyDescent="0.25">
      <c r="A2181" s="304">
        <v>10886</v>
      </c>
      <c r="B2181" s="304" t="s">
        <v>7736</v>
      </c>
      <c r="C2181" s="304" t="s">
        <v>5555</v>
      </c>
      <c r="D2181" s="540">
        <v>131.25</v>
      </c>
    </row>
    <row r="2182" spans="1:4" ht="15" x14ac:dyDescent="0.25">
      <c r="A2182" s="304">
        <v>10888</v>
      </c>
      <c r="B2182" s="304" t="s">
        <v>7737</v>
      </c>
      <c r="C2182" s="304" t="s">
        <v>5555</v>
      </c>
      <c r="D2182" s="540">
        <v>415.38</v>
      </c>
    </row>
    <row r="2183" spans="1:4" ht="15" x14ac:dyDescent="0.25">
      <c r="A2183" s="304">
        <v>10889</v>
      </c>
      <c r="B2183" s="304" t="s">
        <v>7738</v>
      </c>
      <c r="C2183" s="304" t="s">
        <v>5555</v>
      </c>
      <c r="D2183" s="540">
        <v>450</v>
      </c>
    </row>
    <row r="2184" spans="1:4" ht="15" x14ac:dyDescent="0.25">
      <c r="A2184" s="304">
        <v>10890</v>
      </c>
      <c r="B2184" s="304" t="s">
        <v>7739</v>
      </c>
      <c r="C2184" s="304" t="s">
        <v>5555</v>
      </c>
      <c r="D2184" s="540">
        <v>207.69</v>
      </c>
    </row>
    <row r="2185" spans="1:4" ht="15" x14ac:dyDescent="0.25">
      <c r="A2185" s="304">
        <v>10891</v>
      </c>
      <c r="B2185" s="304" t="s">
        <v>7740</v>
      </c>
      <c r="C2185" s="304" t="s">
        <v>5555</v>
      </c>
      <c r="D2185" s="540">
        <v>126.92</v>
      </c>
    </row>
    <row r="2186" spans="1:4" ht="15" x14ac:dyDescent="0.25">
      <c r="A2186" s="304">
        <v>10892</v>
      </c>
      <c r="B2186" s="304" t="s">
        <v>7741</v>
      </c>
      <c r="C2186" s="304" t="s">
        <v>5555</v>
      </c>
      <c r="D2186" s="540">
        <v>150</v>
      </c>
    </row>
    <row r="2187" spans="1:4" ht="15" x14ac:dyDescent="0.25">
      <c r="A2187" s="304">
        <v>20977</v>
      </c>
      <c r="B2187" s="304" t="s">
        <v>7742</v>
      </c>
      <c r="C2187" s="304" t="s">
        <v>5555</v>
      </c>
      <c r="D2187" s="540">
        <v>178.84</v>
      </c>
    </row>
    <row r="2188" spans="1:4" ht="15" x14ac:dyDescent="0.25">
      <c r="A2188" s="304">
        <v>3073</v>
      </c>
      <c r="B2188" s="304" t="s">
        <v>7743</v>
      </c>
      <c r="C2188" s="304" t="s">
        <v>5555</v>
      </c>
      <c r="D2188" s="540">
        <v>152.11000000000001</v>
      </c>
    </row>
    <row r="2189" spans="1:4" ht="15" x14ac:dyDescent="0.25">
      <c r="A2189" s="304">
        <v>3068</v>
      </c>
      <c r="B2189" s="304" t="s">
        <v>7744</v>
      </c>
      <c r="C2189" s="304" t="s">
        <v>5555</v>
      </c>
      <c r="D2189" s="540">
        <v>30.41</v>
      </c>
    </row>
    <row r="2190" spans="1:4" ht="15" x14ac:dyDescent="0.25">
      <c r="A2190" s="304">
        <v>3074</v>
      </c>
      <c r="B2190" s="304" t="s">
        <v>7745</v>
      </c>
      <c r="C2190" s="304" t="s">
        <v>5555</v>
      </c>
      <c r="D2190" s="540">
        <v>96.03</v>
      </c>
    </row>
    <row r="2191" spans="1:4" ht="15" x14ac:dyDescent="0.25">
      <c r="A2191" s="304">
        <v>3076</v>
      </c>
      <c r="B2191" s="304" t="s">
        <v>7746</v>
      </c>
      <c r="C2191" s="304" t="s">
        <v>5555</v>
      </c>
      <c r="D2191" s="540">
        <v>125.05</v>
      </c>
    </row>
    <row r="2192" spans="1:4" ht="15" x14ac:dyDescent="0.25">
      <c r="A2192" s="304">
        <v>3072</v>
      </c>
      <c r="B2192" s="304" t="s">
        <v>7747</v>
      </c>
      <c r="C2192" s="304" t="s">
        <v>5555</v>
      </c>
      <c r="D2192" s="540">
        <v>31.5</v>
      </c>
    </row>
    <row r="2193" spans="1:4" ht="15" x14ac:dyDescent="0.25">
      <c r="A2193" s="304">
        <v>3075</v>
      </c>
      <c r="B2193" s="304" t="s">
        <v>7748</v>
      </c>
      <c r="C2193" s="304" t="s">
        <v>5555</v>
      </c>
      <c r="D2193" s="540">
        <v>79.02</v>
      </c>
    </row>
    <row r="2194" spans="1:4" ht="15" x14ac:dyDescent="0.25">
      <c r="A2194" s="304">
        <v>10780</v>
      </c>
      <c r="B2194" s="304" t="s">
        <v>7749</v>
      </c>
      <c r="C2194" s="304" t="s">
        <v>5555</v>
      </c>
      <c r="D2194" s="540">
        <v>6.68</v>
      </c>
    </row>
    <row r="2195" spans="1:4" ht="15" x14ac:dyDescent="0.25">
      <c r="A2195" s="304">
        <v>10781</v>
      </c>
      <c r="B2195" s="304" t="s">
        <v>7750</v>
      </c>
      <c r="C2195" s="304" t="s">
        <v>5555</v>
      </c>
      <c r="D2195" s="540">
        <v>10.71</v>
      </c>
    </row>
    <row r="2196" spans="1:4" ht="15" x14ac:dyDescent="0.25">
      <c r="A2196" s="304">
        <v>20106</v>
      </c>
      <c r="B2196" s="304" t="s">
        <v>7751</v>
      </c>
      <c r="C2196" s="304" t="s">
        <v>5555</v>
      </c>
      <c r="D2196" s="540">
        <v>3.53</v>
      </c>
    </row>
    <row r="2197" spans="1:4" ht="15" x14ac:dyDescent="0.25">
      <c r="A2197" s="304">
        <v>20107</v>
      </c>
      <c r="B2197" s="304" t="s">
        <v>7752</v>
      </c>
      <c r="C2197" s="304" t="s">
        <v>5555</v>
      </c>
      <c r="D2197" s="540">
        <v>4.04</v>
      </c>
    </row>
    <row r="2198" spans="1:4" ht="15" x14ac:dyDescent="0.25">
      <c r="A2198" s="304">
        <v>20108</v>
      </c>
      <c r="B2198" s="304" t="s">
        <v>7753</v>
      </c>
      <c r="C2198" s="304" t="s">
        <v>5555</v>
      </c>
      <c r="D2198" s="540">
        <v>5.34</v>
      </c>
    </row>
    <row r="2199" spans="1:4" ht="15" x14ac:dyDescent="0.25">
      <c r="A2199" s="304">
        <v>20109</v>
      </c>
      <c r="B2199" s="304" t="s">
        <v>7754</v>
      </c>
      <c r="C2199" s="304" t="s">
        <v>5555</v>
      </c>
      <c r="D2199" s="540">
        <v>6.68</v>
      </c>
    </row>
    <row r="2200" spans="1:4" ht="15" x14ac:dyDescent="0.25">
      <c r="A2200" s="304">
        <v>34795</v>
      </c>
      <c r="B2200" s="304" t="s">
        <v>7755</v>
      </c>
      <c r="C2200" s="304" t="s">
        <v>5564</v>
      </c>
      <c r="D2200" s="540">
        <v>234.5</v>
      </c>
    </row>
    <row r="2201" spans="1:4" ht="15" x14ac:dyDescent="0.25">
      <c r="A2201" s="304">
        <v>34796</v>
      </c>
      <c r="B2201" s="304" t="s">
        <v>7756</v>
      </c>
      <c r="C2201" s="304" t="s">
        <v>5575</v>
      </c>
      <c r="D2201" s="540">
        <v>10.29</v>
      </c>
    </row>
    <row r="2202" spans="1:4" ht="15" x14ac:dyDescent="0.25">
      <c r="A2202" s="304">
        <v>11474</v>
      </c>
      <c r="B2202" s="304" t="s">
        <v>7757</v>
      </c>
      <c r="C2202" s="304" t="s">
        <v>5555</v>
      </c>
      <c r="D2202" s="540">
        <v>28.56</v>
      </c>
    </row>
    <row r="2203" spans="1:4" ht="15" x14ac:dyDescent="0.25">
      <c r="A2203" s="304">
        <v>11470</v>
      </c>
      <c r="B2203" s="304" t="s">
        <v>7758</v>
      </c>
      <c r="C2203" s="304" t="s">
        <v>5555</v>
      </c>
      <c r="D2203" s="540">
        <v>18.71</v>
      </c>
    </row>
    <row r="2204" spans="1:4" ht="15" x14ac:dyDescent="0.25">
      <c r="A2204" s="304">
        <v>11480</v>
      </c>
      <c r="B2204" s="304" t="s">
        <v>7759</v>
      </c>
      <c r="C2204" s="304" t="s">
        <v>7062</v>
      </c>
      <c r="D2204" s="540">
        <v>46.71</v>
      </c>
    </row>
    <row r="2205" spans="1:4" ht="15" x14ac:dyDescent="0.25">
      <c r="A2205" s="304">
        <v>38154</v>
      </c>
      <c r="B2205" s="304" t="s">
        <v>7760</v>
      </c>
      <c r="C2205" s="304" t="s">
        <v>7062</v>
      </c>
      <c r="D2205" s="540">
        <v>29.24</v>
      </c>
    </row>
    <row r="2206" spans="1:4" ht="15" x14ac:dyDescent="0.25">
      <c r="A2206" s="304">
        <v>11482</v>
      </c>
      <c r="B2206" s="304" t="s">
        <v>7761</v>
      </c>
      <c r="C2206" s="304" t="s">
        <v>7062</v>
      </c>
      <c r="D2206" s="540">
        <v>42.42</v>
      </c>
    </row>
    <row r="2207" spans="1:4" ht="15" x14ac:dyDescent="0.25">
      <c r="A2207" s="304">
        <v>3084</v>
      </c>
      <c r="B2207" s="304" t="s">
        <v>7762</v>
      </c>
      <c r="C2207" s="304" t="s">
        <v>7062</v>
      </c>
      <c r="D2207" s="540">
        <v>54.54</v>
      </c>
    </row>
    <row r="2208" spans="1:4" ht="15" x14ac:dyDescent="0.25">
      <c r="A2208" s="304">
        <v>3103</v>
      </c>
      <c r="B2208" s="304" t="s">
        <v>7763</v>
      </c>
      <c r="C2208" s="304" t="s">
        <v>5555</v>
      </c>
      <c r="D2208" s="540">
        <v>48.75</v>
      </c>
    </row>
    <row r="2209" spans="1:4" ht="15" x14ac:dyDescent="0.25">
      <c r="A2209" s="304">
        <v>11481</v>
      </c>
      <c r="B2209" s="304" t="s">
        <v>7764</v>
      </c>
      <c r="C2209" s="304" t="s">
        <v>5555</v>
      </c>
      <c r="D2209" s="540">
        <v>14.71</v>
      </c>
    </row>
    <row r="2210" spans="1:4" ht="15" x14ac:dyDescent="0.25">
      <c r="A2210" s="304">
        <v>3097</v>
      </c>
      <c r="B2210" s="304" t="s">
        <v>7765</v>
      </c>
      <c r="C2210" s="304" t="s">
        <v>7062</v>
      </c>
      <c r="D2210" s="540">
        <v>30.21</v>
      </c>
    </row>
    <row r="2211" spans="1:4" ht="15" x14ac:dyDescent="0.25">
      <c r="A2211" s="304">
        <v>38153</v>
      </c>
      <c r="B2211" s="304" t="s">
        <v>7766</v>
      </c>
      <c r="C2211" s="304" t="s">
        <v>7062</v>
      </c>
      <c r="D2211" s="540">
        <v>27.71</v>
      </c>
    </row>
    <row r="2212" spans="1:4" ht="15" x14ac:dyDescent="0.25">
      <c r="A2212" s="304">
        <v>3099</v>
      </c>
      <c r="B2212" s="304" t="s">
        <v>7767</v>
      </c>
      <c r="C2212" s="304" t="s">
        <v>7062</v>
      </c>
      <c r="D2212" s="540">
        <v>48.33</v>
      </c>
    </row>
    <row r="2213" spans="1:4" ht="15" x14ac:dyDescent="0.25">
      <c r="A2213" s="304">
        <v>3080</v>
      </c>
      <c r="B2213" s="304" t="s">
        <v>7768</v>
      </c>
      <c r="C2213" s="304" t="s">
        <v>7062</v>
      </c>
      <c r="D2213" s="540">
        <v>40.380000000000003</v>
      </c>
    </row>
    <row r="2214" spans="1:4" ht="15" x14ac:dyDescent="0.25">
      <c r="A2214" s="304">
        <v>3081</v>
      </c>
      <c r="B2214" s="304" t="s">
        <v>7769</v>
      </c>
      <c r="C2214" s="304" t="s">
        <v>7062</v>
      </c>
      <c r="D2214" s="540">
        <v>61.11</v>
      </c>
    </row>
    <row r="2215" spans="1:4" ht="15" x14ac:dyDescent="0.25">
      <c r="A2215" s="304">
        <v>38151</v>
      </c>
      <c r="B2215" s="304" t="s">
        <v>7770</v>
      </c>
      <c r="C2215" s="304" t="s">
        <v>7062</v>
      </c>
      <c r="D2215" s="540">
        <v>38.26</v>
      </c>
    </row>
    <row r="2216" spans="1:4" ht="15" x14ac:dyDescent="0.25">
      <c r="A2216" s="304">
        <v>11479</v>
      </c>
      <c r="B2216" s="304" t="s">
        <v>7771</v>
      </c>
      <c r="C2216" s="304" t="s">
        <v>5555</v>
      </c>
      <c r="D2216" s="540">
        <v>22.24</v>
      </c>
    </row>
    <row r="2217" spans="1:4" ht="15" x14ac:dyDescent="0.25">
      <c r="A2217" s="304">
        <v>38152</v>
      </c>
      <c r="B2217" s="304" t="s">
        <v>7772</v>
      </c>
      <c r="C2217" s="304" t="s">
        <v>7062</v>
      </c>
      <c r="D2217" s="540">
        <v>55.37</v>
      </c>
    </row>
    <row r="2218" spans="1:4" ht="15" x14ac:dyDescent="0.25">
      <c r="A2218" s="304">
        <v>11478</v>
      </c>
      <c r="B2218" s="304" t="s">
        <v>7773</v>
      </c>
      <c r="C2218" s="304" t="s">
        <v>5555</v>
      </c>
      <c r="D2218" s="540">
        <v>39.03</v>
      </c>
    </row>
    <row r="2219" spans="1:4" ht="15" x14ac:dyDescent="0.25">
      <c r="A2219" s="304">
        <v>3090</v>
      </c>
      <c r="B2219" s="304" t="s">
        <v>7774</v>
      </c>
      <c r="C2219" s="304" t="s">
        <v>7062</v>
      </c>
      <c r="D2219" s="540">
        <v>32.65</v>
      </c>
    </row>
    <row r="2220" spans="1:4" ht="15" x14ac:dyDescent="0.25">
      <c r="A2220" s="304">
        <v>3093</v>
      </c>
      <c r="B2220" s="304" t="s">
        <v>7775</v>
      </c>
      <c r="C2220" s="304" t="s">
        <v>7062</v>
      </c>
      <c r="D2220" s="540">
        <v>54.26</v>
      </c>
    </row>
    <row r="2221" spans="1:4" ht="15" x14ac:dyDescent="0.25">
      <c r="A2221" s="304">
        <v>11476</v>
      </c>
      <c r="B2221" s="304" t="s">
        <v>7776</v>
      </c>
      <c r="C2221" s="304" t="s">
        <v>5555</v>
      </c>
      <c r="D2221" s="540">
        <v>23.38</v>
      </c>
    </row>
    <row r="2222" spans="1:4" ht="15" x14ac:dyDescent="0.25">
      <c r="A2222" s="304">
        <v>3082</v>
      </c>
      <c r="B2222" s="304" t="s">
        <v>7777</v>
      </c>
      <c r="C2222" s="304" t="s">
        <v>7062</v>
      </c>
      <c r="D2222" s="540">
        <v>37.770000000000003</v>
      </c>
    </row>
    <row r="2223" spans="1:4" ht="15" x14ac:dyDescent="0.25">
      <c r="A2223" s="304">
        <v>11484</v>
      </c>
      <c r="B2223" s="304" t="s">
        <v>7778</v>
      </c>
      <c r="C2223" s="304" t="s">
        <v>5555</v>
      </c>
      <c r="D2223" s="540">
        <v>26.94</v>
      </c>
    </row>
    <row r="2224" spans="1:4" ht="15" x14ac:dyDescent="0.25">
      <c r="A2224" s="304">
        <v>38155</v>
      </c>
      <c r="B2224" s="304" t="s">
        <v>7779</v>
      </c>
      <c r="C2224" s="304" t="s">
        <v>5555</v>
      </c>
      <c r="D2224" s="540">
        <v>36.729999999999997</v>
      </c>
    </row>
    <row r="2225" spans="1:4" ht="15" x14ac:dyDescent="0.25">
      <c r="A2225" s="304">
        <v>11468</v>
      </c>
      <c r="B2225" s="304" t="s">
        <v>7780</v>
      </c>
      <c r="C2225" s="304" t="s">
        <v>5555</v>
      </c>
      <c r="D2225" s="540">
        <v>8.24</v>
      </c>
    </row>
    <row r="2226" spans="1:4" ht="15" x14ac:dyDescent="0.25">
      <c r="A2226" s="304">
        <v>11469</v>
      </c>
      <c r="B2226" s="304" t="s">
        <v>7781</v>
      </c>
      <c r="C2226" s="304" t="s">
        <v>5555</v>
      </c>
      <c r="D2226" s="540">
        <v>9.84</v>
      </c>
    </row>
    <row r="2227" spans="1:4" ht="15" x14ac:dyDescent="0.25">
      <c r="A2227" s="304">
        <v>11477</v>
      </c>
      <c r="B2227" s="304" t="s">
        <v>7782</v>
      </c>
      <c r="C2227" s="304" t="s">
        <v>7062</v>
      </c>
      <c r="D2227" s="540">
        <v>44.74</v>
      </c>
    </row>
    <row r="2228" spans="1:4" ht="15" x14ac:dyDescent="0.25">
      <c r="A2228" s="304">
        <v>40311</v>
      </c>
      <c r="B2228" s="304" t="s">
        <v>7783</v>
      </c>
      <c r="C2228" s="304" t="s">
        <v>7062</v>
      </c>
      <c r="D2228" s="540">
        <v>43.21</v>
      </c>
    </row>
    <row r="2229" spans="1:4" ht="15" x14ac:dyDescent="0.25">
      <c r="A2229" s="304">
        <v>38165</v>
      </c>
      <c r="B2229" s="304" t="s">
        <v>7784</v>
      </c>
      <c r="C2229" s="304" t="s">
        <v>7062</v>
      </c>
      <c r="D2229" s="540">
        <v>53.48</v>
      </c>
    </row>
    <row r="2230" spans="1:4" ht="15" x14ac:dyDescent="0.25">
      <c r="A2230" s="304">
        <v>3096</v>
      </c>
      <c r="B2230" s="304" t="s">
        <v>7785</v>
      </c>
      <c r="C2230" s="304" t="s">
        <v>7062</v>
      </c>
      <c r="D2230" s="540">
        <v>24.84</v>
      </c>
    </row>
    <row r="2231" spans="1:4" ht="15" x14ac:dyDescent="0.25">
      <c r="A2231" s="304">
        <v>11456</v>
      </c>
      <c r="B2231" s="304" t="s">
        <v>7786</v>
      </c>
      <c r="C2231" s="304" t="s">
        <v>5555</v>
      </c>
      <c r="D2231" s="540">
        <v>11.85</v>
      </c>
    </row>
    <row r="2232" spans="1:4" ht="15" x14ac:dyDescent="0.25">
      <c r="A2232" s="304">
        <v>3119</v>
      </c>
      <c r="B2232" s="304" t="s">
        <v>7787</v>
      </c>
      <c r="C2232" s="304" t="s">
        <v>5555</v>
      </c>
      <c r="D2232" s="540">
        <v>1.76</v>
      </c>
    </row>
    <row r="2233" spans="1:4" ht="15" x14ac:dyDescent="0.25">
      <c r="A2233" s="304">
        <v>3122</v>
      </c>
      <c r="B2233" s="304" t="s">
        <v>7788</v>
      </c>
      <c r="C2233" s="304" t="s">
        <v>5555</v>
      </c>
      <c r="D2233" s="540">
        <v>2.4700000000000002</v>
      </c>
    </row>
    <row r="2234" spans="1:4" ht="15" x14ac:dyDescent="0.25">
      <c r="A2234" s="304">
        <v>3121</v>
      </c>
      <c r="B2234" s="304" t="s">
        <v>7789</v>
      </c>
      <c r="C2234" s="304" t="s">
        <v>5555</v>
      </c>
      <c r="D2234" s="540">
        <v>3.84</v>
      </c>
    </row>
    <row r="2235" spans="1:4" ht="15" x14ac:dyDescent="0.25">
      <c r="A2235" s="304">
        <v>3120</v>
      </c>
      <c r="B2235" s="304" t="s">
        <v>7790</v>
      </c>
      <c r="C2235" s="304" t="s">
        <v>5555</v>
      </c>
      <c r="D2235" s="540">
        <v>6.06</v>
      </c>
    </row>
    <row r="2236" spans="1:4" ht="15" x14ac:dyDescent="0.25">
      <c r="A2236" s="304">
        <v>11455</v>
      </c>
      <c r="B2236" s="304" t="s">
        <v>7791</v>
      </c>
      <c r="C2236" s="304" t="s">
        <v>5555</v>
      </c>
      <c r="D2236" s="540">
        <v>8.49</v>
      </c>
    </row>
    <row r="2237" spans="1:4" ht="15" x14ac:dyDescent="0.25">
      <c r="A2237" s="304">
        <v>3111</v>
      </c>
      <c r="B2237" s="304" t="s">
        <v>7792</v>
      </c>
      <c r="C2237" s="304" t="s">
        <v>5555</v>
      </c>
      <c r="D2237" s="540">
        <v>20.329999999999998</v>
      </c>
    </row>
    <row r="2238" spans="1:4" ht="15" x14ac:dyDescent="0.25">
      <c r="A2238" s="304">
        <v>3108</v>
      </c>
      <c r="B2238" s="304" t="s">
        <v>7793</v>
      </c>
      <c r="C2238" s="304" t="s">
        <v>5555</v>
      </c>
      <c r="D2238" s="540">
        <v>21.33</v>
      </c>
    </row>
    <row r="2239" spans="1:4" ht="15" x14ac:dyDescent="0.25">
      <c r="A2239" s="304">
        <v>3105</v>
      </c>
      <c r="B2239" s="304" t="s">
        <v>7794</v>
      </c>
      <c r="C2239" s="304" t="s">
        <v>5555</v>
      </c>
      <c r="D2239" s="540">
        <v>33.14</v>
      </c>
    </row>
    <row r="2240" spans="1:4" ht="15" x14ac:dyDescent="0.25">
      <c r="A2240" s="304">
        <v>38178</v>
      </c>
      <c r="B2240" s="304" t="s">
        <v>7795</v>
      </c>
      <c r="C2240" s="304" t="s">
        <v>5555</v>
      </c>
      <c r="D2240" s="540">
        <v>21.66</v>
      </c>
    </row>
    <row r="2241" spans="1:4" ht="15" x14ac:dyDescent="0.25">
      <c r="A2241" s="304">
        <v>11458</v>
      </c>
      <c r="B2241" s="304" t="s">
        <v>7796</v>
      </c>
      <c r="C2241" s="304" t="s">
        <v>5555</v>
      </c>
      <c r="D2241" s="540">
        <v>18.97</v>
      </c>
    </row>
    <row r="2242" spans="1:4" ht="15" x14ac:dyDescent="0.25">
      <c r="A2242" s="304">
        <v>42481</v>
      </c>
      <c r="B2242" s="304" t="s">
        <v>7797</v>
      </c>
      <c r="C2242" s="304" t="s">
        <v>5564</v>
      </c>
      <c r="D2242" s="540">
        <v>25.21</v>
      </c>
    </row>
    <row r="2243" spans="1:4" ht="15" x14ac:dyDescent="0.25">
      <c r="A2243" s="304">
        <v>43458</v>
      </c>
      <c r="B2243" s="304" t="s">
        <v>7798</v>
      </c>
      <c r="C2243" s="304" t="s">
        <v>5566</v>
      </c>
      <c r="D2243" s="540">
        <v>0.04</v>
      </c>
    </row>
    <row r="2244" spans="1:4" ht="15" x14ac:dyDescent="0.25">
      <c r="A2244" s="304">
        <v>43470</v>
      </c>
      <c r="B2244" s="304" t="s">
        <v>7799</v>
      </c>
      <c r="C2244" s="304" t="s">
        <v>5755</v>
      </c>
      <c r="D2244" s="540">
        <v>7.37</v>
      </c>
    </row>
    <row r="2245" spans="1:4" ht="15" x14ac:dyDescent="0.25">
      <c r="A2245" s="304">
        <v>43459</v>
      </c>
      <c r="B2245" s="304" t="s">
        <v>7800</v>
      </c>
      <c r="C2245" s="304" t="s">
        <v>5566</v>
      </c>
      <c r="D2245" s="540">
        <v>0.34</v>
      </c>
    </row>
    <row r="2246" spans="1:4" ht="15" x14ac:dyDescent="0.25">
      <c r="A2246" s="304">
        <v>43471</v>
      </c>
      <c r="B2246" s="304" t="s">
        <v>7801</v>
      </c>
      <c r="C2246" s="304" t="s">
        <v>5755</v>
      </c>
      <c r="D2246" s="540">
        <v>64.510000000000005</v>
      </c>
    </row>
    <row r="2247" spans="1:4" ht="15" x14ac:dyDescent="0.25">
      <c r="A2247" s="304">
        <v>43460</v>
      </c>
      <c r="B2247" s="304" t="s">
        <v>7802</v>
      </c>
      <c r="C2247" s="304" t="s">
        <v>5566</v>
      </c>
      <c r="D2247" s="540">
        <v>0.55000000000000004</v>
      </c>
    </row>
    <row r="2248" spans="1:4" ht="15" x14ac:dyDescent="0.25">
      <c r="A2248" s="304">
        <v>43472</v>
      </c>
      <c r="B2248" s="304" t="s">
        <v>7803</v>
      </c>
      <c r="C2248" s="304" t="s">
        <v>5755</v>
      </c>
      <c r="D2248" s="540">
        <v>103.89</v>
      </c>
    </row>
    <row r="2249" spans="1:4" ht="15" x14ac:dyDescent="0.25">
      <c r="A2249" s="304">
        <v>43461</v>
      </c>
      <c r="B2249" s="304" t="s">
        <v>7804</v>
      </c>
      <c r="C2249" s="304" t="s">
        <v>5566</v>
      </c>
      <c r="D2249" s="540">
        <v>0.24</v>
      </c>
    </row>
    <row r="2250" spans="1:4" ht="15" x14ac:dyDescent="0.25">
      <c r="A2250" s="304">
        <v>43473</v>
      </c>
      <c r="B2250" s="304" t="s">
        <v>7805</v>
      </c>
      <c r="C2250" s="304" t="s">
        <v>5755</v>
      </c>
      <c r="D2250" s="540">
        <v>45.78</v>
      </c>
    </row>
    <row r="2251" spans="1:4" ht="15" x14ac:dyDescent="0.25">
      <c r="A2251" s="304">
        <v>43475</v>
      </c>
      <c r="B2251" s="304" t="s">
        <v>7806</v>
      </c>
      <c r="C2251" s="304" t="s">
        <v>5755</v>
      </c>
      <c r="D2251" s="540">
        <v>14.26</v>
      </c>
    </row>
    <row r="2252" spans="1:4" ht="15" x14ac:dyDescent="0.25">
      <c r="A2252" s="304">
        <v>43463</v>
      </c>
      <c r="B2252" s="304" t="s">
        <v>7806</v>
      </c>
      <c r="C2252" s="304" t="s">
        <v>5566</v>
      </c>
      <c r="D2252" s="540">
        <v>0.08</v>
      </c>
    </row>
    <row r="2253" spans="1:4" ht="15" x14ac:dyDescent="0.25">
      <c r="A2253" s="304">
        <v>43462</v>
      </c>
      <c r="B2253" s="304" t="s">
        <v>7807</v>
      </c>
      <c r="C2253" s="304" t="s">
        <v>5566</v>
      </c>
      <c r="D2253" s="540">
        <v>0.01</v>
      </c>
    </row>
    <row r="2254" spans="1:4" ht="15" x14ac:dyDescent="0.25">
      <c r="A2254" s="304">
        <v>43474</v>
      </c>
      <c r="B2254" s="304" t="s">
        <v>7808</v>
      </c>
      <c r="C2254" s="304" t="s">
        <v>5755</v>
      </c>
      <c r="D2254" s="540">
        <v>1.45</v>
      </c>
    </row>
    <row r="2255" spans="1:4" ht="15" x14ac:dyDescent="0.25">
      <c r="A2255" s="304">
        <v>43464</v>
      </c>
      <c r="B2255" s="304" t="s">
        <v>7809</v>
      </c>
      <c r="C2255" s="304" t="s">
        <v>5566</v>
      </c>
      <c r="D2255" s="540">
        <v>0.01</v>
      </c>
    </row>
    <row r="2256" spans="1:4" ht="15" x14ac:dyDescent="0.25">
      <c r="A2256" s="304">
        <v>43476</v>
      </c>
      <c r="B2256" s="304" t="s">
        <v>7810</v>
      </c>
      <c r="C2256" s="304" t="s">
        <v>5755</v>
      </c>
      <c r="D2256" s="540">
        <v>0.01</v>
      </c>
    </row>
    <row r="2257" spans="1:4" ht="15" x14ac:dyDescent="0.25">
      <c r="A2257" s="304">
        <v>43465</v>
      </c>
      <c r="B2257" s="304" t="s">
        <v>7811</v>
      </c>
      <c r="C2257" s="304" t="s">
        <v>5566</v>
      </c>
      <c r="D2257" s="540">
        <v>0.5</v>
      </c>
    </row>
    <row r="2258" spans="1:4" ht="15" x14ac:dyDescent="0.25">
      <c r="A2258" s="304">
        <v>43477</v>
      </c>
      <c r="B2258" s="304" t="s">
        <v>7812</v>
      </c>
      <c r="C2258" s="304" t="s">
        <v>5755</v>
      </c>
      <c r="D2258" s="540">
        <v>94.89</v>
      </c>
    </row>
    <row r="2259" spans="1:4" ht="15" x14ac:dyDescent="0.25">
      <c r="A2259" s="304">
        <v>43466</v>
      </c>
      <c r="B2259" s="304" t="s">
        <v>7813</v>
      </c>
      <c r="C2259" s="304" t="s">
        <v>5566</v>
      </c>
      <c r="D2259" s="540">
        <v>1.17</v>
      </c>
    </row>
    <row r="2260" spans="1:4" ht="15" x14ac:dyDescent="0.25">
      <c r="A2260" s="304">
        <v>43478</v>
      </c>
      <c r="B2260" s="304" t="s">
        <v>7814</v>
      </c>
      <c r="C2260" s="304" t="s">
        <v>5755</v>
      </c>
      <c r="D2260" s="540">
        <v>220.02</v>
      </c>
    </row>
    <row r="2261" spans="1:4" ht="15" x14ac:dyDescent="0.25">
      <c r="A2261" s="304">
        <v>43467</v>
      </c>
      <c r="B2261" s="304" t="s">
        <v>7815</v>
      </c>
      <c r="C2261" s="304" t="s">
        <v>5566</v>
      </c>
      <c r="D2261" s="540">
        <v>0.38</v>
      </c>
    </row>
    <row r="2262" spans="1:4" ht="15" x14ac:dyDescent="0.25">
      <c r="A2262" s="304">
        <v>43479</v>
      </c>
      <c r="B2262" s="304" t="s">
        <v>7816</v>
      </c>
      <c r="C2262" s="304" t="s">
        <v>5755</v>
      </c>
      <c r="D2262" s="540">
        <v>71.290000000000006</v>
      </c>
    </row>
    <row r="2263" spans="1:4" ht="15" x14ac:dyDescent="0.25">
      <c r="A2263" s="304">
        <v>43468</v>
      </c>
      <c r="B2263" s="304" t="s">
        <v>7817</v>
      </c>
      <c r="C2263" s="304" t="s">
        <v>5566</v>
      </c>
      <c r="D2263" s="540">
        <v>0.84</v>
      </c>
    </row>
    <row r="2264" spans="1:4" ht="15" x14ac:dyDescent="0.25">
      <c r="A2264" s="304">
        <v>43480</v>
      </c>
      <c r="B2264" s="304" t="s">
        <v>7818</v>
      </c>
      <c r="C2264" s="304" t="s">
        <v>5755</v>
      </c>
      <c r="D2264" s="540">
        <v>157.85</v>
      </c>
    </row>
    <row r="2265" spans="1:4" ht="15" x14ac:dyDescent="0.25">
      <c r="A2265" s="304">
        <v>43469</v>
      </c>
      <c r="B2265" s="304" t="s">
        <v>7819</v>
      </c>
      <c r="C2265" s="304" t="s">
        <v>5566</v>
      </c>
      <c r="D2265" s="540">
        <v>0.05</v>
      </c>
    </row>
    <row r="2266" spans="1:4" ht="15" x14ac:dyDescent="0.25">
      <c r="A2266" s="304">
        <v>43481</v>
      </c>
      <c r="B2266" s="304" t="s">
        <v>7820</v>
      </c>
      <c r="C2266" s="304" t="s">
        <v>5755</v>
      </c>
      <c r="D2266" s="540">
        <v>10.02</v>
      </c>
    </row>
    <row r="2267" spans="1:4" ht="15" x14ac:dyDescent="0.25">
      <c r="A2267" s="304">
        <v>11461</v>
      </c>
      <c r="B2267" s="304" t="s">
        <v>7821</v>
      </c>
      <c r="C2267" s="304" t="s">
        <v>5555</v>
      </c>
      <c r="D2267" s="540">
        <v>4.8099999999999996</v>
      </c>
    </row>
    <row r="2268" spans="1:4" ht="15" x14ac:dyDescent="0.25">
      <c r="A2268" s="304">
        <v>3106</v>
      </c>
      <c r="B2268" s="304" t="s">
        <v>7822</v>
      </c>
      <c r="C2268" s="304" t="s">
        <v>5555</v>
      </c>
      <c r="D2268" s="540">
        <v>3.66</v>
      </c>
    </row>
    <row r="2269" spans="1:4" ht="15" x14ac:dyDescent="0.25">
      <c r="A2269" s="304">
        <v>3107</v>
      </c>
      <c r="B2269" s="304" t="s">
        <v>7823</v>
      </c>
      <c r="C2269" s="304" t="s">
        <v>5555</v>
      </c>
      <c r="D2269" s="540">
        <v>3.08</v>
      </c>
    </row>
    <row r="2270" spans="1:4" ht="15" x14ac:dyDescent="0.25">
      <c r="A2270" s="304">
        <v>25951</v>
      </c>
      <c r="B2270" s="304" t="s">
        <v>7824</v>
      </c>
      <c r="C2270" s="304" t="s">
        <v>5626</v>
      </c>
      <c r="D2270" s="540">
        <v>2.14</v>
      </c>
    </row>
    <row r="2271" spans="1:4" ht="15" x14ac:dyDescent="0.25">
      <c r="A2271" s="304">
        <v>3123</v>
      </c>
      <c r="B2271" s="304" t="s">
        <v>7825</v>
      </c>
      <c r="C2271" s="304" t="s">
        <v>5626</v>
      </c>
      <c r="D2271" s="540">
        <v>2</v>
      </c>
    </row>
    <row r="2272" spans="1:4" ht="15" x14ac:dyDescent="0.25">
      <c r="A2272" s="304">
        <v>38125</v>
      </c>
      <c r="B2272" s="304" t="s">
        <v>7826</v>
      </c>
      <c r="C2272" s="304" t="s">
        <v>5626</v>
      </c>
      <c r="D2272" s="540">
        <v>1.62</v>
      </c>
    </row>
    <row r="2273" spans="1:4" ht="15" x14ac:dyDescent="0.25">
      <c r="A2273" s="304">
        <v>39014</v>
      </c>
      <c r="B2273" s="304" t="s">
        <v>7827</v>
      </c>
      <c r="C2273" s="304" t="s">
        <v>5626</v>
      </c>
      <c r="D2273" s="540">
        <v>13.34</v>
      </c>
    </row>
    <row r="2274" spans="1:4" ht="15" x14ac:dyDescent="0.25">
      <c r="A2274" s="304">
        <v>11894</v>
      </c>
      <c r="B2274" s="304" t="s">
        <v>7828</v>
      </c>
      <c r="C2274" s="304" t="s">
        <v>5555</v>
      </c>
      <c r="D2274" s="540">
        <v>693.8</v>
      </c>
    </row>
    <row r="2275" spans="1:4" ht="15" x14ac:dyDescent="0.25">
      <c r="A2275" s="304">
        <v>39365</v>
      </c>
      <c r="B2275" s="304" t="s">
        <v>7829</v>
      </c>
      <c r="C2275" s="304" t="s">
        <v>5555</v>
      </c>
      <c r="D2275" s="540">
        <v>889.85</v>
      </c>
    </row>
    <row r="2276" spans="1:4" ht="15" x14ac:dyDescent="0.25">
      <c r="A2276" s="304">
        <v>39366</v>
      </c>
      <c r="B2276" s="304" t="s">
        <v>7830</v>
      </c>
      <c r="C2276" s="304" t="s">
        <v>5555</v>
      </c>
      <c r="D2276" s="541">
        <v>2278.4</v>
      </c>
    </row>
    <row r="2277" spans="1:4" ht="15" x14ac:dyDescent="0.25">
      <c r="A2277" s="304">
        <v>39367</v>
      </c>
      <c r="B2277" s="304" t="s">
        <v>7831</v>
      </c>
      <c r="C2277" s="304" t="s">
        <v>5555</v>
      </c>
      <c r="D2277" s="541">
        <v>3114.16</v>
      </c>
    </row>
    <row r="2278" spans="1:4" ht="15" x14ac:dyDescent="0.25">
      <c r="A2278" s="304">
        <v>37394</v>
      </c>
      <c r="B2278" s="304" t="s">
        <v>7832</v>
      </c>
      <c r="C2278" s="304" t="s">
        <v>7833</v>
      </c>
      <c r="D2278" s="540">
        <v>27.98</v>
      </c>
    </row>
    <row r="2279" spans="1:4" ht="15" x14ac:dyDescent="0.25">
      <c r="A2279" s="304">
        <v>14146</v>
      </c>
      <c r="B2279" s="304" t="s">
        <v>7834</v>
      </c>
      <c r="C2279" s="304" t="s">
        <v>7833</v>
      </c>
      <c r="D2279" s="540">
        <v>45</v>
      </c>
    </row>
    <row r="2280" spans="1:4" ht="15" x14ac:dyDescent="0.25">
      <c r="A2280" s="304">
        <v>38134</v>
      </c>
      <c r="B2280" s="304" t="s">
        <v>7835</v>
      </c>
      <c r="C2280" s="304" t="s">
        <v>5626</v>
      </c>
      <c r="D2280" s="540">
        <v>59.59</v>
      </c>
    </row>
    <row r="2281" spans="1:4" ht="15" x14ac:dyDescent="0.25">
      <c r="A2281" s="304">
        <v>38132</v>
      </c>
      <c r="B2281" s="304" t="s">
        <v>7836</v>
      </c>
      <c r="C2281" s="304" t="s">
        <v>5626</v>
      </c>
      <c r="D2281" s="540">
        <v>60.78</v>
      </c>
    </row>
    <row r="2282" spans="1:4" ht="15" x14ac:dyDescent="0.25">
      <c r="A2282" s="304">
        <v>38133</v>
      </c>
      <c r="B2282" s="304" t="s">
        <v>7837</v>
      </c>
      <c r="C2282" s="304" t="s">
        <v>5626</v>
      </c>
      <c r="D2282" s="540">
        <v>58.79</v>
      </c>
    </row>
    <row r="2283" spans="1:4" ht="15" x14ac:dyDescent="0.25">
      <c r="A2283" s="304">
        <v>938</v>
      </c>
      <c r="B2283" s="304" t="s">
        <v>7838</v>
      </c>
      <c r="C2283" s="304" t="s">
        <v>5575</v>
      </c>
      <c r="D2283" s="540">
        <v>0.85</v>
      </c>
    </row>
    <row r="2284" spans="1:4" ht="15" x14ac:dyDescent="0.25">
      <c r="A2284" s="304">
        <v>937</v>
      </c>
      <c r="B2284" s="304" t="s">
        <v>7839</v>
      </c>
      <c r="C2284" s="304" t="s">
        <v>5575</v>
      </c>
      <c r="D2284" s="540">
        <v>5.29</v>
      </c>
    </row>
    <row r="2285" spans="1:4" ht="15" x14ac:dyDescent="0.25">
      <c r="A2285" s="304">
        <v>939</v>
      </c>
      <c r="B2285" s="304" t="s">
        <v>7840</v>
      </c>
      <c r="C2285" s="304" t="s">
        <v>5575</v>
      </c>
      <c r="D2285" s="540">
        <v>1.37</v>
      </c>
    </row>
    <row r="2286" spans="1:4" ht="15" x14ac:dyDescent="0.25">
      <c r="A2286" s="304">
        <v>944</v>
      </c>
      <c r="B2286" s="304" t="s">
        <v>7841</v>
      </c>
      <c r="C2286" s="304" t="s">
        <v>5575</v>
      </c>
      <c r="D2286" s="540">
        <v>2.34</v>
      </c>
    </row>
    <row r="2287" spans="1:4" ht="15" x14ac:dyDescent="0.25">
      <c r="A2287" s="304">
        <v>940</v>
      </c>
      <c r="B2287" s="304" t="s">
        <v>7842</v>
      </c>
      <c r="C2287" s="304" t="s">
        <v>5575</v>
      </c>
      <c r="D2287" s="540">
        <v>3.24</v>
      </c>
    </row>
    <row r="2288" spans="1:4" ht="15" x14ac:dyDescent="0.25">
      <c r="A2288" s="304">
        <v>936</v>
      </c>
      <c r="B2288" s="304" t="s">
        <v>7843</v>
      </c>
      <c r="C2288" s="304" t="s">
        <v>5575</v>
      </c>
      <c r="D2288" s="540">
        <v>0.98</v>
      </c>
    </row>
    <row r="2289" spans="1:4" ht="15" x14ac:dyDescent="0.25">
      <c r="A2289" s="304">
        <v>935</v>
      </c>
      <c r="B2289" s="304" t="s">
        <v>7844</v>
      </c>
      <c r="C2289" s="304" t="s">
        <v>5575</v>
      </c>
      <c r="D2289" s="540">
        <v>0.75</v>
      </c>
    </row>
    <row r="2290" spans="1:4" ht="15" x14ac:dyDescent="0.25">
      <c r="A2290" s="304">
        <v>406</v>
      </c>
      <c r="B2290" s="304" t="s">
        <v>7845</v>
      </c>
      <c r="C2290" s="304" t="s">
        <v>5555</v>
      </c>
      <c r="D2290" s="540">
        <v>69.45</v>
      </c>
    </row>
    <row r="2291" spans="1:4" ht="15" x14ac:dyDescent="0.25">
      <c r="A2291" s="304">
        <v>42529</v>
      </c>
      <c r="B2291" s="304" t="s">
        <v>7846</v>
      </c>
      <c r="C2291" s="304" t="s">
        <v>5575</v>
      </c>
      <c r="D2291" s="540">
        <v>1.1299999999999999</v>
      </c>
    </row>
    <row r="2292" spans="1:4" ht="15" x14ac:dyDescent="0.25">
      <c r="A2292" s="304">
        <v>39634</v>
      </c>
      <c r="B2292" s="304" t="s">
        <v>7847</v>
      </c>
      <c r="C2292" s="304" t="s">
        <v>5575</v>
      </c>
      <c r="D2292" s="540">
        <v>6.7</v>
      </c>
    </row>
    <row r="2293" spans="1:4" ht="15" x14ac:dyDescent="0.25">
      <c r="A2293" s="304">
        <v>39701</v>
      </c>
      <c r="B2293" s="304" t="s">
        <v>7848</v>
      </c>
      <c r="C2293" s="304" t="s">
        <v>5555</v>
      </c>
      <c r="D2293" s="540">
        <v>71.12</v>
      </c>
    </row>
    <row r="2294" spans="1:4" ht="15" x14ac:dyDescent="0.25">
      <c r="A2294" s="304">
        <v>12815</v>
      </c>
      <c r="B2294" s="304" t="s">
        <v>7849</v>
      </c>
      <c r="C2294" s="304" t="s">
        <v>5555</v>
      </c>
      <c r="D2294" s="540">
        <v>6.87</v>
      </c>
    </row>
    <row r="2295" spans="1:4" ht="15" x14ac:dyDescent="0.25">
      <c r="A2295" s="304">
        <v>407</v>
      </c>
      <c r="B2295" s="304" t="s">
        <v>7850</v>
      </c>
      <c r="C2295" s="304" t="s">
        <v>5626</v>
      </c>
      <c r="D2295" s="540">
        <v>37.6</v>
      </c>
    </row>
    <row r="2296" spans="1:4" ht="15" x14ac:dyDescent="0.25">
      <c r="A2296" s="304">
        <v>39431</v>
      </c>
      <c r="B2296" s="304" t="s">
        <v>7851</v>
      </c>
      <c r="C2296" s="304" t="s">
        <v>5575</v>
      </c>
      <c r="D2296" s="540">
        <v>0.23</v>
      </c>
    </row>
    <row r="2297" spans="1:4" ht="15" x14ac:dyDescent="0.25">
      <c r="A2297" s="304">
        <v>39432</v>
      </c>
      <c r="B2297" s="304" t="s">
        <v>7852</v>
      </c>
      <c r="C2297" s="304" t="s">
        <v>5575</v>
      </c>
      <c r="D2297" s="540">
        <v>3.01</v>
      </c>
    </row>
    <row r="2298" spans="1:4" ht="15" x14ac:dyDescent="0.25">
      <c r="A2298" s="304">
        <v>20111</v>
      </c>
      <c r="B2298" s="304" t="s">
        <v>7853</v>
      </c>
      <c r="C2298" s="304" t="s">
        <v>5555</v>
      </c>
      <c r="D2298" s="540">
        <v>8.7899999999999991</v>
      </c>
    </row>
    <row r="2299" spans="1:4" ht="15" x14ac:dyDescent="0.25">
      <c r="A2299" s="304">
        <v>21127</v>
      </c>
      <c r="B2299" s="304" t="s">
        <v>7854</v>
      </c>
      <c r="C2299" s="304" t="s">
        <v>5555</v>
      </c>
      <c r="D2299" s="540">
        <v>3.32</v>
      </c>
    </row>
    <row r="2300" spans="1:4" ht="15" x14ac:dyDescent="0.25">
      <c r="A2300" s="304">
        <v>404</v>
      </c>
      <c r="B2300" s="304" t="s">
        <v>7855</v>
      </c>
      <c r="C2300" s="304" t="s">
        <v>5575</v>
      </c>
      <c r="D2300" s="540">
        <v>1.19</v>
      </c>
    </row>
    <row r="2301" spans="1:4" ht="15" x14ac:dyDescent="0.25">
      <c r="A2301" s="304">
        <v>14151</v>
      </c>
      <c r="B2301" s="304" t="s">
        <v>7856</v>
      </c>
      <c r="C2301" s="304" t="s">
        <v>5555</v>
      </c>
      <c r="D2301" s="540">
        <v>32.340000000000003</v>
      </c>
    </row>
    <row r="2302" spans="1:4" ht="15" x14ac:dyDescent="0.25">
      <c r="A2302" s="304">
        <v>14153</v>
      </c>
      <c r="B2302" s="304" t="s">
        <v>7857</v>
      </c>
      <c r="C2302" s="304" t="s">
        <v>5555</v>
      </c>
      <c r="D2302" s="540">
        <v>36.56</v>
      </c>
    </row>
    <row r="2303" spans="1:4" ht="15" x14ac:dyDescent="0.25">
      <c r="A2303" s="304">
        <v>14152</v>
      </c>
      <c r="B2303" s="304" t="s">
        <v>7858</v>
      </c>
      <c r="C2303" s="304" t="s">
        <v>5555</v>
      </c>
      <c r="D2303" s="540">
        <v>28.06</v>
      </c>
    </row>
    <row r="2304" spans="1:4" ht="15" x14ac:dyDescent="0.25">
      <c r="A2304" s="304">
        <v>14154</v>
      </c>
      <c r="B2304" s="304" t="s">
        <v>7859</v>
      </c>
      <c r="C2304" s="304" t="s">
        <v>5555</v>
      </c>
      <c r="D2304" s="540">
        <v>98.24</v>
      </c>
    </row>
    <row r="2305" spans="1:4" ht="15" x14ac:dyDescent="0.25">
      <c r="A2305" s="304">
        <v>42015</v>
      </c>
      <c r="B2305" s="304" t="s">
        <v>7860</v>
      </c>
      <c r="C2305" s="304" t="s">
        <v>5575</v>
      </c>
      <c r="D2305" s="540">
        <v>0.08</v>
      </c>
    </row>
    <row r="2306" spans="1:4" ht="15" x14ac:dyDescent="0.25">
      <c r="A2306" s="304">
        <v>3146</v>
      </c>
      <c r="B2306" s="304" t="s">
        <v>7861</v>
      </c>
      <c r="C2306" s="304" t="s">
        <v>5555</v>
      </c>
      <c r="D2306" s="540">
        <v>3.44</v>
      </c>
    </row>
    <row r="2307" spans="1:4" ht="15" x14ac:dyDescent="0.25">
      <c r="A2307" s="304">
        <v>3143</v>
      </c>
      <c r="B2307" s="304" t="s">
        <v>7862</v>
      </c>
      <c r="C2307" s="304" t="s">
        <v>5555</v>
      </c>
      <c r="D2307" s="540">
        <v>7.82</v>
      </c>
    </row>
    <row r="2308" spans="1:4" ht="15" x14ac:dyDescent="0.25">
      <c r="A2308" s="304">
        <v>3148</v>
      </c>
      <c r="B2308" s="304" t="s">
        <v>7863</v>
      </c>
      <c r="C2308" s="304" t="s">
        <v>5555</v>
      </c>
      <c r="D2308" s="540">
        <v>12.68</v>
      </c>
    </row>
    <row r="2309" spans="1:4" ht="15" x14ac:dyDescent="0.25">
      <c r="A2309" s="304">
        <v>4310</v>
      </c>
      <c r="B2309" s="304" t="s">
        <v>7864</v>
      </c>
      <c r="C2309" s="304" t="s">
        <v>5555</v>
      </c>
      <c r="D2309" s="540">
        <v>1.66</v>
      </c>
    </row>
    <row r="2310" spans="1:4" ht="15" x14ac:dyDescent="0.25">
      <c r="A2310" s="304">
        <v>4311</v>
      </c>
      <c r="B2310" s="304" t="s">
        <v>7865</v>
      </c>
      <c r="C2310" s="304" t="s">
        <v>5555</v>
      </c>
      <c r="D2310" s="540">
        <v>1.17</v>
      </c>
    </row>
    <row r="2311" spans="1:4" ht="15" x14ac:dyDescent="0.25">
      <c r="A2311" s="304">
        <v>4312</v>
      </c>
      <c r="B2311" s="304" t="s">
        <v>7866</v>
      </c>
      <c r="C2311" s="304" t="s">
        <v>5555</v>
      </c>
      <c r="D2311" s="540">
        <v>1.64</v>
      </c>
    </row>
    <row r="2312" spans="1:4" ht="15" x14ac:dyDescent="0.25">
      <c r="A2312" s="304">
        <v>11162</v>
      </c>
      <c r="B2312" s="304" t="s">
        <v>7867</v>
      </c>
      <c r="C2312" s="304" t="s">
        <v>5555</v>
      </c>
      <c r="D2312" s="540">
        <v>1.87</v>
      </c>
    </row>
    <row r="2313" spans="1:4" ht="15" x14ac:dyDescent="0.25">
      <c r="A2313" s="304">
        <v>13261</v>
      </c>
      <c r="B2313" s="304" t="s">
        <v>7868</v>
      </c>
      <c r="C2313" s="304" t="s">
        <v>5555</v>
      </c>
      <c r="D2313" s="540">
        <v>1.42</v>
      </c>
    </row>
    <row r="2314" spans="1:4" ht="15" x14ac:dyDescent="0.25">
      <c r="A2314" s="304">
        <v>3255</v>
      </c>
      <c r="B2314" s="304" t="s">
        <v>7869</v>
      </c>
      <c r="C2314" s="304" t="s">
        <v>5555</v>
      </c>
      <c r="D2314" s="540">
        <v>6.14</v>
      </c>
    </row>
    <row r="2315" spans="1:4" ht="15" x14ac:dyDescent="0.25">
      <c r="A2315" s="304">
        <v>3254</v>
      </c>
      <c r="B2315" s="304" t="s">
        <v>7870</v>
      </c>
      <c r="C2315" s="304" t="s">
        <v>5555</v>
      </c>
      <c r="D2315" s="540">
        <v>99.75</v>
      </c>
    </row>
    <row r="2316" spans="1:4" ht="15" x14ac:dyDescent="0.25">
      <c r="A2316" s="304">
        <v>3259</v>
      </c>
      <c r="B2316" s="304" t="s">
        <v>7871</v>
      </c>
      <c r="C2316" s="304" t="s">
        <v>5555</v>
      </c>
      <c r="D2316" s="540">
        <v>11.99</v>
      </c>
    </row>
    <row r="2317" spans="1:4" ht="15" x14ac:dyDescent="0.25">
      <c r="A2317" s="304">
        <v>3258</v>
      </c>
      <c r="B2317" s="304" t="s">
        <v>7872</v>
      </c>
      <c r="C2317" s="304" t="s">
        <v>5555</v>
      </c>
      <c r="D2317" s="540">
        <v>7.24</v>
      </c>
    </row>
    <row r="2318" spans="1:4" ht="15" x14ac:dyDescent="0.25">
      <c r="A2318" s="304">
        <v>3251</v>
      </c>
      <c r="B2318" s="304" t="s">
        <v>7873</v>
      </c>
      <c r="C2318" s="304" t="s">
        <v>5555</v>
      </c>
      <c r="D2318" s="540">
        <v>4.2699999999999996</v>
      </c>
    </row>
    <row r="2319" spans="1:4" ht="15" x14ac:dyDescent="0.25">
      <c r="A2319" s="304">
        <v>3256</v>
      </c>
      <c r="B2319" s="304" t="s">
        <v>7874</v>
      </c>
      <c r="C2319" s="304" t="s">
        <v>5555</v>
      </c>
      <c r="D2319" s="540">
        <v>8.09</v>
      </c>
    </row>
    <row r="2320" spans="1:4" ht="15" x14ac:dyDescent="0.25">
      <c r="A2320" s="304">
        <v>3261</v>
      </c>
      <c r="B2320" s="304" t="s">
        <v>7875</v>
      </c>
      <c r="C2320" s="304" t="s">
        <v>5555</v>
      </c>
      <c r="D2320" s="540">
        <v>88.22</v>
      </c>
    </row>
    <row r="2321" spans="1:4" ht="15" x14ac:dyDescent="0.25">
      <c r="A2321" s="304">
        <v>3260</v>
      </c>
      <c r="B2321" s="304" t="s">
        <v>7876</v>
      </c>
      <c r="C2321" s="304" t="s">
        <v>5555</v>
      </c>
      <c r="D2321" s="540">
        <v>15.15</v>
      </c>
    </row>
    <row r="2322" spans="1:4" ht="15" x14ac:dyDescent="0.25">
      <c r="A2322" s="304">
        <v>3272</v>
      </c>
      <c r="B2322" s="304" t="s">
        <v>7877</v>
      </c>
      <c r="C2322" s="304" t="s">
        <v>5555</v>
      </c>
      <c r="D2322" s="540">
        <v>28.32</v>
      </c>
    </row>
    <row r="2323" spans="1:4" ht="15" x14ac:dyDescent="0.25">
      <c r="A2323" s="304">
        <v>3265</v>
      </c>
      <c r="B2323" s="304" t="s">
        <v>7878</v>
      </c>
      <c r="C2323" s="304" t="s">
        <v>5555</v>
      </c>
      <c r="D2323" s="540">
        <v>22.5</v>
      </c>
    </row>
    <row r="2324" spans="1:4" ht="15" x14ac:dyDescent="0.25">
      <c r="A2324" s="304">
        <v>3262</v>
      </c>
      <c r="B2324" s="304" t="s">
        <v>7879</v>
      </c>
      <c r="C2324" s="304" t="s">
        <v>5555</v>
      </c>
      <c r="D2324" s="540">
        <v>9.85</v>
      </c>
    </row>
    <row r="2325" spans="1:4" ht="15" x14ac:dyDescent="0.25">
      <c r="A2325" s="304">
        <v>3264</v>
      </c>
      <c r="B2325" s="304" t="s">
        <v>7880</v>
      </c>
      <c r="C2325" s="304" t="s">
        <v>5555</v>
      </c>
      <c r="D2325" s="540">
        <v>16.18</v>
      </c>
    </row>
    <row r="2326" spans="1:4" ht="15" x14ac:dyDescent="0.25">
      <c r="A2326" s="304">
        <v>3267</v>
      </c>
      <c r="B2326" s="304" t="s">
        <v>7881</v>
      </c>
      <c r="C2326" s="304" t="s">
        <v>5555</v>
      </c>
      <c r="D2326" s="540">
        <v>52.85</v>
      </c>
    </row>
    <row r="2327" spans="1:4" ht="15" x14ac:dyDescent="0.25">
      <c r="A2327" s="304">
        <v>3266</v>
      </c>
      <c r="B2327" s="304" t="s">
        <v>7882</v>
      </c>
      <c r="C2327" s="304" t="s">
        <v>5555</v>
      </c>
      <c r="D2327" s="540">
        <v>33.619999999999997</v>
      </c>
    </row>
    <row r="2328" spans="1:4" ht="15" x14ac:dyDescent="0.25">
      <c r="A2328" s="304">
        <v>3263</v>
      </c>
      <c r="B2328" s="304" t="s">
        <v>7883</v>
      </c>
      <c r="C2328" s="304" t="s">
        <v>5555</v>
      </c>
      <c r="D2328" s="540">
        <v>13.45</v>
      </c>
    </row>
    <row r="2329" spans="1:4" ht="15" x14ac:dyDescent="0.25">
      <c r="A2329" s="304">
        <v>3268</v>
      </c>
      <c r="B2329" s="304" t="s">
        <v>7884</v>
      </c>
      <c r="C2329" s="304" t="s">
        <v>5555</v>
      </c>
      <c r="D2329" s="540">
        <v>71.45</v>
      </c>
    </row>
    <row r="2330" spans="1:4" ht="15" x14ac:dyDescent="0.25">
      <c r="A2330" s="304">
        <v>3271</v>
      </c>
      <c r="B2330" s="304" t="s">
        <v>7885</v>
      </c>
      <c r="C2330" s="304" t="s">
        <v>5555</v>
      </c>
      <c r="D2330" s="540">
        <v>105.63</v>
      </c>
    </row>
    <row r="2331" spans="1:4" ht="15" x14ac:dyDescent="0.25">
      <c r="A2331" s="304">
        <v>3270</v>
      </c>
      <c r="B2331" s="304" t="s">
        <v>7886</v>
      </c>
      <c r="C2331" s="304" t="s">
        <v>5555</v>
      </c>
      <c r="D2331" s="540">
        <v>177.47</v>
      </c>
    </row>
    <row r="2332" spans="1:4" ht="15" x14ac:dyDescent="0.25">
      <c r="A2332" s="304">
        <v>3275</v>
      </c>
      <c r="B2332" s="304" t="s">
        <v>7887</v>
      </c>
      <c r="C2332" s="304" t="s">
        <v>5564</v>
      </c>
      <c r="D2332" s="540">
        <v>69.92</v>
      </c>
    </row>
    <row r="2333" spans="1:4" ht="15" x14ac:dyDescent="0.25">
      <c r="A2333" s="304">
        <v>39512</v>
      </c>
      <c r="B2333" s="304" t="s">
        <v>7888</v>
      </c>
      <c r="C2333" s="304" t="s">
        <v>5564</v>
      </c>
      <c r="D2333" s="540">
        <v>70.17</v>
      </c>
    </row>
    <row r="2334" spans="1:4" ht="15" x14ac:dyDescent="0.25">
      <c r="A2334" s="304">
        <v>39511</v>
      </c>
      <c r="B2334" s="304" t="s">
        <v>7889</v>
      </c>
      <c r="C2334" s="304" t="s">
        <v>5564</v>
      </c>
      <c r="D2334" s="540">
        <v>76.540000000000006</v>
      </c>
    </row>
    <row r="2335" spans="1:4" ht="15" x14ac:dyDescent="0.25">
      <c r="A2335" s="304">
        <v>39513</v>
      </c>
      <c r="B2335" s="304" t="s">
        <v>7890</v>
      </c>
      <c r="C2335" s="304" t="s">
        <v>5564</v>
      </c>
      <c r="D2335" s="540">
        <v>82.09</v>
      </c>
    </row>
    <row r="2336" spans="1:4" ht="15" x14ac:dyDescent="0.25">
      <c r="A2336" s="304">
        <v>3286</v>
      </c>
      <c r="B2336" s="304" t="s">
        <v>7891</v>
      </c>
      <c r="C2336" s="304" t="s">
        <v>5564</v>
      </c>
      <c r="D2336" s="540">
        <v>44.73</v>
      </c>
    </row>
    <row r="2337" spans="1:4" ht="15" x14ac:dyDescent="0.25">
      <c r="A2337" s="304">
        <v>3287</v>
      </c>
      <c r="B2337" s="304" t="s">
        <v>7892</v>
      </c>
      <c r="C2337" s="304" t="s">
        <v>5564</v>
      </c>
      <c r="D2337" s="540">
        <v>67.599999999999994</v>
      </c>
    </row>
    <row r="2338" spans="1:4" ht="15" x14ac:dyDescent="0.25">
      <c r="A2338" s="304">
        <v>3283</v>
      </c>
      <c r="B2338" s="304" t="s">
        <v>7893</v>
      </c>
      <c r="C2338" s="304" t="s">
        <v>5564</v>
      </c>
      <c r="D2338" s="540">
        <v>14.2</v>
      </c>
    </row>
    <row r="2339" spans="1:4" ht="15" x14ac:dyDescent="0.25">
      <c r="A2339" s="304">
        <v>11587</v>
      </c>
      <c r="B2339" s="304" t="s">
        <v>7894</v>
      </c>
      <c r="C2339" s="304" t="s">
        <v>5564</v>
      </c>
      <c r="D2339" s="540">
        <v>47.94</v>
      </c>
    </row>
    <row r="2340" spans="1:4" ht="15" x14ac:dyDescent="0.25">
      <c r="A2340" s="304">
        <v>36225</v>
      </c>
      <c r="B2340" s="304" t="s">
        <v>7895</v>
      </c>
      <c r="C2340" s="304" t="s">
        <v>5564</v>
      </c>
      <c r="D2340" s="540">
        <v>19.47</v>
      </c>
    </row>
    <row r="2341" spans="1:4" ht="15" x14ac:dyDescent="0.25">
      <c r="A2341" s="304">
        <v>36230</v>
      </c>
      <c r="B2341" s="304" t="s">
        <v>7896</v>
      </c>
      <c r="C2341" s="304" t="s">
        <v>5564</v>
      </c>
      <c r="D2341" s="540">
        <v>14.31</v>
      </c>
    </row>
    <row r="2342" spans="1:4" ht="15" x14ac:dyDescent="0.25">
      <c r="A2342" s="304">
        <v>36238</v>
      </c>
      <c r="B2342" s="304" t="s">
        <v>7897</v>
      </c>
      <c r="C2342" s="304" t="s">
        <v>5564</v>
      </c>
      <c r="D2342" s="540">
        <v>13.98</v>
      </c>
    </row>
    <row r="2343" spans="1:4" ht="15" x14ac:dyDescent="0.25">
      <c r="A2343" s="304">
        <v>11887</v>
      </c>
      <c r="B2343" s="304" t="s">
        <v>7898</v>
      </c>
      <c r="C2343" s="304" t="s">
        <v>5555</v>
      </c>
      <c r="D2343" s="541">
        <v>3268.34</v>
      </c>
    </row>
    <row r="2344" spans="1:4" ht="15" x14ac:dyDescent="0.25">
      <c r="A2344" s="304">
        <v>11883</v>
      </c>
      <c r="B2344" s="304" t="s">
        <v>7899</v>
      </c>
      <c r="C2344" s="304" t="s">
        <v>5555</v>
      </c>
      <c r="D2344" s="541">
        <v>4805.04</v>
      </c>
    </row>
    <row r="2345" spans="1:4" ht="15" x14ac:dyDescent="0.25">
      <c r="A2345" s="304">
        <v>11884</v>
      </c>
      <c r="B2345" s="304" t="s">
        <v>7900</v>
      </c>
      <c r="C2345" s="304" t="s">
        <v>5555</v>
      </c>
      <c r="D2345" s="541">
        <v>5155.38</v>
      </c>
    </row>
    <row r="2346" spans="1:4" ht="15" x14ac:dyDescent="0.25">
      <c r="A2346" s="304">
        <v>11885</v>
      </c>
      <c r="B2346" s="304" t="s">
        <v>7901</v>
      </c>
      <c r="C2346" s="304" t="s">
        <v>5555</v>
      </c>
      <c r="D2346" s="541">
        <v>5750</v>
      </c>
    </row>
    <row r="2347" spans="1:4" ht="15" x14ac:dyDescent="0.25">
      <c r="A2347" s="304">
        <v>11886</v>
      </c>
      <c r="B2347" s="304" t="s">
        <v>7902</v>
      </c>
      <c r="C2347" s="304" t="s">
        <v>5555</v>
      </c>
      <c r="D2347" s="541">
        <v>1853.21</v>
      </c>
    </row>
    <row r="2348" spans="1:4" ht="15" x14ac:dyDescent="0.25">
      <c r="A2348" s="304">
        <v>11888</v>
      </c>
      <c r="B2348" s="304" t="s">
        <v>7903</v>
      </c>
      <c r="C2348" s="304" t="s">
        <v>5555</v>
      </c>
      <c r="D2348" s="541">
        <v>4352.0600000000004</v>
      </c>
    </row>
    <row r="2349" spans="1:4" ht="15" x14ac:dyDescent="0.25">
      <c r="A2349" s="304">
        <v>3277</v>
      </c>
      <c r="B2349" s="304" t="s">
        <v>7904</v>
      </c>
      <c r="C2349" s="304" t="s">
        <v>5555</v>
      </c>
      <c r="D2349" s="540">
        <v>733.94</v>
      </c>
    </row>
    <row r="2350" spans="1:4" ht="15" x14ac:dyDescent="0.25">
      <c r="A2350" s="304">
        <v>3281</v>
      </c>
      <c r="B2350" s="304" t="s">
        <v>7905</v>
      </c>
      <c r="C2350" s="304" t="s">
        <v>5555</v>
      </c>
      <c r="D2350" s="540">
        <v>607.79</v>
      </c>
    </row>
    <row r="2351" spans="1:4" ht="15" x14ac:dyDescent="0.25">
      <c r="A2351" s="304">
        <v>39363</v>
      </c>
      <c r="B2351" s="304" t="s">
        <v>7906</v>
      </c>
      <c r="C2351" s="304" t="s">
        <v>5555</v>
      </c>
      <c r="D2351" s="541">
        <v>3624.73</v>
      </c>
    </row>
    <row r="2352" spans="1:4" ht="15" x14ac:dyDescent="0.25">
      <c r="A2352" s="304">
        <v>39361</v>
      </c>
      <c r="B2352" s="304" t="s">
        <v>7907</v>
      </c>
      <c r="C2352" s="304" t="s">
        <v>5555</v>
      </c>
      <c r="D2352" s="540">
        <v>932.07</v>
      </c>
    </row>
    <row r="2353" spans="1:4" ht="15" x14ac:dyDescent="0.25">
      <c r="A2353" s="304">
        <v>39362</v>
      </c>
      <c r="B2353" s="304" t="s">
        <v>7908</v>
      </c>
      <c r="C2353" s="304" t="s">
        <v>5555</v>
      </c>
      <c r="D2353" s="541">
        <v>2868.22</v>
      </c>
    </row>
    <row r="2354" spans="1:4" ht="15" x14ac:dyDescent="0.25">
      <c r="A2354" s="304">
        <v>39364</v>
      </c>
      <c r="B2354" s="304" t="s">
        <v>7909</v>
      </c>
      <c r="C2354" s="304" t="s">
        <v>5555</v>
      </c>
      <c r="D2354" s="541">
        <v>8285.09</v>
      </c>
    </row>
    <row r="2355" spans="1:4" ht="15" x14ac:dyDescent="0.25">
      <c r="A2355" s="304">
        <v>14576</v>
      </c>
      <c r="B2355" s="304" t="s">
        <v>7910</v>
      </c>
      <c r="C2355" s="304" t="s">
        <v>5555</v>
      </c>
      <c r="D2355" s="541">
        <v>4350514.57</v>
      </c>
    </row>
    <row r="2356" spans="1:4" ht="15" x14ac:dyDescent="0.25">
      <c r="A2356" s="304">
        <v>13877</v>
      </c>
      <c r="B2356" s="304" t="s">
        <v>7911</v>
      </c>
      <c r="C2356" s="304" t="s">
        <v>5555</v>
      </c>
      <c r="D2356" s="541">
        <v>1862390.4</v>
      </c>
    </row>
    <row r="2357" spans="1:4" ht="15" x14ac:dyDescent="0.25">
      <c r="A2357" s="304">
        <v>7307</v>
      </c>
      <c r="B2357" s="304" t="s">
        <v>7912</v>
      </c>
      <c r="C2357" s="304" t="s">
        <v>5628</v>
      </c>
      <c r="D2357" s="540">
        <v>20.48</v>
      </c>
    </row>
    <row r="2358" spans="1:4" ht="15" x14ac:dyDescent="0.25">
      <c r="A2358" s="304">
        <v>38122</v>
      </c>
      <c r="B2358" s="304" t="s">
        <v>7913</v>
      </c>
      <c r="C2358" s="304" t="s">
        <v>5628</v>
      </c>
      <c r="D2358" s="540">
        <v>8.56</v>
      </c>
    </row>
    <row r="2359" spans="1:4" ht="15" x14ac:dyDescent="0.25">
      <c r="A2359" s="304">
        <v>6086</v>
      </c>
      <c r="B2359" s="304" t="s">
        <v>7914</v>
      </c>
      <c r="C2359" s="304" t="s">
        <v>7915</v>
      </c>
      <c r="D2359" s="540">
        <v>64.150000000000006</v>
      </c>
    </row>
    <row r="2360" spans="1:4" ht="15" x14ac:dyDescent="0.25">
      <c r="A2360" s="304">
        <v>38633</v>
      </c>
      <c r="B2360" s="304" t="s">
        <v>7916</v>
      </c>
      <c r="C2360" s="304" t="s">
        <v>5555</v>
      </c>
      <c r="D2360" s="540">
        <v>17.59</v>
      </c>
    </row>
    <row r="2361" spans="1:4" ht="15" x14ac:dyDescent="0.25">
      <c r="A2361" s="304">
        <v>12344</v>
      </c>
      <c r="B2361" s="304" t="s">
        <v>7917</v>
      </c>
      <c r="C2361" s="304" t="s">
        <v>5555</v>
      </c>
      <c r="D2361" s="540">
        <v>2.4300000000000002</v>
      </c>
    </row>
    <row r="2362" spans="1:4" ht="15" x14ac:dyDescent="0.25">
      <c r="A2362" s="304">
        <v>12343</v>
      </c>
      <c r="B2362" s="304" t="s">
        <v>7918</v>
      </c>
      <c r="C2362" s="304" t="s">
        <v>5555</v>
      </c>
      <c r="D2362" s="540">
        <v>3.76</v>
      </c>
    </row>
    <row r="2363" spans="1:4" ht="15" x14ac:dyDescent="0.25">
      <c r="A2363" s="304">
        <v>3295</v>
      </c>
      <c r="B2363" s="304" t="s">
        <v>7919</v>
      </c>
      <c r="C2363" s="304" t="s">
        <v>5555</v>
      </c>
      <c r="D2363" s="540">
        <v>13.15</v>
      </c>
    </row>
    <row r="2364" spans="1:4" ht="15" x14ac:dyDescent="0.25">
      <c r="A2364" s="304">
        <v>3302</v>
      </c>
      <c r="B2364" s="304" t="s">
        <v>7920</v>
      </c>
      <c r="C2364" s="304" t="s">
        <v>5555</v>
      </c>
      <c r="D2364" s="540">
        <v>13.75</v>
      </c>
    </row>
    <row r="2365" spans="1:4" ht="15" x14ac:dyDescent="0.25">
      <c r="A2365" s="304">
        <v>3297</v>
      </c>
      <c r="B2365" s="304" t="s">
        <v>7921</v>
      </c>
      <c r="C2365" s="304" t="s">
        <v>5555</v>
      </c>
      <c r="D2365" s="540">
        <v>14.68</v>
      </c>
    </row>
    <row r="2366" spans="1:4" ht="15" x14ac:dyDescent="0.25">
      <c r="A2366" s="304">
        <v>3294</v>
      </c>
      <c r="B2366" s="304" t="s">
        <v>7922</v>
      </c>
      <c r="C2366" s="304" t="s">
        <v>5555</v>
      </c>
      <c r="D2366" s="540">
        <v>14.9</v>
      </c>
    </row>
    <row r="2367" spans="1:4" ht="15" x14ac:dyDescent="0.25">
      <c r="A2367" s="304">
        <v>3292</v>
      </c>
      <c r="B2367" s="304" t="s">
        <v>7923</v>
      </c>
      <c r="C2367" s="304" t="s">
        <v>5555</v>
      </c>
      <c r="D2367" s="540">
        <v>14</v>
      </c>
    </row>
    <row r="2368" spans="1:4" ht="15" x14ac:dyDescent="0.25">
      <c r="A2368" s="304">
        <v>3298</v>
      </c>
      <c r="B2368" s="304" t="s">
        <v>7924</v>
      </c>
      <c r="C2368" s="304" t="s">
        <v>5555</v>
      </c>
      <c r="D2368" s="540">
        <v>32.81</v>
      </c>
    </row>
    <row r="2369" spans="1:4" ht="15" x14ac:dyDescent="0.25">
      <c r="A2369" s="304">
        <v>11596</v>
      </c>
      <c r="B2369" s="304" t="s">
        <v>7925</v>
      </c>
      <c r="C2369" s="304" t="s">
        <v>5555</v>
      </c>
      <c r="D2369" s="540">
        <v>427.37</v>
      </c>
    </row>
    <row r="2370" spans="1:4" ht="15" x14ac:dyDescent="0.25">
      <c r="A2370" s="304">
        <v>34802</v>
      </c>
      <c r="B2370" s="304" t="s">
        <v>7926</v>
      </c>
      <c r="C2370" s="304" t="s">
        <v>5555</v>
      </c>
      <c r="D2370" s="541">
        <v>1173.69</v>
      </c>
    </row>
    <row r="2371" spans="1:4" ht="15" x14ac:dyDescent="0.25">
      <c r="A2371" s="304">
        <v>11588</v>
      </c>
      <c r="B2371" s="304" t="s">
        <v>7927</v>
      </c>
      <c r="C2371" s="304" t="s">
        <v>5555</v>
      </c>
      <c r="D2371" s="541">
        <v>1266.23</v>
      </c>
    </row>
    <row r="2372" spans="1:4" ht="15" x14ac:dyDescent="0.25">
      <c r="A2372" s="304">
        <v>34383</v>
      </c>
      <c r="B2372" s="304" t="s">
        <v>7928</v>
      </c>
      <c r="C2372" s="304" t="s">
        <v>5555</v>
      </c>
      <c r="D2372" s="541">
        <v>1392.94</v>
      </c>
    </row>
    <row r="2373" spans="1:4" ht="15" x14ac:dyDescent="0.25">
      <c r="A2373" s="304">
        <v>40451</v>
      </c>
      <c r="B2373" s="304" t="s">
        <v>7929</v>
      </c>
      <c r="C2373" s="304" t="s">
        <v>5564</v>
      </c>
      <c r="D2373" s="540">
        <v>112.6</v>
      </c>
    </row>
    <row r="2374" spans="1:4" ht="15" x14ac:dyDescent="0.25">
      <c r="A2374" s="304">
        <v>40453</v>
      </c>
      <c r="B2374" s="304" t="s">
        <v>7930</v>
      </c>
      <c r="C2374" s="304" t="s">
        <v>5564</v>
      </c>
      <c r="D2374" s="540">
        <v>121.83</v>
      </c>
    </row>
    <row r="2375" spans="1:4" ht="15" x14ac:dyDescent="0.25">
      <c r="A2375" s="304">
        <v>40452</v>
      </c>
      <c r="B2375" s="304" t="s">
        <v>7931</v>
      </c>
      <c r="C2375" s="304" t="s">
        <v>5564</v>
      </c>
      <c r="D2375" s="540">
        <v>133.63</v>
      </c>
    </row>
    <row r="2376" spans="1:4" ht="15" x14ac:dyDescent="0.25">
      <c r="A2376" s="304">
        <v>11594</v>
      </c>
      <c r="B2376" s="304" t="s">
        <v>7932</v>
      </c>
      <c r="C2376" s="304" t="s">
        <v>5555</v>
      </c>
      <c r="D2376" s="540">
        <v>403.58</v>
      </c>
    </row>
    <row r="2377" spans="1:4" ht="15" x14ac:dyDescent="0.25">
      <c r="A2377" s="304">
        <v>3311</v>
      </c>
      <c r="B2377" s="304" t="s">
        <v>7933</v>
      </c>
      <c r="C2377" s="304" t="s">
        <v>5751</v>
      </c>
      <c r="D2377" s="540">
        <v>403.58</v>
      </c>
    </row>
    <row r="2378" spans="1:4" ht="15" x14ac:dyDescent="0.25">
      <c r="A2378" s="304">
        <v>11599</v>
      </c>
      <c r="B2378" s="304" t="s">
        <v>7934</v>
      </c>
      <c r="C2378" s="304" t="s">
        <v>5555</v>
      </c>
      <c r="D2378" s="540">
        <v>536.72</v>
      </c>
    </row>
    <row r="2379" spans="1:4" ht="15" x14ac:dyDescent="0.25">
      <c r="A2379" s="304">
        <v>11593</v>
      </c>
      <c r="B2379" s="304" t="s">
        <v>7935</v>
      </c>
      <c r="C2379" s="304" t="s">
        <v>5555</v>
      </c>
      <c r="D2379" s="540">
        <v>752.44</v>
      </c>
    </row>
    <row r="2380" spans="1:4" ht="15" x14ac:dyDescent="0.25">
      <c r="A2380" s="304">
        <v>3314</v>
      </c>
      <c r="B2380" s="304" t="s">
        <v>7936</v>
      </c>
      <c r="C2380" s="304" t="s">
        <v>5751</v>
      </c>
      <c r="D2380" s="540">
        <v>538.15</v>
      </c>
    </row>
    <row r="2381" spans="1:4" ht="15" x14ac:dyDescent="0.25">
      <c r="A2381" s="304">
        <v>11597</v>
      </c>
      <c r="B2381" s="304" t="s">
        <v>7937</v>
      </c>
      <c r="C2381" s="304" t="s">
        <v>5555</v>
      </c>
      <c r="D2381" s="540">
        <v>625.79999999999995</v>
      </c>
    </row>
    <row r="2382" spans="1:4" ht="15" x14ac:dyDescent="0.25">
      <c r="A2382" s="304">
        <v>3309</v>
      </c>
      <c r="B2382" s="304" t="s">
        <v>7938</v>
      </c>
      <c r="C2382" s="304" t="s">
        <v>5751</v>
      </c>
      <c r="D2382" s="540">
        <v>427.37</v>
      </c>
    </row>
    <row r="2383" spans="1:4" ht="15" x14ac:dyDescent="0.25">
      <c r="A2383" s="304">
        <v>34612</v>
      </c>
      <c r="B2383" s="304" t="s">
        <v>7939</v>
      </c>
      <c r="C2383" s="304" t="s">
        <v>5555</v>
      </c>
      <c r="D2383" s="540">
        <v>774.01</v>
      </c>
    </row>
    <row r="2384" spans="1:4" ht="15" x14ac:dyDescent="0.25">
      <c r="A2384" s="304">
        <v>34635</v>
      </c>
      <c r="B2384" s="304" t="s">
        <v>7940</v>
      </c>
      <c r="C2384" s="304" t="s">
        <v>5555</v>
      </c>
      <c r="D2384" s="540">
        <v>995.34</v>
      </c>
    </row>
    <row r="2385" spans="1:4" ht="15" x14ac:dyDescent="0.25">
      <c r="A2385" s="304">
        <v>34633</v>
      </c>
      <c r="B2385" s="304" t="s">
        <v>7941</v>
      </c>
      <c r="C2385" s="304" t="s">
        <v>5555</v>
      </c>
      <c r="D2385" s="541">
        <v>1097.1300000000001</v>
      </c>
    </row>
    <row r="2386" spans="1:4" ht="15" x14ac:dyDescent="0.25">
      <c r="A2386" s="304">
        <v>40440</v>
      </c>
      <c r="B2386" s="304" t="s">
        <v>7942</v>
      </c>
      <c r="C2386" s="304" t="s">
        <v>5751</v>
      </c>
      <c r="D2386" s="540">
        <v>560.54</v>
      </c>
    </row>
    <row r="2387" spans="1:4" ht="15" x14ac:dyDescent="0.25">
      <c r="A2387" s="304">
        <v>40441</v>
      </c>
      <c r="B2387" s="304" t="s">
        <v>7943</v>
      </c>
      <c r="C2387" s="304" t="s">
        <v>5751</v>
      </c>
      <c r="D2387" s="540">
        <v>357.87</v>
      </c>
    </row>
    <row r="2388" spans="1:4" ht="15" x14ac:dyDescent="0.25">
      <c r="A2388" s="304">
        <v>40449</v>
      </c>
      <c r="B2388" s="304" t="s">
        <v>7944</v>
      </c>
      <c r="C2388" s="304" t="s">
        <v>5751</v>
      </c>
      <c r="D2388" s="540">
        <v>300.85000000000002</v>
      </c>
    </row>
    <row r="2389" spans="1:4" ht="15" x14ac:dyDescent="0.25">
      <c r="A2389" s="304">
        <v>34800</v>
      </c>
      <c r="B2389" s="304" t="s">
        <v>7945</v>
      </c>
      <c r="C2389" s="304" t="s">
        <v>5751</v>
      </c>
      <c r="D2389" s="540">
        <v>376.22</v>
      </c>
    </row>
    <row r="2390" spans="1:4" ht="15" x14ac:dyDescent="0.25">
      <c r="A2390" s="304">
        <v>11592</v>
      </c>
      <c r="B2390" s="304" t="s">
        <v>7946</v>
      </c>
      <c r="C2390" s="304" t="s">
        <v>5555</v>
      </c>
      <c r="D2390" s="540">
        <v>538.15</v>
      </c>
    </row>
    <row r="2391" spans="1:4" ht="15" x14ac:dyDescent="0.25">
      <c r="A2391" s="304">
        <v>40438</v>
      </c>
      <c r="B2391" s="304" t="s">
        <v>7947</v>
      </c>
      <c r="C2391" s="304" t="s">
        <v>5751</v>
      </c>
      <c r="D2391" s="540">
        <v>250.64</v>
      </c>
    </row>
    <row r="2392" spans="1:4" ht="15" x14ac:dyDescent="0.25">
      <c r="A2392" s="304">
        <v>40436</v>
      </c>
      <c r="B2392" s="304" t="s">
        <v>7948</v>
      </c>
      <c r="C2392" s="304" t="s">
        <v>5751</v>
      </c>
      <c r="D2392" s="540">
        <v>312.52999999999997</v>
      </c>
    </row>
    <row r="2393" spans="1:4" ht="15" x14ac:dyDescent="0.25">
      <c r="A2393" s="304">
        <v>4315</v>
      </c>
      <c r="B2393" s="304" t="s">
        <v>7949</v>
      </c>
      <c r="C2393" s="304" t="s">
        <v>5555</v>
      </c>
      <c r="D2393" s="540">
        <v>1.2</v>
      </c>
    </row>
    <row r="2394" spans="1:4" ht="15" x14ac:dyDescent="0.25">
      <c r="A2394" s="304">
        <v>42482</v>
      </c>
      <c r="B2394" s="304" t="s">
        <v>7950</v>
      </c>
      <c r="C2394" s="304" t="s">
        <v>5555</v>
      </c>
      <c r="D2394" s="540">
        <v>1.61</v>
      </c>
    </row>
    <row r="2395" spans="1:4" ht="15" x14ac:dyDescent="0.25">
      <c r="A2395" s="304">
        <v>402</v>
      </c>
      <c r="B2395" s="304" t="s">
        <v>7951</v>
      </c>
      <c r="C2395" s="304" t="s">
        <v>5555</v>
      </c>
      <c r="D2395" s="540">
        <v>11.71</v>
      </c>
    </row>
    <row r="2396" spans="1:4" ht="15" x14ac:dyDescent="0.25">
      <c r="A2396" s="304">
        <v>4226</v>
      </c>
      <c r="B2396" s="304" t="s">
        <v>7952</v>
      </c>
      <c r="C2396" s="304" t="s">
        <v>5626</v>
      </c>
      <c r="D2396" s="540">
        <v>5.98</v>
      </c>
    </row>
    <row r="2397" spans="1:4" ht="15" x14ac:dyDescent="0.25">
      <c r="A2397" s="304">
        <v>4222</v>
      </c>
      <c r="B2397" s="304" t="s">
        <v>7953</v>
      </c>
      <c r="C2397" s="304" t="s">
        <v>5628</v>
      </c>
      <c r="D2397" s="540">
        <v>4.5599999999999996</v>
      </c>
    </row>
    <row r="2398" spans="1:4" ht="15" x14ac:dyDescent="0.25">
      <c r="A2398" s="304">
        <v>34804</v>
      </c>
      <c r="B2398" s="304" t="s">
        <v>7954</v>
      </c>
      <c r="C2398" s="304" t="s">
        <v>5564</v>
      </c>
      <c r="D2398" s="540">
        <v>45.43</v>
      </c>
    </row>
    <row r="2399" spans="1:4" ht="15" x14ac:dyDescent="0.25">
      <c r="A2399" s="304">
        <v>4013</v>
      </c>
      <c r="B2399" s="304" t="s">
        <v>7955</v>
      </c>
      <c r="C2399" s="304" t="s">
        <v>5564</v>
      </c>
      <c r="D2399" s="540">
        <v>5.01</v>
      </c>
    </row>
    <row r="2400" spans="1:4" ht="15" x14ac:dyDescent="0.25">
      <c r="A2400" s="304">
        <v>4011</v>
      </c>
      <c r="B2400" s="304" t="s">
        <v>7956</v>
      </c>
      <c r="C2400" s="304" t="s">
        <v>5564</v>
      </c>
      <c r="D2400" s="540">
        <v>5.6</v>
      </c>
    </row>
    <row r="2401" spans="1:4" ht="15" x14ac:dyDescent="0.25">
      <c r="A2401" s="304">
        <v>4021</v>
      </c>
      <c r="B2401" s="304" t="s">
        <v>7957</v>
      </c>
      <c r="C2401" s="304" t="s">
        <v>5564</v>
      </c>
      <c r="D2401" s="540">
        <v>6.99</v>
      </c>
    </row>
    <row r="2402" spans="1:4" ht="15" x14ac:dyDescent="0.25">
      <c r="A2402" s="304">
        <v>4019</v>
      </c>
      <c r="B2402" s="304" t="s">
        <v>7958</v>
      </c>
      <c r="C2402" s="304" t="s">
        <v>5564</v>
      </c>
      <c r="D2402" s="540">
        <v>8.39</v>
      </c>
    </row>
    <row r="2403" spans="1:4" ht="15" x14ac:dyDescent="0.25">
      <c r="A2403" s="304">
        <v>4012</v>
      </c>
      <c r="B2403" s="304" t="s">
        <v>7959</v>
      </c>
      <c r="C2403" s="304" t="s">
        <v>5564</v>
      </c>
      <c r="D2403" s="540">
        <v>11.24</v>
      </c>
    </row>
    <row r="2404" spans="1:4" ht="15" x14ac:dyDescent="0.25">
      <c r="A2404" s="304">
        <v>4020</v>
      </c>
      <c r="B2404" s="304" t="s">
        <v>7960</v>
      </c>
      <c r="C2404" s="304" t="s">
        <v>5564</v>
      </c>
      <c r="D2404" s="540">
        <v>14.07</v>
      </c>
    </row>
    <row r="2405" spans="1:4" ht="15" x14ac:dyDescent="0.25">
      <c r="A2405" s="304">
        <v>4018</v>
      </c>
      <c r="B2405" s="304" t="s">
        <v>7961</v>
      </c>
      <c r="C2405" s="304" t="s">
        <v>5564</v>
      </c>
      <c r="D2405" s="540">
        <v>16.86</v>
      </c>
    </row>
    <row r="2406" spans="1:4" ht="15" x14ac:dyDescent="0.25">
      <c r="A2406" s="304">
        <v>36498</v>
      </c>
      <c r="B2406" s="304" t="s">
        <v>7962</v>
      </c>
      <c r="C2406" s="304" t="s">
        <v>5555</v>
      </c>
      <c r="D2406" s="541">
        <v>5027.6000000000004</v>
      </c>
    </row>
    <row r="2407" spans="1:4" ht="15" x14ac:dyDescent="0.25">
      <c r="A2407" s="304">
        <v>12872</v>
      </c>
      <c r="B2407" s="304" t="s">
        <v>7963</v>
      </c>
      <c r="C2407" s="304" t="s">
        <v>5566</v>
      </c>
      <c r="D2407" s="540">
        <v>14.83</v>
      </c>
    </row>
    <row r="2408" spans="1:4" ht="15" x14ac:dyDescent="0.25">
      <c r="A2408" s="304">
        <v>41075</v>
      </c>
      <c r="B2408" s="304" t="s">
        <v>7964</v>
      </c>
      <c r="C2408" s="304" t="s">
        <v>5755</v>
      </c>
      <c r="D2408" s="541">
        <v>2598.19</v>
      </c>
    </row>
    <row r="2409" spans="1:4" ht="15" x14ac:dyDescent="0.25">
      <c r="A2409" s="304">
        <v>3315</v>
      </c>
      <c r="B2409" s="304" t="s">
        <v>7965</v>
      </c>
      <c r="C2409" s="304" t="s">
        <v>5626</v>
      </c>
      <c r="D2409" s="540">
        <v>0.59</v>
      </c>
    </row>
    <row r="2410" spans="1:4" ht="15" x14ac:dyDescent="0.25">
      <c r="A2410" s="304">
        <v>36870</v>
      </c>
      <c r="B2410" s="304" t="s">
        <v>7966</v>
      </c>
      <c r="C2410" s="304" t="s">
        <v>5626</v>
      </c>
      <c r="D2410" s="540">
        <v>0.57999999999999996</v>
      </c>
    </row>
    <row r="2411" spans="1:4" ht="15" x14ac:dyDescent="0.25">
      <c r="A2411" s="304">
        <v>5092</v>
      </c>
      <c r="B2411" s="304" t="s">
        <v>7967</v>
      </c>
      <c r="C2411" s="304" t="s">
        <v>6022</v>
      </c>
      <c r="D2411" s="540">
        <v>13.61</v>
      </c>
    </row>
    <row r="2412" spans="1:4" ht="15" x14ac:dyDescent="0.25">
      <c r="A2412" s="304">
        <v>11462</v>
      </c>
      <c r="B2412" s="304" t="s">
        <v>7968</v>
      </c>
      <c r="C2412" s="304" t="s">
        <v>6022</v>
      </c>
      <c r="D2412" s="540">
        <v>13.91</v>
      </c>
    </row>
    <row r="2413" spans="1:4" ht="15" x14ac:dyDescent="0.25">
      <c r="A2413" s="304">
        <v>36529</v>
      </c>
      <c r="B2413" s="304" t="s">
        <v>7969</v>
      </c>
      <c r="C2413" s="304" t="s">
        <v>5555</v>
      </c>
      <c r="D2413" s="541">
        <v>34885.199999999997</v>
      </c>
    </row>
    <row r="2414" spans="1:4" ht="15" x14ac:dyDescent="0.25">
      <c r="A2414" s="304">
        <v>3318</v>
      </c>
      <c r="B2414" s="304" t="s">
        <v>7970</v>
      </c>
      <c r="C2414" s="304" t="s">
        <v>5555</v>
      </c>
      <c r="D2414" s="541">
        <v>27350</v>
      </c>
    </row>
    <row r="2415" spans="1:4" ht="15" x14ac:dyDescent="0.25">
      <c r="A2415" s="304">
        <v>38968</v>
      </c>
      <c r="B2415" s="304" t="s">
        <v>7971</v>
      </c>
      <c r="C2415" s="304" t="s">
        <v>5564</v>
      </c>
      <c r="D2415" s="540">
        <v>365.33</v>
      </c>
    </row>
    <row r="2416" spans="1:4" ht="15" x14ac:dyDescent="0.25">
      <c r="A2416" s="304">
        <v>3324</v>
      </c>
      <c r="B2416" s="304" t="s">
        <v>7972</v>
      </c>
      <c r="C2416" s="304" t="s">
        <v>5564</v>
      </c>
      <c r="D2416" s="540">
        <v>8.57</v>
      </c>
    </row>
    <row r="2417" spans="1:4" ht="15" x14ac:dyDescent="0.25">
      <c r="A2417" s="304">
        <v>3322</v>
      </c>
      <c r="B2417" s="304" t="s">
        <v>7973</v>
      </c>
      <c r="C2417" s="304" t="s">
        <v>5564</v>
      </c>
      <c r="D2417" s="540">
        <v>12</v>
      </c>
    </row>
    <row r="2418" spans="1:4" ht="15" x14ac:dyDescent="0.25">
      <c r="A2418" s="304">
        <v>43390</v>
      </c>
      <c r="B2418" s="304" t="s">
        <v>7974</v>
      </c>
      <c r="C2418" s="304" t="s">
        <v>5564</v>
      </c>
      <c r="D2418" s="540">
        <v>75</v>
      </c>
    </row>
    <row r="2419" spans="1:4" ht="15" x14ac:dyDescent="0.25">
      <c r="A2419" s="304">
        <v>5076</v>
      </c>
      <c r="B2419" s="304" t="s">
        <v>7975</v>
      </c>
      <c r="C2419" s="304" t="s">
        <v>5626</v>
      </c>
      <c r="D2419" s="540">
        <v>10.220000000000001</v>
      </c>
    </row>
    <row r="2420" spans="1:4" ht="15" x14ac:dyDescent="0.25">
      <c r="A2420" s="304">
        <v>5077</v>
      </c>
      <c r="B2420" s="304" t="s">
        <v>7976</v>
      </c>
      <c r="C2420" s="304" t="s">
        <v>5626</v>
      </c>
      <c r="D2420" s="540">
        <v>11.3</v>
      </c>
    </row>
    <row r="2421" spans="1:4" ht="15" x14ac:dyDescent="0.25">
      <c r="A2421" s="304">
        <v>11837</v>
      </c>
      <c r="B2421" s="304" t="s">
        <v>7977</v>
      </c>
      <c r="C2421" s="304" t="s">
        <v>5555</v>
      </c>
      <c r="D2421" s="540">
        <v>50.19</v>
      </c>
    </row>
    <row r="2422" spans="1:4" ht="15" x14ac:dyDescent="0.25">
      <c r="A2422" s="304">
        <v>38055</v>
      </c>
      <c r="B2422" s="304" t="s">
        <v>7978</v>
      </c>
      <c r="C2422" s="304" t="s">
        <v>5555</v>
      </c>
      <c r="D2422" s="540">
        <v>4.55</v>
      </c>
    </row>
    <row r="2423" spans="1:4" ht="15" x14ac:dyDescent="0.25">
      <c r="A2423" s="304">
        <v>415</v>
      </c>
      <c r="B2423" s="304" t="s">
        <v>7979</v>
      </c>
      <c r="C2423" s="304" t="s">
        <v>5555</v>
      </c>
      <c r="D2423" s="540">
        <v>20.58</v>
      </c>
    </row>
    <row r="2424" spans="1:4" ht="15" x14ac:dyDescent="0.25">
      <c r="A2424" s="304">
        <v>416</v>
      </c>
      <c r="B2424" s="304" t="s">
        <v>7980</v>
      </c>
      <c r="C2424" s="304" t="s">
        <v>5555</v>
      </c>
      <c r="D2424" s="540">
        <v>7.53</v>
      </c>
    </row>
    <row r="2425" spans="1:4" ht="15" x14ac:dyDescent="0.25">
      <c r="A2425" s="304">
        <v>425</v>
      </c>
      <c r="B2425" s="304" t="s">
        <v>7981</v>
      </c>
      <c r="C2425" s="304" t="s">
        <v>5555</v>
      </c>
      <c r="D2425" s="540">
        <v>4.67</v>
      </c>
    </row>
    <row r="2426" spans="1:4" ht="15" x14ac:dyDescent="0.25">
      <c r="A2426" s="304">
        <v>426</v>
      </c>
      <c r="B2426" s="304" t="s">
        <v>7982</v>
      </c>
      <c r="C2426" s="304" t="s">
        <v>5555</v>
      </c>
      <c r="D2426" s="540">
        <v>25.72</v>
      </c>
    </row>
    <row r="2427" spans="1:4" ht="15" x14ac:dyDescent="0.25">
      <c r="A2427" s="304">
        <v>38056</v>
      </c>
      <c r="B2427" s="304" t="s">
        <v>7983</v>
      </c>
      <c r="C2427" s="304" t="s">
        <v>5555</v>
      </c>
      <c r="D2427" s="540">
        <v>25.12</v>
      </c>
    </row>
    <row r="2428" spans="1:4" ht="15" x14ac:dyDescent="0.25">
      <c r="A2428" s="304">
        <v>1564</v>
      </c>
      <c r="B2428" s="304" t="s">
        <v>7984</v>
      </c>
      <c r="C2428" s="304" t="s">
        <v>5555</v>
      </c>
      <c r="D2428" s="540">
        <v>9.58</v>
      </c>
    </row>
    <row r="2429" spans="1:4" ht="15" x14ac:dyDescent="0.25">
      <c r="A2429" s="304">
        <v>11032</v>
      </c>
      <c r="B2429" s="304" t="s">
        <v>7985</v>
      </c>
      <c r="C2429" s="304" t="s">
        <v>5555</v>
      </c>
      <c r="D2429" s="540">
        <v>6.81</v>
      </c>
    </row>
    <row r="2430" spans="1:4" ht="15" x14ac:dyDescent="0.25">
      <c r="A2430" s="304">
        <v>36786</v>
      </c>
      <c r="B2430" s="304" t="s">
        <v>7986</v>
      </c>
      <c r="C2430" s="304" t="s">
        <v>7987</v>
      </c>
      <c r="D2430" s="540">
        <v>128.38999999999999</v>
      </c>
    </row>
    <row r="2431" spans="1:4" ht="15" x14ac:dyDescent="0.25">
      <c r="A2431" s="304">
        <v>36785</v>
      </c>
      <c r="B2431" s="304" t="s">
        <v>7988</v>
      </c>
      <c r="C2431" s="304" t="s">
        <v>7987</v>
      </c>
      <c r="D2431" s="540">
        <v>111.57</v>
      </c>
    </row>
    <row r="2432" spans="1:4" ht="15" x14ac:dyDescent="0.25">
      <c r="A2432" s="304">
        <v>36782</v>
      </c>
      <c r="B2432" s="304" t="s">
        <v>7989</v>
      </c>
      <c r="C2432" s="304" t="s">
        <v>7987</v>
      </c>
      <c r="D2432" s="540">
        <v>133.16999999999999</v>
      </c>
    </row>
    <row r="2433" spans="1:4" ht="15" x14ac:dyDescent="0.25">
      <c r="A2433" s="304">
        <v>25930</v>
      </c>
      <c r="B2433" s="304" t="s">
        <v>7990</v>
      </c>
      <c r="C2433" s="304" t="s">
        <v>7987</v>
      </c>
      <c r="D2433" s="540">
        <v>150</v>
      </c>
    </row>
    <row r="2434" spans="1:4" ht="15" x14ac:dyDescent="0.25">
      <c r="A2434" s="304">
        <v>4824</v>
      </c>
      <c r="B2434" s="304" t="s">
        <v>7991</v>
      </c>
      <c r="C2434" s="304" t="s">
        <v>5626</v>
      </c>
      <c r="D2434" s="540">
        <v>0.46</v>
      </c>
    </row>
    <row r="2435" spans="1:4" ht="15" x14ac:dyDescent="0.25">
      <c r="A2435" s="304">
        <v>11795</v>
      </c>
      <c r="B2435" s="304" t="s">
        <v>7992</v>
      </c>
      <c r="C2435" s="304" t="s">
        <v>5564</v>
      </c>
      <c r="D2435" s="540">
        <v>430.18</v>
      </c>
    </row>
    <row r="2436" spans="1:4" ht="15" x14ac:dyDescent="0.25">
      <c r="A2436" s="304">
        <v>134</v>
      </c>
      <c r="B2436" s="304" t="s">
        <v>7993</v>
      </c>
      <c r="C2436" s="304" t="s">
        <v>5626</v>
      </c>
      <c r="D2436" s="540">
        <v>1.86</v>
      </c>
    </row>
    <row r="2437" spans="1:4" ht="15" x14ac:dyDescent="0.25">
      <c r="A2437" s="304">
        <v>4229</v>
      </c>
      <c r="B2437" s="304" t="s">
        <v>7994</v>
      </c>
      <c r="C2437" s="304" t="s">
        <v>5626</v>
      </c>
      <c r="D2437" s="540">
        <v>28.79</v>
      </c>
    </row>
    <row r="2438" spans="1:4" ht="15" x14ac:dyDescent="0.25">
      <c r="A2438" s="304">
        <v>11244</v>
      </c>
      <c r="B2438" s="304" t="s">
        <v>7995</v>
      </c>
      <c r="C2438" s="304" t="s">
        <v>5555</v>
      </c>
      <c r="D2438" s="540">
        <v>141.4</v>
      </c>
    </row>
    <row r="2439" spans="1:4" ht="15" x14ac:dyDescent="0.25">
      <c r="A2439" s="304">
        <v>11245</v>
      </c>
      <c r="B2439" s="304" t="s">
        <v>7996</v>
      </c>
      <c r="C2439" s="304" t="s">
        <v>5555</v>
      </c>
      <c r="D2439" s="540">
        <v>195.58</v>
      </c>
    </row>
    <row r="2440" spans="1:4" ht="15" x14ac:dyDescent="0.25">
      <c r="A2440" s="304">
        <v>11235</v>
      </c>
      <c r="B2440" s="304" t="s">
        <v>7997</v>
      </c>
      <c r="C2440" s="304" t="s">
        <v>5555</v>
      </c>
      <c r="D2440" s="540">
        <v>107.9</v>
      </c>
    </row>
    <row r="2441" spans="1:4" ht="15" x14ac:dyDescent="0.25">
      <c r="A2441" s="304">
        <v>11236</v>
      </c>
      <c r="B2441" s="304" t="s">
        <v>7998</v>
      </c>
      <c r="C2441" s="304" t="s">
        <v>5555</v>
      </c>
      <c r="D2441" s="540">
        <v>137.13</v>
      </c>
    </row>
    <row r="2442" spans="1:4" ht="15" x14ac:dyDescent="0.25">
      <c r="A2442" s="304">
        <v>11731</v>
      </c>
      <c r="B2442" s="304" t="s">
        <v>7999</v>
      </c>
      <c r="C2442" s="304" t="s">
        <v>5555</v>
      </c>
      <c r="D2442" s="540">
        <v>3.82</v>
      </c>
    </row>
    <row r="2443" spans="1:4" ht="15" x14ac:dyDescent="0.25">
      <c r="A2443" s="304">
        <v>11732</v>
      </c>
      <c r="B2443" s="304" t="s">
        <v>8000</v>
      </c>
      <c r="C2443" s="304" t="s">
        <v>5555</v>
      </c>
      <c r="D2443" s="540">
        <v>19.440000000000001</v>
      </c>
    </row>
    <row r="2444" spans="1:4" ht="15" x14ac:dyDescent="0.25">
      <c r="A2444" s="304">
        <v>36494</v>
      </c>
      <c r="B2444" s="304" t="s">
        <v>8001</v>
      </c>
      <c r="C2444" s="304" t="s">
        <v>5555</v>
      </c>
      <c r="D2444" s="541">
        <v>369133.8</v>
      </c>
    </row>
    <row r="2445" spans="1:4" ht="15" x14ac:dyDescent="0.25">
      <c r="A2445" s="304">
        <v>36493</v>
      </c>
      <c r="B2445" s="304" t="s">
        <v>8002</v>
      </c>
      <c r="C2445" s="304" t="s">
        <v>5555</v>
      </c>
      <c r="D2445" s="541">
        <v>418213.6</v>
      </c>
    </row>
    <row r="2446" spans="1:4" ht="15" x14ac:dyDescent="0.25">
      <c r="A2446" s="304">
        <v>36492</v>
      </c>
      <c r="B2446" s="304" t="s">
        <v>8003</v>
      </c>
      <c r="C2446" s="304" t="s">
        <v>5555</v>
      </c>
      <c r="D2446" s="541">
        <v>776882.27</v>
      </c>
    </row>
    <row r="2447" spans="1:4" ht="15" x14ac:dyDescent="0.25">
      <c r="A2447" s="304">
        <v>13333</v>
      </c>
      <c r="B2447" s="304" t="s">
        <v>8004</v>
      </c>
      <c r="C2447" s="304" t="s">
        <v>5555</v>
      </c>
      <c r="D2447" s="541">
        <v>139225.88</v>
      </c>
    </row>
    <row r="2448" spans="1:4" ht="15" x14ac:dyDescent="0.25">
      <c r="A2448" s="304">
        <v>13533</v>
      </c>
      <c r="B2448" s="304" t="s">
        <v>8005</v>
      </c>
      <c r="C2448" s="304" t="s">
        <v>5555</v>
      </c>
      <c r="D2448" s="541">
        <v>124452.47</v>
      </c>
    </row>
    <row r="2449" spans="1:4" ht="15" x14ac:dyDescent="0.25">
      <c r="A2449" s="304">
        <v>36499</v>
      </c>
      <c r="B2449" s="304" t="s">
        <v>8006</v>
      </c>
      <c r="C2449" s="304" t="s">
        <v>5555</v>
      </c>
      <c r="D2449" s="541">
        <v>2714.9</v>
      </c>
    </row>
    <row r="2450" spans="1:4" ht="15" x14ac:dyDescent="0.25">
      <c r="A2450" s="304">
        <v>39585</v>
      </c>
      <c r="B2450" s="304" t="s">
        <v>8007</v>
      </c>
      <c r="C2450" s="304" t="s">
        <v>5555</v>
      </c>
      <c r="D2450" s="541">
        <v>89898.14</v>
      </c>
    </row>
    <row r="2451" spans="1:4" ht="15" x14ac:dyDescent="0.25">
      <c r="A2451" s="304">
        <v>39586</v>
      </c>
      <c r="B2451" s="304" t="s">
        <v>8008</v>
      </c>
      <c r="C2451" s="304" t="s">
        <v>5555</v>
      </c>
      <c r="D2451" s="541">
        <v>105444.44</v>
      </c>
    </row>
    <row r="2452" spans="1:4" ht="15" x14ac:dyDescent="0.25">
      <c r="A2452" s="304">
        <v>39587</v>
      </c>
      <c r="B2452" s="304" t="s">
        <v>8009</v>
      </c>
      <c r="C2452" s="304" t="s">
        <v>5555</v>
      </c>
      <c r="D2452" s="541">
        <v>128425.92</v>
      </c>
    </row>
    <row r="2453" spans="1:4" ht="15" x14ac:dyDescent="0.25">
      <c r="A2453" s="304">
        <v>39588</v>
      </c>
      <c r="B2453" s="304" t="s">
        <v>8010</v>
      </c>
      <c r="C2453" s="304" t="s">
        <v>5555</v>
      </c>
      <c r="D2453" s="541">
        <v>148703.70000000001</v>
      </c>
    </row>
    <row r="2454" spans="1:4" ht="15" x14ac:dyDescent="0.25">
      <c r="A2454" s="304">
        <v>39584</v>
      </c>
      <c r="B2454" s="304" t="s">
        <v>8011</v>
      </c>
      <c r="C2454" s="304" t="s">
        <v>5555</v>
      </c>
      <c r="D2454" s="541">
        <v>80056.66</v>
      </c>
    </row>
    <row r="2455" spans="1:4" ht="15" x14ac:dyDescent="0.25">
      <c r="A2455" s="304">
        <v>39590</v>
      </c>
      <c r="B2455" s="304" t="s">
        <v>8012</v>
      </c>
      <c r="C2455" s="304" t="s">
        <v>5555</v>
      </c>
      <c r="D2455" s="541">
        <v>78137.03</v>
      </c>
    </row>
    <row r="2456" spans="1:4" ht="15" x14ac:dyDescent="0.25">
      <c r="A2456" s="304">
        <v>39592</v>
      </c>
      <c r="B2456" s="304" t="s">
        <v>8013</v>
      </c>
      <c r="C2456" s="304" t="s">
        <v>5555</v>
      </c>
      <c r="D2456" s="541">
        <v>112284.81</v>
      </c>
    </row>
    <row r="2457" spans="1:4" ht="15" x14ac:dyDescent="0.25">
      <c r="A2457" s="304">
        <v>39593</v>
      </c>
      <c r="B2457" s="304" t="s">
        <v>8014</v>
      </c>
      <c r="C2457" s="304" t="s">
        <v>5555</v>
      </c>
      <c r="D2457" s="541">
        <v>128425.92</v>
      </c>
    </row>
    <row r="2458" spans="1:4" ht="15" x14ac:dyDescent="0.25">
      <c r="A2458" s="304">
        <v>14254</v>
      </c>
      <c r="B2458" s="304" t="s">
        <v>8015</v>
      </c>
      <c r="C2458" s="304" t="s">
        <v>5555</v>
      </c>
      <c r="D2458" s="541">
        <v>73000</v>
      </c>
    </row>
    <row r="2459" spans="1:4" ht="15" x14ac:dyDescent="0.25">
      <c r="A2459" s="304">
        <v>25987</v>
      </c>
      <c r="B2459" s="304" t="s">
        <v>8016</v>
      </c>
      <c r="C2459" s="304" t="s">
        <v>5555</v>
      </c>
      <c r="D2459" s="541">
        <v>60960.82</v>
      </c>
    </row>
    <row r="2460" spans="1:4" ht="15" x14ac:dyDescent="0.25">
      <c r="A2460" s="304">
        <v>25019</v>
      </c>
      <c r="B2460" s="304" t="s">
        <v>8017</v>
      </c>
      <c r="C2460" s="304" t="s">
        <v>5555</v>
      </c>
      <c r="D2460" s="541">
        <v>104493.66</v>
      </c>
    </row>
    <row r="2461" spans="1:4" ht="15" x14ac:dyDescent="0.25">
      <c r="A2461" s="304">
        <v>36501</v>
      </c>
      <c r="B2461" s="304" t="s">
        <v>8018</v>
      </c>
      <c r="C2461" s="304" t="s">
        <v>5555</v>
      </c>
      <c r="D2461" s="541">
        <v>93035.37</v>
      </c>
    </row>
    <row r="2462" spans="1:4" ht="15" x14ac:dyDescent="0.25">
      <c r="A2462" s="304">
        <v>25986</v>
      </c>
      <c r="B2462" s="304" t="s">
        <v>8019</v>
      </c>
      <c r="C2462" s="304" t="s">
        <v>5555</v>
      </c>
      <c r="D2462" s="541">
        <v>111846.34</v>
      </c>
    </row>
    <row r="2463" spans="1:4" ht="15" x14ac:dyDescent="0.25">
      <c r="A2463" s="304">
        <v>36500</v>
      </c>
      <c r="B2463" s="304" t="s">
        <v>8020</v>
      </c>
      <c r="C2463" s="304" t="s">
        <v>5555</v>
      </c>
      <c r="D2463" s="541">
        <v>65745.55</v>
      </c>
    </row>
    <row r="2464" spans="1:4" ht="15" x14ac:dyDescent="0.25">
      <c r="A2464" s="304">
        <v>20017</v>
      </c>
      <c r="B2464" s="304" t="s">
        <v>8021</v>
      </c>
      <c r="C2464" s="304" t="s">
        <v>5575</v>
      </c>
      <c r="D2464" s="540">
        <v>1.81</v>
      </c>
    </row>
    <row r="2465" spans="1:4" ht="15" x14ac:dyDescent="0.25">
      <c r="A2465" s="304">
        <v>20007</v>
      </c>
      <c r="B2465" s="304" t="s">
        <v>8022</v>
      </c>
      <c r="C2465" s="304" t="s">
        <v>5575</v>
      </c>
      <c r="D2465" s="540">
        <v>1.39</v>
      </c>
    </row>
    <row r="2466" spans="1:4" ht="15" x14ac:dyDescent="0.25">
      <c r="A2466" s="304">
        <v>39836</v>
      </c>
      <c r="B2466" s="304" t="s">
        <v>8023</v>
      </c>
      <c r="C2466" s="304" t="s">
        <v>6057</v>
      </c>
      <c r="D2466" s="540">
        <v>151.38</v>
      </c>
    </row>
    <row r="2467" spans="1:4" ht="15" x14ac:dyDescent="0.25">
      <c r="A2467" s="304">
        <v>39830</v>
      </c>
      <c r="B2467" s="304" t="s">
        <v>8024</v>
      </c>
      <c r="C2467" s="304" t="s">
        <v>6057</v>
      </c>
      <c r="D2467" s="540">
        <v>172.65</v>
      </c>
    </row>
    <row r="2468" spans="1:4" ht="15" x14ac:dyDescent="0.25">
      <c r="A2468" s="304">
        <v>39831</v>
      </c>
      <c r="B2468" s="304" t="s">
        <v>8025</v>
      </c>
      <c r="C2468" s="304" t="s">
        <v>6057</v>
      </c>
      <c r="D2468" s="540">
        <v>172.28</v>
      </c>
    </row>
    <row r="2469" spans="1:4" ht="15" x14ac:dyDescent="0.25">
      <c r="A2469" s="304">
        <v>36888</v>
      </c>
      <c r="B2469" s="304" t="s">
        <v>8026</v>
      </c>
      <c r="C2469" s="304" t="s">
        <v>5575</v>
      </c>
      <c r="D2469" s="540">
        <v>9.74</v>
      </c>
    </row>
    <row r="2470" spans="1:4" ht="15" x14ac:dyDescent="0.25">
      <c r="A2470" s="304">
        <v>40527</v>
      </c>
      <c r="B2470" s="304" t="s">
        <v>8027</v>
      </c>
      <c r="C2470" s="304" t="s">
        <v>5555</v>
      </c>
      <c r="D2470" s="541">
        <v>2200.79</v>
      </c>
    </row>
    <row r="2471" spans="1:4" ht="15" x14ac:dyDescent="0.25">
      <c r="A2471" s="304">
        <v>36497</v>
      </c>
      <c r="B2471" s="304" t="s">
        <v>8028</v>
      </c>
      <c r="C2471" s="304" t="s">
        <v>5555</v>
      </c>
      <c r="D2471" s="541">
        <v>2512.44</v>
      </c>
    </row>
    <row r="2472" spans="1:4" ht="15" x14ac:dyDescent="0.25">
      <c r="A2472" s="304">
        <v>36487</v>
      </c>
      <c r="B2472" s="304" t="s">
        <v>8029</v>
      </c>
      <c r="C2472" s="304" t="s">
        <v>5555</v>
      </c>
      <c r="D2472" s="541">
        <v>4374.55</v>
      </c>
    </row>
    <row r="2473" spans="1:4" ht="15" x14ac:dyDescent="0.25">
      <c r="A2473" s="304">
        <v>25952</v>
      </c>
      <c r="B2473" s="304" t="s">
        <v>8030</v>
      </c>
      <c r="C2473" s="304" t="s">
        <v>5555</v>
      </c>
      <c r="D2473" s="541">
        <v>645487.19999999995</v>
      </c>
    </row>
    <row r="2474" spans="1:4" ht="15" x14ac:dyDescent="0.25">
      <c r="A2474" s="304">
        <v>25954</v>
      </c>
      <c r="B2474" s="304" t="s">
        <v>8031</v>
      </c>
      <c r="C2474" s="304" t="s">
        <v>5555</v>
      </c>
      <c r="D2474" s="541">
        <v>1241321.54</v>
      </c>
    </row>
    <row r="2475" spans="1:4" ht="15" x14ac:dyDescent="0.25">
      <c r="A2475" s="304">
        <v>25953</v>
      </c>
      <c r="B2475" s="304" t="s">
        <v>8032</v>
      </c>
      <c r="C2475" s="304" t="s">
        <v>5555</v>
      </c>
      <c r="D2475" s="541">
        <v>2110246.61</v>
      </c>
    </row>
    <row r="2476" spans="1:4" ht="15" x14ac:dyDescent="0.25">
      <c r="A2476" s="304">
        <v>37776</v>
      </c>
      <c r="B2476" s="304" t="s">
        <v>8033</v>
      </c>
      <c r="C2476" s="304" t="s">
        <v>5555</v>
      </c>
      <c r="D2476" s="541">
        <v>129331.14</v>
      </c>
    </row>
    <row r="2477" spans="1:4" ht="15" x14ac:dyDescent="0.25">
      <c r="A2477" s="304">
        <v>37775</v>
      </c>
      <c r="B2477" s="304" t="s">
        <v>8034</v>
      </c>
      <c r="C2477" s="304" t="s">
        <v>5555</v>
      </c>
      <c r="D2477" s="541">
        <v>203706.34</v>
      </c>
    </row>
    <row r="2478" spans="1:4" ht="15" x14ac:dyDescent="0.25">
      <c r="A2478" s="304">
        <v>36491</v>
      </c>
      <c r="B2478" s="304" t="s">
        <v>8035</v>
      </c>
      <c r="C2478" s="304" t="s">
        <v>5555</v>
      </c>
      <c r="D2478" s="541">
        <v>754385.03</v>
      </c>
    </row>
    <row r="2479" spans="1:4" ht="15" x14ac:dyDescent="0.25">
      <c r="A2479" s="304">
        <v>10712</v>
      </c>
      <c r="B2479" s="304" t="s">
        <v>8036</v>
      </c>
      <c r="C2479" s="304" t="s">
        <v>5555</v>
      </c>
      <c r="D2479" s="541">
        <v>50926.58</v>
      </c>
    </row>
    <row r="2480" spans="1:4" ht="15" x14ac:dyDescent="0.25">
      <c r="A2480" s="304">
        <v>3363</v>
      </c>
      <c r="B2480" s="304" t="s">
        <v>8037</v>
      </c>
      <c r="C2480" s="304" t="s">
        <v>5555</v>
      </c>
      <c r="D2480" s="541">
        <v>71633</v>
      </c>
    </row>
    <row r="2481" spans="1:4" ht="15" x14ac:dyDescent="0.25">
      <c r="A2481" s="304">
        <v>3365</v>
      </c>
      <c r="B2481" s="304" t="s">
        <v>8038</v>
      </c>
      <c r="C2481" s="304" t="s">
        <v>5555</v>
      </c>
      <c r="D2481" s="541">
        <v>167442.13</v>
      </c>
    </row>
    <row r="2482" spans="1:4" ht="15" x14ac:dyDescent="0.25">
      <c r="A2482" s="304">
        <v>7569</v>
      </c>
      <c r="B2482" s="304" t="s">
        <v>8039</v>
      </c>
      <c r="C2482" s="304" t="s">
        <v>5555</v>
      </c>
      <c r="D2482" s="540">
        <v>54.7</v>
      </c>
    </row>
    <row r="2483" spans="1:4" ht="15" x14ac:dyDescent="0.25">
      <c r="A2483" s="304">
        <v>34349</v>
      </c>
      <c r="B2483" s="304" t="s">
        <v>8040</v>
      </c>
      <c r="C2483" s="304" t="s">
        <v>5555</v>
      </c>
      <c r="D2483" s="540">
        <v>12.41</v>
      </c>
    </row>
    <row r="2484" spans="1:4" ht="15" x14ac:dyDescent="0.25">
      <c r="A2484" s="304">
        <v>11991</v>
      </c>
      <c r="B2484" s="304" t="s">
        <v>8041</v>
      </c>
      <c r="C2484" s="304" t="s">
        <v>5555</v>
      </c>
      <c r="D2484" s="540">
        <v>57.17</v>
      </c>
    </row>
    <row r="2485" spans="1:4" ht="15" x14ac:dyDescent="0.25">
      <c r="A2485" s="304">
        <v>20062</v>
      </c>
      <c r="B2485" s="304" t="s">
        <v>8042</v>
      </c>
      <c r="C2485" s="304" t="s">
        <v>5555</v>
      </c>
      <c r="D2485" s="540">
        <v>12.74</v>
      </c>
    </row>
    <row r="2486" spans="1:4" ht="15" x14ac:dyDescent="0.25">
      <c r="A2486" s="304">
        <v>11029</v>
      </c>
      <c r="B2486" s="304" t="s">
        <v>8043</v>
      </c>
      <c r="C2486" s="304" t="s">
        <v>7062</v>
      </c>
      <c r="D2486" s="540">
        <v>1.04</v>
      </c>
    </row>
    <row r="2487" spans="1:4" ht="15" x14ac:dyDescent="0.25">
      <c r="A2487" s="304">
        <v>4316</v>
      </c>
      <c r="B2487" s="304" t="s">
        <v>8044</v>
      </c>
      <c r="C2487" s="304" t="s">
        <v>5555</v>
      </c>
      <c r="D2487" s="540">
        <v>1.05</v>
      </c>
    </row>
    <row r="2488" spans="1:4" ht="15" x14ac:dyDescent="0.25">
      <c r="A2488" s="304">
        <v>4313</v>
      </c>
      <c r="B2488" s="304" t="s">
        <v>8045</v>
      </c>
      <c r="C2488" s="304" t="s">
        <v>7062</v>
      </c>
      <c r="D2488" s="540">
        <v>1.51</v>
      </c>
    </row>
    <row r="2489" spans="1:4" ht="15" x14ac:dyDescent="0.25">
      <c r="A2489" s="304">
        <v>4317</v>
      </c>
      <c r="B2489" s="304" t="s">
        <v>8046</v>
      </c>
      <c r="C2489" s="304" t="s">
        <v>5555</v>
      </c>
      <c r="D2489" s="540">
        <v>1.72</v>
      </c>
    </row>
    <row r="2490" spans="1:4" ht="15" x14ac:dyDescent="0.25">
      <c r="A2490" s="304">
        <v>4314</v>
      </c>
      <c r="B2490" s="304" t="s">
        <v>8047</v>
      </c>
      <c r="C2490" s="304" t="s">
        <v>7062</v>
      </c>
      <c r="D2490" s="540">
        <v>2.02</v>
      </c>
    </row>
    <row r="2491" spans="1:4" ht="15" x14ac:dyDescent="0.25">
      <c r="A2491" s="304">
        <v>10561</v>
      </c>
      <c r="B2491" s="304" t="s">
        <v>8048</v>
      </c>
      <c r="C2491" s="304" t="s">
        <v>5626</v>
      </c>
      <c r="D2491" s="540">
        <v>0.4</v>
      </c>
    </row>
    <row r="2492" spans="1:4" ht="15" x14ac:dyDescent="0.25">
      <c r="A2492" s="304">
        <v>10921</v>
      </c>
      <c r="B2492" s="304" t="s">
        <v>8049</v>
      </c>
      <c r="C2492" s="304" t="s">
        <v>5555</v>
      </c>
      <c r="D2492" s="541">
        <v>3323.1</v>
      </c>
    </row>
    <row r="2493" spans="1:4" ht="15" x14ac:dyDescent="0.25">
      <c r="A2493" s="304">
        <v>10922</v>
      </c>
      <c r="B2493" s="304" t="s">
        <v>8050</v>
      </c>
      <c r="C2493" s="304" t="s">
        <v>5555</v>
      </c>
      <c r="D2493" s="541">
        <v>3009.98</v>
      </c>
    </row>
    <row r="2494" spans="1:4" ht="15" x14ac:dyDescent="0.25">
      <c r="A2494" s="304">
        <v>10923</v>
      </c>
      <c r="B2494" s="304" t="s">
        <v>8051</v>
      </c>
      <c r="C2494" s="304" t="s">
        <v>5555</v>
      </c>
      <c r="D2494" s="541">
        <v>1779.02</v>
      </c>
    </row>
    <row r="2495" spans="1:4" ht="15" x14ac:dyDescent="0.25">
      <c r="A2495" s="304">
        <v>10924</v>
      </c>
      <c r="B2495" s="304" t="s">
        <v>8052</v>
      </c>
      <c r="C2495" s="304" t="s">
        <v>5555</v>
      </c>
      <c r="D2495" s="541">
        <v>1873.66</v>
      </c>
    </row>
    <row r="2496" spans="1:4" ht="15" x14ac:dyDescent="0.25">
      <c r="A2496" s="304">
        <v>37772</v>
      </c>
      <c r="B2496" s="304" t="s">
        <v>8053</v>
      </c>
      <c r="C2496" s="304" t="s">
        <v>5555</v>
      </c>
      <c r="D2496" s="541">
        <v>114526.71</v>
      </c>
    </row>
    <row r="2497" spans="1:4" ht="15" x14ac:dyDescent="0.25">
      <c r="A2497" s="304">
        <v>37771</v>
      </c>
      <c r="B2497" s="304" t="s">
        <v>8054</v>
      </c>
      <c r="C2497" s="304" t="s">
        <v>5555</v>
      </c>
      <c r="D2497" s="541">
        <v>121838.18</v>
      </c>
    </row>
    <row r="2498" spans="1:4" ht="15" x14ac:dyDescent="0.25">
      <c r="A2498" s="304">
        <v>12770</v>
      </c>
      <c r="B2498" s="304" t="s">
        <v>8055</v>
      </c>
      <c r="C2498" s="304" t="s">
        <v>5555</v>
      </c>
      <c r="D2498" s="540">
        <v>450.69</v>
      </c>
    </row>
    <row r="2499" spans="1:4" ht="15" x14ac:dyDescent="0.25">
      <c r="A2499" s="304">
        <v>12772</v>
      </c>
      <c r="B2499" s="304" t="s">
        <v>8056</v>
      </c>
      <c r="C2499" s="304" t="s">
        <v>5555</v>
      </c>
      <c r="D2499" s="540">
        <v>749.03</v>
      </c>
    </row>
    <row r="2500" spans="1:4" ht="15" x14ac:dyDescent="0.25">
      <c r="A2500" s="304">
        <v>12768</v>
      </c>
      <c r="B2500" s="304" t="s">
        <v>8057</v>
      </c>
      <c r="C2500" s="304" t="s">
        <v>5555</v>
      </c>
      <c r="D2500" s="541">
        <v>1053.73</v>
      </c>
    </row>
    <row r="2501" spans="1:4" ht="15" x14ac:dyDescent="0.25">
      <c r="A2501" s="304">
        <v>12775</v>
      </c>
      <c r="B2501" s="304" t="s">
        <v>8058</v>
      </c>
      <c r="C2501" s="304" t="s">
        <v>5555</v>
      </c>
      <c r="D2501" s="540">
        <v>330.08</v>
      </c>
    </row>
    <row r="2502" spans="1:4" ht="15" x14ac:dyDescent="0.25">
      <c r="A2502" s="304">
        <v>12769</v>
      </c>
      <c r="B2502" s="304" t="s">
        <v>8059</v>
      </c>
      <c r="C2502" s="304" t="s">
        <v>5555</v>
      </c>
      <c r="D2502" s="540">
        <v>86.33</v>
      </c>
    </row>
    <row r="2503" spans="1:4" ht="15" x14ac:dyDescent="0.25">
      <c r="A2503" s="304">
        <v>12773</v>
      </c>
      <c r="B2503" s="304" t="s">
        <v>8060</v>
      </c>
      <c r="C2503" s="304" t="s">
        <v>5555</v>
      </c>
      <c r="D2503" s="540">
        <v>92.67</v>
      </c>
    </row>
    <row r="2504" spans="1:4" ht="15" x14ac:dyDescent="0.25">
      <c r="A2504" s="304">
        <v>12774</v>
      </c>
      <c r="B2504" s="304" t="s">
        <v>8061</v>
      </c>
      <c r="C2504" s="304" t="s">
        <v>5555</v>
      </c>
      <c r="D2504" s="540">
        <v>114.26</v>
      </c>
    </row>
    <row r="2505" spans="1:4" ht="15" x14ac:dyDescent="0.25">
      <c r="A2505" s="304">
        <v>12776</v>
      </c>
      <c r="B2505" s="304" t="s">
        <v>8062</v>
      </c>
      <c r="C2505" s="304" t="s">
        <v>5555</v>
      </c>
      <c r="D2505" s="541">
        <v>1701.2</v>
      </c>
    </row>
    <row r="2506" spans="1:4" ht="15" x14ac:dyDescent="0.25">
      <c r="A2506" s="304">
        <v>12777</v>
      </c>
      <c r="B2506" s="304" t="s">
        <v>8063</v>
      </c>
      <c r="C2506" s="304" t="s">
        <v>5555</v>
      </c>
      <c r="D2506" s="541">
        <v>2221.7199999999998</v>
      </c>
    </row>
    <row r="2507" spans="1:4" ht="15" x14ac:dyDescent="0.25">
      <c r="A2507" s="304">
        <v>3391</v>
      </c>
      <c r="B2507" s="304" t="s">
        <v>8064</v>
      </c>
      <c r="C2507" s="304" t="s">
        <v>5555</v>
      </c>
      <c r="D2507" s="540">
        <v>41.44</v>
      </c>
    </row>
    <row r="2508" spans="1:4" ht="15" x14ac:dyDescent="0.25">
      <c r="A2508" s="304">
        <v>3389</v>
      </c>
      <c r="B2508" s="304" t="s">
        <v>8065</v>
      </c>
      <c r="C2508" s="304" t="s">
        <v>5555</v>
      </c>
      <c r="D2508" s="540">
        <v>21.5</v>
      </c>
    </row>
    <row r="2509" spans="1:4" ht="15" x14ac:dyDescent="0.25">
      <c r="A2509" s="304">
        <v>3390</v>
      </c>
      <c r="B2509" s="304" t="s">
        <v>8066</v>
      </c>
      <c r="C2509" s="304" t="s">
        <v>5555</v>
      </c>
      <c r="D2509" s="540">
        <v>24.19</v>
      </c>
    </row>
    <row r="2510" spans="1:4" ht="15" x14ac:dyDescent="0.25">
      <c r="A2510" s="304">
        <v>12873</v>
      </c>
      <c r="B2510" s="304" t="s">
        <v>8067</v>
      </c>
      <c r="C2510" s="304" t="s">
        <v>5566</v>
      </c>
      <c r="D2510" s="540">
        <v>15.48</v>
      </c>
    </row>
    <row r="2511" spans="1:4" ht="15" x14ac:dyDescent="0.25">
      <c r="A2511" s="304">
        <v>41076</v>
      </c>
      <c r="B2511" s="304" t="s">
        <v>8068</v>
      </c>
      <c r="C2511" s="304" t="s">
        <v>5755</v>
      </c>
      <c r="D2511" s="541">
        <v>2711.36</v>
      </c>
    </row>
    <row r="2512" spans="1:4" ht="15" x14ac:dyDescent="0.25">
      <c r="A2512" s="304">
        <v>140</v>
      </c>
      <c r="B2512" s="304" t="s">
        <v>8069</v>
      </c>
      <c r="C2512" s="304" t="s">
        <v>5626</v>
      </c>
      <c r="D2512" s="540">
        <v>18.420000000000002</v>
      </c>
    </row>
    <row r="2513" spans="1:4" ht="15" x14ac:dyDescent="0.25">
      <c r="A2513" s="304">
        <v>151</v>
      </c>
      <c r="B2513" s="304" t="s">
        <v>8070</v>
      </c>
      <c r="C2513" s="304" t="s">
        <v>5628</v>
      </c>
      <c r="D2513" s="540">
        <v>23.17</v>
      </c>
    </row>
    <row r="2514" spans="1:4" ht="15" x14ac:dyDescent="0.25">
      <c r="A2514" s="304">
        <v>7340</v>
      </c>
      <c r="B2514" s="304" t="s">
        <v>8071</v>
      </c>
      <c r="C2514" s="304" t="s">
        <v>5628</v>
      </c>
      <c r="D2514" s="540">
        <v>17.190000000000001</v>
      </c>
    </row>
    <row r="2515" spans="1:4" ht="15" x14ac:dyDescent="0.25">
      <c r="A2515" s="304">
        <v>2701</v>
      </c>
      <c r="B2515" s="304" t="s">
        <v>8072</v>
      </c>
      <c r="C2515" s="304" t="s">
        <v>5566</v>
      </c>
      <c r="D2515" s="540">
        <v>38.89</v>
      </c>
    </row>
    <row r="2516" spans="1:4" ht="15" x14ac:dyDescent="0.25">
      <c r="A2516" s="304">
        <v>40929</v>
      </c>
      <c r="B2516" s="304" t="s">
        <v>8073</v>
      </c>
      <c r="C2516" s="304" t="s">
        <v>5755</v>
      </c>
      <c r="D2516" s="541">
        <v>6808.98</v>
      </c>
    </row>
    <row r="2517" spans="1:4" ht="15" x14ac:dyDescent="0.25">
      <c r="A2517" s="304">
        <v>38114</v>
      </c>
      <c r="B2517" s="304" t="s">
        <v>8074</v>
      </c>
      <c r="C2517" s="304" t="s">
        <v>5555</v>
      </c>
      <c r="D2517" s="540">
        <v>16.25</v>
      </c>
    </row>
    <row r="2518" spans="1:4" ht="15" x14ac:dyDescent="0.25">
      <c r="A2518" s="304">
        <v>38064</v>
      </c>
      <c r="B2518" s="304" t="s">
        <v>8075</v>
      </c>
      <c r="C2518" s="304" t="s">
        <v>5555</v>
      </c>
      <c r="D2518" s="540">
        <v>18.170000000000002</v>
      </c>
    </row>
    <row r="2519" spans="1:4" ht="15" x14ac:dyDescent="0.25">
      <c r="A2519" s="304">
        <v>38115</v>
      </c>
      <c r="B2519" s="304" t="s">
        <v>8076</v>
      </c>
      <c r="C2519" s="304" t="s">
        <v>5555</v>
      </c>
      <c r="D2519" s="540">
        <v>17.350000000000001</v>
      </c>
    </row>
    <row r="2520" spans="1:4" ht="15" x14ac:dyDescent="0.25">
      <c r="A2520" s="304">
        <v>38065</v>
      </c>
      <c r="B2520" s="304" t="s">
        <v>8077</v>
      </c>
      <c r="C2520" s="304" t="s">
        <v>5555</v>
      </c>
      <c r="D2520" s="540">
        <v>25.78</v>
      </c>
    </row>
    <row r="2521" spans="1:4" ht="15" x14ac:dyDescent="0.25">
      <c r="A2521" s="304">
        <v>38078</v>
      </c>
      <c r="B2521" s="304" t="s">
        <v>8078</v>
      </c>
      <c r="C2521" s="304" t="s">
        <v>5555</v>
      </c>
      <c r="D2521" s="540">
        <v>15.04</v>
      </c>
    </row>
    <row r="2522" spans="1:4" ht="15" x14ac:dyDescent="0.25">
      <c r="A2522" s="304">
        <v>38113</v>
      </c>
      <c r="B2522" s="304" t="s">
        <v>8079</v>
      </c>
      <c r="C2522" s="304" t="s">
        <v>5555</v>
      </c>
      <c r="D2522" s="540">
        <v>8.17</v>
      </c>
    </row>
    <row r="2523" spans="1:4" ht="15" x14ac:dyDescent="0.25">
      <c r="A2523" s="304">
        <v>38063</v>
      </c>
      <c r="B2523" s="304" t="s">
        <v>8080</v>
      </c>
      <c r="C2523" s="304" t="s">
        <v>5555</v>
      </c>
      <c r="D2523" s="540">
        <v>8.77</v>
      </c>
    </row>
    <row r="2524" spans="1:4" ht="15" x14ac:dyDescent="0.25">
      <c r="A2524" s="304">
        <v>38080</v>
      </c>
      <c r="B2524" s="304" t="s">
        <v>8081</v>
      </c>
      <c r="C2524" s="304" t="s">
        <v>5555</v>
      </c>
      <c r="D2524" s="540">
        <v>26.13</v>
      </c>
    </row>
    <row r="2525" spans="1:4" ht="15" x14ac:dyDescent="0.25">
      <c r="A2525" s="304">
        <v>38069</v>
      </c>
      <c r="B2525" s="304" t="s">
        <v>8082</v>
      </c>
      <c r="C2525" s="304" t="s">
        <v>5555</v>
      </c>
      <c r="D2525" s="540">
        <v>14.29</v>
      </c>
    </row>
    <row r="2526" spans="1:4" ht="15" x14ac:dyDescent="0.25">
      <c r="A2526" s="304">
        <v>38077</v>
      </c>
      <c r="B2526" s="304" t="s">
        <v>8083</v>
      </c>
      <c r="C2526" s="304" t="s">
        <v>5555</v>
      </c>
      <c r="D2526" s="540">
        <v>13.96</v>
      </c>
    </row>
    <row r="2527" spans="1:4" ht="15" x14ac:dyDescent="0.25">
      <c r="A2527" s="304">
        <v>38073</v>
      </c>
      <c r="B2527" s="304" t="s">
        <v>8084</v>
      </c>
      <c r="C2527" s="304" t="s">
        <v>5555</v>
      </c>
      <c r="D2527" s="540">
        <v>21.27</v>
      </c>
    </row>
    <row r="2528" spans="1:4" ht="15" x14ac:dyDescent="0.25">
      <c r="A2528" s="304">
        <v>38112</v>
      </c>
      <c r="B2528" s="304" t="s">
        <v>8085</v>
      </c>
      <c r="C2528" s="304" t="s">
        <v>5555</v>
      </c>
      <c r="D2528" s="540">
        <v>6.27</v>
      </c>
    </row>
    <row r="2529" spans="1:4" ht="15" x14ac:dyDescent="0.25">
      <c r="A2529" s="304">
        <v>38062</v>
      </c>
      <c r="B2529" s="304" t="s">
        <v>8086</v>
      </c>
      <c r="C2529" s="304" t="s">
        <v>5555</v>
      </c>
      <c r="D2529" s="540">
        <v>6.44</v>
      </c>
    </row>
    <row r="2530" spans="1:4" ht="15" x14ac:dyDescent="0.25">
      <c r="A2530" s="304">
        <v>12128</v>
      </c>
      <c r="B2530" s="304" t="s">
        <v>8087</v>
      </c>
      <c r="C2530" s="304" t="s">
        <v>5555</v>
      </c>
      <c r="D2530" s="540">
        <v>8.61</v>
      </c>
    </row>
    <row r="2531" spans="1:4" ht="15" x14ac:dyDescent="0.25">
      <c r="A2531" s="304">
        <v>12129</v>
      </c>
      <c r="B2531" s="304" t="s">
        <v>8088</v>
      </c>
      <c r="C2531" s="304" t="s">
        <v>5555</v>
      </c>
      <c r="D2531" s="540">
        <v>11.38</v>
      </c>
    </row>
    <row r="2532" spans="1:4" ht="15" x14ac:dyDescent="0.25">
      <c r="A2532" s="304">
        <v>38081</v>
      </c>
      <c r="B2532" s="304" t="s">
        <v>8089</v>
      </c>
      <c r="C2532" s="304" t="s">
        <v>5555</v>
      </c>
      <c r="D2532" s="540">
        <v>22.16</v>
      </c>
    </row>
    <row r="2533" spans="1:4" ht="15" x14ac:dyDescent="0.25">
      <c r="A2533" s="304">
        <v>38070</v>
      </c>
      <c r="B2533" s="304" t="s">
        <v>8090</v>
      </c>
      <c r="C2533" s="304" t="s">
        <v>5555</v>
      </c>
      <c r="D2533" s="540">
        <v>15.27</v>
      </c>
    </row>
    <row r="2534" spans="1:4" ht="15" x14ac:dyDescent="0.25">
      <c r="A2534" s="304">
        <v>38074</v>
      </c>
      <c r="B2534" s="304" t="s">
        <v>8091</v>
      </c>
      <c r="C2534" s="304" t="s">
        <v>5555</v>
      </c>
      <c r="D2534" s="540">
        <v>23.22</v>
      </c>
    </row>
    <row r="2535" spans="1:4" ht="15" x14ac:dyDescent="0.25">
      <c r="A2535" s="304">
        <v>38079</v>
      </c>
      <c r="B2535" s="304" t="s">
        <v>8092</v>
      </c>
      <c r="C2535" s="304" t="s">
        <v>5555</v>
      </c>
      <c r="D2535" s="540">
        <v>19.93</v>
      </c>
    </row>
    <row r="2536" spans="1:4" ht="15" x14ac:dyDescent="0.25">
      <c r="A2536" s="304">
        <v>38072</v>
      </c>
      <c r="B2536" s="304" t="s">
        <v>8093</v>
      </c>
      <c r="C2536" s="304" t="s">
        <v>5555</v>
      </c>
      <c r="D2536" s="540">
        <v>19.149999999999999</v>
      </c>
    </row>
    <row r="2537" spans="1:4" ht="15" x14ac:dyDescent="0.25">
      <c r="A2537" s="304">
        <v>38068</v>
      </c>
      <c r="B2537" s="304" t="s">
        <v>8094</v>
      </c>
      <c r="C2537" s="304" t="s">
        <v>5555</v>
      </c>
      <c r="D2537" s="540">
        <v>13.22</v>
      </c>
    </row>
    <row r="2538" spans="1:4" ht="15" x14ac:dyDescent="0.25">
      <c r="A2538" s="304">
        <v>38071</v>
      </c>
      <c r="B2538" s="304" t="s">
        <v>8095</v>
      </c>
      <c r="C2538" s="304" t="s">
        <v>5555</v>
      </c>
      <c r="D2538" s="540">
        <v>15.81</v>
      </c>
    </row>
    <row r="2539" spans="1:4" ht="15" x14ac:dyDescent="0.25">
      <c r="A2539" s="304">
        <v>38412</v>
      </c>
      <c r="B2539" s="304" t="s">
        <v>8096</v>
      </c>
      <c r="C2539" s="304" t="s">
        <v>5555</v>
      </c>
      <c r="D2539" s="541">
        <v>1448.94</v>
      </c>
    </row>
    <row r="2540" spans="1:4" ht="15" x14ac:dyDescent="0.25">
      <c r="A2540" s="304">
        <v>3405</v>
      </c>
      <c r="B2540" s="304" t="s">
        <v>8097</v>
      </c>
      <c r="C2540" s="304" t="s">
        <v>5555</v>
      </c>
      <c r="D2540" s="540">
        <v>58.8</v>
      </c>
    </row>
    <row r="2541" spans="1:4" ht="15" x14ac:dyDescent="0.25">
      <c r="A2541" s="304">
        <v>3394</v>
      </c>
      <c r="B2541" s="304" t="s">
        <v>8098</v>
      </c>
      <c r="C2541" s="304" t="s">
        <v>5555</v>
      </c>
      <c r="D2541" s="540">
        <v>310.41000000000003</v>
      </c>
    </row>
    <row r="2542" spans="1:4" ht="15" x14ac:dyDescent="0.25">
      <c r="A2542" s="304">
        <v>3393</v>
      </c>
      <c r="B2542" s="304" t="s">
        <v>8099</v>
      </c>
      <c r="C2542" s="304" t="s">
        <v>5555</v>
      </c>
      <c r="D2542" s="540">
        <v>528.52</v>
      </c>
    </row>
    <row r="2543" spans="1:4" ht="15" x14ac:dyDescent="0.25">
      <c r="A2543" s="304">
        <v>3406</v>
      </c>
      <c r="B2543" s="304" t="s">
        <v>8100</v>
      </c>
      <c r="C2543" s="304" t="s">
        <v>5555</v>
      </c>
      <c r="D2543" s="540">
        <v>18</v>
      </c>
    </row>
    <row r="2544" spans="1:4" ht="15" x14ac:dyDescent="0.25">
      <c r="A2544" s="304">
        <v>3395</v>
      </c>
      <c r="B2544" s="304" t="s">
        <v>8101</v>
      </c>
      <c r="C2544" s="304" t="s">
        <v>5555</v>
      </c>
      <c r="D2544" s="540">
        <v>75.930000000000007</v>
      </c>
    </row>
    <row r="2545" spans="1:4" ht="15" x14ac:dyDescent="0.25">
      <c r="A2545" s="304">
        <v>3398</v>
      </c>
      <c r="B2545" s="304" t="s">
        <v>8102</v>
      </c>
      <c r="C2545" s="304" t="s">
        <v>5555</v>
      </c>
      <c r="D2545" s="540">
        <v>3.61</v>
      </c>
    </row>
    <row r="2546" spans="1:4" ht="15" x14ac:dyDescent="0.25">
      <c r="A2546" s="304">
        <v>34379</v>
      </c>
      <c r="B2546" s="304" t="s">
        <v>8103</v>
      </c>
      <c r="C2546" s="304" t="s">
        <v>5555</v>
      </c>
      <c r="D2546" s="540">
        <v>297.08999999999997</v>
      </c>
    </row>
    <row r="2547" spans="1:4" ht="15" x14ac:dyDescent="0.25">
      <c r="A2547" s="304">
        <v>34378</v>
      </c>
      <c r="B2547" s="304" t="s">
        <v>8104</v>
      </c>
      <c r="C2547" s="304" t="s">
        <v>5555</v>
      </c>
      <c r="D2547" s="540">
        <v>239.29</v>
      </c>
    </row>
    <row r="2548" spans="1:4" ht="15" x14ac:dyDescent="0.25">
      <c r="A2548" s="304">
        <v>34377</v>
      </c>
      <c r="B2548" s="304" t="s">
        <v>8105</v>
      </c>
      <c r="C2548" s="304" t="s">
        <v>5555</v>
      </c>
      <c r="D2548" s="540">
        <v>220.67</v>
      </c>
    </row>
    <row r="2549" spans="1:4" ht="15" x14ac:dyDescent="0.25">
      <c r="A2549" s="304">
        <v>581</v>
      </c>
      <c r="B2549" s="304" t="s">
        <v>8106</v>
      </c>
      <c r="C2549" s="304" t="s">
        <v>5564</v>
      </c>
      <c r="D2549" s="540">
        <v>419.13</v>
      </c>
    </row>
    <row r="2550" spans="1:4" ht="15" x14ac:dyDescent="0.25">
      <c r="A2550" s="304">
        <v>40662</v>
      </c>
      <c r="B2550" s="304" t="s">
        <v>8107</v>
      </c>
      <c r="C2550" s="304" t="s">
        <v>5555</v>
      </c>
      <c r="D2550" s="540">
        <v>193.37</v>
      </c>
    </row>
    <row r="2551" spans="1:4" ht="15" x14ac:dyDescent="0.25">
      <c r="A2551" s="304">
        <v>3437</v>
      </c>
      <c r="B2551" s="304" t="s">
        <v>8108</v>
      </c>
      <c r="C2551" s="304" t="s">
        <v>5564</v>
      </c>
      <c r="D2551" s="540">
        <v>537.15</v>
      </c>
    </row>
    <row r="2552" spans="1:4" ht="15" x14ac:dyDescent="0.25">
      <c r="A2552" s="304">
        <v>11183</v>
      </c>
      <c r="B2552" s="304" t="s">
        <v>8109</v>
      </c>
      <c r="C2552" s="304" t="s">
        <v>5555</v>
      </c>
      <c r="D2552" s="540">
        <v>380.05</v>
      </c>
    </row>
    <row r="2553" spans="1:4" ht="15" x14ac:dyDescent="0.25">
      <c r="A2553" s="304">
        <v>11190</v>
      </c>
      <c r="B2553" s="304" t="s">
        <v>8110</v>
      </c>
      <c r="C2553" s="304" t="s">
        <v>5555</v>
      </c>
      <c r="D2553" s="540">
        <v>176.3</v>
      </c>
    </row>
    <row r="2554" spans="1:4" ht="15" x14ac:dyDescent="0.25">
      <c r="A2554" s="304">
        <v>616</v>
      </c>
      <c r="B2554" s="304" t="s">
        <v>8111</v>
      </c>
      <c r="C2554" s="304" t="s">
        <v>5555</v>
      </c>
      <c r="D2554" s="540">
        <v>207.34</v>
      </c>
    </row>
    <row r="2555" spans="1:4" ht="15" x14ac:dyDescent="0.25">
      <c r="A2555" s="304">
        <v>615</v>
      </c>
      <c r="B2555" s="304" t="s">
        <v>8111</v>
      </c>
      <c r="C2555" s="304" t="s">
        <v>5564</v>
      </c>
      <c r="D2555" s="540">
        <v>431.96</v>
      </c>
    </row>
    <row r="2556" spans="1:4" ht="15" x14ac:dyDescent="0.25">
      <c r="A2556" s="304">
        <v>11192</v>
      </c>
      <c r="B2556" s="304" t="s">
        <v>8112</v>
      </c>
      <c r="C2556" s="304" t="s">
        <v>5555</v>
      </c>
      <c r="D2556" s="540">
        <v>324.38</v>
      </c>
    </row>
    <row r="2557" spans="1:4" ht="15" x14ac:dyDescent="0.25">
      <c r="A2557" s="304">
        <v>11231</v>
      </c>
      <c r="B2557" s="304" t="s">
        <v>8112</v>
      </c>
      <c r="C2557" s="304" t="s">
        <v>5564</v>
      </c>
      <c r="D2557" s="540">
        <v>506.84</v>
      </c>
    </row>
    <row r="2558" spans="1:4" ht="15" x14ac:dyDescent="0.25">
      <c r="A2558" s="304">
        <v>3428</v>
      </c>
      <c r="B2558" s="304" t="s">
        <v>8113</v>
      </c>
      <c r="C2558" s="304" t="s">
        <v>5564</v>
      </c>
      <c r="D2558" s="540">
        <v>796.77</v>
      </c>
    </row>
    <row r="2559" spans="1:4" ht="15" x14ac:dyDescent="0.25">
      <c r="A2559" s="304">
        <v>3429</v>
      </c>
      <c r="B2559" s="304" t="s">
        <v>8114</v>
      </c>
      <c r="C2559" s="304" t="s">
        <v>5564</v>
      </c>
      <c r="D2559" s="540">
        <v>455.23</v>
      </c>
    </row>
    <row r="2560" spans="1:4" ht="15" x14ac:dyDescent="0.25">
      <c r="A2560" s="304">
        <v>34371</v>
      </c>
      <c r="B2560" s="304" t="s">
        <v>8115</v>
      </c>
      <c r="C2560" s="304" t="s">
        <v>5555</v>
      </c>
      <c r="D2560" s="540">
        <v>807.73</v>
      </c>
    </row>
    <row r="2561" spans="1:4" ht="15" x14ac:dyDescent="0.25">
      <c r="A2561" s="304">
        <v>34370</v>
      </c>
      <c r="B2561" s="304" t="s">
        <v>8116</v>
      </c>
      <c r="C2561" s="304" t="s">
        <v>5555</v>
      </c>
      <c r="D2561" s="540">
        <v>669.85</v>
      </c>
    </row>
    <row r="2562" spans="1:4" ht="15" x14ac:dyDescent="0.25">
      <c r="A2562" s="304">
        <v>34372</v>
      </c>
      <c r="B2562" s="304" t="s">
        <v>8117</v>
      </c>
      <c r="C2562" s="304" t="s">
        <v>5555</v>
      </c>
      <c r="D2562" s="540">
        <v>931.86</v>
      </c>
    </row>
    <row r="2563" spans="1:4" ht="15" x14ac:dyDescent="0.25">
      <c r="A2563" s="304">
        <v>34373</v>
      </c>
      <c r="B2563" s="304" t="s">
        <v>8118</v>
      </c>
      <c r="C2563" s="304" t="s">
        <v>5555</v>
      </c>
      <c r="D2563" s="541">
        <v>1153.5</v>
      </c>
    </row>
    <row r="2564" spans="1:4" ht="15" x14ac:dyDescent="0.25">
      <c r="A2564" s="304">
        <v>36896</v>
      </c>
      <c r="B2564" s="304" t="s">
        <v>8119</v>
      </c>
      <c r="C2564" s="304" t="s">
        <v>5555</v>
      </c>
      <c r="D2564" s="540">
        <v>384.35</v>
      </c>
    </row>
    <row r="2565" spans="1:4" ht="15" x14ac:dyDescent="0.25">
      <c r="A2565" s="304">
        <v>34367</v>
      </c>
      <c r="B2565" s="304" t="s">
        <v>8120</v>
      </c>
      <c r="C2565" s="304" t="s">
        <v>5555</v>
      </c>
      <c r="D2565" s="540">
        <v>451.47</v>
      </c>
    </row>
    <row r="2566" spans="1:4" ht="15" x14ac:dyDescent="0.25">
      <c r="A2566" s="304">
        <v>36897</v>
      </c>
      <c r="B2566" s="304" t="s">
        <v>8121</v>
      </c>
      <c r="C2566" s="304" t="s">
        <v>5555</v>
      </c>
      <c r="D2566" s="540">
        <v>532.38</v>
      </c>
    </row>
    <row r="2567" spans="1:4" ht="15" x14ac:dyDescent="0.25">
      <c r="A2567" s="304">
        <v>36884</v>
      </c>
      <c r="B2567" s="304" t="s">
        <v>8121</v>
      </c>
      <c r="C2567" s="304" t="s">
        <v>5564</v>
      </c>
      <c r="D2567" s="540">
        <v>373.92</v>
      </c>
    </row>
    <row r="2568" spans="1:4" ht="15" x14ac:dyDescent="0.25">
      <c r="A2568" s="304">
        <v>597</v>
      </c>
      <c r="B2568" s="304" t="s">
        <v>8122</v>
      </c>
      <c r="C2568" s="304" t="s">
        <v>5564</v>
      </c>
      <c r="D2568" s="540">
        <v>393.23</v>
      </c>
    </row>
    <row r="2569" spans="1:4" ht="15" x14ac:dyDescent="0.25">
      <c r="A2569" s="304">
        <v>34369</v>
      </c>
      <c r="B2569" s="304" t="s">
        <v>8123</v>
      </c>
      <c r="C2569" s="304" t="s">
        <v>5555</v>
      </c>
      <c r="D2569" s="540">
        <v>630.77</v>
      </c>
    </row>
    <row r="2570" spans="1:4" ht="15" x14ac:dyDescent="0.25">
      <c r="A2570" s="304">
        <v>34362</v>
      </c>
      <c r="B2570" s="304" t="s">
        <v>8124</v>
      </c>
      <c r="C2570" s="304" t="s">
        <v>5555</v>
      </c>
      <c r="D2570" s="540">
        <v>437.68</v>
      </c>
    </row>
    <row r="2571" spans="1:4" ht="15" x14ac:dyDescent="0.25">
      <c r="A2571" s="304">
        <v>34363</v>
      </c>
      <c r="B2571" s="304" t="s">
        <v>8125</v>
      </c>
      <c r="C2571" s="304" t="s">
        <v>5555</v>
      </c>
      <c r="D2571" s="540">
        <v>494.68</v>
      </c>
    </row>
    <row r="2572" spans="1:4" ht="15" x14ac:dyDescent="0.25">
      <c r="A2572" s="304">
        <v>34364</v>
      </c>
      <c r="B2572" s="304" t="s">
        <v>8126</v>
      </c>
      <c r="C2572" s="304" t="s">
        <v>5555</v>
      </c>
      <c r="D2572" s="540">
        <v>616.98</v>
      </c>
    </row>
    <row r="2573" spans="1:4" ht="15" x14ac:dyDescent="0.25">
      <c r="A2573" s="304">
        <v>34365</v>
      </c>
      <c r="B2573" s="304" t="s">
        <v>8127</v>
      </c>
      <c r="C2573" s="304" t="s">
        <v>5555</v>
      </c>
      <c r="D2573" s="540">
        <v>695.14</v>
      </c>
    </row>
    <row r="2574" spans="1:4" ht="15" x14ac:dyDescent="0.25">
      <c r="A2574" s="304">
        <v>11199</v>
      </c>
      <c r="B2574" s="304" t="s">
        <v>8128</v>
      </c>
      <c r="C2574" s="304" t="s">
        <v>5555</v>
      </c>
      <c r="D2574" s="540">
        <v>973.67</v>
      </c>
    </row>
    <row r="2575" spans="1:4" ht="15" x14ac:dyDescent="0.25">
      <c r="A2575" s="304">
        <v>34801</v>
      </c>
      <c r="B2575" s="304" t="s">
        <v>8129</v>
      </c>
      <c r="C2575" s="304" t="s">
        <v>5555</v>
      </c>
      <c r="D2575" s="541">
        <v>1221.4100000000001</v>
      </c>
    </row>
    <row r="2576" spans="1:4" ht="15" x14ac:dyDescent="0.25">
      <c r="A2576" s="304">
        <v>34799</v>
      </c>
      <c r="B2576" s="304" t="s">
        <v>8130</v>
      </c>
      <c r="C2576" s="304" t="s">
        <v>5555</v>
      </c>
      <c r="D2576" s="541">
        <v>1506.24</v>
      </c>
    </row>
    <row r="2577" spans="1:4" ht="15" x14ac:dyDescent="0.25">
      <c r="A2577" s="304">
        <v>622</v>
      </c>
      <c r="B2577" s="304" t="s">
        <v>8131</v>
      </c>
      <c r="C2577" s="304" t="s">
        <v>5555</v>
      </c>
      <c r="D2577" s="540">
        <v>678.11</v>
      </c>
    </row>
    <row r="2578" spans="1:4" ht="15" x14ac:dyDescent="0.25">
      <c r="A2578" s="304">
        <v>34805</v>
      </c>
      <c r="B2578" s="304" t="s">
        <v>8132</v>
      </c>
      <c r="C2578" s="304" t="s">
        <v>5564</v>
      </c>
      <c r="D2578" s="540">
        <v>507.52</v>
      </c>
    </row>
    <row r="2579" spans="1:4" ht="15" x14ac:dyDescent="0.25">
      <c r="A2579" s="304">
        <v>34803</v>
      </c>
      <c r="B2579" s="304" t="s">
        <v>8133</v>
      </c>
      <c r="C2579" s="304" t="s">
        <v>5555</v>
      </c>
      <c r="D2579" s="540">
        <v>613.70000000000005</v>
      </c>
    </row>
    <row r="2580" spans="1:4" ht="15" x14ac:dyDescent="0.25">
      <c r="A2580" s="304">
        <v>606</v>
      </c>
      <c r="B2580" s="304" t="s">
        <v>8134</v>
      </c>
      <c r="C2580" s="304" t="s">
        <v>5564</v>
      </c>
      <c r="D2580" s="540">
        <v>678.56</v>
      </c>
    </row>
    <row r="2581" spans="1:4" ht="15" x14ac:dyDescent="0.25">
      <c r="A2581" s="304">
        <v>11227</v>
      </c>
      <c r="B2581" s="304" t="s">
        <v>8135</v>
      </c>
      <c r="C2581" s="304" t="s">
        <v>5555</v>
      </c>
      <c r="D2581" s="540">
        <v>718.7</v>
      </c>
    </row>
    <row r="2582" spans="1:4" ht="15" x14ac:dyDescent="0.25">
      <c r="A2582" s="304">
        <v>11193</v>
      </c>
      <c r="B2582" s="304" t="s">
        <v>8136</v>
      </c>
      <c r="C2582" s="304" t="s">
        <v>5564</v>
      </c>
      <c r="D2582" s="540">
        <v>687.99</v>
      </c>
    </row>
    <row r="2583" spans="1:4" ht="15" x14ac:dyDescent="0.25">
      <c r="A2583" s="304">
        <v>11194</v>
      </c>
      <c r="B2583" s="304" t="s">
        <v>8137</v>
      </c>
      <c r="C2583" s="304" t="s">
        <v>5564</v>
      </c>
      <c r="D2583" s="540">
        <v>619.45000000000005</v>
      </c>
    </row>
    <row r="2584" spans="1:4" ht="15" x14ac:dyDescent="0.25">
      <c r="A2584" s="304">
        <v>605</v>
      </c>
      <c r="B2584" s="304" t="s">
        <v>8138</v>
      </c>
      <c r="C2584" s="304" t="s">
        <v>5564</v>
      </c>
      <c r="D2584" s="540">
        <v>777.97</v>
      </c>
    </row>
    <row r="2585" spans="1:4" ht="15" x14ac:dyDescent="0.25">
      <c r="A2585" s="304">
        <v>11197</v>
      </c>
      <c r="B2585" s="304" t="s">
        <v>8139</v>
      </c>
      <c r="C2585" s="304" t="s">
        <v>5555</v>
      </c>
      <c r="D2585" s="540">
        <v>942.21</v>
      </c>
    </row>
    <row r="2586" spans="1:4" ht="15" x14ac:dyDescent="0.25">
      <c r="A2586" s="304">
        <v>40659</v>
      </c>
      <c r="B2586" s="304" t="s">
        <v>8140</v>
      </c>
      <c r="C2586" s="304" t="s">
        <v>5564</v>
      </c>
      <c r="D2586" s="540">
        <v>759.99</v>
      </c>
    </row>
    <row r="2587" spans="1:4" ht="15" x14ac:dyDescent="0.25">
      <c r="A2587" s="304">
        <v>40660</v>
      </c>
      <c r="B2587" s="304" t="s">
        <v>8141</v>
      </c>
      <c r="C2587" s="304" t="s">
        <v>5564</v>
      </c>
      <c r="D2587" s="540">
        <v>963.19</v>
      </c>
    </row>
    <row r="2588" spans="1:4" ht="15" x14ac:dyDescent="0.25">
      <c r="A2588" s="304">
        <v>40661</v>
      </c>
      <c r="B2588" s="304" t="s">
        <v>8142</v>
      </c>
      <c r="C2588" s="304" t="s">
        <v>5564</v>
      </c>
      <c r="D2588" s="540">
        <v>592.20000000000005</v>
      </c>
    </row>
    <row r="2589" spans="1:4" ht="15" x14ac:dyDescent="0.25">
      <c r="A2589" s="304">
        <v>3421</v>
      </c>
      <c r="B2589" s="304" t="s">
        <v>8143</v>
      </c>
      <c r="C2589" s="304" t="s">
        <v>5564</v>
      </c>
      <c r="D2589" s="540">
        <v>596.73</v>
      </c>
    </row>
    <row r="2590" spans="1:4" ht="15" x14ac:dyDescent="0.25">
      <c r="A2590" s="304">
        <v>599</v>
      </c>
      <c r="B2590" s="304" t="s">
        <v>8144</v>
      </c>
      <c r="C2590" s="304" t="s">
        <v>5564</v>
      </c>
      <c r="D2590" s="540">
        <v>333.31</v>
      </c>
    </row>
    <row r="2591" spans="1:4" ht="15" x14ac:dyDescent="0.25">
      <c r="A2591" s="304">
        <v>34380</v>
      </c>
      <c r="B2591" s="304" t="s">
        <v>8145</v>
      </c>
      <c r="C2591" s="304" t="s">
        <v>5555</v>
      </c>
      <c r="D2591" s="540">
        <v>172.86</v>
      </c>
    </row>
    <row r="2592" spans="1:4" ht="15" x14ac:dyDescent="0.25">
      <c r="A2592" s="304">
        <v>34381</v>
      </c>
      <c r="B2592" s="304" t="s">
        <v>8146</v>
      </c>
      <c r="C2592" s="304" t="s">
        <v>5555</v>
      </c>
      <c r="D2592" s="540">
        <v>225.27</v>
      </c>
    </row>
    <row r="2593" spans="1:4" ht="15" x14ac:dyDescent="0.25">
      <c r="A2593" s="304">
        <v>601</v>
      </c>
      <c r="B2593" s="304" t="s">
        <v>8146</v>
      </c>
      <c r="C2593" s="304" t="s">
        <v>5564</v>
      </c>
      <c r="D2593" s="540">
        <v>449.64</v>
      </c>
    </row>
    <row r="2594" spans="1:4" ht="15" x14ac:dyDescent="0.25">
      <c r="A2594" s="304">
        <v>3423</v>
      </c>
      <c r="B2594" s="304" t="s">
        <v>8147</v>
      </c>
      <c r="C2594" s="304" t="s">
        <v>5564</v>
      </c>
      <c r="D2594" s="540">
        <v>841.53</v>
      </c>
    </row>
    <row r="2595" spans="1:4" ht="15" x14ac:dyDescent="0.25">
      <c r="A2595" s="304">
        <v>34797</v>
      </c>
      <c r="B2595" s="304" t="s">
        <v>8148</v>
      </c>
      <c r="C2595" s="304" t="s">
        <v>5555</v>
      </c>
      <c r="D2595" s="540">
        <v>384.01</v>
      </c>
    </row>
    <row r="2596" spans="1:4" ht="15" x14ac:dyDescent="0.25">
      <c r="A2596" s="304">
        <v>624</v>
      </c>
      <c r="B2596" s="304" t="s">
        <v>8149</v>
      </c>
      <c r="C2596" s="304" t="s">
        <v>5564</v>
      </c>
      <c r="D2596" s="540">
        <v>800.02</v>
      </c>
    </row>
    <row r="2597" spans="1:4" ht="15" x14ac:dyDescent="0.25">
      <c r="A2597" s="304">
        <v>623</v>
      </c>
      <c r="B2597" s="304" t="s">
        <v>8150</v>
      </c>
      <c r="C2597" s="304" t="s">
        <v>5564</v>
      </c>
      <c r="D2597" s="540">
        <v>300.41000000000003</v>
      </c>
    </row>
    <row r="2598" spans="1:4" ht="15" x14ac:dyDescent="0.25">
      <c r="A2598" s="304">
        <v>25964</v>
      </c>
      <c r="B2598" s="304" t="s">
        <v>8151</v>
      </c>
      <c r="C2598" s="304" t="s">
        <v>5566</v>
      </c>
      <c r="D2598" s="540">
        <v>14.88</v>
      </c>
    </row>
    <row r="2599" spans="1:4" ht="15" x14ac:dyDescent="0.25">
      <c r="A2599" s="304">
        <v>41077</v>
      </c>
      <c r="B2599" s="304" t="s">
        <v>8152</v>
      </c>
      <c r="C2599" s="304" t="s">
        <v>5755</v>
      </c>
      <c r="D2599" s="541">
        <v>2607.87</v>
      </c>
    </row>
    <row r="2600" spans="1:4" ht="15" x14ac:dyDescent="0.25">
      <c r="A2600" s="304">
        <v>20159</v>
      </c>
      <c r="B2600" s="304" t="s">
        <v>8153</v>
      </c>
      <c r="C2600" s="304" t="s">
        <v>5555</v>
      </c>
      <c r="D2600" s="540">
        <v>33.61</v>
      </c>
    </row>
    <row r="2601" spans="1:4" ht="15" x14ac:dyDescent="0.25">
      <c r="A2601" s="304">
        <v>37963</v>
      </c>
      <c r="B2601" s="304" t="s">
        <v>8154</v>
      </c>
      <c r="C2601" s="304" t="s">
        <v>5555</v>
      </c>
      <c r="D2601" s="540">
        <v>2.44</v>
      </c>
    </row>
    <row r="2602" spans="1:4" ht="15" x14ac:dyDescent="0.25">
      <c r="A2602" s="304">
        <v>37964</v>
      </c>
      <c r="B2602" s="304" t="s">
        <v>8155</v>
      </c>
      <c r="C2602" s="304" t="s">
        <v>5555</v>
      </c>
      <c r="D2602" s="540">
        <v>4.08</v>
      </c>
    </row>
    <row r="2603" spans="1:4" ht="15" x14ac:dyDescent="0.25">
      <c r="A2603" s="304">
        <v>37965</v>
      </c>
      <c r="B2603" s="304" t="s">
        <v>8156</v>
      </c>
      <c r="C2603" s="304" t="s">
        <v>5555</v>
      </c>
      <c r="D2603" s="540">
        <v>5.91</v>
      </c>
    </row>
    <row r="2604" spans="1:4" ht="15" x14ac:dyDescent="0.25">
      <c r="A2604" s="304">
        <v>37966</v>
      </c>
      <c r="B2604" s="304" t="s">
        <v>8157</v>
      </c>
      <c r="C2604" s="304" t="s">
        <v>5555</v>
      </c>
      <c r="D2604" s="540">
        <v>10.71</v>
      </c>
    </row>
    <row r="2605" spans="1:4" ht="15" x14ac:dyDescent="0.25">
      <c r="A2605" s="304">
        <v>37967</v>
      </c>
      <c r="B2605" s="304" t="s">
        <v>8158</v>
      </c>
      <c r="C2605" s="304" t="s">
        <v>5555</v>
      </c>
      <c r="D2605" s="540">
        <v>17.18</v>
      </c>
    </row>
    <row r="2606" spans="1:4" ht="15" x14ac:dyDescent="0.25">
      <c r="A2606" s="304">
        <v>37968</v>
      </c>
      <c r="B2606" s="304" t="s">
        <v>8159</v>
      </c>
      <c r="C2606" s="304" t="s">
        <v>5555</v>
      </c>
      <c r="D2606" s="540">
        <v>37.68</v>
      </c>
    </row>
    <row r="2607" spans="1:4" ht="15" x14ac:dyDescent="0.25">
      <c r="A2607" s="304">
        <v>37969</v>
      </c>
      <c r="B2607" s="304" t="s">
        <v>8160</v>
      </c>
      <c r="C2607" s="304" t="s">
        <v>5555</v>
      </c>
      <c r="D2607" s="540">
        <v>100.66</v>
      </c>
    </row>
    <row r="2608" spans="1:4" ht="15" x14ac:dyDescent="0.25">
      <c r="A2608" s="304">
        <v>37970</v>
      </c>
      <c r="B2608" s="304" t="s">
        <v>8161</v>
      </c>
      <c r="C2608" s="304" t="s">
        <v>5555</v>
      </c>
      <c r="D2608" s="540">
        <v>117.43</v>
      </c>
    </row>
    <row r="2609" spans="1:4" ht="15" x14ac:dyDescent="0.25">
      <c r="A2609" s="304">
        <v>21118</v>
      </c>
      <c r="B2609" s="304" t="s">
        <v>8162</v>
      </c>
      <c r="C2609" s="304" t="s">
        <v>5555</v>
      </c>
      <c r="D2609" s="540">
        <v>1.85</v>
      </c>
    </row>
    <row r="2610" spans="1:4" ht="15" x14ac:dyDescent="0.25">
      <c r="A2610" s="304">
        <v>37956</v>
      </c>
      <c r="B2610" s="304" t="s">
        <v>8163</v>
      </c>
      <c r="C2610" s="304" t="s">
        <v>5555</v>
      </c>
      <c r="D2610" s="540">
        <v>2.93</v>
      </c>
    </row>
    <row r="2611" spans="1:4" ht="15" x14ac:dyDescent="0.25">
      <c r="A2611" s="304">
        <v>37957</v>
      </c>
      <c r="B2611" s="304" t="s">
        <v>8164</v>
      </c>
      <c r="C2611" s="304" t="s">
        <v>5555</v>
      </c>
      <c r="D2611" s="540">
        <v>6.18</v>
      </c>
    </row>
    <row r="2612" spans="1:4" ht="15" x14ac:dyDescent="0.25">
      <c r="A2612" s="304">
        <v>37958</v>
      </c>
      <c r="B2612" s="304" t="s">
        <v>8165</v>
      </c>
      <c r="C2612" s="304" t="s">
        <v>5555</v>
      </c>
      <c r="D2612" s="540">
        <v>10.71</v>
      </c>
    </row>
    <row r="2613" spans="1:4" ht="15" x14ac:dyDescent="0.25">
      <c r="A2613" s="304">
        <v>37959</v>
      </c>
      <c r="B2613" s="304" t="s">
        <v>8166</v>
      </c>
      <c r="C2613" s="304" t="s">
        <v>5555</v>
      </c>
      <c r="D2613" s="540">
        <v>17.18</v>
      </c>
    </row>
    <row r="2614" spans="1:4" ht="15" x14ac:dyDescent="0.25">
      <c r="A2614" s="304">
        <v>37960</v>
      </c>
      <c r="B2614" s="304" t="s">
        <v>8167</v>
      </c>
      <c r="C2614" s="304" t="s">
        <v>5555</v>
      </c>
      <c r="D2614" s="540">
        <v>37</v>
      </c>
    </row>
    <row r="2615" spans="1:4" ht="15" x14ac:dyDescent="0.25">
      <c r="A2615" s="304">
        <v>37961</v>
      </c>
      <c r="B2615" s="304" t="s">
        <v>8168</v>
      </c>
      <c r="C2615" s="304" t="s">
        <v>5555</v>
      </c>
      <c r="D2615" s="540">
        <v>98.16</v>
      </c>
    </row>
    <row r="2616" spans="1:4" ht="15" x14ac:dyDescent="0.25">
      <c r="A2616" s="304">
        <v>37962</v>
      </c>
      <c r="B2616" s="304" t="s">
        <v>8169</v>
      </c>
      <c r="C2616" s="304" t="s">
        <v>5555</v>
      </c>
      <c r="D2616" s="540">
        <v>114.06</v>
      </c>
    </row>
    <row r="2617" spans="1:4" ht="15" x14ac:dyDescent="0.25">
      <c r="A2617" s="304">
        <v>3533</v>
      </c>
      <c r="B2617" s="304" t="s">
        <v>8170</v>
      </c>
      <c r="C2617" s="304" t="s">
        <v>5555</v>
      </c>
      <c r="D2617" s="540">
        <v>1.84</v>
      </c>
    </row>
    <row r="2618" spans="1:4" ht="15" x14ac:dyDescent="0.25">
      <c r="A2618" s="304">
        <v>3538</v>
      </c>
      <c r="B2618" s="304" t="s">
        <v>8171</v>
      </c>
      <c r="C2618" s="304" t="s">
        <v>5555</v>
      </c>
      <c r="D2618" s="540">
        <v>3.17</v>
      </c>
    </row>
    <row r="2619" spans="1:4" ht="15" x14ac:dyDescent="0.25">
      <c r="A2619" s="304">
        <v>3497</v>
      </c>
      <c r="B2619" s="304" t="s">
        <v>8172</v>
      </c>
      <c r="C2619" s="304" t="s">
        <v>5555</v>
      </c>
      <c r="D2619" s="540">
        <v>11.86</v>
      </c>
    </row>
    <row r="2620" spans="1:4" ht="15" x14ac:dyDescent="0.25">
      <c r="A2620" s="304">
        <v>3498</v>
      </c>
      <c r="B2620" s="304" t="s">
        <v>8173</v>
      </c>
      <c r="C2620" s="304" t="s">
        <v>5555</v>
      </c>
      <c r="D2620" s="540">
        <v>3.76</v>
      </c>
    </row>
    <row r="2621" spans="1:4" ht="15" x14ac:dyDescent="0.25">
      <c r="A2621" s="304">
        <v>3496</v>
      </c>
      <c r="B2621" s="304" t="s">
        <v>8174</v>
      </c>
      <c r="C2621" s="304" t="s">
        <v>5555</v>
      </c>
      <c r="D2621" s="540">
        <v>3.04</v>
      </c>
    </row>
    <row r="2622" spans="1:4" ht="15" x14ac:dyDescent="0.25">
      <c r="A2622" s="304">
        <v>38429</v>
      </c>
      <c r="B2622" s="304" t="s">
        <v>8175</v>
      </c>
      <c r="C2622" s="304" t="s">
        <v>5555</v>
      </c>
      <c r="D2622" s="540">
        <v>6.25</v>
      </c>
    </row>
    <row r="2623" spans="1:4" ht="15" x14ac:dyDescent="0.25">
      <c r="A2623" s="304">
        <v>38431</v>
      </c>
      <c r="B2623" s="304" t="s">
        <v>8176</v>
      </c>
      <c r="C2623" s="304" t="s">
        <v>5555</v>
      </c>
      <c r="D2623" s="540">
        <v>9.9</v>
      </c>
    </row>
    <row r="2624" spans="1:4" ht="15" x14ac:dyDescent="0.25">
      <c r="A2624" s="304">
        <v>38430</v>
      </c>
      <c r="B2624" s="304" t="s">
        <v>8177</v>
      </c>
      <c r="C2624" s="304" t="s">
        <v>5555</v>
      </c>
      <c r="D2624" s="540">
        <v>12.64</v>
      </c>
    </row>
    <row r="2625" spans="1:4" ht="15" x14ac:dyDescent="0.25">
      <c r="A2625" s="304">
        <v>36348</v>
      </c>
      <c r="B2625" s="304" t="s">
        <v>8178</v>
      </c>
      <c r="C2625" s="304" t="s">
        <v>5555</v>
      </c>
      <c r="D2625" s="540">
        <v>1.03</v>
      </c>
    </row>
    <row r="2626" spans="1:4" ht="15" x14ac:dyDescent="0.25">
      <c r="A2626" s="304">
        <v>36349</v>
      </c>
      <c r="B2626" s="304" t="s">
        <v>8179</v>
      </c>
      <c r="C2626" s="304" t="s">
        <v>5555</v>
      </c>
      <c r="D2626" s="540">
        <v>1.55</v>
      </c>
    </row>
    <row r="2627" spans="1:4" ht="15" x14ac:dyDescent="0.25">
      <c r="A2627" s="304">
        <v>38433</v>
      </c>
      <c r="B2627" s="304" t="s">
        <v>8180</v>
      </c>
      <c r="C2627" s="304" t="s">
        <v>5555</v>
      </c>
      <c r="D2627" s="540">
        <v>2.87</v>
      </c>
    </row>
    <row r="2628" spans="1:4" ht="15" x14ac:dyDescent="0.25">
      <c r="A2628" s="304">
        <v>38440</v>
      </c>
      <c r="B2628" s="304" t="s">
        <v>8181</v>
      </c>
      <c r="C2628" s="304" t="s">
        <v>5555</v>
      </c>
      <c r="D2628" s="540">
        <v>99.25</v>
      </c>
    </row>
    <row r="2629" spans="1:4" ht="15" x14ac:dyDescent="0.25">
      <c r="A2629" s="304">
        <v>36359</v>
      </c>
      <c r="B2629" s="304" t="s">
        <v>8182</v>
      </c>
      <c r="C2629" s="304" t="s">
        <v>5555</v>
      </c>
      <c r="D2629" s="540">
        <v>1.23</v>
      </c>
    </row>
    <row r="2630" spans="1:4" ht="15" x14ac:dyDescent="0.25">
      <c r="A2630" s="304">
        <v>36360</v>
      </c>
      <c r="B2630" s="304" t="s">
        <v>8183</v>
      </c>
      <c r="C2630" s="304" t="s">
        <v>5555</v>
      </c>
      <c r="D2630" s="540">
        <v>1.9</v>
      </c>
    </row>
    <row r="2631" spans="1:4" ht="15" x14ac:dyDescent="0.25">
      <c r="A2631" s="304">
        <v>38434</v>
      </c>
      <c r="B2631" s="304" t="s">
        <v>8184</v>
      </c>
      <c r="C2631" s="304" t="s">
        <v>5555</v>
      </c>
      <c r="D2631" s="540">
        <v>2.91</v>
      </c>
    </row>
    <row r="2632" spans="1:4" ht="15" x14ac:dyDescent="0.25">
      <c r="A2632" s="304">
        <v>38435</v>
      </c>
      <c r="B2632" s="304" t="s">
        <v>8185</v>
      </c>
      <c r="C2632" s="304" t="s">
        <v>5555</v>
      </c>
      <c r="D2632" s="540">
        <v>5.53</v>
      </c>
    </row>
    <row r="2633" spans="1:4" ht="15" x14ac:dyDescent="0.25">
      <c r="A2633" s="304">
        <v>38436</v>
      </c>
      <c r="B2633" s="304" t="s">
        <v>8186</v>
      </c>
      <c r="C2633" s="304" t="s">
        <v>5555</v>
      </c>
      <c r="D2633" s="540">
        <v>11.44</v>
      </c>
    </row>
    <row r="2634" spans="1:4" ht="15" x14ac:dyDescent="0.25">
      <c r="A2634" s="304">
        <v>38437</v>
      </c>
      <c r="B2634" s="304" t="s">
        <v>8187</v>
      </c>
      <c r="C2634" s="304" t="s">
        <v>5555</v>
      </c>
      <c r="D2634" s="540">
        <v>17.18</v>
      </c>
    </row>
    <row r="2635" spans="1:4" ht="15" x14ac:dyDescent="0.25">
      <c r="A2635" s="304">
        <v>38438</v>
      </c>
      <c r="B2635" s="304" t="s">
        <v>8188</v>
      </c>
      <c r="C2635" s="304" t="s">
        <v>5555</v>
      </c>
      <c r="D2635" s="540">
        <v>43.41</v>
      </c>
    </row>
    <row r="2636" spans="1:4" ht="15" x14ac:dyDescent="0.25">
      <c r="A2636" s="304">
        <v>38439</v>
      </c>
      <c r="B2636" s="304" t="s">
        <v>8189</v>
      </c>
      <c r="C2636" s="304" t="s">
        <v>5555</v>
      </c>
      <c r="D2636" s="540">
        <v>66.17</v>
      </c>
    </row>
    <row r="2637" spans="1:4" ht="15" x14ac:dyDescent="0.25">
      <c r="A2637" s="304">
        <v>10836</v>
      </c>
      <c r="B2637" s="304" t="s">
        <v>8190</v>
      </c>
      <c r="C2637" s="304" t="s">
        <v>5555</v>
      </c>
      <c r="D2637" s="540">
        <v>11.78</v>
      </c>
    </row>
    <row r="2638" spans="1:4" ht="15" x14ac:dyDescent="0.25">
      <c r="A2638" s="304">
        <v>20128</v>
      </c>
      <c r="B2638" s="304" t="s">
        <v>8191</v>
      </c>
      <c r="C2638" s="304" t="s">
        <v>5555</v>
      </c>
      <c r="D2638" s="540">
        <v>34.53</v>
      </c>
    </row>
    <row r="2639" spans="1:4" ht="15" x14ac:dyDescent="0.25">
      <c r="A2639" s="304">
        <v>20131</v>
      </c>
      <c r="B2639" s="304" t="s">
        <v>8192</v>
      </c>
      <c r="C2639" s="304" t="s">
        <v>5555</v>
      </c>
      <c r="D2639" s="540">
        <v>31.52</v>
      </c>
    </row>
    <row r="2640" spans="1:4" ht="15" x14ac:dyDescent="0.25">
      <c r="A2640" s="304">
        <v>3521</v>
      </c>
      <c r="B2640" s="304" t="s">
        <v>8193</v>
      </c>
      <c r="C2640" s="304" t="s">
        <v>5555</v>
      </c>
      <c r="D2640" s="540">
        <v>1.6</v>
      </c>
    </row>
    <row r="2641" spans="1:4" ht="15" x14ac:dyDescent="0.25">
      <c r="A2641" s="304">
        <v>3531</v>
      </c>
      <c r="B2641" s="304" t="s">
        <v>8194</v>
      </c>
      <c r="C2641" s="304" t="s">
        <v>5555</v>
      </c>
      <c r="D2641" s="540">
        <v>1.81</v>
      </c>
    </row>
    <row r="2642" spans="1:4" ht="15" x14ac:dyDescent="0.25">
      <c r="A2642" s="304">
        <v>3522</v>
      </c>
      <c r="B2642" s="304" t="s">
        <v>8195</v>
      </c>
      <c r="C2642" s="304" t="s">
        <v>5555</v>
      </c>
      <c r="D2642" s="540">
        <v>2.69</v>
      </c>
    </row>
    <row r="2643" spans="1:4" ht="15" x14ac:dyDescent="0.25">
      <c r="A2643" s="304">
        <v>3527</v>
      </c>
      <c r="B2643" s="304" t="s">
        <v>8196</v>
      </c>
      <c r="C2643" s="304" t="s">
        <v>5555</v>
      </c>
      <c r="D2643" s="540">
        <v>9.26</v>
      </c>
    </row>
    <row r="2644" spans="1:4" ht="15" x14ac:dyDescent="0.25">
      <c r="A2644" s="304">
        <v>10835</v>
      </c>
      <c r="B2644" s="304" t="s">
        <v>8197</v>
      </c>
      <c r="C2644" s="304" t="s">
        <v>5555</v>
      </c>
      <c r="D2644" s="540">
        <v>2.46</v>
      </c>
    </row>
    <row r="2645" spans="1:4" ht="15" x14ac:dyDescent="0.25">
      <c r="A2645" s="304">
        <v>3475</v>
      </c>
      <c r="B2645" s="304" t="s">
        <v>8198</v>
      </c>
      <c r="C2645" s="304" t="s">
        <v>5555</v>
      </c>
      <c r="D2645" s="540">
        <v>3.11</v>
      </c>
    </row>
    <row r="2646" spans="1:4" ht="15" x14ac:dyDescent="0.25">
      <c r="A2646" s="304">
        <v>3485</v>
      </c>
      <c r="B2646" s="304" t="s">
        <v>8199</v>
      </c>
      <c r="C2646" s="304" t="s">
        <v>5555</v>
      </c>
      <c r="D2646" s="540">
        <v>9.94</v>
      </c>
    </row>
    <row r="2647" spans="1:4" ht="15" x14ac:dyDescent="0.25">
      <c r="A2647" s="304">
        <v>3534</v>
      </c>
      <c r="B2647" s="304" t="s">
        <v>8200</v>
      </c>
      <c r="C2647" s="304" t="s">
        <v>5555</v>
      </c>
      <c r="D2647" s="540">
        <v>3.93</v>
      </c>
    </row>
    <row r="2648" spans="1:4" ht="15" x14ac:dyDescent="0.25">
      <c r="A2648" s="304">
        <v>3543</v>
      </c>
      <c r="B2648" s="304" t="s">
        <v>8201</v>
      </c>
      <c r="C2648" s="304" t="s">
        <v>5555</v>
      </c>
      <c r="D2648" s="540">
        <v>1.97</v>
      </c>
    </row>
    <row r="2649" spans="1:4" ht="15" x14ac:dyDescent="0.25">
      <c r="A2649" s="304">
        <v>3482</v>
      </c>
      <c r="B2649" s="304" t="s">
        <v>8202</v>
      </c>
      <c r="C2649" s="304" t="s">
        <v>5555</v>
      </c>
      <c r="D2649" s="540">
        <v>4.99</v>
      </c>
    </row>
    <row r="2650" spans="1:4" ht="15" x14ac:dyDescent="0.25">
      <c r="A2650" s="304">
        <v>3505</v>
      </c>
      <c r="B2650" s="304" t="s">
        <v>8203</v>
      </c>
      <c r="C2650" s="304" t="s">
        <v>5555</v>
      </c>
      <c r="D2650" s="540">
        <v>2.83</v>
      </c>
    </row>
    <row r="2651" spans="1:4" ht="15" x14ac:dyDescent="0.25">
      <c r="A2651" s="304">
        <v>3516</v>
      </c>
      <c r="B2651" s="304" t="s">
        <v>8204</v>
      </c>
      <c r="C2651" s="304" t="s">
        <v>5555</v>
      </c>
      <c r="D2651" s="540">
        <v>0.64</v>
      </c>
    </row>
    <row r="2652" spans="1:4" ht="15" x14ac:dyDescent="0.25">
      <c r="A2652" s="304">
        <v>3517</v>
      </c>
      <c r="B2652" s="304" t="s">
        <v>8205</v>
      </c>
      <c r="C2652" s="304" t="s">
        <v>5555</v>
      </c>
      <c r="D2652" s="540">
        <v>2.25</v>
      </c>
    </row>
    <row r="2653" spans="1:4" ht="15" x14ac:dyDescent="0.25">
      <c r="A2653" s="304">
        <v>3515</v>
      </c>
      <c r="B2653" s="304" t="s">
        <v>8206</v>
      </c>
      <c r="C2653" s="304" t="s">
        <v>5555</v>
      </c>
      <c r="D2653" s="540">
        <v>4.59</v>
      </c>
    </row>
    <row r="2654" spans="1:4" ht="15" x14ac:dyDescent="0.25">
      <c r="A2654" s="304">
        <v>20147</v>
      </c>
      <c r="B2654" s="304" t="s">
        <v>8207</v>
      </c>
      <c r="C2654" s="304" t="s">
        <v>5555</v>
      </c>
      <c r="D2654" s="540">
        <v>4.9400000000000004</v>
      </c>
    </row>
    <row r="2655" spans="1:4" ht="15" x14ac:dyDescent="0.25">
      <c r="A2655" s="304">
        <v>3524</v>
      </c>
      <c r="B2655" s="304" t="s">
        <v>8208</v>
      </c>
      <c r="C2655" s="304" t="s">
        <v>5555</v>
      </c>
      <c r="D2655" s="540">
        <v>5.85</v>
      </c>
    </row>
    <row r="2656" spans="1:4" ht="15" x14ac:dyDescent="0.25">
      <c r="A2656" s="304">
        <v>3532</v>
      </c>
      <c r="B2656" s="304" t="s">
        <v>8209</v>
      </c>
      <c r="C2656" s="304" t="s">
        <v>5555</v>
      </c>
      <c r="D2656" s="540">
        <v>10.71</v>
      </c>
    </row>
    <row r="2657" spans="1:4" ht="15" x14ac:dyDescent="0.25">
      <c r="A2657" s="304">
        <v>3528</v>
      </c>
      <c r="B2657" s="304" t="s">
        <v>8210</v>
      </c>
      <c r="C2657" s="304" t="s">
        <v>5555</v>
      </c>
      <c r="D2657" s="540">
        <v>5.08</v>
      </c>
    </row>
    <row r="2658" spans="1:4" ht="15" x14ac:dyDescent="0.25">
      <c r="A2658" s="304">
        <v>37952</v>
      </c>
      <c r="B2658" s="304" t="s">
        <v>8211</v>
      </c>
      <c r="C2658" s="304" t="s">
        <v>5555</v>
      </c>
      <c r="D2658" s="540">
        <v>36.21</v>
      </c>
    </row>
    <row r="2659" spans="1:4" ht="15" x14ac:dyDescent="0.25">
      <c r="A2659" s="304">
        <v>37951</v>
      </c>
      <c r="B2659" s="304" t="s">
        <v>8212</v>
      </c>
      <c r="C2659" s="304" t="s">
        <v>5555</v>
      </c>
      <c r="D2659" s="540">
        <v>1.31</v>
      </c>
    </row>
    <row r="2660" spans="1:4" ht="15" x14ac:dyDescent="0.25">
      <c r="A2660" s="304">
        <v>3518</v>
      </c>
      <c r="B2660" s="304" t="s">
        <v>8213</v>
      </c>
      <c r="C2660" s="304" t="s">
        <v>5555</v>
      </c>
      <c r="D2660" s="540">
        <v>1.93</v>
      </c>
    </row>
    <row r="2661" spans="1:4" ht="15" x14ac:dyDescent="0.25">
      <c r="A2661" s="304">
        <v>3519</v>
      </c>
      <c r="B2661" s="304" t="s">
        <v>8214</v>
      </c>
      <c r="C2661" s="304" t="s">
        <v>5555</v>
      </c>
      <c r="D2661" s="540">
        <v>4.5599999999999996</v>
      </c>
    </row>
    <row r="2662" spans="1:4" ht="15" x14ac:dyDescent="0.25">
      <c r="A2662" s="304">
        <v>3520</v>
      </c>
      <c r="B2662" s="304" t="s">
        <v>8215</v>
      </c>
      <c r="C2662" s="304" t="s">
        <v>5555</v>
      </c>
      <c r="D2662" s="540">
        <v>5.1100000000000003</v>
      </c>
    </row>
    <row r="2663" spans="1:4" ht="15" x14ac:dyDescent="0.25">
      <c r="A2663" s="304">
        <v>37950</v>
      </c>
      <c r="B2663" s="304" t="s">
        <v>8216</v>
      </c>
      <c r="C2663" s="304" t="s">
        <v>5555</v>
      </c>
      <c r="D2663" s="540">
        <v>31.52</v>
      </c>
    </row>
    <row r="2664" spans="1:4" ht="15" x14ac:dyDescent="0.25">
      <c r="A2664" s="304">
        <v>37949</v>
      </c>
      <c r="B2664" s="304" t="s">
        <v>8217</v>
      </c>
      <c r="C2664" s="304" t="s">
        <v>5555</v>
      </c>
      <c r="D2664" s="540">
        <v>1.1499999999999999</v>
      </c>
    </row>
    <row r="2665" spans="1:4" ht="15" x14ac:dyDescent="0.25">
      <c r="A2665" s="304">
        <v>3526</v>
      </c>
      <c r="B2665" s="304" t="s">
        <v>8218</v>
      </c>
      <c r="C2665" s="304" t="s">
        <v>5555</v>
      </c>
      <c r="D2665" s="540">
        <v>1.55</v>
      </c>
    </row>
    <row r="2666" spans="1:4" ht="15" x14ac:dyDescent="0.25">
      <c r="A2666" s="304">
        <v>3509</v>
      </c>
      <c r="B2666" s="304" t="s">
        <v>8219</v>
      </c>
      <c r="C2666" s="304" t="s">
        <v>5555</v>
      </c>
      <c r="D2666" s="540">
        <v>4.0199999999999996</v>
      </c>
    </row>
    <row r="2667" spans="1:4" ht="15" x14ac:dyDescent="0.25">
      <c r="A2667" s="304">
        <v>3530</v>
      </c>
      <c r="B2667" s="304" t="s">
        <v>8220</v>
      </c>
      <c r="C2667" s="304" t="s">
        <v>5555</v>
      </c>
      <c r="D2667" s="540">
        <v>184.46</v>
      </c>
    </row>
    <row r="2668" spans="1:4" ht="15" x14ac:dyDescent="0.25">
      <c r="A2668" s="304">
        <v>3542</v>
      </c>
      <c r="B2668" s="304" t="s">
        <v>8221</v>
      </c>
      <c r="C2668" s="304" t="s">
        <v>5555</v>
      </c>
      <c r="D2668" s="540">
        <v>0.43</v>
      </c>
    </row>
    <row r="2669" spans="1:4" ht="15" x14ac:dyDescent="0.25">
      <c r="A2669" s="304">
        <v>3529</v>
      </c>
      <c r="B2669" s="304" t="s">
        <v>8222</v>
      </c>
      <c r="C2669" s="304" t="s">
        <v>5555</v>
      </c>
      <c r="D2669" s="540">
        <v>0.59</v>
      </c>
    </row>
    <row r="2670" spans="1:4" ht="15" x14ac:dyDescent="0.25">
      <c r="A2670" s="304">
        <v>3536</v>
      </c>
      <c r="B2670" s="304" t="s">
        <v>8223</v>
      </c>
      <c r="C2670" s="304" t="s">
        <v>5555</v>
      </c>
      <c r="D2670" s="540">
        <v>1.76</v>
      </c>
    </row>
    <row r="2671" spans="1:4" ht="15" x14ac:dyDescent="0.25">
      <c r="A2671" s="304">
        <v>3535</v>
      </c>
      <c r="B2671" s="304" t="s">
        <v>8224</v>
      </c>
      <c r="C2671" s="304" t="s">
        <v>5555</v>
      </c>
      <c r="D2671" s="540">
        <v>4.1900000000000004</v>
      </c>
    </row>
    <row r="2672" spans="1:4" ht="15" x14ac:dyDescent="0.25">
      <c r="A2672" s="304">
        <v>3540</v>
      </c>
      <c r="B2672" s="304" t="s">
        <v>8225</v>
      </c>
      <c r="C2672" s="304" t="s">
        <v>5555</v>
      </c>
      <c r="D2672" s="540">
        <v>4.53</v>
      </c>
    </row>
    <row r="2673" spans="1:4" ht="15" x14ac:dyDescent="0.25">
      <c r="A2673" s="304">
        <v>3539</v>
      </c>
      <c r="B2673" s="304" t="s">
        <v>8226</v>
      </c>
      <c r="C2673" s="304" t="s">
        <v>5555</v>
      </c>
      <c r="D2673" s="540">
        <v>19.670000000000002</v>
      </c>
    </row>
    <row r="2674" spans="1:4" ht="15" x14ac:dyDescent="0.25">
      <c r="A2674" s="304">
        <v>3513</v>
      </c>
      <c r="B2674" s="304" t="s">
        <v>8227</v>
      </c>
      <c r="C2674" s="304" t="s">
        <v>5555</v>
      </c>
      <c r="D2674" s="540">
        <v>87.44</v>
      </c>
    </row>
    <row r="2675" spans="1:4" ht="15" x14ac:dyDescent="0.25">
      <c r="A2675" s="304">
        <v>3492</v>
      </c>
      <c r="B2675" s="304" t="s">
        <v>8228</v>
      </c>
      <c r="C2675" s="304" t="s">
        <v>5555</v>
      </c>
      <c r="D2675" s="540">
        <v>16.829999999999998</v>
      </c>
    </row>
    <row r="2676" spans="1:4" ht="15" x14ac:dyDescent="0.25">
      <c r="A2676" s="304">
        <v>3491</v>
      </c>
      <c r="B2676" s="304" t="s">
        <v>8229</v>
      </c>
      <c r="C2676" s="304" t="s">
        <v>5555</v>
      </c>
      <c r="D2676" s="540">
        <v>9.6</v>
      </c>
    </row>
    <row r="2677" spans="1:4" ht="15" x14ac:dyDescent="0.25">
      <c r="A2677" s="304">
        <v>3493</v>
      </c>
      <c r="B2677" s="304" t="s">
        <v>8230</v>
      </c>
      <c r="C2677" s="304" t="s">
        <v>5555</v>
      </c>
      <c r="D2677" s="540">
        <v>23.01</v>
      </c>
    </row>
    <row r="2678" spans="1:4" ht="15" x14ac:dyDescent="0.25">
      <c r="A2678" s="304">
        <v>12628</v>
      </c>
      <c r="B2678" s="304" t="s">
        <v>8231</v>
      </c>
      <c r="C2678" s="304" t="s">
        <v>5555</v>
      </c>
      <c r="D2678" s="540">
        <v>6.46</v>
      </c>
    </row>
    <row r="2679" spans="1:4" ht="15" x14ac:dyDescent="0.25">
      <c r="A2679" s="304">
        <v>12629</v>
      </c>
      <c r="B2679" s="304" t="s">
        <v>8232</v>
      </c>
      <c r="C2679" s="304" t="s">
        <v>5555</v>
      </c>
      <c r="D2679" s="540">
        <v>7.01</v>
      </c>
    </row>
    <row r="2680" spans="1:4" ht="15" x14ac:dyDescent="0.25">
      <c r="A2680" s="304">
        <v>3481</v>
      </c>
      <c r="B2680" s="304" t="s">
        <v>8233</v>
      </c>
      <c r="C2680" s="304" t="s">
        <v>5555</v>
      </c>
      <c r="D2680" s="540">
        <v>11.66</v>
      </c>
    </row>
    <row r="2681" spans="1:4" ht="15" x14ac:dyDescent="0.25">
      <c r="A2681" s="304">
        <v>3510</v>
      </c>
      <c r="B2681" s="304" t="s">
        <v>8234</v>
      </c>
      <c r="C2681" s="304" t="s">
        <v>5555</v>
      </c>
      <c r="D2681" s="540">
        <v>10.89</v>
      </c>
    </row>
    <row r="2682" spans="1:4" ht="15" x14ac:dyDescent="0.25">
      <c r="A2682" s="304">
        <v>3508</v>
      </c>
      <c r="B2682" s="304" t="s">
        <v>8235</v>
      </c>
      <c r="C2682" s="304" t="s">
        <v>5555</v>
      </c>
      <c r="D2682" s="540">
        <v>28.48</v>
      </c>
    </row>
    <row r="2683" spans="1:4" ht="15" x14ac:dyDescent="0.25">
      <c r="A2683" s="304">
        <v>38939</v>
      </c>
      <c r="B2683" s="304" t="s">
        <v>8236</v>
      </c>
      <c r="C2683" s="304" t="s">
        <v>5555</v>
      </c>
      <c r="D2683" s="540">
        <v>11.55</v>
      </c>
    </row>
    <row r="2684" spans="1:4" ht="15" x14ac:dyDescent="0.25">
      <c r="A2684" s="304">
        <v>38940</v>
      </c>
      <c r="B2684" s="304" t="s">
        <v>8237</v>
      </c>
      <c r="C2684" s="304" t="s">
        <v>5555</v>
      </c>
      <c r="D2684" s="540">
        <v>17.63</v>
      </c>
    </row>
    <row r="2685" spans="1:4" ht="15" x14ac:dyDescent="0.25">
      <c r="A2685" s="304">
        <v>38941</v>
      </c>
      <c r="B2685" s="304" t="s">
        <v>8238</v>
      </c>
      <c r="C2685" s="304" t="s">
        <v>5555</v>
      </c>
      <c r="D2685" s="540">
        <v>20.83</v>
      </c>
    </row>
    <row r="2686" spans="1:4" ht="15" x14ac:dyDescent="0.25">
      <c r="A2686" s="304">
        <v>38942</v>
      </c>
      <c r="B2686" s="304" t="s">
        <v>8239</v>
      </c>
      <c r="C2686" s="304" t="s">
        <v>5555</v>
      </c>
      <c r="D2686" s="540">
        <v>23.33</v>
      </c>
    </row>
    <row r="2687" spans="1:4" ht="15" x14ac:dyDescent="0.25">
      <c r="A2687" s="304">
        <v>38987</v>
      </c>
      <c r="B2687" s="304" t="s">
        <v>8240</v>
      </c>
      <c r="C2687" s="304" t="s">
        <v>5555</v>
      </c>
      <c r="D2687" s="540">
        <v>5.15</v>
      </c>
    </row>
    <row r="2688" spans="1:4" ht="15" x14ac:dyDescent="0.25">
      <c r="A2688" s="304">
        <v>38988</v>
      </c>
      <c r="B2688" s="304" t="s">
        <v>8241</v>
      </c>
      <c r="C2688" s="304" t="s">
        <v>5555</v>
      </c>
      <c r="D2688" s="540">
        <v>11.96</v>
      </c>
    </row>
    <row r="2689" spans="1:4" ht="15" x14ac:dyDescent="0.25">
      <c r="A2689" s="304">
        <v>38989</v>
      </c>
      <c r="B2689" s="304" t="s">
        <v>8242</v>
      </c>
      <c r="C2689" s="304" t="s">
        <v>5555</v>
      </c>
      <c r="D2689" s="540">
        <v>15.9</v>
      </c>
    </row>
    <row r="2690" spans="1:4" ht="15" x14ac:dyDescent="0.25">
      <c r="A2690" s="304">
        <v>38990</v>
      </c>
      <c r="B2690" s="304" t="s">
        <v>8243</v>
      </c>
      <c r="C2690" s="304" t="s">
        <v>5555</v>
      </c>
      <c r="D2690" s="540">
        <v>41.91</v>
      </c>
    </row>
    <row r="2691" spans="1:4" ht="15" x14ac:dyDescent="0.25">
      <c r="A2691" s="304">
        <v>38991</v>
      </c>
      <c r="B2691" s="304" t="s">
        <v>8244</v>
      </c>
      <c r="C2691" s="304" t="s">
        <v>5555</v>
      </c>
      <c r="D2691" s="540">
        <v>84.67</v>
      </c>
    </row>
    <row r="2692" spans="1:4" ht="15" x14ac:dyDescent="0.25">
      <c r="A2692" s="304">
        <v>38913</v>
      </c>
      <c r="B2692" s="304" t="s">
        <v>8245</v>
      </c>
      <c r="C2692" s="304" t="s">
        <v>5555</v>
      </c>
      <c r="D2692" s="540">
        <v>10.71</v>
      </c>
    </row>
    <row r="2693" spans="1:4" ht="15" x14ac:dyDescent="0.25">
      <c r="A2693" s="304">
        <v>38914</v>
      </c>
      <c r="B2693" s="304" t="s">
        <v>8246</v>
      </c>
      <c r="C2693" s="304" t="s">
        <v>5555</v>
      </c>
      <c r="D2693" s="540">
        <v>12.43</v>
      </c>
    </row>
    <row r="2694" spans="1:4" ht="15" x14ac:dyDescent="0.25">
      <c r="A2694" s="304">
        <v>38915</v>
      </c>
      <c r="B2694" s="304" t="s">
        <v>8247</v>
      </c>
      <c r="C2694" s="304" t="s">
        <v>5555</v>
      </c>
      <c r="D2694" s="540">
        <v>21.58</v>
      </c>
    </row>
    <row r="2695" spans="1:4" ht="15" x14ac:dyDescent="0.25">
      <c r="A2695" s="304">
        <v>38916</v>
      </c>
      <c r="B2695" s="304" t="s">
        <v>8248</v>
      </c>
      <c r="C2695" s="304" t="s">
        <v>5555</v>
      </c>
      <c r="D2695" s="540">
        <v>28.47</v>
      </c>
    </row>
    <row r="2696" spans="1:4" ht="15" x14ac:dyDescent="0.25">
      <c r="A2696" s="304">
        <v>39300</v>
      </c>
      <c r="B2696" s="304" t="s">
        <v>8249</v>
      </c>
      <c r="C2696" s="304" t="s">
        <v>5555</v>
      </c>
      <c r="D2696" s="540">
        <v>9.68</v>
      </c>
    </row>
    <row r="2697" spans="1:4" ht="15" x14ac:dyDescent="0.25">
      <c r="A2697" s="304">
        <v>39301</v>
      </c>
      <c r="B2697" s="304" t="s">
        <v>8250</v>
      </c>
      <c r="C2697" s="304" t="s">
        <v>5555</v>
      </c>
      <c r="D2697" s="540">
        <v>13.43</v>
      </c>
    </row>
    <row r="2698" spans="1:4" ht="15" x14ac:dyDescent="0.25">
      <c r="A2698" s="304">
        <v>39302</v>
      </c>
      <c r="B2698" s="304" t="s">
        <v>8251</v>
      </c>
      <c r="C2698" s="304" t="s">
        <v>5555</v>
      </c>
      <c r="D2698" s="540">
        <v>16.88</v>
      </c>
    </row>
    <row r="2699" spans="1:4" ht="15" x14ac:dyDescent="0.25">
      <c r="A2699" s="304">
        <v>39303</v>
      </c>
      <c r="B2699" s="304" t="s">
        <v>8252</v>
      </c>
      <c r="C2699" s="304" t="s">
        <v>5555</v>
      </c>
      <c r="D2699" s="540">
        <v>29.67</v>
      </c>
    </row>
    <row r="2700" spans="1:4" ht="15" x14ac:dyDescent="0.25">
      <c r="A2700" s="304">
        <v>38923</v>
      </c>
      <c r="B2700" s="304" t="s">
        <v>8253</v>
      </c>
      <c r="C2700" s="304" t="s">
        <v>5555</v>
      </c>
      <c r="D2700" s="540">
        <v>9.4499999999999993</v>
      </c>
    </row>
    <row r="2701" spans="1:4" ht="15" x14ac:dyDescent="0.25">
      <c r="A2701" s="304">
        <v>38925</v>
      </c>
      <c r="B2701" s="304" t="s">
        <v>8254</v>
      </c>
      <c r="C2701" s="304" t="s">
        <v>5555</v>
      </c>
      <c r="D2701" s="540">
        <v>10.16</v>
      </c>
    </row>
    <row r="2702" spans="1:4" ht="15" x14ac:dyDescent="0.25">
      <c r="A2702" s="304">
        <v>38926</v>
      </c>
      <c r="B2702" s="304" t="s">
        <v>8255</v>
      </c>
      <c r="C2702" s="304" t="s">
        <v>5555</v>
      </c>
      <c r="D2702" s="540">
        <v>14.51</v>
      </c>
    </row>
    <row r="2703" spans="1:4" ht="15" x14ac:dyDescent="0.25">
      <c r="A2703" s="304">
        <v>38927</v>
      </c>
      <c r="B2703" s="304" t="s">
        <v>8256</v>
      </c>
      <c r="C2703" s="304" t="s">
        <v>5555</v>
      </c>
      <c r="D2703" s="540">
        <v>15.51</v>
      </c>
    </row>
    <row r="2704" spans="1:4" ht="15" x14ac:dyDescent="0.25">
      <c r="A2704" s="304">
        <v>39304</v>
      </c>
      <c r="B2704" s="304" t="s">
        <v>8257</v>
      </c>
      <c r="C2704" s="304" t="s">
        <v>5555</v>
      </c>
      <c r="D2704" s="540">
        <v>11.95</v>
      </c>
    </row>
    <row r="2705" spans="1:4" ht="15" x14ac:dyDescent="0.25">
      <c r="A2705" s="304">
        <v>38924</v>
      </c>
      <c r="B2705" s="304" t="s">
        <v>8258</v>
      </c>
      <c r="C2705" s="304" t="s">
        <v>5555</v>
      </c>
      <c r="D2705" s="540">
        <v>17.03</v>
      </c>
    </row>
    <row r="2706" spans="1:4" ht="15" x14ac:dyDescent="0.25">
      <c r="A2706" s="304">
        <v>39305</v>
      </c>
      <c r="B2706" s="304" t="s">
        <v>8259</v>
      </c>
      <c r="C2706" s="304" t="s">
        <v>5555</v>
      </c>
      <c r="D2706" s="540">
        <v>15.65</v>
      </c>
    </row>
    <row r="2707" spans="1:4" ht="15" x14ac:dyDescent="0.25">
      <c r="A2707" s="304">
        <v>39306</v>
      </c>
      <c r="B2707" s="304" t="s">
        <v>8260</v>
      </c>
      <c r="C2707" s="304" t="s">
        <v>5555</v>
      </c>
      <c r="D2707" s="540">
        <v>19.579999999999998</v>
      </c>
    </row>
    <row r="2708" spans="1:4" ht="15" x14ac:dyDescent="0.25">
      <c r="A2708" s="304">
        <v>38928</v>
      </c>
      <c r="B2708" s="304" t="s">
        <v>8261</v>
      </c>
      <c r="C2708" s="304" t="s">
        <v>5555</v>
      </c>
      <c r="D2708" s="540">
        <v>17.2</v>
      </c>
    </row>
    <row r="2709" spans="1:4" ht="15" x14ac:dyDescent="0.25">
      <c r="A2709" s="304">
        <v>38929</v>
      </c>
      <c r="B2709" s="304" t="s">
        <v>8262</v>
      </c>
      <c r="C2709" s="304" t="s">
        <v>5555</v>
      </c>
      <c r="D2709" s="540">
        <v>30.49</v>
      </c>
    </row>
    <row r="2710" spans="1:4" ht="15" x14ac:dyDescent="0.25">
      <c r="A2710" s="304">
        <v>39307</v>
      </c>
      <c r="B2710" s="304" t="s">
        <v>8263</v>
      </c>
      <c r="C2710" s="304" t="s">
        <v>5555</v>
      </c>
      <c r="D2710" s="540">
        <v>22.53</v>
      </c>
    </row>
    <row r="2711" spans="1:4" ht="15" x14ac:dyDescent="0.25">
      <c r="A2711" s="304">
        <v>38930</v>
      </c>
      <c r="B2711" s="304" t="s">
        <v>8264</v>
      </c>
      <c r="C2711" s="304" t="s">
        <v>5555</v>
      </c>
      <c r="D2711" s="540">
        <v>38.31</v>
      </c>
    </row>
    <row r="2712" spans="1:4" ht="15" x14ac:dyDescent="0.25">
      <c r="A2712" s="304">
        <v>38931</v>
      </c>
      <c r="B2712" s="304" t="s">
        <v>8265</v>
      </c>
      <c r="C2712" s="304" t="s">
        <v>5555</v>
      </c>
      <c r="D2712" s="540">
        <v>9.64</v>
      </c>
    </row>
    <row r="2713" spans="1:4" ht="15" x14ac:dyDescent="0.25">
      <c r="A2713" s="304">
        <v>38932</v>
      </c>
      <c r="B2713" s="304" t="s">
        <v>8266</v>
      </c>
      <c r="C2713" s="304" t="s">
        <v>5555</v>
      </c>
      <c r="D2713" s="540">
        <v>9.74</v>
      </c>
    </row>
    <row r="2714" spans="1:4" ht="15" x14ac:dyDescent="0.25">
      <c r="A2714" s="304">
        <v>38934</v>
      </c>
      <c r="B2714" s="304" t="s">
        <v>8267</v>
      </c>
      <c r="C2714" s="304" t="s">
        <v>5555</v>
      </c>
      <c r="D2714" s="540">
        <v>14.4</v>
      </c>
    </row>
    <row r="2715" spans="1:4" ht="15" x14ac:dyDescent="0.25">
      <c r="A2715" s="304">
        <v>38935</v>
      </c>
      <c r="B2715" s="304" t="s">
        <v>8268</v>
      </c>
      <c r="C2715" s="304" t="s">
        <v>5555</v>
      </c>
      <c r="D2715" s="540">
        <v>15.41</v>
      </c>
    </row>
    <row r="2716" spans="1:4" ht="15" x14ac:dyDescent="0.25">
      <c r="A2716" s="304">
        <v>38936</v>
      </c>
      <c r="B2716" s="304" t="s">
        <v>8269</v>
      </c>
      <c r="C2716" s="304" t="s">
        <v>5555</v>
      </c>
      <c r="D2716" s="540">
        <v>16.5</v>
      </c>
    </row>
    <row r="2717" spans="1:4" ht="15" x14ac:dyDescent="0.25">
      <c r="A2717" s="304">
        <v>38937</v>
      </c>
      <c r="B2717" s="304" t="s">
        <v>8270</v>
      </c>
      <c r="C2717" s="304" t="s">
        <v>5555</v>
      </c>
      <c r="D2717" s="540">
        <v>20.11</v>
      </c>
    </row>
    <row r="2718" spans="1:4" ht="15" x14ac:dyDescent="0.25">
      <c r="A2718" s="304">
        <v>38938</v>
      </c>
      <c r="B2718" s="304" t="s">
        <v>8271</v>
      </c>
      <c r="C2718" s="304" t="s">
        <v>5555</v>
      </c>
      <c r="D2718" s="540">
        <v>29.9</v>
      </c>
    </row>
    <row r="2719" spans="1:4" ht="15" x14ac:dyDescent="0.25">
      <c r="A2719" s="304">
        <v>3489</v>
      </c>
      <c r="B2719" s="304" t="s">
        <v>8272</v>
      </c>
      <c r="C2719" s="304" t="s">
        <v>5555</v>
      </c>
      <c r="D2719" s="540">
        <v>10.76</v>
      </c>
    </row>
    <row r="2720" spans="1:4" ht="15" x14ac:dyDescent="0.25">
      <c r="A2720" s="304">
        <v>20151</v>
      </c>
      <c r="B2720" s="304" t="s">
        <v>8273</v>
      </c>
      <c r="C2720" s="304" t="s">
        <v>5555</v>
      </c>
      <c r="D2720" s="540">
        <v>14.19</v>
      </c>
    </row>
    <row r="2721" spans="1:4" ht="15" x14ac:dyDescent="0.25">
      <c r="A2721" s="304">
        <v>20152</v>
      </c>
      <c r="B2721" s="304" t="s">
        <v>8274</v>
      </c>
      <c r="C2721" s="304" t="s">
        <v>5555</v>
      </c>
      <c r="D2721" s="540">
        <v>49.4</v>
      </c>
    </row>
    <row r="2722" spans="1:4" ht="15" x14ac:dyDescent="0.25">
      <c r="A2722" s="304">
        <v>20148</v>
      </c>
      <c r="B2722" s="304" t="s">
        <v>8275</v>
      </c>
      <c r="C2722" s="304" t="s">
        <v>5555</v>
      </c>
      <c r="D2722" s="540">
        <v>2.82</v>
      </c>
    </row>
    <row r="2723" spans="1:4" ht="15" x14ac:dyDescent="0.25">
      <c r="A2723" s="304">
        <v>20149</v>
      </c>
      <c r="B2723" s="304" t="s">
        <v>8276</v>
      </c>
      <c r="C2723" s="304" t="s">
        <v>5555</v>
      </c>
      <c r="D2723" s="540">
        <v>4.37</v>
      </c>
    </row>
    <row r="2724" spans="1:4" ht="15" x14ac:dyDescent="0.25">
      <c r="A2724" s="304">
        <v>20150</v>
      </c>
      <c r="B2724" s="304" t="s">
        <v>8277</v>
      </c>
      <c r="C2724" s="304" t="s">
        <v>5555</v>
      </c>
      <c r="D2724" s="540">
        <v>10.19</v>
      </c>
    </row>
    <row r="2725" spans="1:4" ht="15" x14ac:dyDescent="0.25">
      <c r="A2725" s="304">
        <v>20157</v>
      </c>
      <c r="B2725" s="304" t="s">
        <v>8278</v>
      </c>
      <c r="C2725" s="304" t="s">
        <v>5555</v>
      </c>
      <c r="D2725" s="540">
        <v>19.149999999999999</v>
      </c>
    </row>
    <row r="2726" spans="1:4" ht="15" x14ac:dyDescent="0.25">
      <c r="A2726" s="304">
        <v>20158</v>
      </c>
      <c r="B2726" s="304" t="s">
        <v>8279</v>
      </c>
      <c r="C2726" s="304" t="s">
        <v>5555</v>
      </c>
      <c r="D2726" s="540">
        <v>63.63</v>
      </c>
    </row>
    <row r="2727" spans="1:4" ht="15" x14ac:dyDescent="0.25">
      <c r="A2727" s="304">
        <v>20154</v>
      </c>
      <c r="B2727" s="304" t="s">
        <v>8280</v>
      </c>
      <c r="C2727" s="304" t="s">
        <v>5555</v>
      </c>
      <c r="D2727" s="540">
        <v>3.63</v>
      </c>
    </row>
    <row r="2728" spans="1:4" ht="15" x14ac:dyDescent="0.25">
      <c r="A2728" s="304">
        <v>20155</v>
      </c>
      <c r="B2728" s="304" t="s">
        <v>8281</v>
      </c>
      <c r="C2728" s="304" t="s">
        <v>5555</v>
      </c>
      <c r="D2728" s="540">
        <v>5.43</v>
      </c>
    </row>
    <row r="2729" spans="1:4" ht="15" x14ac:dyDescent="0.25">
      <c r="A2729" s="304">
        <v>20156</v>
      </c>
      <c r="B2729" s="304" t="s">
        <v>8282</v>
      </c>
      <c r="C2729" s="304" t="s">
        <v>5555</v>
      </c>
      <c r="D2729" s="540">
        <v>12.23</v>
      </c>
    </row>
    <row r="2730" spans="1:4" ht="15" x14ac:dyDescent="0.25">
      <c r="A2730" s="304">
        <v>3512</v>
      </c>
      <c r="B2730" s="304" t="s">
        <v>8283</v>
      </c>
      <c r="C2730" s="304" t="s">
        <v>5555</v>
      </c>
      <c r="D2730" s="540">
        <v>168.69</v>
      </c>
    </row>
    <row r="2731" spans="1:4" ht="15" x14ac:dyDescent="0.25">
      <c r="A2731" s="304">
        <v>3499</v>
      </c>
      <c r="B2731" s="304" t="s">
        <v>8284</v>
      </c>
      <c r="C2731" s="304" t="s">
        <v>5555</v>
      </c>
      <c r="D2731" s="540">
        <v>0.71</v>
      </c>
    </row>
    <row r="2732" spans="1:4" ht="15" x14ac:dyDescent="0.25">
      <c r="A2732" s="304">
        <v>3500</v>
      </c>
      <c r="B2732" s="304" t="s">
        <v>8285</v>
      </c>
      <c r="C2732" s="304" t="s">
        <v>5555</v>
      </c>
      <c r="D2732" s="540">
        <v>1.21</v>
      </c>
    </row>
    <row r="2733" spans="1:4" ht="15" x14ac:dyDescent="0.25">
      <c r="A2733" s="304">
        <v>3501</v>
      </c>
      <c r="B2733" s="304" t="s">
        <v>8286</v>
      </c>
      <c r="C2733" s="304" t="s">
        <v>5555</v>
      </c>
      <c r="D2733" s="540">
        <v>3.5</v>
      </c>
    </row>
    <row r="2734" spans="1:4" ht="15" x14ac:dyDescent="0.25">
      <c r="A2734" s="304">
        <v>3502</v>
      </c>
      <c r="B2734" s="304" t="s">
        <v>8287</v>
      </c>
      <c r="C2734" s="304" t="s">
        <v>5555</v>
      </c>
      <c r="D2734" s="540">
        <v>4.9800000000000004</v>
      </c>
    </row>
    <row r="2735" spans="1:4" ht="15" x14ac:dyDescent="0.25">
      <c r="A2735" s="304">
        <v>3503</v>
      </c>
      <c r="B2735" s="304" t="s">
        <v>8288</v>
      </c>
      <c r="C2735" s="304" t="s">
        <v>5555</v>
      </c>
      <c r="D2735" s="540">
        <v>5.96</v>
      </c>
    </row>
    <row r="2736" spans="1:4" ht="15" x14ac:dyDescent="0.25">
      <c r="A2736" s="304">
        <v>3477</v>
      </c>
      <c r="B2736" s="304" t="s">
        <v>8289</v>
      </c>
      <c r="C2736" s="304" t="s">
        <v>5555</v>
      </c>
      <c r="D2736" s="540">
        <v>23.09</v>
      </c>
    </row>
    <row r="2737" spans="1:4" ht="15" x14ac:dyDescent="0.25">
      <c r="A2737" s="304">
        <v>3478</v>
      </c>
      <c r="B2737" s="304" t="s">
        <v>8290</v>
      </c>
      <c r="C2737" s="304" t="s">
        <v>5555</v>
      </c>
      <c r="D2737" s="540">
        <v>53.06</v>
      </c>
    </row>
    <row r="2738" spans="1:4" ht="15" x14ac:dyDescent="0.25">
      <c r="A2738" s="304">
        <v>3525</v>
      </c>
      <c r="B2738" s="304" t="s">
        <v>8291</v>
      </c>
      <c r="C2738" s="304" t="s">
        <v>5555</v>
      </c>
      <c r="D2738" s="540">
        <v>62.95</v>
      </c>
    </row>
    <row r="2739" spans="1:4" ht="15" x14ac:dyDescent="0.25">
      <c r="A2739" s="304">
        <v>3511</v>
      </c>
      <c r="B2739" s="304" t="s">
        <v>8292</v>
      </c>
      <c r="C2739" s="304" t="s">
        <v>5555</v>
      </c>
      <c r="D2739" s="540">
        <v>73.86</v>
      </c>
    </row>
    <row r="2740" spans="1:4" ht="15" x14ac:dyDescent="0.25">
      <c r="A2740" s="304">
        <v>38917</v>
      </c>
      <c r="B2740" s="304" t="s">
        <v>8293</v>
      </c>
      <c r="C2740" s="304" t="s">
        <v>5555</v>
      </c>
      <c r="D2740" s="540">
        <v>9.23</v>
      </c>
    </row>
    <row r="2741" spans="1:4" ht="15" x14ac:dyDescent="0.25">
      <c r="A2741" s="304">
        <v>38919</v>
      </c>
      <c r="B2741" s="304" t="s">
        <v>8294</v>
      </c>
      <c r="C2741" s="304" t="s">
        <v>5555</v>
      </c>
      <c r="D2741" s="540">
        <v>13.73</v>
      </c>
    </row>
    <row r="2742" spans="1:4" ht="15" x14ac:dyDescent="0.25">
      <c r="A2742" s="304">
        <v>38922</v>
      </c>
      <c r="B2742" s="304" t="s">
        <v>8295</v>
      </c>
      <c r="C2742" s="304" t="s">
        <v>5555</v>
      </c>
      <c r="D2742" s="540">
        <v>17.739999999999998</v>
      </c>
    </row>
    <row r="2743" spans="1:4" ht="15" x14ac:dyDescent="0.25">
      <c r="A2743" s="304">
        <v>38921</v>
      </c>
      <c r="B2743" s="304" t="s">
        <v>8296</v>
      </c>
      <c r="C2743" s="304" t="s">
        <v>5555</v>
      </c>
      <c r="D2743" s="540">
        <v>21.93</v>
      </c>
    </row>
    <row r="2744" spans="1:4" ht="15" x14ac:dyDescent="0.25">
      <c r="A2744" s="304">
        <v>38918</v>
      </c>
      <c r="B2744" s="304" t="s">
        <v>8297</v>
      </c>
      <c r="C2744" s="304" t="s">
        <v>5555</v>
      </c>
      <c r="D2744" s="540">
        <v>20.84</v>
      </c>
    </row>
    <row r="2745" spans="1:4" ht="15" x14ac:dyDescent="0.25">
      <c r="A2745" s="304">
        <v>38920</v>
      </c>
      <c r="B2745" s="304" t="s">
        <v>8298</v>
      </c>
      <c r="C2745" s="304" t="s">
        <v>5555</v>
      </c>
      <c r="D2745" s="540">
        <v>26.06</v>
      </c>
    </row>
    <row r="2746" spans="1:4" ht="15" x14ac:dyDescent="0.25">
      <c r="A2746" s="304">
        <v>3104</v>
      </c>
      <c r="B2746" s="304" t="s">
        <v>8299</v>
      </c>
      <c r="C2746" s="304" t="s">
        <v>7062</v>
      </c>
      <c r="D2746" s="540">
        <v>341.32</v>
      </c>
    </row>
    <row r="2747" spans="1:4" ht="15" x14ac:dyDescent="0.25">
      <c r="A2747" s="304">
        <v>12032</v>
      </c>
      <c r="B2747" s="304" t="s">
        <v>8300</v>
      </c>
      <c r="C2747" s="304" t="s">
        <v>6057</v>
      </c>
      <c r="D2747" s="540">
        <v>42.35</v>
      </c>
    </row>
    <row r="2748" spans="1:4" ht="15" x14ac:dyDescent="0.25">
      <c r="A2748" s="304">
        <v>12030</v>
      </c>
      <c r="B2748" s="304" t="s">
        <v>8301</v>
      </c>
      <c r="C2748" s="304" t="s">
        <v>6057</v>
      </c>
      <c r="D2748" s="540">
        <v>39.79</v>
      </c>
    </row>
    <row r="2749" spans="1:4" ht="15" x14ac:dyDescent="0.25">
      <c r="A2749" s="304">
        <v>10908</v>
      </c>
      <c r="B2749" s="304" t="s">
        <v>8302</v>
      </c>
      <c r="C2749" s="304" t="s">
        <v>5555</v>
      </c>
      <c r="D2749" s="540">
        <v>10.72</v>
      </c>
    </row>
    <row r="2750" spans="1:4" ht="15" x14ac:dyDescent="0.25">
      <c r="A2750" s="304">
        <v>10909</v>
      </c>
      <c r="B2750" s="304" t="s">
        <v>8303</v>
      </c>
      <c r="C2750" s="304" t="s">
        <v>5555</v>
      </c>
      <c r="D2750" s="540">
        <v>17.100000000000001</v>
      </c>
    </row>
    <row r="2751" spans="1:4" ht="15" x14ac:dyDescent="0.25">
      <c r="A2751" s="304">
        <v>3669</v>
      </c>
      <c r="B2751" s="304" t="s">
        <v>8304</v>
      </c>
      <c r="C2751" s="304" t="s">
        <v>5555</v>
      </c>
      <c r="D2751" s="540">
        <v>7.33</v>
      </c>
    </row>
    <row r="2752" spans="1:4" ht="15" x14ac:dyDescent="0.25">
      <c r="A2752" s="304">
        <v>20138</v>
      </c>
      <c r="B2752" s="304" t="s">
        <v>8305</v>
      </c>
      <c r="C2752" s="304" t="s">
        <v>5555</v>
      </c>
      <c r="D2752" s="540">
        <v>36.409999999999997</v>
      </c>
    </row>
    <row r="2753" spans="1:4" ht="15" x14ac:dyDescent="0.25">
      <c r="A2753" s="304">
        <v>20139</v>
      </c>
      <c r="B2753" s="304" t="s">
        <v>8306</v>
      </c>
      <c r="C2753" s="304" t="s">
        <v>5555</v>
      </c>
      <c r="D2753" s="540">
        <v>61.17</v>
      </c>
    </row>
    <row r="2754" spans="1:4" ht="15" x14ac:dyDescent="0.25">
      <c r="A2754" s="304">
        <v>3668</v>
      </c>
      <c r="B2754" s="304" t="s">
        <v>8307</v>
      </c>
      <c r="C2754" s="304" t="s">
        <v>5555</v>
      </c>
      <c r="D2754" s="540">
        <v>24.25</v>
      </c>
    </row>
    <row r="2755" spans="1:4" ht="15" x14ac:dyDescent="0.25">
      <c r="A2755" s="304">
        <v>3656</v>
      </c>
      <c r="B2755" s="304" t="s">
        <v>8308</v>
      </c>
      <c r="C2755" s="304" t="s">
        <v>5555</v>
      </c>
      <c r="D2755" s="540">
        <v>12.02</v>
      </c>
    </row>
    <row r="2756" spans="1:4" ht="15" x14ac:dyDescent="0.25">
      <c r="A2756" s="304">
        <v>10911</v>
      </c>
      <c r="B2756" s="304" t="s">
        <v>8309</v>
      </c>
      <c r="C2756" s="304" t="s">
        <v>5555</v>
      </c>
      <c r="D2756" s="540">
        <v>13.34</v>
      </c>
    </row>
    <row r="2757" spans="1:4" ht="15" x14ac:dyDescent="0.25">
      <c r="A2757" s="304">
        <v>3654</v>
      </c>
      <c r="B2757" s="304" t="s">
        <v>8310</v>
      </c>
      <c r="C2757" s="304" t="s">
        <v>5555</v>
      </c>
      <c r="D2757" s="540">
        <v>3.74</v>
      </c>
    </row>
    <row r="2758" spans="1:4" ht="15" x14ac:dyDescent="0.25">
      <c r="A2758" s="304">
        <v>3664</v>
      </c>
      <c r="B2758" s="304" t="s">
        <v>8311</v>
      </c>
      <c r="C2758" s="304" t="s">
        <v>5555</v>
      </c>
      <c r="D2758" s="540">
        <v>4.6500000000000004</v>
      </c>
    </row>
    <row r="2759" spans="1:4" ht="15" x14ac:dyDescent="0.25">
      <c r="A2759" s="304">
        <v>3657</v>
      </c>
      <c r="B2759" s="304" t="s">
        <v>8312</v>
      </c>
      <c r="C2759" s="304" t="s">
        <v>5555</v>
      </c>
      <c r="D2759" s="540">
        <v>5.01</v>
      </c>
    </row>
    <row r="2760" spans="1:4" ht="15" x14ac:dyDescent="0.25">
      <c r="A2760" s="304">
        <v>12625</v>
      </c>
      <c r="B2760" s="304" t="s">
        <v>8313</v>
      </c>
      <c r="C2760" s="304" t="s">
        <v>5555</v>
      </c>
      <c r="D2760" s="540">
        <v>8.86</v>
      </c>
    </row>
    <row r="2761" spans="1:4" ht="15" x14ac:dyDescent="0.25">
      <c r="A2761" s="304">
        <v>20136</v>
      </c>
      <c r="B2761" s="304" t="s">
        <v>8314</v>
      </c>
      <c r="C2761" s="304" t="s">
        <v>5555</v>
      </c>
      <c r="D2761" s="540">
        <v>82.16</v>
      </c>
    </row>
    <row r="2762" spans="1:4" ht="15" x14ac:dyDescent="0.25">
      <c r="A2762" s="304">
        <v>20144</v>
      </c>
      <c r="B2762" s="304" t="s">
        <v>8315</v>
      </c>
      <c r="C2762" s="304" t="s">
        <v>5555</v>
      </c>
      <c r="D2762" s="540">
        <v>36.090000000000003</v>
      </c>
    </row>
    <row r="2763" spans="1:4" ht="15" x14ac:dyDescent="0.25">
      <c r="A2763" s="304">
        <v>20143</v>
      </c>
      <c r="B2763" s="304" t="s">
        <v>8316</v>
      </c>
      <c r="C2763" s="304" t="s">
        <v>5555</v>
      </c>
      <c r="D2763" s="540">
        <v>33.700000000000003</v>
      </c>
    </row>
    <row r="2764" spans="1:4" ht="15" x14ac:dyDescent="0.25">
      <c r="A2764" s="304">
        <v>20145</v>
      </c>
      <c r="B2764" s="304" t="s">
        <v>8317</v>
      </c>
      <c r="C2764" s="304" t="s">
        <v>5555</v>
      </c>
      <c r="D2764" s="540">
        <v>95.65</v>
      </c>
    </row>
    <row r="2765" spans="1:4" ht="15" x14ac:dyDescent="0.25">
      <c r="A2765" s="304">
        <v>20146</v>
      </c>
      <c r="B2765" s="304" t="s">
        <v>8318</v>
      </c>
      <c r="C2765" s="304" t="s">
        <v>5555</v>
      </c>
      <c r="D2765" s="540">
        <v>107.86</v>
      </c>
    </row>
    <row r="2766" spans="1:4" ht="15" x14ac:dyDescent="0.25">
      <c r="A2766" s="304">
        <v>20140</v>
      </c>
      <c r="B2766" s="304" t="s">
        <v>8319</v>
      </c>
      <c r="C2766" s="304" t="s">
        <v>5555</v>
      </c>
      <c r="D2766" s="540">
        <v>4.29</v>
      </c>
    </row>
    <row r="2767" spans="1:4" ht="15" x14ac:dyDescent="0.25">
      <c r="A2767" s="304">
        <v>20141</v>
      </c>
      <c r="B2767" s="304" t="s">
        <v>8320</v>
      </c>
      <c r="C2767" s="304" t="s">
        <v>5555</v>
      </c>
      <c r="D2767" s="540">
        <v>7.54</v>
      </c>
    </row>
    <row r="2768" spans="1:4" ht="15" x14ac:dyDescent="0.25">
      <c r="A2768" s="304">
        <v>20142</v>
      </c>
      <c r="B2768" s="304" t="s">
        <v>8321</v>
      </c>
      <c r="C2768" s="304" t="s">
        <v>5555</v>
      </c>
      <c r="D2768" s="540">
        <v>23.06</v>
      </c>
    </row>
    <row r="2769" spans="1:4" ht="15" x14ac:dyDescent="0.25">
      <c r="A2769" s="304">
        <v>3659</v>
      </c>
      <c r="B2769" s="304" t="s">
        <v>8322</v>
      </c>
      <c r="C2769" s="304" t="s">
        <v>5555</v>
      </c>
      <c r="D2769" s="540">
        <v>10</v>
      </c>
    </row>
    <row r="2770" spans="1:4" ht="15" x14ac:dyDescent="0.25">
      <c r="A2770" s="304">
        <v>3660</v>
      </c>
      <c r="B2770" s="304" t="s">
        <v>8323</v>
      </c>
      <c r="C2770" s="304" t="s">
        <v>5555</v>
      </c>
      <c r="D2770" s="540">
        <v>14.42</v>
      </c>
    </row>
    <row r="2771" spans="1:4" ht="15" x14ac:dyDescent="0.25">
      <c r="A2771" s="304">
        <v>3662</v>
      </c>
      <c r="B2771" s="304" t="s">
        <v>8324</v>
      </c>
      <c r="C2771" s="304" t="s">
        <v>5555</v>
      </c>
      <c r="D2771" s="540">
        <v>5.44</v>
      </c>
    </row>
    <row r="2772" spans="1:4" ht="15" x14ac:dyDescent="0.25">
      <c r="A2772" s="304">
        <v>3661</v>
      </c>
      <c r="B2772" s="304" t="s">
        <v>8325</v>
      </c>
      <c r="C2772" s="304" t="s">
        <v>5555</v>
      </c>
      <c r="D2772" s="540">
        <v>8.01</v>
      </c>
    </row>
    <row r="2773" spans="1:4" ht="15" x14ac:dyDescent="0.25">
      <c r="A2773" s="304">
        <v>3658</v>
      </c>
      <c r="B2773" s="304" t="s">
        <v>8326</v>
      </c>
      <c r="C2773" s="304" t="s">
        <v>5555</v>
      </c>
      <c r="D2773" s="540">
        <v>10.199999999999999</v>
      </c>
    </row>
    <row r="2774" spans="1:4" ht="15" x14ac:dyDescent="0.25">
      <c r="A2774" s="304">
        <v>3670</v>
      </c>
      <c r="B2774" s="304" t="s">
        <v>8327</v>
      </c>
      <c r="C2774" s="304" t="s">
        <v>5555</v>
      </c>
      <c r="D2774" s="540">
        <v>13.31</v>
      </c>
    </row>
    <row r="2775" spans="1:4" ht="15" x14ac:dyDescent="0.25">
      <c r="A2775" s="304">
        <v>3666</v>
      </c>
      <c r="B2775" s="304" t="s">
        <v>8328</v>
      </c>
      <c r="C2775" s="304" t="s">
        <v>5555</v>
      </c>
      <c r="D2775" s="540">
        <v>2.25</v>
      </c>
    </row>
    <row r="2776" spans="1:4" ht="15" x14ac:dyDescent="0.25">
      <c r="A2776" s="304">
        <v>14157</v>
      </c>
      <c r="B2776" s="304" t="s">
        <v>8329</v>
      </c>
      <c r="C2776" s="304" t="s">
        <v>5555</v>
      </c>
      <c r="D2776" s="540">
        <v>0.83</v>
      </c>
    </row>
    <row r="2777" spans="1:4" ht="15" x14ac:dyDescent="0.25">
      <c r="A2777" s="304">
        <v>3653</v>
      </c>
      <c r="B2777" s="304" t="s">
        <v>8330</v>
      </c>
      <c r="C2777" s="304" t="s">
        <v>5555</v>
      </c>
      <c r="D2777" s="540">
        <v>65.09</v>
      </c>
    </row>
    <row r="2778" spans="1:4" ht="15" x14ac:dyDescent="0.25">
      <c r="A2778" s="304">
        <v>3649</v>
      </c>
      <c r="B2778" s="304" t="s">
        <v>8331</v>
      </c>
      <c r="C2778" s="304" t="s">
        <v>5555</v>
      </c>
      <c r="D2778" s="540">
        <v>134.81</v>
      </c>
    </row>
    <row r="2779" spans="1:4" ht="15" x14ac:dyDescent="0.25">
      <c r="A2779" s="304">
        <v>42696</v>
      </c>
      <c r="B2779" s="304" t="s">
        <v>8332</v>
      </c>
      <c r="C2779" s="304" t="s">
        <v>5555</v>
      </c>
      <c r="D2779" s="540">
        <v>377.19</v>
      </c>
    </row>
    <row r="2780" spans="1:4" ht="15" x14ac:dyDescent="0.25">
      <c r="A2780" s="304">
        <v>42697</v>
      </c>
      <c r="B2780" s="304" t="s">
        <v>8333</v>
      </c>
      <c r="C2780" s="304" t="s">
        <v>5555</v>
      </c>
      <c r="D2780" s="540">
        <v>568.05999999999995</v>
      </c>
    </row>
    <row r="2781" spans="1:4" ht="15" x14ac:dyDescent="0.25">
      <c r="A2781" s="304">
        <v>42698</v>
      </c>
      <c r="B2781" s="304" t="s">
        <v>8334</v>
      </c>
      <c r="C2781" s="304" t="s">
        <v>5555</v>
      </c>
      <c r="D2781" s="540">
        <v>791.29</v>
      </c>
    </row>
    <row r="2782" spans="1:4" ht="15" x14ac:dyDescent="0.25">
      <c r="A2782" s="304">
        <v>39875</v>
      </c>
      <c r="B2782" s="304" t="s">
        <v>8335</v>
      </c>
      <c r="C2782" s="304" t="s">
        <v>5555</v>
      </c>
      <c r="D2782" s="540">
        <v>369.58</v>
      </c>
    </row>
    <row r="2783" spans="1:4" ht="15" x14ac:dyDescent="0.25">
      <c r="A2783" s="304">
        <v>39876</v>
      </c>
      <c r="B2783" s="304" t="s">
        <v>8336</v>
      </c>
      <c r="C2783" s="304" t="s">
        <v>5555</v>
      </c>
      <c r="D2783" s="540">
        <v>462.72</v>
      </c>
    </row>
    <row r="2784" spans="1:4" ht="15" x14ac:dyDescent="0.25">
      <c r="A2784" s="304">
        <v>39877</v>
      </c>
      <c r="B2784" s="304" t="s">
        <v>8337</v>
      </c>
      <c r="C2784" s="304" t="s">
        <v>5555</v>
      </c>
      <c r="D2784" s="540">
        <v>641.77</v>
      </c>
    </row>
    <row r="2785" spans="1:4" ht="15" x14ac:dyDescent="0.25">
      <c r="A2785" s="304">
        <v>39878</v>
      </c>
      <c r="B2785" s="304" t="s">
        <v>8338</v>
      </c>
      <c r="C2785" s="304" t="s">
        <v>5555</v>
      </c>
      <c r="D2785" s="540">
        <v>847.68</v>
      </c>
    </row>
    <row r="2786" spans="1:4" ht="15" x14ac:dyDescent="0.25">
      <c r="A2786" s="304">
        <v>39872</v>
      </c>
      <c r="B2786" s="304" t="s">
        <v>8339</v>
      </c>
      <c r="C2786" s="304" t="s">
        <v>5555</v>
      </c>
      <c r="D2786" s="540">
        <v>253.45</v>
      </c>
    </row>
    <row r="2787" spans="1:4" ht="15" x14ac:dyDescent="0.25">
      <c r="A2787" s="304">
        <v>39873</v>
      </c>
      <c r="B2787" s="304" t="s">
        <v>8340</v>
      </c>
      <c r="C2787" s="304" t="s">
        <v>5555</v>
      </c>
      <c r="D2787" s="540">
        <v>293.99</v>
      </c>
    </row>
    <row r="2788" spans="1:4" ht="15" x14ac:dyDescent="0.25">
      <c r="A2788" s="304">
        <v>39874</v>
      </c>
      <c r="B2788" s="304" t="s">
        <v>8341</v>
      </c>
      <c r="C2788" s="304" t="s">
        <v>5555</v>
      </c>
      <c r="D2788" s="540">
        <v>322.91000000000003</v>
      </c>
    </row>
    <row r="2789" spans="1:4" ht="15" x14ac:dyDescent="0.25">
      <c r="A2789" s="304">
        <v>3674</v>
      </c>
      <c r="B2789" s="304" t="s">
        <v>8342</v>
      </c>
      <c r="C2789" s="304" t="s">
        <v>5575</v>
      </c>
      <c r="D2789" s="540">
        <v>59.04</v>
      </c>
    </row>
    <row r="2790" spans="1:4" ht="15" x14ac:dyDescent="0.25">
      <c r="A2790" s="304">
        <v>3681</v>
      </c>
      <c r="B2790" s="304" t="s">
        <v>8343</v>
      </c>
      <c r="C2790" s="304" t="s">
        <v>5575</v>
      </c>
      <c r="D2790" s="540">
        <v>87.85</v>
      </c>
    </row>
    <row r="2791" spans="1:4" ht="15" x14ac:dyDescent="0.25">
      <c r="A2791" s="304">
        <v>3676</v>
      </c>
      <c r="B2791" s="304" t="s">
        <v>8344</v>
      </c>
      <c r="C2791" s="304" t="s">
        <v>5575</v>
      </c>
      <c r="D2791" s="540">
        <v>330.62</v>
      </c>
    </row>
    <row r="2792" spans="1:4" ht="15" x14ac:dyDescent="0.25">
      <c r="A2792" s="304">
        <v>3679</v>
      </c>
      <c r="B2792" s="304" t="s">
        <v>8345</v>
      </c>
      <c r="C2792" s="304" t="s">
        <v>5575</v>
      </c>
      <c r="D2792" s="540">
        <v>273.52999999999997</v>
      </c>
    </row>
    <row r="2793" spans="1:4" ht="15" x14ac:dyDescent="0.25">
      <c r="A2793" s="304">
        <v>3672</v>
      </c>
      <c r="B2793" s="304" t="s">
        <v>8346</v>
      </c>
      <c r="C2793" s="304" t="s">
        <v>5575</v>
      </c>
      <c r="D2793" s="540">
        <v>0.93</v>
      </c>
    </row>
    <row r="2794" spans="1:4" ht="15" x14ac:dyDescent="0.25">
      <c r="A2794" s="304">
        <v>3671</v>
      </c>
      <c r="B2794" s="304" t="s">
        <v>8347</v>
      </c>
      <c r="C2794" s="304" t="s">
        <v>5575</v>
      </c>
      <c r="D2794" s="540">
        <v>0.88</v>
      </c>
    </row>
    <row r="2795" spans="1:4" ht="15" x14ac:dyDescent="0.25">
      <c r="A2795" s="304">
        <v>3673</v>
      </c>
      <c r="B2795" s="304" t="s">
        <v>8348</v>
      </c>
      <c r="C2795" s="304" t="s">
        <v>5575</v>
      </c>
      <c r="D2795" s="540">
        <v>1.38</v>
      </c>
    </row>
    <row r="2796" spans="1:4" ht="15" x14ac:dyDescent="0.25">
      <c r="A2796" s="304">
        <v>38394</v>
      </c>
      <c r="B2796" s="304" t="s">
        <v>8349</v>
      </c>
      <c r="C2796" s="304" t="s">
        <v>5555</v>
      </c>
      <c r="D2796" s="540">
        <v>246.33</v>
      </c>
    </row>
    <row r="2797" spans="1:4" ht="15" x14ac:dyDescent="0.25">
      <c r="A2797" s="304">
        <v>3729</v>
      </c>
      <c r="B2797" s="304" t="s">
        <v>8350</v>
      </c>
      <c r="C2797" s="304" t="s">
        <v>5555</v>
      </c>
      <c r="D2797" s="540">
        <v>62.63</v>
      </c>
    </row>
    <row r="2798" spans="1:4" ht="15" x14ac:dyDescent="0.25">
      <c r="A2798" s="304">
        <v>39357</v>
      </c>
      <c r="B2798" s="304" t="s">
        <v>8351</v>
      </c>
      <c r="C2798" s="304" t="s">
        <v>5555</v>
      </c>
      <c r="D2798" s="540">
        <v>83.84</v>
      </c>
    </row>
    <row r="2799" spans="1:4" ht="15" x14ac:dyDescent="0.25">
      <c r="A2799" s="304">
        <v>39358</v>
      </c>
      <c r="B2799" s="304" t="s">
        <v>8352</v>
      </c>
      <c r="C2799" s="304" t="s">
        <v>5555</v>
      </c>
      <c r="D2799" s="540">
        <v>91.94</v>
      </c>
    </row>
    <row r="2800" spans="1:4" ht="15" x14ac:dyDescent="0.25">
      <c r="A2800" s="304">
        <v>39356</v>
      </c>
      <c r="B2800" s="304" t="s">
        <v>8353</v>
      </c>
      <c r="C2800" s="304" t="s">
        <v>5555</v>
      </c>
      <c r="D2800" s="540">
        <v>156.85</v>
      </c>
    </row>
    <row r="2801" spans="1:4" ht="15" x14ac:dyDescent="0.25">
      <c r="A2801" s="304">
        <v>39355</v>
      </c>
      <c r="B2801" s="304" t="s">
        <v>8354</v>
      </c>
      <c r="C2801" s="304" t="s">
        <v>5555</v>
      </c>
      <c r="D2801" s="540">
        <v>134.97</v>
      </c>
    </row>
    <row r="2802" spans="1:4" ht="15" x14ac:dyDescent="0.25">
      <c r="A2802" s="304">
        <v>39353</v>
      </c>
      <c r="B2802" s="304" t="s">
        <v>8355</v>
      </c>
      <c r="C2802" s="304" t="s">
        <v>5555</v>
      </c>
      <c r="D2802" s="540">
        <v>185.09</v>
      </c>
    </row>
    <row r="2803" spans="1:4" ht="15" x14ac:dyDescent="0.25">
      <c r="A2803" s="304">
        <v>39354</v>
      </c>
      <c r="B2803" s="304" t="s">
        <v>8356</v>
      </c>
      <c r="C2803" s="304" t="s">
        <v>5555</v>
      </c>
      <c r="D2803" s="540">
        <v>184.47</v>
      </c>
    </row>
    <row r="2804" spans="1:4" ht="15" x14ac:dyDescent="0.25">
      <c r="A2804" s="304">
        <v>39398</v>
      </c>
      <c r="B2804" s="304" t="s">
        <v>8357</v>
      </c>
      <c r="C2804" s="304" t="s">
        <v>5555</v>
      </c>
      <c r="D2804" s="540">
        <v>68.540000000000006</v>
      </c>
    </row>
    <row r="2805" spans="1:4" ht="15" x14ac:dyDescent="0.25">
      <c r="A2805" s="304">
        <v>13343</v>
      </c>
      <c r="B2805" s="304" t="s">
        <v>8358</v>
      </c>
      <c r="C2805" s="304" t="s">
        <v>5555</v>
      </c>
      <c r="D2805" s="540">
        <v>32.97</v>
      </c>
    </row>
    <row r="2806" spans="1:4" ht="15" x14ac:dyDescent="0.25">
      <c r="A2806" s="304">
        <v>12118</v>
      </c>
      <c r="B2806" s="304" t="s">
        <v>8359</v>
      </c>
      <c r="C2806" s="304" t="s">
        <v>5555</v>
      </c>
      <c r="D2806" s="540">
        <v>20.65</v>
      </c>
    </row>
    <row r="2807" spans="1:4" ht="15" x14ac:dyDescent="0.25">
      <c r="A2807" s="304">
        <v>39482</v>
      </c>
      <c r="B2807" s="304" t="s">
        <v>8360</v>
      </c>
      <c r="C2807" s="304" t="s">
        <v>5555</v>
      </c>
      <c r="D2807" s="540">
        <v>291.66000000000003</v>
      </c>
    </row>
    <row r="2808" spans="1:4" ht="15" x14ac:dyDescent="0.25">
      <c r="A2808" s="304">
        <v>39486</v>
      </c>
      <c r="B2808" s="304" t="s">
        <v>8361</v>
      </c>
      <c r="C2808" s="304" t="s">
        <v>5555</v>
      </c>
      <c r="D2808" s="540">
        <v>256.95999999999998</v>
      </c>
    </row>
    <row r="2809" spans="1:4" ht="15" x14ac:dyDescent="0.25">
      <c r="A2809" s="304">
        <v>39483</v>
      </c>
      <c r="B2809" s="304" t="s">
        <v>8362</v>
      </c>
      <c r="C2809" s="304" t="s">
        <v>5555</v>
      </c>
      <c r="D2809" s="540">
        <v>278.18</v>
      </c>
    </row>
    <row r="2810" spans="1:4" ht="15" x14ac:dyDescent="0.25">
      <c r="A2810" s="304">
        <v>39487</v>
      </c>
      <c r="B2810" s="304" t="s">
        <v>8363</v>
      </c>
      <c r="C2810" s="304" t="s">
        <v>5555</v>
      </c>
      <c r="D2810" s="540">
        <v>259.62</v>
      </c>
    </row>
    <row r="2811" spans="1:4" ht="15" x14ac:dyDescent="0.25">
      <c r="A2811" s="304">
        <v>39484</v>
      </c>
      <c r="B2811" s="304" t="s">
        <v>8364</v>
      </c>
      <c r="C2811" s="304" t="s">
        <v>5555</v>
      </c>
      <c r="D2811" s="540">
        <v>280.83</v>
      </c>
    </row>
    <row r="2812" spans="1:4" ht="15" x14ac:dyDescent="0.25">
      <c r="A2812" s="304">
        <v>39488</v>
      </c>
      <c r="B2812" s="304" t="s">
        <v>8365</v>
      </c>
      <c r="C2812" s="304" t="s">
        <v>5555</v>
      </c>
      <c r="D2812" s="540">
        <v>262.27</v>
      </c>
    </row>
    <row r="2813" spans="1:4" ht="15" x14ac:dyDescent="0.25">
      <c r="A2813" s="304">
        <v>39485</v>
      </c>
      <c r="B2813" s="304" t="s">
        <v>8366</v>
      </c>
      <c r="C2813" s="304" t="s">
        <v>5555</v>
      </c>
      <c r="D2813" s="540">
        <v>294.10000000000002</v>
      </c>
    </row>
    <row r="2814" spans="1:4" ht="15" x14ac:dyDescent="0.25">
      <c r="A2814" s="304">
        <v>39489</v>
      </c>
      <c r="B2814" s="304" t="s">
        <v>8367</v>
      </c>
      <c r="C2814" s="304" t="s">
        <v>5555</v>
      </c>
      <c r="D2814" s="540">
        <v>275.54000000000002</v>
      </c>
    </row>
    <row r="2815" spans="1:4" ht="15" x14ac:dyDescent="0.25">
      <c r="A2815" s="304">
        <v>39494</v>
      </c>
      <c r="B2815" s="304" t="s">
        <v>8368</v>
      </c>
      <c r="C2815" s="304" t="s">
        <v>5555</v>
      </c>
      <c r="D2815" s="540">
        <v>281.06</v>
      </c>
    </row>
    <row r="2816" spans="1:4" ht="15" x14ac:dyDescent="0.25">
      <c r="A2816" s="304">
        <v>39490</v>
      </c>
      <c r="B2816" s="304" t="s">
        <v>8369</v>
      </c>
      <c r="C2816" s="304" t="s">
        <v>5555</v>
      </c>
      <c r="D2816" s="540">
        <v>318.60000000000002</v>
      </c>
    </row>
    <row r="2817" spans="1:4" ht="15" x14ac:dyDescent="0.25">
      <c r="A2817" s="304">
        <v>39495</v>
      </c>
      <c r="B2817" s="304" t="s">
        <v>8370</v>
      </c>
      <c r="C2817" s="304" t="s">
        <v>5555</v>
      </c>
      <c r="D2817" s="540">
        <v>291.66000000000003</v>
      </c>
    </row>
    <row r="2818" spans="1:4" ht="15" x14ac:dyDescent="0.25">
      <c r="A2818" s="304">
        <v>39491</v>
      </c>
      <c r="B2818" s="304" t="s">
        <v>8371</v>
      </c>
      <c r="C2818" s="304" t="s">
        <v>5555</v>
      </c>
      <c r="D2818" s="540">
        <v>328.78</v>
      </c>
    </row>
    <row r="2819" spans="1:4" ht="15" x14ac:dyDescent="0.25">
      <c r="A2819" s="304">
        <v>39496</v>
      </c>
      <c r="B2819" s="304" t="s">
        <v>8372</v>
      </c>
      <c r="C2819" s="304" t="s">
        <v>5555</v>
      </c>
      <c r="D2819" s="540">
        <v>302.16000000000003</v>
      </c>
    </row>
    <row r="2820" spans="1:4" ht="15" x14ac:dyDescent="0.25">
      <c r="A2820" s="304">
        <v>39492</v>
      </c>
      <c r="B2820" s="304" t="s">
        <v>8373</v>
      </c>
      <c r="C2820" s="304" t="s">
        <v>5555</v>
      </c>
      <c r="D2820" s="540">
        <v>330.8</v>
      </c>
    </row>
    <row r="2821" spans="1:4" ht="15" x14ac:dyDescent="0.25">
      <c r="A2821" s="304">
        <v>39497</v>
      </c>
      <c r="B2821" s="304" t="s">
        <v>8374</v>
      </c>
      <c r="C2821" s="304" t="s">
        <v>5555</v>
      </c>
      <c r="D2821" s="540">
        <v>312.77</v>
      </c>
    </row>
    <row r="2822" spans="1:4" ht="15" x14ac:dyDescent="0.25">
      <c r="A2822" s="304">
        <v>39493</v>
      </c>
      <c r="B2822" s="304" t="s">
        <v>8375</v>
      </c>
      <c r="C2822" s="304" t="s">
        <v>5555</v>
      </c>
      <c r="D2822" s="540">
        <v>349.99</v>
      </c>
    </row>
    <row r="2823" spans="1:4" ht="15" x14ac:dyDescent="0.25">
      <c r="A2823" s="304">
        <v>39500</v>
      </c>
      <c r="B2823" s="304" t="s">
        <v>8376</v>
      </c>
      <c r="C2823" s="304" t="s">
        <v>5555</v>
      </c>
      <c r="D2823" s="540">
        <v>351.14</v>
      </c>
    </row>
    <row r="2824" spans="1:4" ht="15" x14ac:dyDescent="0.25">
      <c r="A2824" s="304">
        <v>39498</v>
      </c>
      <c r="B2824" s="304" t="s">
        <v>8377</v>
      </c>
      <c r="C2824" s="304" t="s">
        <v>5555</v>
      </c>
      <c r="D2824" s="540">
        <v>390.46</v>
      </c>
    </row>
    <row r="2825" spans="1:4" ht="15" x14ac:dyDescent="0.25">
      <c r="A2825" s="304">
        <v>39501</v>
      </c>
      <c r="B2825" s="304" t="s">
        <v>8378</v>
      </c>
      <c r="C2825" s="304" t="s">
        <v>5555</v>
      </c>
      <c r="D2825" s="540">
        <v>360.28</v>
      </c>
    </row>
    <row r="2826" spans="1:4" ht="15" x14ac:dyDescent="0.25">
      <c r="A2826" s="304">
        <v>39499</v>
      </c>
      <c r="B2826" s="304" t="s">
        <v>8379</v>
      </c>
      <c r="C2826" s="304" t="s">
        <v>5555</v>
      </c>
      <c r="D2826" s="540">
        <v>423.57</v>
      </c>
    </row>
    <row r="2827" spans="1:4" ht="15" x14ac:dyDescent="0.25">
      <c r="A2827" s="304">
        <v>3733</v>
      </c>
      <c r="B2827" s="304" t="s">
        <v>8380</v>
      </c>
      <c r="C2827" s="304" t="s">
        <v>5564</v>
      </c>
      <c r="D2827" s="540">
        <v>47.4</v>
      </c>
    </row>
    <row r="2828" spans="1:4" ht="15" x14ac:dyDescent="0.25">
      <c r="A2828" s="304">
        <v>3731</v>
      </c>
      <c r="B2828" s="304" t="s">
        <v>8381</v>
      </c>
      <c r="C2828" s="304" t="s">
        <v>5564</v>
      </c>
      <c r="D2828" s="540">
        <v>44</v>
      </c>
    </row>
    <row r="2829" spans="1:4" ht="15" x14ac:dyDescent="0.25">
      <c r="A2829" s="304">
        <v>38137</v>
      </c>
      <c r="B2829" s="304" t="s">
        <v>8382</v>
      </c>
      <c r="C2829" s="304" t="s">
        <v>5564</v>
      </c>
      <c r="D2829" s="540">
        <v>44.26</v>
      </c>
    </row>
    <row r="2830" spans="1:4" ht="15" x14ac:dyDescent="0.25">
      <c r="A2830" s="304">
        <v>38135</v>
      </c>
      <c r="B2830" s="304" t="s">
        <v>8383</v>
      </c>
      <c r="C2830" s="304" t="s">
        <v>5564</v>
      </c>
      <c r="D2830" s="540">
        <v>56.1</v>
      </c>
    </row>
    <row r="2831" spans="1:4" ht="15" x14ac:dyDescent="0.25">
      <c r="A2831" s="304">
        <v>38138</v>
      </c>
      <c r="B2831" s="304" t="s">
        <v>8384</v>
      </c>
      <c r="C2831" s="304" t="s">
        <v>5564</v>
      </c>
      <c r="D2831" s="540">
        <v>43.46</v>
      </c>
    </row>
    <row r="2832" spans="1:4" ht="15" x14ac:dyDescent="0.25">
      <c r="A2832" s="304">
        <v>3736</v>
      </c>
      <c r="B2832" s="304" t="s">
        <v>8385</v>
      </c>
      <c r="C2832" s="304" t="s">
        <v>5564</v>
      </c>
      <c r="D2832" s="540">
        <v>39</v>
      </c>
    </row>
    <row r="2833" spans="1:4" ht="15" x14ac:dyDescent="0.25">
      <c r="A2833" s="304">
        <v>3741</v>
      </c>
      <c r="B2833" s="304" t="s">
        <v>8386</v>
      </c>
      <c r="C2833" s="304" t="s">
        <v>5564</v>
      </c>
      <c r="D2833" s="540">
        <v>40.65</v>
      </c>
    </row>
    <row r="2834" spans="1:4" ht="15" x14ac:dyDescent="0.25">
      <c r="A2834" s="304">
        <v>3745</v>
      </c>
      <c r="B2834" s="304" t="s">
        <v>8387</v>
      </c>
      <c r="C2834" s="304" t="s">
        <v>5564</v>
      </c>
      <c r="D2834" s="540">
        <v>43.83</v>
      </c>
    </row>
    <row r="2835" spans="1:4" ht="15" x14ac:dyDescent="0.25">
      <c r="A2835" s="304">
        <v>3743</v>
      </c>
      <c r="B2835" s="304" t="s">
        <v>8388</v>
      </c>
      <c r="C2835" s="304" t="s">
        <v>5564</v>
      </c>
      <c r="D2835" s="540">
        <v>40.51</v>
      </c>
    </row>
    <row r="2836" spans="1:4" ht="15" x14ac:dyDescent="0.25">
      <c r="A2836" s="304">
        <v>3744</v>
      </c>
      <c r="B2836" s="304" t="s">
        <v>8389</v>
      </c>
      <c r="C2836" s="304" t="s">
        <v>5564</v>
      </c>
      <c r="D2836" s="540">
        <v>44.59</v>
      </c>
    </row>
    <row r="2837" spans="1:4" ht="15" x14ac:dyDescent="0.25">
      <c r="A2837" s="304">
        <v>3739</v>
      </c>
      <c r="B2837" s="304" t="s">
        <v>8390</v>
      </c>
      <c r="C2837" s="304" t="s">
        <v>5564</v>
      </c>
      <c r="D2837" s="540">
        <v>46.86</v>
      </c>
    </row>
    <row r="2838" spans="1:4" ht="15" x14ac:dyDescent="0.25">
      <c r="A2838" s="304">
        <v>3737</v>
      </c>
      <c r="B2838" s="304" t="s">
        <v>8391</v>
      </c>
      <c r="C2838" s="304" t="s">
        <v>5564</v>
      </c>
      <c r="D2838" s="540">
        <v>49.12</v>
      </c>
    </row>
    <row r="2839" spans="1:4" ht="15" x14ac:dyDescent="0.25">
      <c r="A2839" s="304">
        <v>3738</v>
      </c>
      <c r="B2839" s="304" t="s">
        <v>8392</v>
      </c>
      <c r="C2839" s="304" t="s">
        <v>5564</v>
      </c>
      <c r="D2839" s="540">
        <v>56.68</v>
      </c>
    </row>
    <row r="2840" spans="1:4" ht="15" x14ac:dyDescent="0.25">
      <c r="A2840" s="304">
        <v>3747</v>
      </c>
      <c r="B2840" s="304" t="s">
        <v>8393</v>
      </c>
      <c r="C2840" s="304" t="s">
        <v>5564</v>
      </c>
      <c r="D2840" s="540">
        <v>44.59</v>
      </c>
    </row>
    <row r="2841" spans="1:4" ht="15" x14ac:dyDescent="0.25">
      <c r="A2841" s="304">
        <v>11649</v>
      </c>
      <c r="B2841" s="304" t="s">
        <v>8394</v>
      </c>
      <c r="C2841" s="304" t="s">
        <v>5555</v>
      </c>
      <c r="D2841" s="540">
        <v>323.48</v>
      </c>
    </row>
    <row r="2842" spans="1:4" ht="15" x14ac:dyDescent="0.25">
      <c r="A2842" s="304">
        <v>11650</v>
      </c>
      <c r="B2842" s="304" t="s">
        <v>8395</v>
      </c>
      <c r="C2842" s="304" t="s">
        <v>5555</v>
      </c>
      <c r="D2842" s="540">
        <v>551.36</v>
      </c>
    </row>
    <row r="2843" spans="1:4" ht="15" x14ac:dyDescent="0.25">
      <c r="A2843" s="304">
        <v>3742</v>
      </c>
      <c r="B2843" s="304" t="s">
        <v>8396</v>
      </c>
      <c r="C2843" s="304" t="s">
        <v>5564</v>
      </c>
      <c r="D2843" s="540">
        <v>58.8</v>
      </c>
    </row>
    <row r="2844" spans="1:4" ht="15" x14ac:dyDescent="0.25">
      <c r="A2844" s="304">
        <v>3746</v>
      </c>
      <c r="B2844" s="304" t="s">
        <v>8397</v>
      </c>
      <c r="C2844" s="304" t="s">
        <v>5564</v>
      </c>
      <c r="D2844" s="540">
        <v>68.650000000000006</v>
      </c>
    </row>
    <row r="2845" spans="1:4" ht="15" x14ac:dyDescent="0.25">
      <c r="A2845" s="304">
        <v>21106</v>
      </c>
      <c r="B2845" s="304" t="s">
        <v>8398</v>
      </c>
      <c r="C2845" s="304" t="s">
        <v>5626</v>
      </c>
      <c r="D2845" s="540">
        <v>30.55</v>
      </c>
    </row>
    <row r="2846" spans="1:4" ht="15" x14ac:dyDescent="0.25">
      <c r="A2846" s="304">
        <v>3755</v>
      </c>
      <c r="B2846" s="304" t="s">
        <v>8399</v>
      </c>
      <c r="C2846" s="304" t="s">
        <v>5555</v>
      </c>
      <c r="D2846" s="540">
        <v>14.92</v>
      </c>
    </row>
    <row r="2847" spans="1:4" ht="15" x14ac:dyDescent="0.25">
      <c r="A2847" s="304">
        <v>3750</v>
      </c>
      <c r="B2847" s="304" t="s">
        <v>8400</v>
      </c>
      <c r="C2847" s="304" t="s">
        <v>5555</v>
      </c>
      <c r="D2847" s="540">
        <v>20.059999999999999</v>
      </c>
    </row>
    <row r="2848" spans="1:4" ht="15" x14ac:dyDescent="0.25">
      <c r="A2848" s="304">
        <v>3756</v>
      </c>
      <c r="B2848" s="304" t="s">
        <v>8401</v>
      </c>
      <c r="C2848" s="304" t="s">
        <v>5555</v>
      </c>
      <c r="D2848" s="540">
        <v>37.49</v>
      </c>
    </row>
    <row r="2849" spans="1:4" ht="15" x14ac:dyDescent="0.25">
      <c r="A2849" s="304">
        <v>39377</v>
      </c>
      <c r="B2849" s="304" t="s">
        <v>8402</v>
      </c>
      <c r="C2849" s="304" t="s">
        <v>5555</v>
      </c>
      <c r="D2849" s="540">
        <v>111.07</v>
      </c>
    </row>
    <row r="2850" spans="1:4" ht="15" x14ac:dyDescent="0.25">
      <c r="A2850" s="304">
        <v>38191</v>
      </c>
      <c r="B2850" s="304" t="s">
        <v>8403</v>
      </c>
      <c r="C2850" s="304" t="s">
        <v>5555</v>
      </c>
      <c r="D2850" s="540">
        <v>8.27</v>
      </c>
    </row>
    <row r="2851" spans="1:4" ht="15" x14ac:dyDescent="0.25">
      <c r="A2851" s="304">
        <v>39381</v>
      </c>
      <c r="B2851" s="304" t="s">
        <v>8404</v>
      </c>
      <c r="C2851" s="304" t="s">
        <v>5555</v>
      </c>
      <c r="D2851" s="540">
        <v>7.71</v>
      </c>
    </row>
    <row r="2852" spans="1:4" ht="15" x14ac:dyDescent="0.25">
      <c r="A2852" s="304">
        <v>38780</v>
      </c>
      <c r="B2852" s="304" t="s">
        <v>8405</v>
      </c>
      <c r="C2852" s="304" t="s">
        <v>5555</v>
      </c>
      <c r="D2852" s="540">
        <v>9.43</v>
      </c>
    </row>
    <row r="2853" spans="1:4" ht="15" x14ac:dyDescent="0.25">
      <c r="A2853" s="304">
        <v>38781</v>
      </c>
      <c r="B2853" s="304" t="s">
        <v>8406</v>
      </c>
      <c r="C2853" s="304" t="s">
        <v>5555</v>
      </c>
      <c r="D2853" s="540">
        <v>31.85</v>
      </c>
    </row>
    <row r="2854" spans="1:4" ht="15" x14ac:dyDescent="0.25">
      <c r="A2854" s="304">
        <v>38192</v>
      </c>
      <c r="B2854" s="304" t="s">
        <v>8407</v>
      </c>
      <c r="C2854" s="304" t="s">
        <v>5555</v>
      </c>
      <c r="D2854" s="540">
        <v>57.64</v>
      </c>
    </row>
    <row r="2855" spans="1:4" ht="15" x14ac:dyDescent="0.25">
      <c r="A2855" s="304">
        <v>3753</v>
      </c>
      <c r="B2855" s="304" t="s">
        <v>8408</v>
      </c>
      <c r="C2855" s="304" t="s">
        <v>5555</v>
      </c>
      <c r="D2855" s="540">
        <v>5.04</v>
      </c>
    </row>
    <row r="2856" spans="1:4" ht="15" x14ac:dyDescent="0.25">
      <c r="A2856" s="304">
        <v>38782</v>
      </c>
      <c r="B2856" s="304" t="s">
        <v>8409</v>
      </c>
      <c r="C2856" s="304" t="s">
        <v>5555</v>
      </c>
      <c r="D2856" s="540">
        <v>6.57</v>
      </c>
    </row>
    <row r="2857" spans="1:4" ht="15" x14ac:dyDescent="0.25">
      <c r="A2857" s="304">
        <v>38778</v>
      </c>
      <c r="B2857" s="304" t="s">
        <v>8410</v>
      </c>
      <c r="C2857" s="304" t="s">
        <v>5555</v>
      </c>
      <c r="D2857" s="540">
        <v>4.93</v>
      </c>
    </row>
    <row r="2858" spans="1:4" ht="15" x14ac:dyDescent="0.25">
      <c r="A2858" s="304">
        <v>38779</v>
      </c>
      <c r="B2858" s="304" t="s">
        <v>8411</v>
      </c>
      <c r="C2858" s="304" t="s">
        <v>5555</v>
      </c>
      <c r="D2858" s="540">
        <v>5.22</v>
      </c>
    </row>
    <row r="2859" spans="1:4" ht="15" x14ac:dyDescent="0.25">
      <c r="A2859" s="304">
        <v>39388</v>
      </c>
      <c r="B2859" s="304" t="s">
        <v>8412</v>
      </c>
      <c r="C2859" s="304" t="s">
        <v>5555</v>
      </c>
      <c r="D2859" s="540">
        <v>25.46</v>
      </c>
    </row>
    <row r="2860" spans="1:4" ht="15" x14ac:dyDescent="0.25">
      <c r="A2860" s="304">
        <v>39387</v>
      </c>
      <c r="B2860" s="304" t="s">
        <v>8413</v>
      </c>
      <c r="C2860" s="304" t="s">
        <v>5555</v>
      </c>
      <c r="D2860" s="540">
        <v>42.95</v>
      </c>
    </row>
    <row r="2861" spans="1:4" ht="15" x14ac:dyDescent="0.25">
      <c r="A2861" s="304">
        <v>39386</v>
      </c>
      <c r="B2861" s="304" t="s">
        <v>8414</v>
      </c>
      <c r="C2861" s="304" t="s">
        <v>5555</v>
      </c>
      <c r="D2861" s="540">
        <v>28.41</v>
      </c>
    </row>
    <row r="2862" spans="1:4" ht="15" x14ac:dyDescent="0.25">
      <c r="A2862" s="304">
        <v>38194</v>
      </c>
      <c r="B2862" s="304" t="s">
        <v>8415</v>
      </c>
      <c r="C2862" s="304" t="s">
        <v>5555</v>
      </c>
      <c r="D2862" s="540">
        <v>24.22</v>
      </c>
    </row>
    <row r="2863" spans="1:4" ht="15" x14ac:dyDescent="0.25">
      <c r="A2863" s="304">
        <v>38193</v>
      </c>
      <c r="B2863" s="304" t="s">
        <v>8416</v>
      </c>
      <c r="C2863" s="304" t="s">
        <v>5555</v>
      </c>
      <c r="D2863" s="540">
        <v>17.91</v>
      </c>
    </row>
    <row r="2864" spans="1:4" ht="15" x14ac:dyDescent="0.25">
      <c r="A2864" s="304">
        <v>12216</v>
      </c>
      <c r="B2864" s="304" t="s">
        <v>8417</v>
      </c>
      <c r="C2864" s="304" t="s">
        <v>5555</v>
      </c>
      <c r="D2864" s="540">
        <v>28.82</v>
      </c>
    </row>
    <row r="2865" spans="1:4" ht="15" x14ac:dyDescent="0.25">
      <c r="A2865" s="304">
        <v>3757</v>
      </c>
      <c r="B2865" s="304" t="s">
        <v>8418</v>
      </c>
      <c r="C2865" s="304" t="s">
        <v>5555</v>
      </c>
      <c r="D2865" s="540">
        <v>33.33</v>
      </c>
    </row>
    <row r="2866" spans="1:4" ht="15" x14ac:dyDescent="0.25">
      <c r="A2866" s="304">
        <v>3758</v>
      </c>
      <c r="B2866" s="304" t="s">
        <v>8419</v>
      </c>
      <c r="C2866" s="304" t="s">
        <v>5555</v>
      </c>
      <c r="D2866" s="540">
        <v>38.86</v>
      </c>
    </row>
    <row r="2867" spans="1:4" ht="15" x14ac:dyDescent="0.25">
      <c r="A2867" s="304">
        <v>12214</v>
      </c>
      <c r="B2867" s="304" t="s">
        <v>8420</v>
      </c>
      <c r="C2867" s="304" t="s">
        <v>5555</v>
      </c>
      <c r="D2867" s="540">
        <v>13.31</v>
      </c>
    </row>
    <row r="2868" spans="1:4" ht="15" x14ac:dyDescent="0.25">
      <c r="A2868" s="304">
        <v>3749</v>
      </c>
      <c r="B2868" s="304" t="s">
        <v>8421</v>
      </c>
      <c r="C2868" s="304" t="s">
        <v>5555</v>
      </c>
      <c r="D2868" s="540">
        <v>23.72</v>
      </c>
    </row>
    <row r="2869" spans="1:4" ht="15" x14ac:dyDescent="0.25">
      <c r="A2869" s="304">
        <v>3751</v>
      </c>
      <c r="B2869" s="304" t="s">
        <v>8422</v>
      </c>
      <c r="C2869" s="304" t="s">
        <v>5555</v>
      </c>
      <c r="D2869" s="540">
        <v>32.369999999999997</v>
      </c>
    </row>
    <row r="2870" spans="1:4" ht="15" x14ac:dyDescent="0.25">
      <c r="A2870" s="304">
        <v>39376</v>
      </c>
      <c r="B2870" s="304" t="s">
        <v>8423</v>
      </c>
      <c r="C2870" s="304" t="s">
        <v>5555</v>
      </c>
      <c r="D2870" s="540">
        <v>27.29</v>
      </c>
    </row>
    <row r="2871" spans="1:4" ht="15" x14ac:dyDescent="0.25">
      <c r="A2871" s="304">
        <v>3752</v>
      </c>
      <c r="B2871" s="304" t="s">
        <v>8424</v>
      </c>
      <c r="C2871" s="304" t="s">
        <v>5555</v>
      </c>
      <c r="D2871" s="540">
        <v>53.4</v>
      </c>
    </row>
    <row r="2872" spans="1:4" ht="15" x14ac:dyDescent="0.25">
      <c r="A2872" s="304">
        <v>746</v>
      </c>
      <c r="B2872" s="304" t="s">
        <v>8425</v>
      </c>
      <c r="C2872" s="304" t="s">
        <v>5555</v>
      </c>
      <c r="D2872" s="541">
        <v>2333.75</v>
      </c>
    </row>
    <row r="2873" spans="1:4" ht="15" x14ac:dyDescent="0.25">
      <c r="A2873" s="304">
        <v>36521</v>
      </c>
      <c r="B2873" s="304" t="s">
        <v>8426</v>
      </c>
      <c r="C2873" s="304" t="s">
        <v>5555</v>
      </c>
      <c r="D2873" s="540">
        <v>120.95</v>
      </c>
    </row>
    <row r="2874" spans="1:4" ht="15" x14ac:dyDescent="0.25">
      <c r="A2874" s="304">
        <v>36794</v>
      </c>
      <c r="B2874" s="304" t="s">
        <v>8427</v>
      </c>
      <c r="C2874" s="304" t="s">
        <v>5555</v>
      </c>
      <c r="D2874" s="540">
        <v>123.3</v>
      </c>
    </row>
    <row r="2875" spans="1:4" ht="15" x14ac:dyDescent="0.25">
      <c r="A2875" s="304">
        <v>10426</v>
      </c>
      <c r="B2875" s="304" t="s">
        <v>8428</v>
      </c>
      <c r="C2875" s="304" t="s">
        <v>5555</v>
      </c>
      <c r="D2875" s="540">
        <v>177.58</v>
      </c>
    </row>
    <row r="2876" spans="1:4" ht="15" x14ac:dyDescent="0.25">
      <c r="A2876" s="304">
        <v>10425</v>
      </c>
      <c r="B2876" s="304" t="s">
        <v>8429</v>
      </c>
      <c r="C2876" s="304" t="s">
        <v>5555</v>
      </c>
      <c r="D2876" s="540">
        <v>78.31</v>
      </c>
    </row>
    <row r="2877" spans="1:4" ht="15" x14ac:dyDescent="0.25">
      <c r="A2877" s="304">
        <v>10431</v>
      </c>
      <c r="B2877" s="304" t="s">
        <v>8430</v>
      </c>
      <c r="C2877" s="304" t="s">
        <v>5555</v>
      </c>
      <c r="D2877" s="540">
        <v>194.82</v>
      </c>
    </row>
    <row r="2878" spans="1:4" ht="15" x14ac:dyDescent="0.25">
      <c r="A2878" s="304">
        <v>10429</v>
      </c>
      <c r="B2878" s="304" t="s">
        <v>8431</v>
      </c>
      <c r="C2878" s="304" t="s">
        <v>5555</v>
      </c>
      <c r="D2878" s="540">
        <v>93.39</v>
      </c>
    </row>
    <row r="2879" spans="1:4" ht="15" x14ac:dyDescent="0.25">
      <c r="A2879" s="304">
        <v>20269</v>
      </c>
      <c r="B2879" s="304" t="s">
        <v>8432</v>
      </c>
      <c r="C2879" s="304" t="s">
        <v>5555</v>
      </c>
      <c r="D2879" s="540">
        <v>76.97</v>
      </c>
    </row>
    <row r="2880" spans="1:4" ht="15" x14ac:dyDescent="0.25">
      <c r="A2880" s="304">
        <v>20270</v>
      </c>
      <c r="B2880" s="304" t="s">
        <v>8433</v>
      </c>
      <c r="C2880" s="304" t="s">
        <v>5555</v>
      </c>
      <c r="D2880" s="540">
        <v>83.82</v>
      </c>
    </row>
    <row r="2881" spans="1:4" ht="15" x14ac:dyDescent="0.25">
      <c r="A2881" s="304">
        <v>11696</v>
      </c>
      <c r="B2881" s="304" t="s">
        <v>8434</v>
      </c>
      <c r="C2881" s="304" t="s">
        <v>5555</v>
      </c>
      <c r="D2881" s="540">
        <v>122.46</v>
      </c>
    </row>
    <row r="2882" spans="1:4" ht="15" x14ac:dyDescent="0.25">
      <c r="A2882" s="304">
        <v>10427</v>
      </c>
      <c r="B2882" s="304" t="s">
        <v>8435</v>
      </c>
      <c r="C2882" s="304" t="s">
        <v>5555</v>
      </c>
      <c r="D2882" s="540">
        <v>219.57</v>
      </c>
    </row>
    <row r="2883" spans="1:4" ht="15" x14ac:dyDescent="0.25">
      <c r="A2883" s="304">
        <v>10428</v>
      </c>
      <c r="B2883" s="304" t="s">
        <v>8436</v>
      </c>
      <c r="C2883" s="304" t="s">
        <v>5555</v>
      </c>
      <c r="D2883" s="540">
        <v>222.84</v>
      </c>
    </row>
    <row r="2884" spans="1:4" ht="15" x14ac:dyDescent="0.25">
      <c r="A2884" s="304">
        <v>2354</v>
      </c>
      <c r="B2884" s="304" t="s">
        <v>8437</v>
      </c>
      <c r="C2884" s="304" t="s">
        <v>5566</v>
      </c>
      <c r="D2884" s="540">
        <v>11.94</v>
      </c>
    </row>
    <row r="2885" spans="1:4" ht="15" x14ac:dyDescent="0.25">
      <c r="A2885" s="304">
        <v>40932</v>
      </c>
      <c r="B2885" s="304" t="s">
        <v>8438</v>
      </c>
      <c r="C2885" s="304" t="s">
        <v>5755</v>
      </c>
      <c r="D2885" s="541">
        <v>2090.42</v>
      </c>
    </row>
    <row r="2886" spans="1:4" ht="15" x14ac:dyDescent="0.25">
      <c r="A2886" s="304">
        <v>10853</v>
      </c>
      <c r="B2886" s="304" t="s">
        <v>8439</v>
      </c>
      <c r="C2886" s="304" t="s">
        <v>5555</v>
      </c>
      <c r="D2886" s="540">
        <v>82.07</v>
      </c>
    </row>
    <row r="2887" spans="1:4" ht="15" x14ac:dyDescent="0.25">
      <c r="A2887" s="304">
        <v>5093</v>
      </c>
      <c r="B2887" s="304" t="s">
        <v>8440</v>
      </c>
      <c r="C2887" s="304" t="s">
        <v>6022</v>
      </c>
      <c r="D2887" s="540">
        <v>13.46</v>
      </c>
    </row>
    <row r="2888" spans="1:4" ht="15" x14ac:dyDescent="0.25">
      <c r="A2888" s="304">
        <v>37768</v>
      </c>
      <c r="B2888" s="304" t="s">
        <v>8441</v>
      </c>
      <c r="C2888" s="304" t="s">
        <v>5555</v>
      </c>
      <c r="D2888" s="541">
        <v>98500</v>
      </c>
    </row>
    <row r="2889" spans="1:4" ht="15" x14ac:dyDescent="0.25">
      <c r="A2889" s="304">
        <v>37773</v>
      </c>
      <c r="B2889" s="304" t="s">
        <v>8442</v>
      </c>
      <c r="C2889" s="304" t="s">
        <v>5555</v>
      </c>
      <c r="D2889" s="541">
        <v>83643.100000000006</v>
      </c>
    </row>
    <row r="2890" spans="1:4" ht="15" x14ac:dyDescent="0.25">
      <c r="A2890" s="304">
        <v>37769</v>
      </c>
      <c r="B2890" s="304" t="s">
        <v>8443</v>
      </c>
      <c r="C2890" s="304" t="s">
        <v>5555</v>
      </c>
      <c r="D2890" s="541">
        <v>140029.09</v>
      </c>
    </row>
    <row r="2891" spans="1:4" ht="15" x14ac:dyDescent="0.25">
      <c r="A2891" s="304">
        <v>37770</v>
      </c>
      <c r="B2891" s="304" t="s">
        <v>8444</v>
      </c>
      <c r="C2891" s="304" t="s">
        <v>5555</v>
      </c>
      <c r="D2891" s="541">
        <v>237651.71</v>
      </c>
    </row>
    <row r="2892" spans="1:4" ht="15" x14ac:dyDescent="0.25">
      <c r="A2892" s="304">
        <v>38382</v>
      </c>
      <c r="B2892" s="304" t="s">
        <v>8445</v>
      </c>
      <c r="C2892" s="304" t="s">
        <v>5555</v>
      </c>
      <c r="D2892" s="540">
        <v>8.9600000000000009</v>
      </c>
    </row>
    <row r="2893" spans="1:4" ht="15" x14ac:dyDescent="0.25">
      <c r="A2893" s="304">
        <v>6091</v>
      </c>
      <c r="B2893" s="304" t="s">
        <v>8446</v>
      </c>
      <c r="C2893" s="304" t="s">
        <v>5628</v>
      </c>
      <c r="D2893" s="540">
        <v>13.75</v>
      </c>
    </row>
    <row r="2894" spans="1:4" ht="15" x14ac:dyDescent="0.25">
      <c r="A2894" s="304">
        <v>38383</v>
      </c>
      <c r="B2894" s="304" t="s">
        <v>8447</v>
      </c>
      <c r="C2894" s="304" t="s">
        <v>5555</v>
      </c>
      <c r="D2894" s="540">
        <v>1.67</v>
      </c>
    </row>
    <row r="2895" spans="1:4" ht="15" x14ac:dyDescent="0.25">
      <c r="A2895" s="304">
        <v>3768</v>
      </c>
      <c r="B2895" s="304" t="s">
        <v>8448</v>
      </c>
      <c r="C2895" s="304" t="s">
        <v>5555</v>
      </c>
      <c r="D2895" s="540">
        <v>2.38</v>
      </c>
    </row>
    <row r="2896" spans="1:4" ht="15" x14ac:dyDescent="0.25">
      <c r="A2896" s="304">
        <v>3767</v>
      </c>
      <c r="B2896" s="304" t="s">
        <v>8449</v>
      </c>
      <c r="C2896" s="304" t="s">
        <v>5555</v>
      </c>
      <c r="D2896" s="540">
        <v>0.56000000000000005</v>
      </c>
    </row>
    <row r="2897" spans="1:4" ht="15" x14ac:dyDescent="0.25">
      <c r="A2897" s="304">
        <v>13192</v>
      </c>
      <c r="B2897" s="304" t="s">
        <v>8450</v>
      </c>
      <c r="C2897" s="304" t="s">
        <v>5555</v>
      </c>
      <c r="D2897" s="541">
        <v>4239.03</v>
      </c>
    </row>
    <row r="2898" spans="1:4" ht="15" x14ac:dyDescent="0.25">
      <c r="A2898" s="304">
        <v>38413</v>
      </c>
      <c r="B2898" s="304" t="s">
        <v>8451</v>
      </c>
      <c r="C2898" s="304" t="s">
        <v>5555</v>
      </c>
      <c r="D2898" s="540">
        <v>701.07</v>
      </c>
    </row>
    <row r="2899" spans="1:4" ht="15" x14ac:dyDescent="0.25">
      <c r="A2899" s="304">
        <v>42440</v>
      </c>
      <c r="B2899" s="304" t="s">
        <v>8452</v>
      </c>
      <c r="C2899" s="304" t="s">
        <v>5555</v>
      </c>
      <c r="D2899" s="540">
        <v>702.04</v>
      </c>
    </row>
    <row r="2900" spans="1:4" ht="15" x14ac:dyDescent="0.25">
      <c r="A2900" s="304">
        <v>20193</v>
      </c>
      <c r="B2900" s="304" t="s">
        <v>8453</v>
      </c>
      <c r="C2900" s="304" t="s">
        <v>8454</v>
      </c>
      <c r="D2900" s="540">
        <v>1.58</v>
      </c>
    </row>
    <row r="2901" spans="1:4" ht="15" x14ac:dyDescent="0.25">
      <c r="A2901" s="304">
        <v>10527</v>
      </c>
      <c r="B2901" s="304" t="s">
        <v>8455</v>
      </c>
      <c r="C2901" s="304" t="s">
        <v>8456</v>
      </c>
      <c r="D2901" s="540">
        <v>4.75</v>
      </c>
    </row>
    <row r="2902" spans="1:4" ht="15" x14ac:dyDescent="0.25">
      <c r="A2902" s="304">
        <v>41805</v>
      </c>
      <c r="B2902" s="304" t="s">
        <v>8457</v>
      </c>
      <c r="C2902" s="304" t="s">
        <v>5755</v>
      </c>
      <c r="D2902" s="540">
        <v>450</v>
      </c>
    </row>
    <row r="2903" spans="1:4" ht="15" x14ac:dyDescent="0.25">
      <c r="A2903" s="304">
        <v>40271</v>
      </c>
      <c r="B2903" s="304" t="s">
        <v>8458</v>
      </c>
      <c r="C2903" s="304" t="s">
        <v>5755</v>
      </c>
      <c r="D2903" s="540">
        <v>3.08</v>
      </c>
    </row>
    <row r="2904" spans="1:4" ht="15" x14ac:dyDescent="0.25">
      <c r="A2904" s="304">
        <v>40287</v>
      </c>
      <c r="B2904" s="304" t="s">
        <v>8459</v>
      </c>
      <c r="C2904" s="304" t="s">
        <v>5755</v>
      </c>
      <c r="D2904" s="540">
        <v>1.18</v>
      </c>
    </row>
    <row r="2905" spans="1:4" ht="15" x14ac:dyDescent="0.25">
      <c r="A2905" s="304">
        <v>40295</v>
      </c>
      <c r="B2905" s="304" t="s">
        <v>8460</v>
      </c>
      <c r="C2905" s="304" t="s">
        <v>5566</v>
      </c>
      <c r="D2905" s="540">
        <v>1.97</v>
      </c>
    </row>
    <row r="2906" spans="1:4" ht="15" x14ac:dyDescent="0.25">
      <c r="A2906" s="304">
        <v>745</v>
      </c>
      <c r="B2906" s="304" t="s">
        <v>8461</v>
      </c>
      <c r="C2906" s="304" t="s">
        <v>5566</v>
      </c>
      <c r="D2906" s="540">
        <v>2.09</v>
      </c>
    </row>
    <row r="2907" spans="1:4" ht="15" x14ac:dyDescent="0.25">
      <c r="A2907" s="304">
        <v>4084</v>
      </c>
      <c r="B2907" s="304" t="s">
        <v>8462</v>
      </c>
      <c r="C2907" s="304" t="s">
        <v>5566</v>
      </c>
      <c r="D2907" s="540">
        <v>1.74</v>
      </c>
    </row>
    <row r="2908" spans="1:4" ht="15" x14ac:dyDescent="0.25">
      <c r="A2908" s="304">
        <v>743</v>
      </c>
      <c r="B2908" s="304" t="s">
        <v>8463</v>
      </c>
      <c r="C2908" s="304" t="s">
        <v>5566</v>
      </c>
      <c r="D2908" s="540">
        <v>1.74</v>
      </c>
    </row>
    <row r="2909" spans="1:4" ht="15" x14ac:dyDescent="0.25">
      <c r="A2909" s="304">
        <v>40293</v>
      </c>
      <c r="B2909" s="304" t="s">
        <v>8464</v>
      </c>
      <c r="C2909" s="304" t="s">
        <v>5566</v>
      </c>
      <c r="D2909" s="540">
        <v>2.08</v>
      </c>
    </row>
    <row r="2910" spans="1:4" ht="15" x14ac:dyDescent="0.25">
      <c r="A2910" s="304">
        <v>40294</v>
      </c>
      <c r="B2910" s="304" t="s">
        <v>8465</v>
      </c>
      <c r="C2910" s="304" t="s">
        <v>5566</v>
      </c>
      <c r="D2910" s="540">
        <v>1.74</v>
      </c>
    </row>
    <row r="2911" spans="1:4" ht="15" x14ac:dyDescent="0.25">
      <c r="A2911" s="304">
        <v>4085</v>
      </c>
      <c r="B2911" s="304" t="s">
        <v>8466</v>
      </c>
      <c r="C2911" s="304" t="s">
        <v>5566</v>
      </c>
      <c r="D2911" s="540">
        <v>2.4300000000000002</v>
      </c>
    </row>
    <row r="2912" spans="1:4" ht="15" x14ac:dyDescent="0.25">
      <c r="A2912" s="304">
        <v>10775</v>
      </c>
      <c r="B2912" s="304" t="s">
        <v>8467</v>
      </c>
      <c r="C2912" s="304" t="s">
        <v>5755</v>
      </c>
      <c r="D2912" s="540">
        <v>515</v>
      </c>
    </row>
    <row r="2913" spans="1:4" ht="15" x14ac:dyDescent="0.25">
      <c r="A2913" s="304">
        <v>10776</v>
      </c>
      <c r="B2913" s="304" t="s">
        <v>8468</v>
      </c>
      <c r="C2913" s="304" t="s">
        <v>5755</v>
      </c>
      <c r="D2913" s="540">
        <v>402.34</v>
      </c>
    </row>
    <row r="2914" spans="1:4" ht="15" x14ac:dyDescent="0.25">
      <c r="A2914" s="304">
        <v>10779</v>
      </c>
      <c r="B2914" s="304" t="s">
        <v>8469</v>
      </c>
      <c r="C2914" s="304" t="s">
        <v>5755</v>
      </c>
      <c r="D2914" s="540">
        <v>643.75</v>
      </c>
    </row>
    <row r="2915" spans="1:4" ht="15" x14ac:dyDescent="0.25">
      <c r="A2915" s="304">
        <v>10777</v>
      </c>
      <c r="B2915" s="304" t="s">
        <v>8470</v>
      </c>
      <c r="C2915" s="304" t="s">
        <v>5755</v>
      </c>
      <c r="D2915" s="540">
        <v>584.73</v>
      </c>
    </row>
    <row r="2916" spans="1:4" ht="15" x14ac:dyDescent="0.25">
      <c r="A2916" s="304">
        <v>10778</v>
      </c>
      <c r="B2916" s="304" t="s">
        <v>8471</v>
      </c>
      <c r="C2916" s="304" t="s">
        <v>5755</v>
      </c>
      <c r="D2916" s="540">
        <v>643.75</v>
      </c>
    </row>
    <row r="2917" spans="1:4" ht="15" x14ac:dyDescent="0.25">
      <c r="A2917" s="304">
        <v>40339</v>
      </c>
      <c r="B2917" s="304" t="s">
        <v>8472</v>
      </c>
      <c r="C2917" s="304" t="s">
        <v>5755</v>
      </c>
      <c r="D2917" s="540">
        <v>1.18</v>
      </c>
    </row>
    <row r="2918" spans="1:4" ht="15" x14ac:dyDescent="0.25">
      <c r="A2918" s="304">
        <v>3355</v>
      </c>
      <c r="B2918" s="304" t="s">
        <v>8473</v>
      </c>
      <c r="C2918" s="304" t="s">
        <v>5566</v>
      </c>
      <c r="D2918" s="540">
        <v>20.25</v>
      </c>
    </row>
    <row r="2919" spans="1:4" ht="15" x14ac:dyDescent="0.25">
      <c r="A2919" s="304">
        <v>39814</v>
      </c>
      <c r="B2919" s="304" t="s">
        <v>8474</v>
      </c>
      <c r="C2919" s="304" t="s">
        <v>5566</v>
      </c>
      <c r="D2919" s="540">
        <v>37.96</v>
      </c>
    </row>
    <row r="2920" spans="1:4" ht="15" x14ac:dyDescent="0.25">
      <c r="A2920" s="304">
        <v>10749</v>
      </c>
      <c r="B2920" s="304" t="s">
        <v>8475</v>
      </c>
      <c r="C2920" s="304" t="s">
        <v>5755</v>
      </c>
      <c r="D2920" s="540">
        <v>2.17</v>
      </c>
    </row>
    <row r="2921" spans="1:4" ht="15" x14ac:dyDescent="0.25">
      <c r="A2921" s="304">
        <v>40290</v>
      </c>
      <c r="B2921" s="304" t="s">
        <v>8476</v>
      </c>
      <c r="C2921" s="304" t="s">
        <v>5755</v>
      </c>
      <c r="D2921" s="540">
        <v>3.13</v>
      </c>
    </row>
    <row r="2922" spans="1:4" ht="15" x14ac:dyDescent="0.25">
      <c r="A2922" s="304">
        <v>7252</v>
      </c>
      <c r="B2922" s="304" t="s">
        <v>8477</v>
      </c>
      <c r="C2922" s="304" t="s">
        <v>5566</v>
      </c>
      <c r="D2922" s="540">
        <v>2.12</v>
      </c>
    </row>
    <row r="2923" spans="1:4" ht="15" x14ac:dyDescent="0.25">
      <c r="A2923" s="304">
        <v>4778</v>
      </c>
      <c r="B2923" s="304" t="s">
        <v>8478</v>
      </c>
      <c r="C2923" s="304" t="s">
        <v>5566</v>
      </c>
      <c r="D2923" s="540">
        <v>2.7</v>
      </c>
    </row>
    <row r="2924" spans="1:4" ht="15" x14ac:dyDescent="0.25">
      <c r="A2924" s="304">
        <v>4780</v>
      </c>
      <c r="B2924" s="304" t="s">
        <v>8479</v>
      </c>
      <c r="C2924" s="304" t="s">
        <v>5566</v>
      </c>
      <c r="D2924" s="540">
        <v>2.92</v>
      </c>
    </row>
    <row r="2925" spans="1:4" ht="15" x14ac:dyDescent="0.25">
      <c r="A2925" s="304">
        <v>10809</v>
      </c>
      <c r="B2925" s="304" t="s">
        <v>8480</v>
      </c>
      <c r="C2925" s="304" t="s">
        <v>5566</v>
      </c>
      <c r="D2925" s="540">
        <v>1.1100000000000001</v>
      </c>
    </row>
    <row r="2926" spans="1:4" ht="15" x14ac:dyDescent="0.25">
      <c r="A2926" s="304">
        <v>10811</v>
      </c>
      <c r="B2926" s="304" t="s">
        <v>8481</v>
      </c>
      <c r="C2926" s="304" t="s">
        <v>5566</v>
      </c>
      <c r="D2926" s="540">
        <v>0.95</v>
      </c>
    </row>
    <row r="2927" spans="1:4" ht="15" x14ac:dyDescent="0.25">
      <c r="A2927" s="304">
        <v>7247</v>
      </c>
      <c r="B2927" s="304" t="s">
        <v>8482</v>
      </c>
      <c r="C2927" s="304" t="s">
        <v>5566</v>
      </c>
      <c r="D2927" s="540">
        <v>2.12</v>
      </c>
    </row>
    <row r="2928" spans="1:4" ht="15" x14ac:dyDescent="0.25">
      <c r="A2928" s="304">
        <v>40291</v>
      </c>
      <c r="B2928" s="304" t="s">
        <v>8483</v>
      </c>
      <c r="C2928" s="304" t="s">
        <v>5755</v>
      </c>
      <c r="D2928" s="540">
        <v>165.7</v>
      </c>
    </row>
    <row r="2929" spans="1:4" ht="15" x14ac:dyDescent="0.25">
      <c r="A2929" s="304">
        <v>40275</v>
      </c>
      <c r="B2929" s="304" t="s">
        <v>8484</v>
      </c>
      <c r="C2929" s="304" t="s">
        <v>5755</v>
      </c>
      <c r="D2929" s="540">
        <v>4.75</v>
      </c>
    </row>
    <row r="2930" spans="1:4" ht="15" x14ac:dyDescent="0.25">
      <c r="A2930" s="304">
        <v>3777</v>
      </c>
      <c r="B2930" s="304" t="s">
        <v>8485</v>
      </c>
      <c r="C2930" s="304" t="s">
        <v>5564</v>
      </c>
      <c r="D2930" s="540">
        <v>1.3</v>
      </c>
    </row>
    <row r="2931" spans="1:4" ht="15" x14ac:dyDescent="0.25">
      <c r="A2931" s="304">
        <v>43067</v>
      </c>
      <c r="B2931" s="304" t="s">
        <v>8486</v>
      </c>
      <c r="C2931" s="304" t="s">
        <v>5564</v>
      </c>
      <c r="D2931" s="540">
        <v>1.34</v>
      </c>
    </row>
    <row r="2932" spans="1:4" ht="15" x14ac:dyDescent="0.25">
      <c r="A2932" s="304">
        <v>3779</v>
      </c>
      <c r="B2932" s="304" t="s">
        <v>8487</v>
      </c>
      <c r="C2932" s="304" t="s">
        <v>5575</v>
      </c>
      <c r="D2932" s="540">
        <v>10.83</v>
      </c>
    </row>
    <row r="2933" spans="1:4" ht="15" x14ac:dyDescent="0.25">
      <c r="A2933" s="304">
        <v>3798</v>
      </c>
      <c r="B2933" s="304" t="s">
        <v>8488</v>
      </c>
      <c r="C2933" s="304" t="s">
        <v>5555</v>
      </c>
      <c r="D2933" s="540">
        <v>57.66</v>
      </c>
    </row>
    <row r="2934" spans="1:4" ht="15" x14ac:dyDescent="0.25">
      <c r="A2934" s="304">
        <v>38769</v>
      </c>
      <c r="B2934" s="304" t="s">
        <v>8489</v>
      </c>
      <c r="C2934" s="304" t="s">
        <v>5555</v>
      </c>
      <c r="D2934" s="540">
        <v>45.03</v>
      </c>
    </row>
    <row r="2935" spans="1:4" ht="15" x14ac:dyDescent="0.25">
      <c r="A2935" s="304">
        <v>39510</v>
      </c>
      <c r="B2935" s="304" t="s">
        <v>8490</v>
      </c>
      <c r="C2935" s="304" t="s">
        <v>5555</v>
      </c>
      <c r="D2935" s="540">
        <v>182.26</v>
      </c>
    </row>
    <row r="2936" spans="1:4" ht="15" x14ac:dyDescent="0.25">
      <c r="A2936" s="304">
        <v>38776</v>
      </c>
      <c r="B2936" s="304" t="s">
        <v>8491</v>
      </c>
      <c r="C2936" s="304" t="s">
        <v>5555</v>
      </c>
      <c r="D2936" s="540">
        <v>193.43</v>
      </c>
    </row>
    <row r="2937" spans="1:4" ht="15" x14ac:dyDescent="0.25">
      <c r="A2937" s="304">
        <v>38774</v>
      </c>
      <c r="B2937" s="304" t="s">
        <v>8492</v>
      </c>
      <c r="C2937" s="304" t="s">
        <v>5555</v>
      </c>
      <c r="D2937" s="540">
        <v>45.65</v>
      </c>
    </row>
    <row r="2938" spans="1:4" ht="15" x14ac:dyDescent="0.25">
      <c r="A2938" s="304">
        <v>42977</v>
      </c>
      <c r="B2938" s="304" t="s">
        <v>8493</v>
      </c>
      <c r="C2938" s="304" t="s">
        <v>5555</v>
      </c>
      <c r="D2938" s="540">
        <v>784</v>
      </c>
    </row>
    <row r="2939" spans="1:4" ht="15" x14ac:dyDescent="0.25">
      <c r="A2939" s="304">
        <v>38889</v>
      </c>
      <c r="B2939" s="304" t="s">
        <v>8494</v>
      </c>
      <c r="C2939" s="304" t="s">
        <v>5555</v>
      </c>
      <c r="D2939" s="540">
        <v>34.51</v>
      </c>
    </row>
    <row r="2940" spans="1:4" ht="15" x14ac:dyDescent="0.25">
      <c r="A2940" s="304">
        <v>38784</v>
      </c>
      <c r="B2940" s="304" t="s">
        <v>8495</v>
      </c>
      <c r="C2940" s="304" t="s">
        <v>5555</v>
      </c>
      <c r="D2940" s="540">
        <v>46.17</v>
      </c>
    </row>
    <row r="2941" spans="1:4" ht="15" x14ac:dyDescent="0.25">
      <c r="A2941" s="304">
        <v>3788</v>
      </c>
      <c r="B2941" s="304" t="s">
        <v>8496</v>
      </c>
      <c r="C2941" s="304" t="s">
        <v>5555</v>
      </c>
      <c r="D2941" s="540">
        <v>48.12</v>
      </c>
    </row>
    <row r="2942" spans="1:4" ht="15" x14ac:dyDescent="0.25">
      <c r="A2942" s="304">
        <v>12230</v>
      </c>
      <c r="B2942" s="304" t="s">
        <v>8497</v>
      </c>
      <c r="C2942" s="304" t="s">
        <v>5555</v>
      </c>
      <c r="D2942" s="540">
        <v>12.38</v>
      </c>
    </row>
    <row r="2943" spans="1:4" ht="15" x14ac:dyDescent="0.25">
      <c r="A2943" s="304">
        <v>3780</v>
      </c>
      <c r="B2943" s="304" t="s">
        <v>8498</v>
      </c>
      <c r="C2943" s="304" t="s">
        <v>5555</v>
      </c>
      <c r="D2943" s="540">
        <v>71</v>
      </c>
    </row>
    <row r="2944" spans="1:4" ht="15" x14ac:dyDescent="0.25">
      <c r="A2944" s="304">
        <v>12231</v>
      </c>
      <c r="B2944" s="304" t="s">
        <v>8499</v>
      </c>
      <c r="C2944" s="304" t="s">
        <v>5555</v>
      </c>
      <c r="D2944" s="540">
        <v>20.58</v>
      </c>
    </row>
    <row r="2945" spans="1:4" ht="15" x14ac:dyDescent="0.25">
      <c r="A2945" s="304">
        <v>3811</v>
      </c>
      <c r="B2945" s="304" t="s">
        <v>8500</v>
      </c>
      <c r="C2945" s="304" t="s">
        <v>5555</v>
      </c>
      <c r="D2945" s="540">
        <v>66.69</v>
      </c>
    </row>
    <row r="2946" spans="1:4" ht="15" x14ac:dyDescent="0.25">
      <c r="A2946" s="304">
        <v>12232</v>
      </c>
      <c r="B2946" s="304" t="s">
        <v>8501</v>
      </c>
      <c r="C2946" s="304" t="s">
        <v>5555</v>
      </c>
      <c r="D2946" s="540">
        <v>21.56</v>
      </c>
    </row>
    <row r="2947" spans="1:4" ht="15" x14ac:dyDescent="0.25">
      <c r="A2947" s="304">
        <v>3799</v>
      </c>
      <c r="B2947" s="304" t="s">
        <v>8502</v>
      </c>
      <c r="C2947" s="304" t="s">
        <v>5555</v>
      </c>
      <c r="D2947" s="540">
        <v>94.32</v>
      </c>
    </row>
    <row r="2948" spans="1:4" ht="15" x14ac:dyDescent="0.25">
      <c r="A2948" s="304">
        <v>12239</v>
      </c>
      <c r="B2948" s="304" t="s">
        <v>8503</v>
      </c>
      <c r="C2948" s="304" t="s">
        <v>5555</v>
      </c>
      <c r="D2948" s="540">
        <v>28.23</v>
      </c>
    </row>
    <row r="2949" spans="1:4" ht="15" x14ac:dyDescent="0.25">
      <c r="A2949" s="304">
        <v>38773</v>
      </c>
      <c r="B2949" s="304" t="s">
        <v>8504</v>
      </c>
      <c r="C2949" s="304" t="s">
        <v>5555</v>
      </c>
      <c r="D2949" s="540">
        <v>4.53</v>
      </c>
    </row>
    <row r="2950" spans="1:4" ht="15" x14ac:dyDescent="0.25">
      <c r="A2950" s="304">
        <v>12271</v>
      </c>
      <c r="B2950" s="304" t="s">
        <v>8505</v>
      </c>
      <c r="C2950" s="304" t="s">
        <v>5555</v>
      </c>
      <c r="D2950" s="540">
        <v>252.53</v>
      </c>
    </row>
    <row r="2951" spans="1:4" ht="15" x14ac:dyDescent="0.25">
      <c r="A2951" s="304">
        <v>38785</v>
      </c>
      <c r="B2951" s="304" t="s">
        <v>8506</v>
      </c>
      <c r="C2951" s="304" t="s">
        <v>5555</v>
      </c>
      <c r="D2951" s="540">
        <v>119.56</v>
      </c>
    </row>
    <row r="2952" spans="1:4" ht="15" x14ac:dyDescent="0.25">
      <c r="A2952" s="304">
        <v>38786</v>
      </c>
      <c r="B2952" s="304" t="s">
        <v>8507</v>
      </c>
      <c r="C2952" s="304" t="s">
        <v>5555</v>
      </c>
      <c r="D2952" s="540">
        <v>147.27000000000001</v>
      </c>
    </row>
    <row r="2953" spans="1:4" ht="15" x14ac:dyDescent="0.25">
      <c r="A2953" s="304">
        <v>39385</v>
      </c>
      <c r="B2953" s="304" t="s">
        <v>8508</v>
      </c>
      <c r="C2953" s="304" t="s">
        <v>5555</v>
      </c>
      <c r="D2953" s="540">
        <v>111.4</v>
      </c>
    </row>
    <row r="2954" spans="1:4" ht="15" x14ac:dyDescent="0.25">
      <c r="A2954" s="304">
        <v>39389</v>
      </c>
      <c r="B2954" s="304" t="s">
        <v>8509</v>
      </c>
      <c r="C2954" s="304" t="s">
        <v>5555</v>
      </c>
      <c r="D2954" s="540">
        <v>92.4</v>
      </c>
    </row>
    <row r="2955" spans="1:4" ht="15" x14ac:dyDescent="0.25">
      <c r="A2955" s="304">
        <v>39390</v>
      </c>
      <c r="B2955" s="304" t="s">
        <v>8510</v>
      </c>
      <c r="C2955" s="304" t="s">
        <v>5555</v>
      </c>
      <c r="D2955" s="540">
        <v>178.97</v>
      </c>
    </row>
    <row r="2956" spans="1:4" ht="15" x14ac:dyDescent="0.25">
      <c r="A2956" s="304">
        <v>39391</v>
      </c>
      <c r="B2956" s="304" t="s">
        <v>8511</v>
      </c>
      <c r="C2956" s="304" t="s">
        <v>5555</v>
      </c>
      <c r="D2956" s="540">
        <v>331.21</v>
      </c>
    </row>
    <row r="2957" spans="1:4" ht="15" x14ac:dyDescent="0.25">
      <c r="A2957" s="304">
        <v>3803</v>
      </c>
      <c r="B2957" s="304" t="s">
        <v>8512</v>
      </c>
      <c r="C2957" s="304" t="s">
        <v>5555</v>
      </c>
      <c r="D2957" s="540">
        <v>42.7</v>
      </c>
    </row>
    <row r="2958" spans="1:4" ht="15" x14ac:dyDescent="0.25">
      <c r="A2958" s="304">
        <v>38770</v>
      </c>
      <c r="B2958" s="304" t="s">
        <v>8513</v>
      </c>
      <c r="C2958" s="304" t="s">
        <v>5555</v>
      </c>
      <c r="D2958" s="540">
        <v>49.44</v>
      </c>
    </row>
    <row r="2959" spans="1:4" ht="15" x14ac:dyDescent="0.25">
      <c r="A2959" s="304">
        <v>12267</v>
      </c>
      <c r="B2959" s="304" t="s">
        <v>8514</v>
      </c>
      <c r="C2959" s="304" t="s">
        <v>5555</v>
      </c>
      <c r="D2959" s="540">
        <v>144.88999999999999</v>
      </c>
    </row>
    <row r="2960" spans="1:4" ht="15" x14ac:dyDescent="0.25">
      <c r="A2960" s="304">
        <v>43068</v>
      </c>
      <c r="B2960" s="304" t="s">
        <v>8515</v>
      </c>
      <c r="C2960" s="304" t="s">
        <v>5555</v>
      </c>
      <c r="D2960" s="540">
        <v>54.37</v>
      </c>
    </row>
    <row r="2961" spans="1:4" ht="15" x14ac:dyDescent="0.25">
      <c r="A2961" s="304">
        <v>12266</v>
      </c>
      <c r="B2961" s="304" t="s">
        <v>8516</v>
      </c>
      <c r="C2961" s="304" t="s">
        <v>5555</v>
      </c>
      <c r="D2961" s="540">
        <v>74.16</v>
      </c>
    </row>
    <row r="2962" spans="1:4" ht="15" x14ac:dyDescent="0.25">
      <c r="A2962" s="304">
        <v>39378</v>
      </c>
      <c r="B2962" s="304" t="s">
        <v>8517</v>
      </c>
      <c r="C2962" s="304" t="s">
        <v>5555</v>
      </c>
      <c r="D2962" s="540">
        <v>52.58</v>
      </c>
    </row>
    <row r="2963" spans="1:4" ht="15" x14ac:dyDescent="0.25">
      <c r="A2963" s="304">
        <v>43543</v>
      </c>
      <c r="B2963" s="304" t="s">
        <v>11250</v>
      </c>
      <c r="C2963" s="304" t="s">
        <v>5555</v>
      </c>
      <c r="D2963" s="540">
        <v>109.54</v>
      </c>
    </row>
    <row r="2964" spans="1:4" ht="15" x14ac:dyDescent="0.25">
      <c r="A2964" s="304">
        <v>38775</v>
      </c>
      <c r="B2964" s="304" t="s">
        <v>8518</v>
      </c>
      <c r="C2964" s="304" t="s">
        <v>5555</v>
      </c>
      <c r="D2964" s="540">
        <v>55.74</v>
      </c>
    </row>
    <row r="2965" spans="1:4" ht="15" x14ac:dyDescent="0.25">
      <c r="A2965" s="304">
        <v>21119</v>
      </c>
      <c r="B2965" s="304" t="s">
        <v>8519</v>
      </c>
      <c r="C2965" s="304" t="s">
        <v>5555</v>
      </c>
      <c r="D2965" s="540">
        <v>1.1000000000000001</v>
      </c>
    </row>
    <row r="2966" spans="1:4" ht="15" x14ac:dyDescent="0.25">
      <c r="A2966" s="304">
        <v>37974</v>
      </c>
      <c r="B2966" s="304" t="s">
        <v>8520</v>
      </c>
      <c r="C2966" s="304" t="s">
        <v>5555</v>
      </c>
      <c r="D2966" s="540">
        <v>1.63</v>
      </c>
    </row>
    <row r="2967" spans="1:4" ht="15" x14ac:dyDescent="0.25">
      <c r="A2967" s="304">
        <v>37975</v>
      </c>
      <c r="B2967" s="304" t="s">
        <v>8521</v>
      </c>
      <c r="C2967" s="304" t="s">
        <v>5555</v>
      </c>
      <c r="D2967" s="540">
        <v>3.31</v>
      </c>
    </row>
    <row r="2968" spans="1:4" ht="15" x14ac:dyDescent="0.25">
      <c r="A2968" s="304">
        <v>37976</v>
      </c>
      <c r="B2968" s="304" t="s">
        <v>8522</v>
      </c>
      <c r="C2968" s="304" t="s">
        <v>5555</v>
      </c>
      <c r="D2968" s="540">
        <v>6.8</v>
      </c>
    </row>
    <row r="2969" spans="1:4" ht="15" x14ac:dyDescent="0.25">
      <c r="A2969" s="304">
        <v>37977</v>
      </c>
      <c r="B2969" s="304" t="s">
        <v>8523</v>
      </c>
      <c r="C2969" s="304" t="s">
        <v>5555</v>
      </c>
      <c r="D2969" s="540">
        <v>9.35</v>
      </c>
    </row>
    <row r="2970" spans="1:4" ht="15" x14ac:dyDescent="0.25">
      <c r="A2970" s="304">
        <v>37978</v>
      </c>
      <c r="B2970" s="304" t="s">
        <v>8524</v>
      </c>
      <c r="C2970" s="304" t="s">
        <v>5555</v>
      </c>
      <c r="D2970" s="540">
        <v>18.940000000000001</v>
      </c>
    </row>
    <row r="2971" spans="1:4" ht="15" x14ac:dyDescent="0.25">
      <c r="A2971" s="304">
        <v>37979</v>
      </c>
      <c r="B2971" s="304" t="s">
        <v>8525</v>
      </c>
      <c r="C2971" s="304" t="s">
        <v>5555</v>
      </c>
      <c r="D2971" s="540">
        <v>81.400000000000006</v>
      </c>
    </row>
    <row r="2972" spans="1:4" ht="15" x14ac:dyDescent="0.25">
      <c r="A2972" s="304">
        <v>37980</v>
      </c>
      <c r="B2972" s="304" t="s">
        <v>8526</v>
      </c>
      <c r="C2972" s="304" t="s">
        <v>5555</v>
      </c>
      <c r="D2972" s="540">
        <v>91.48</v>
      </c>
    </row>
    <row r="2973" spans="1:4" ht="15" x14ac:dyDescent="0.25">
      <c r="A2973" s="304">
        <v>36147</v>
      </c>
      <c r="B2973" s="304" t="s">
        <v>8527</v>
      </c>
      <c r="C2973" s="304" t="s">
        <v>6022</v>
      </c>
      <c r="D2973" s="540">
        <v>311.81</v>
      </c>
    </row>
    <row r="2974" spans="1:4" ht="15" x14ac:dyDescent="0.25">
      <c r="A2974" s="304">
        <v>12731</v>
      </c>
      <c r="B2974" s="304" t="s">
        <v>8528</v>
      </c>
      <c r="C2974" s="304" t="s">
        <v>5555</v>
      </c>
      <c r="D2974" s="540">
        <v>210.92</v>
      </c>
    </row>
    <row r="2975" spans="1:4" ht="15" x14ac:dyDescent="0.25">
      <c r="A2975" s="304">
        <v>12723</v>
      </c>
      <c r="B2975" s="304" t="s">
        <v>8529</v>
      </c>
      <c r="C2975" s="304" t="s">
        <v>5555</v>
      </c>
      <c r="D2975" s="540">
        <v>1.63</v>
      </c>
    </row>
    <row r="2976" spans="1:4" ht="15" x14ac:dyDescent="0.25">
      <c r="A2976" s="304">
        <v>12724</v>
      </c>
      <c r="B2976" s="304" t="s">
        <v>8530</v>
      </c>
      <c r="C2976" s="304" t="s">
        <v>5555</v>
      </c>
      <c r="D2976" s="540">
        <v>3.14</v>
      </c>
    </row>
    <row r="2977" spans="1:4" ht="15" x14ac:dyDescent="0.25">
      <c r="A2977" s="304">
        <v>12725</v>
      </c>
      <c r="B2977" s="304" t="s">
        <v>8531</v>
      </c>
      <c r="C2977" s="304" t="s">
        <v>5555</v>
      </c>
      <c r="D2977" s="540">
        <v>6.3</v>
      </c>
    </row>
    <row r="2978" spans="1:4" ht="15" x14ac:dyDescent="0.25">
      <c r="A2978" s="304">
        <v>12726</v>
      </c>
      <c r="B2978" s="304" t="s">
        <v>8532</v>
      </c>
      <c r="C2978" s="304" t="s">
        <v>5555</v>
      </c>
      <c r="D2978" s="540">
        <v>13.91</v>
      </c>
    </row>
    <row r="2979" spans="1:4" ht="15" x14ac:dyDescent="0.25">
      <c r="A2979" s="304">
        <v>12727</v>
      </c>
      <c r="B2979" s="304" t="s">
        <v>8533</v>
      </c>
      <c r="C2979" s="304" t="s">
        <v>5555</v>
      </c>
      <c r="D2979" s="540">
        <v>17.64</v>
      </c>
    </row>
    <row r="2980" spans="1:4" ht="15" x14ac:dyDescent="0.25">
      <c r="A2980" s="304">
        <v>12728</v>
      </c>
      <c r="B2980" s="304" t="s">
        <v>8534</v>
      </c>
      <c r="C2980" s="304" t="s">
        <v>5555</v>
      </c>
      <c r="D2980" s="540">
        <v>28.82</v>
      </c>
    </row>
    <row r="2981" spans="1:4" ht="15" x14ac:dyDescent="0.25">
      <c r="A2981" s="304">
        <v>12729</v>
      </c>
      <c r="B2981" s="304" t="s">
        <v>8535</v>
      </c>
      <c r="C2981" s="304" t="s">
        <v>5555</v>
      </c>
      <c r="D2981" s="540">
        <v>94.47</v>
      </c>
    </row>
    <row r="2982" spans="1:4" ht="15" x14ac:dyDescent="0.25">
      <c r="A2982" s="304">
        <v>12730</v>
      </c>
      <c r="B2982" s="304" t="s">
        <v>8536</v>
      </c>
      <c r="C2982" s="304" t="s">
        <v>5555</v>
      </c>
      <c r="D2982" s="540">
        <v>144.63999999999999</v>
      </c>
    </row>
    <row r="2983" spans="1:4" ht="15" x14ac:dyDescent="0.25">
      <c r="A2983" s="304">
        <v>3840</v>
      </c>
      <c r="B2983" s="304" t="s">
        <v>8537</v>
      </c>
      <c r="C2983" s="304" t="s">
        <v>5555</v>
      </c>
      <c r="D2983" s="540">
        <v>39.99</v>
      </c>
    </row>
    <row r="2984" spans="1:4" ht="15" x14ac:dyDescent="0.25">
      <c r="A2984" s="304">
        <v>3838</v>
      </c>
      <c r="B2984" s="304" t="s">
        <v>8538</v>
      </c>
      <c r="C2984" s="304" t="s">
        <v>5555</v>
      </c>
      <c r="D2984" s="540">
        <v>88.25</v>
      </c>
    </row>
    <row r="2985" spans="1:4" ht="15" x14ac:dyDescent="0.25">
      <c r="A2985" s="304">
        <v>3844</v>
      </c>
      <c r="B2985" s="304" t="s">
        <v>8539</v>
      </c>
      <c r="C2985" s="304" t="s">
        <v>5555</v>
      </c>
      <c r="D2985" s="540">
        <v>157.41999999999999</v>
      </c>
    </row>
    <row r="2986" spans="1:4" ht="15" x14ac:dyDescent="0.25">
      <c r="A2986" s="304">
        <v>3839</v>
      </c>
      <c r="B2986" s="304" t="s">
        <v>8540</v>
      </c>
      <c r="C2986" s="304" t="s">
        <v>5555</v>
      </c>
      <c r="D2986" s="540">
        <v>286.73</v>
      </c>
    </row>
    <row r="2987" spans="1:4" ht="15" x14ac:dyDescent="0.25">
      <c r="A2987" s="304">
        <v>3843</v>
      </c>
      <c r="B2987" s="304" t="s">
        <v>8541</v>
      </c>
      <c r="C2987" s="304" t="s">
        <v>5555</v>
      </c>
      <c r="D2987" s="540">
        <v>393.55</v>
      </c>
    </row>
    <row r="2988" spans="1:4" ht="15" x14ac:dyDescent="0.25">
      <c r="A2988" s="304">
        <v>3900</v>
      </c>
      <c r="B2988" s="304" t="s">
        <v>8542</v>
      </c>
      <c r="C2988" s="304" t="s">
        <v>5555</v>
      </c>
      <c r="D2988" s="540">
        <v>33.79</v>
      </c>
    </row>
    <row r="2989" spans="1:4" ht="15" x14ac:dyDescent="0.25">
      <c r="A2989" s="304">
        <v>3846</v>
      </c>
      <c r="B2989" s="304" t="s">
        <v>8543</v>
      </c>
      <c r="C2989" s="304" t="s">
        <v>5555</v>
      </c>
      <c r="D2989" s="540">
        <v>10.65</v>
      </c>
    </row>
    <row r="2990" spans="1:4" ht="15" x14ac:dyDescent="0.25">
      <c r="A2990" s="304">
        <v>3886</v>
      </c>
      <c r="B2990" s="304" t="s">
        <v>8544</v>
      </c>
      <c r="C2990" s="304" t="s">
        <v>5555</v>
      </c>
      <c r="D2990" s="540">
        <v>11.21</v>
      </c>
    </row>
    <row r="2991" spans="1:4" ht="15" x14ac:dyDescent="0.25">
      <c r="A2991" s="304">
        <v>3854</v>
      </c>
      <c r="B2991" s="304" t="s">
        <v>8545</v>
      </c>
      <c r="C2991" s="304" t="s">
        <v>5555</v>
      </c>
      <c r="D2991" s="540">
        <v>6.23</v>
      </c>
    </row>
    <row r="2992" spans="1:4" ht="15" x14ac:dyDescent="0.25">
      <c r="A2992" s="304">
        <v>3873</v>
      </c>
      <c r="B2992" s="304" t="s">
        <v>8546</v>
      </c>
      <c r="C2992" s="304" t="s">
        <v>5555</v>
      </c>
      <c r="D2992" s="540">
        <v>8.25</v>
      </c>
    </row>
    <row r="2993" spans="1:4" ht="15" x14ac:dyDescent="0.25">
      <c r="A2993" s="304">
        <v>38021</v>
      </c>
      <c r="B2993" s="304" t="s">
        <v>8547</v>
      </c>
      <c r="C2993" s="304" t="s">
        <v>5555</v>
      </c>
      <c r="D2993" s="540">
        <v>19.73</v>
      </c>
    </row>
    <row r="2994" spans="1:4" ht="15" x14ac:dyDescent="0.25">
      <c r="A2994" s="304">
        <v>3847</v>
      </c>
      <c r="B2994" s="304" t="s">
        <v>8548</v>
      </c>
      <c r="C2994" s="304" t="s">
        <v>5555</v>
      </c>
      <c r="D2994" s="540">
        <v>22.4</v>
      </c>
    </row>
    <row r="2995" spans="1:4" ht="15" x14ac:dyDescent="0.25">
      <c r="A2995" s="304">
        <v>38022</v>
      </c>
      <c r="B2995" s="304" t="s">
        <v>8549</v>
      </c>
      <c r="C2995" s="304" t="s">
        <v>5555</v>
      </c>
      <c r="D2995" s="540">
        <v>34.979999999999997</v>
      </c>
    </row>
    <row r="2996" spans="1:4" ht="15" x14ac:dyDescent="0.25">
      <c r="A2996" s="304">
        <v>3833</v>
      </c>
      <c r="B2996" s="304" t="s">
        <v>8550</v>
      </c>
      <c r="C2996" s="304" t="s">
        <v>5555</v>
      </c>
      <c r="D2996" s="540">
        <v>13.66</v>
      </c>
    </row>
    <row r="2997" spans="1:4" ht="15" x14ac:dyDescent="0.25">
      <c r="A2997" s="304">
        <v>3835</v>
      </c>
      <c r="B2997" s="304" t="s">
        <v>8551</v>
      </c>
      <c r="C2997" s="304" t="s">
        <v>5555</v>
      </c>
      <c r="D2997" s="540">
        <v>44.47</v>
      </c>
    </row>
    <row r="2998" spans="1:4" ht="15" x14ac:dyDescent="0.25">
      <c r="A2998" s="304">
        <v>3836</v>
      </c>
      <c r="B2998" s="304" t="s">
        <v>8552</v>
      </c>
      <c r="C2998" s="304" t="s">
        <v>5555</v>
      </c>
      <c r="D2998" s="540">
        <v>95.71</v>
      </c>
    </row>
    <row r="2999" spans="1:4" ht="15" x14ac:dyDescent="0.25">
      <c r="A2999" s="304">
        <v>3830</v>
      </c>
      <c r="B2999" s="304" t="s">
        <v>8553</v>
      </c>
      <c r="C2999" s="304" t="s">
        <v>5555</v>
      </c>
      <c r="D2999" s="540">
        <v>156.49</v>
      </c>
    </row>
    <row r="3000" spans="1:4" ht="15" x14ac:dyDescent="0.25">
      <c r="A3000" s="304">
        <v>3831</v>
      </c>
      <c r="B3000" s="304" t="s">
        <v>8554</v>
      </c>
      <c r="C3000" s="304" t="s">
        <v>5555</v>
      </c>
      <c r="D3000" s="540">
        <v>261.60000000000002</v>
      </c>
    </row>
    <row r="3001" spans="1:4" ht="15" x14ac:dyDescent="0.25">
      <c r="A3001" s="304">
        <v>37981</v>
      </c>
      <c r="B3001" s="304" t="s">
        <v>8555</v>
      </c>
      <c r="C3001" s="304" t="s">
        <v>5555</v>
      </c>
      <c r="D3001" s="540">
        <v>3.73</v>
      </c>
    </row>
    <row r="3002" spans="1:4" ht="15" x14ac:dyDescent="0.25">
      <c r="A3002" s="304">
        <v>37982</v>
      </c>
      <c r="B3002" s="304" t="s">
        <v>8556</v>
      </c>
      <c r="C3002" s="304" t="s">
        <v>5555</v>
      </c>
      <c r="D3002" s="540">
        <v>5.66</v>
      </c>
    </row>
    <row r="3003" spans="1:4" ht="15" x14ac:dyDescent="0.25">
      <c r="A3003" s="304">
        <v>37983</v>
      </c>
      <c r="B3003" s="304" t="s">
        <v>8557</v>
      </c>
      <c r="C3003" s="304" t="s">
        <v>5555</v>
      </c>
      <c r="D3003" s="540">
        <v>7.93</v>
      </c>
    </row>
    <row r="3004" spans="1:4" ht="15" x14ac:dyDescent="0.25">
      <c r="A3004" s="304">
        <v>37984</v>
      </c>
      <c r="B3004" s="304" t="s">
        <v>8558</v>
      </c>
      <c r="C3004" s="304" t="s">
        <v>5555</v>
      </c>
      <c r="D3004" s="540">
        <v>13.69</v>
      </c>
    </row>
    <row r="3005" spans="1:4" ht="15" x14ac:dyDescent="0.25">
      <c r="A3005" s="304">
        <v>37985</v>
      </c>
      <c r="B3005" s="304" t="s">
        <v>8559</v>
      </c>
      <c r="C3005" s="304" t="s">
        <v>5555</v>
      </c>
      <c r="D3005" s="540">
        <v>19.18</v>
      </c>
    </row>
    <row r="3006" spans="1:4" ht="15" x14ac:dyDescent="0.25">
      <c r="A3006" s="304">
        <v>3826</v>
      </c>
      <c r="B3006" s="304" t="s">
        <v>8560</v>
      </c>
      <c r="C3006" s="304" t="s">
        <v>5555</v>
      </c>
      <c r="D3006" s="540">
        <v>39.68</v>
      </c>
    </row>
    <row r="3007" spans="1:4" ht="15" x14ac:dyDescent="0.25">
      <c r="A3007" s="304">
        <v>3825</v>
      </c>
      <c r="B3007" s="304" t="s">
        <v>8561</v>
      </c>
      <c r="C3007" s="304" t="s">
        <v>5555</v>
      </c>
      <c r="D3007" s="540">
        <v>11.41</v>
      </c>
    </row>
    <row r="3008" spans="1:4" ht="15" x14ac:dyDescent="0.25">
      <c r="A3008" s="304">
        <v>3827</v>
      </c>
      <c r="B3008" s="304" t="s">
        <v>8562</v>
      </c>
      <c r="C3008" s="304" t="s">
        <v>5555</v>
      </c>
      <c r="D3008" s="540">
        <v>24.93</v>
      </c>
    </row>
    <row r="3009" spans="1:4" ht="15" x14ac:dyDescent="0.25">
      <c r="A3009" s="304">
        <v>20165</v>
      </c>
      <c r="B3009" s="304" t="s">
        <v>8563</v>
      </c>
      <c r="C3009" s="304" t="s">
        <v>5555</v>
      </c>
      <c r="D3009" s="540">
        <v>15.87</v>
      </c>
    </row>
    <row r="3010" spans="1:4" ht="15" x14ac:dyDescent="0.25">
      <c r="A3010" s="304">
        <v>20166</v>
      </c>
      <c r="B3010" s="304" t="s">
        <v>8564</v>
      </c>
      <c r="C3010" s="304" t="s">
        <v>5555</v>
      </c>
      <c r="D3010" s="540">
        <v>51.28</v>
      </c>
    </row>
    <row r="3011" spans="1:4" ht="15" x14ac:dyDescent="0.25">
      <c r="A3011" s="304">
        <v>20164</v>
      </c>
      <c r="B3011" s="304" t="s">
        <v>8565</v>
      </c>
      <c r="C3011" s="304" t="s">
        <v>5555</v>
      </c>
      <c r="D3011" s="540">
        <v>8.3800000000000008</v>
      </c>
    </row>
    <row r="3012" spans="1:4" ht="15" x14ac:dyDescent="0.25">
      <c r="A3012" s="304">
        <v>3893</v>
      </c>
      <c r="B3012" s="304" t="s">
        <v>8566</v>
      </c>
      <c r="C3012" s="304" t="s">
        <v>5555</v>
      </c>
      <c r="D3012" s="540">
        <v>10.4</v>
      </c>
    </row>
    <row r="3013" spans="1:4" ht="15" x14ac:dyDescent="0.25">
      <c r="A3013" s="304">
        <v>3848</v>
      </c>
      <c r="B3013" s="304" t="s">
        <v>8567</v>
      </c>
      <c r="C3013" s="304" t="s">
        <v>5555</v>
      </c>
      <c r="D3013" s="540">
        <v>6.32</v>
      </c>
    </row>
    <row r="3014" spans="1:4" ht="15" x14ac:dyDescent="0.25">
      <c r="A3014" s="304">
        <v>3895</v>
      </c>
      <c r="B3014" s="304" t="s">
        <v>8568</v>
      </c>
      <c r="C3014" s="304" t="s">
        <v>5555</v>
      </c>
      <c r="D3014" s="540">
        <v>6.87</v>
      </c>
    </row>
    <row r="3015" spans="1:4" ht="15" x14ac:dyDescent="0.25">
      <c r="A3015" s="304">
        <v>12404</v>
      </c>
      <c r="B3015" s="304" t="s">
        <v>8569</v>
      </c>
      <c r="C3015" s="304" t="s">
        <v>5555</v>
      </c>
      <c r="D3015" s="540">
        <v>5.96</v>
      </c>
    </row>
    <row r="3016" spans="1:4" ht="15" x14ac:dyDescent="0.25">
      <c r="A3016" s="304">
        <v>3939</v>
      </c>
      <c r="B3016" s="304" t="s">
        <v>8570</v>
      </c>
      <c r="C3016" s="304" t="s">
        <v>5555</v>
      </c>
      <c r="D3016" s="540">
        <v>12.28</v>
      </c>
    </row>
    <row r="3017" spans="1:4" ht="15" x14ac:dyDescent="0.25">
      <c r="A3017" s="304">
        <v>3911</v>
      </c>
      <c r="B3017" s="304" t="s">
        <v>8571</v>
      </c>
      <c r="C3017" s="304" t="s">
        <v>5555</v>
      </c>
      <c r="D3017" s="540">
        <v>10.029999999999999</v>
      </c>
    </row>
    <row r="3018" spans="1:4" ht="15" x14ac:dyDescent="0.25">
      <c r="A3018" s="304">
        <v>3908</v>
      </c>
      <c r="B3018" s="304" t="s">
        <v>8572</v>
      </c>
      <c r="C3018" s="304" t="s">
        <v>5555</v>
      </c>
      <c r="D3018" s="540">
        <v>3.24</v>
      </c>
    </row>
    <row r="3019" spans="1:4" ht="15" x14ac:dyDescent="0.25">
      <c r="A3019" s="304">
        <v>3910</v>
      </c>
      <c r="B3019" s="304" t="s">
        <v>8573</v>
      </c>
      <c r="C3019" s="304" t="s">
        <v>5555</v>
      </c>
      <c r="D3019" s="540">
        <v>7.18</v>
      </c>
    </row>
    <row r="3020" spans="1:4" ht="15" x14ac:dyDescent="0.25">
      <c r="A3020" s="304">
        <v>3913</v>
      </c>
      <c r="B3020" s="304" t="s">
        <v>8574</v>
      </c>
      <c r="C3020" s="304" t="s">
        <v>5555</v>
      </c>
      <c r="D3020" s="540">
        <v>34.32</v>
      </c>
    </row>
    <row r="3021" spans="1:4" ht="15" x14ac:dyDescent="0.25">
      <c r="A3021" s="304">
        <v>3912</v>
      </c>
      <c r="B3021" s="304" t="s">
        <v>8575</v>
      </c>
      <c r="C3021" s="304" t="s">
        <v>5555</v>
      </c>
      <c r="D3021" s="540">
        <v>18.809999999999999</v>
      </c>
    </row>
    <row r="3022" spans="1:4" ht="15" x14ac:dyDescent="0.25">
      <c r="A3022" s="304">
        <v>3909</v>
      </c>
      <c r="B3022" s="304" t="s">
        <v>8576</v>
      </c>
      <c r="C3022" s="304" t="s">
        <v>5555</v>
      </c>
      <c r="D3022" s="540">
        <v>4.41</v>
      </c>
    </row>
    <row r="3023" spans="1:4" ht="15" x14ac:dyDescent="0.25">
      <c r="A3023" s="304">
        <v>3914</v>
      </c>
      <c r="B3023" s="304" t="s">
        <v>8577</v>
      </c>
      <c r="C3023" s="304" t="s">
        <v>5555</v>
      </c>
      <c r="D3023" s="540">
        <v>51.78</v>
      </c>
    </row>
    <row r="3024" spans="1:4" ht="15" x14ac:dyDescent="0.25">
      <c r="A3024" s="304">
        <v>3915</v>
      </c>
      <c r="B3024" s="304" t="s">
        <v>8578</v>
      </c>
      <c r="C3024" s="304" t="s">
        <v>5555</v>
      </c>
      <c r="D3024" s="540">
        <v>81.650000000000006</v>
      </c>
    </row>
    <row r="3025" spans="1:4" ht="15" x14ac:dyDescent="0.25">
      <c r="A3025" s="304">
        <v>3916</v>
      </c>
      <c r="B3025" s="304" t="s">
        <v>8579</v>
      </c>
      <c r="C3025" s="304" t="s">
        <v>5555</v>
      </c>
      <c r="D3025" s="540">
        <v>148.76</v>
      </c>
    </row>
    <row r="3026" spans="1:4" ht="15" x14ac:dyDescent="0.25">
      <c r="A3026" s="304">
        <v>3917</v>
      </c>
      <c r="B3026" s="304" t="s">
        <v>8580</v>
      </c>
      <c r="C3026" s="304" t="s">
        <v>5555</v>
      </c>
      <c r="D3026" s="540">
        <v>245.36</v>
      </c>
    </row>
    <row r="3027" spans="1:4" ht="15" x14ac:dyDescent="0.25">
      <c r="A3027" s="304">
        <v>1904</v>
      </c>
      <c r="B3027" s="304" t="s">
        <v>8581</v>
      </c>
      <c r="C3027" s="304" t="s">
        <v>5555</v>
      </c>
      <c r="D3027" s="540">
        <v>0.62</v>
      </c>
    </row>
    <row r="3028" spans="1:4" ht="15" x14ac:dyDescent="0.25">
      <c r="A3028" s="304">
        <v>1899</v>
      </c>
      <c r="B3028" s="304" t="s">
        <v>8582</v>
      </c>
      <c r="C3028" s="304" t="s">
        <v>5555</v>
      </c>
      <c r="D3028" s="540">
        <v>0.7</v>
      </c>
    </row>
    <row r="3029" spans="1:4" ht="15" x14ac:dyDescent="0.25">
      <c r="A3029" s="304">
        <v>1900</v>
      </c>
      <c r="B3029" s="304" t="s">
        <v>8583</v>
      </c>
      <c r="C3029" s="304" t="s">
        <v>5555</v>
      </c>
      <c r="D3029" s="540">
        <v>1.1399999999999999</v>
      </c>
    </row>
    <row r="3030" spans="1:4" ht="15" x14ac:dyDescent="0.25">
      <c r="A3030" s="304">
        <v>12407</v>
      </c>
      <c r="B3030" s="304" t="s">
        <v>8584</v>
      </c>
      <c r="C3030" s="304" t="s">
        <v>5555</v>
      </c>
      <c r="D3030" s="540">
        <v>18.57</v>
      </c>
    </row>
    <row r="3031" spans="1:4" ht="15" x14ac:dyDescent="0.25">
      <c r="A3031" s="304">
        <v>12408</v>
      </c>
      <c r="B3031" s="304" t="s">
        <v>8585</v>
      </c>
      <c r="C3031" s="304" t="s">
        <v>5555</v>
      </c>
      <c r="D3031" s="540">
        <v>10.48</v>
      </c>
    </row>
    <row r="3032" spans="1:4" ht="15" x14ac:dyDescent="0.25">
      <c r="A3032" s="304">
        <v>12409</v>
      </c>
      <c r="B3032" s="304" t="s">
        <v>8586</v>
      </c>
      <c r="C3032" s="304" t="s">
        <v>5555</v>
      </c>
      <c r="D3032" s="540">
        <v>10.48</v>
      </c>
    </row>
    <row r="3033" spans="1:4" ht="15" x14ac:dyDescent="0.25">
      <c r="A3033" s="304">
        <v>12410</v>
      </c>
      <c r="B3033" s="304" t="s">
        <v>8587</v>
      </c>
      <c r="C3033" s="304" t="s">
        <v>5555</v>
      </c>
      <c r="D3033" s="540">
        <v>7.22</v>
      </c>
    </row>
    <row r="3034" spans="1:4" ht="15" x14ac:dyDescent="0.25">
      <c r="A3034" s="304">
        <v>3936</v>
      </c>
      <c r="B3034" s="304" t="s">
        <v>8588</v>
      </c>
      <c r="C3034" s="304" t="s">
        <v>5555</v>
      </c>
      <c r="D3034" s="540">
        <v>13.05</v>
      </c>
    </row>
    <row r="3035" spans="1:4" ht="15" x14ac:dyDescent="0.25">
      <c r="A3035" s="304">
        <v>3922</v>
      </c>
      <c r="B3035" s="304" t="s">
        <v>8589</v>
      </c>
      <c r="C3035" s="304" t="s">
        <v>5555</v>
      </c>
      <c r="D3035" s="540">
        <v>12</v>
      </c>
    </row>
    <row r="3036" spans="1:4" ht="15" x14ac:dyDescent="0.25">
      <c r="A3036" s="304">
        <v>3924</v>
      </c>
      <c r="B3036" s="304" t="s">
        <v>8590</v>
      </c>
      <c r="C3036" s="304" t="s">
        <v>5555</v>
      </c>
      <c r="D3036" s="540">
        <v>13.05</v>
      </c>
    </row>
    <row r="3037" spans="1:4" ht="15" x14ac:dyDescent="0.25">
      <c r="A3037" s="304">
        <v>3923</v>
      </c>
      <c r="B3037" s="304" t="s">
        <v>8591</v>
      </c>
      <c r="C3037" s="304" t="s">
        <v>5555</v>
      </c>
      <c r="D3037" s="540">
        <v>13.05</v>
      </c>
    </row>
    <row r="3038" spans="1:4" ht="15" x14ac:dyDescent="0.25">
      <c r="A3038" s="304">
        <v>3937</v>
      </c>
      <c r="B3038" s="304" t="s">
        <v>8592</v>
      </c>
      <c r="C3038" s="304" t="s">
        <v>5555</v>
      </c>
      <c r="D3038" s="540">
        <v>10.76</v>
      </c>
    </row>
    <row r="3039" spans="1:4" ht="15" x14ac:dyDescent="0.25">
      <c r="A3039" s="304">
        <v>3921</v>
      </c>
      <c r="B3039" s="304" t="s">
        <v>8593</v>
      </c>
      <c r="C3039" s="304" t="s">
        <v>5555</v>
      </c>
      <c r="D3039" s="540">
        <v>10.77</v>
      </c>
    </row>
    <row r="3040" spans="1:4" ht="15" x14ac:dyDescent="0.25">
      <c r="A3040" s="304">
        <v>3920</v>
      </c>
      <c r="B3040" s="304" t="s">
        <v>8594</v>
      </c>
      <c r="C3040" s="304" t="s">
        <v>5555</v>
      </c>
      <c r="D3040" s="540">
        <v>10.76</v>
      </c>
    </row>
    <row r="3041" spans="1:4" ht="15" x14ac:dyDescent="0.25">
      <c r="A3041" s="304">
        <v>3938</v>
      </c>
      <c r="B3041" s="304" t="s">
        <v>8595</v>
      </c>
      <c r="C3041" s="304" t="s">
        <v>5555</v>
      </c>
      <c r="D3041" s="540">
        <v>7.1</v>
      </c>
    </row>
    <row r="3042" spans="1:4" ht="15" x14ac:dyDescent="0.25">
      <c r="A3042" s="304">
        <v>3919</v>
      </c>
      <c r="B3042" s="304" t="s">
        <v>8596</v>
      </c>
      <c r="C3042" s="304" t="s">
        <v>5555</v>
      </c>
      <c r="D3042" s="540">
        <v>7.23</v>
      </c>
    </row>
    <row r="3043" spans="1:4" ht="15" x14ac:dyDescent="0.25">
      <c r="A3043" s="304">
        <v>3927</v>
      </c>
      <c r="B3043" s="304" t="s">
        <v>8597</v>
      </c>
      <c r="C3043" s="304" t="s">
        <v>5555</v>
      </c>
      <c r="D3043" s="540">
        <v>36.65</v>
      </c>
    </row>
    <row r="3044" spans="1:4" ht="15" x14ac:dyDescent="0.25">
      <c r="A3044" s="304">
        <v>3928</v>
      </c>
      <c r="B3044" s="304" t="s">
        <v>8598</v>
      </c>
      <c r="C3044" s="304" t="s">
        <v>5555</v>
      </c>
      <c r="D3044" s="540">
        <v>36.65</v>
      </c>
    </row>
    <row r="3045" spans="1:4" ht="15" x14ac:dyDescent="0.25">
      <c r="A3045" s="304">
        <v>3926</v>
      </c>
      <c r="B3045" s="304" t="s">
        <v>8599</v>
      </c>
      <c r="C3045" s="304" t="s">
        <v>5555</v>
      </c>
      <c r="D3045" s="540">
        <v>20.89</v>
      </c>
    </row>
    <row r="3046" spans="1:4" ht="15" x14ac:dyDescent="0.25">
      <c r="A3046" s="304">
        <v>3935</v>
      </c>
      <c r="B3046" s="304" t="s">
        <v>8600</v>
      </c>
      <c r="C3046" s="304" t="s">
        <v>5555</v>
      </c>
      <c r="D3046" s="540">
        <v>20.89</v>
      </c>
    </row>
    <row r="3047" spans="1:4" ht="15" x14ac:dyDescent="0.25">
      <c r="A3047" s="304">
        <v>3925</v>
      </c>
      <c r="B3047" s="304" t="s">
        <v>8601</v>
      </c>
      <c r="C3047" s="304" t="s">
        <v>5555</v>
      </c>
      <c r="D3047" s="540">
        <v>20.89</v>
      </c>
    </row>
    <row r="3048" spans="1:4" ht="15" x14ac:dyDescent="0.25">
      <c r="A3048" s="304">
        <v>12406</v>
      </c>
      <c r="B3048" s="304" t="s">
        <v>8602</v>
      </c>
      <c r="C3048" s="304" t="s">
        <v>5555</v>
      </c>
      <c r="D3048" s="540">
        <v>5.13</v>
      </c>
    </row>
    <row r="3049" spans="1:4" ht="15" x14ac:dyDescent="0.25">
      <c r="A3049" s="304">
        <v>3929</v>
      </c>
      <c r="B3049" s="304" t="s">
        <v>8603</v>
      </c>
      <c r="C3049" s="304" t="s">
        <v>5555</v>
      </c>
      <c r="D3049" s="540">
        <v>55.84</v>
      </c>
    </row>
    <row r="3050" spans="1:4" ht="15" x14ac:dyDescent="0.25">
      <c r="A3050" s="304">
        <v>3931</v>
      </c>
      <c r="B3050" s="304" t="s">
        <v>8604</v>
      </c>
      <c r="C3050" s="304" t="s">
        <v>5555</v>
      </c>
      <c r="D3050" s="540">
        <v>55.84</v>
      </c>
    </row>
    <row r="3051" spans="1:4" ht="15" x14ac:dyDescent="0.25">
      <c r="A3051" s="304">
        <v>3930</v>
      </c>
      <c r="B3051" s="304" t="s">
        <v>8605</v>
      </c>
      <c r="C3051" s="304" t="s">
        <v>5555</v>
      </c>
      <c r="D3051" s="540">
        <v>55.84</v>
      </c>
    </row>
    <row r="3052" spans="1:4" ht="15" x14ac:dyDescent="0.25">
      <c r="A3052" s="304">
        <v>3932</v>
      </c>
      <c r="B3052" s="304" t="s">
        <v>8606</v>
      </c>
      <c r="C3052" s="304" t="s">
        <v>5555</v>
      </c>
      <c r="D3052" s="540">
        <v>96.42</v>
      </c>
    </row>
    <row r="3053" spans="1:4" ht="15" x14ac:dyDescent="0.25">
      <c r="A3053" s="304">
        <v>3933</v>
      </c>
      <c r="B3053" s="304" t="s">
        <v>8607</v>
      </c>
      <c r="C3053" s="304" t="s">
        <v>5555</v>
      </c>
      <c r="D3053" s="540">
        <v>96.42</v>
      </c>
    </row>
    <row r="3054" spans="1:4" ht="15" x14ac:dyDescent="0.25">
      <c r="A3054" s="304">
        <v>3934</v>
      </c>
      <c r="B3054" s="304" t="s">
        <v>8608</v>
      </c>
      <c r="C3054" s="304" t="s">
        <v>5555</v>
      </c>
      <c r="D3054" s="540">
        <v>96.42</v>
      </c>
    </row>
    <row r="3055" spans="1:4" ht="15" x14ac:dyDescent="0.25">
      <c r="A3055" s="304">
        <v>40355</v>
      </c>
      <c r="B3055" s="304" t="s">
        <v>8609</v>
      </c>
      <c r="C3055" s="304" t="s">
        <v>5555</v>
      </c>
      <c r="D3055" s="540">
        <v>5.87</v>
      </c>
    </row>
    <row r="3056" spans="1:4" ht="15" x14ac:dyDescent="0.25">
      <c r="A3056" s="304">
        <v>40364</v>
      </c>
      <c r="B3056" s="304" t="s">
        <v>8610</v>
      </c>
      <c r="C3056" s="304" t="s">
        <v>5555</v>
      </c>
      <c r="D3056" s="540">
        <v>27.52</v>
      </c>
    </row>
    <row r="3057" spans="1:4" ht="15" x14ac:dyDescent="0.25">
      <c r="A3057" s="304">
        <v>40361</v>
      </c>
      <c r="B3057" s="304" t="s">
        <v>8611</v>
      </c>
      <c r="C3057" s="304" t="s">
        <v>5555</v>
      </c>
      <c r="D3057" s="540">
        <v>21.52</v>
      </c>
    </row>
    <row r="3058" spans="1:4" ht="15" x14ac:dyDescent="0.25">
      <c r="A3058" s="304">
        <v>40358</v>
      </c>
      <c r="B3058" s="304" t="s">
        <v>8612</v>
      </c>
      <c r="C3058" s="304" t="s">
        <v>5555</v>
      </c>
      <c r="D3058" s="540">
        <v>8.1999999999999993</v>
      </c>
    </row>
    <row r="3059" spans="1:4" ht="15" x14ac:dyDescent="0.25">
      <c r="A3059" s="304">
        <v>40370</v>
      </c>
      <c r="B3059" s="304" t="s">
        <v>8613</v>
      </c>
      <c r="C3059" s="304" t="s">
        <v>5555</v>
      </c>
      <c r="D3059" s="540">
        <v>87.32</v>
      </c>
    </row>
    <row r="3060" spans="1:4" ht="15" x14ac:dyDescent="0.25">
      <c r="A3060" s="304">
        <v>40367</v>
      </c>
      <c r="B3060" s="304" t="s">
        <v>8614</v>
      </c>
      <c r="C3060" s="304" t="s">
        <v>5555</v>
      </c>
      <c r="D3060" s="540">
        <v>43.4</v>
      </c>
    </row>
    <row r="3061" spans="1:4" ht="15" x14ac:dyDescent="0.25">
      <c r="A3061" s="304">
        <v>40373</v>
      </c>
      <c r="B3061" s="304" t="s">
        <v>8615</v>
      </c>
      <c r="C3061" s="304" t="s">
        <v>5555</v>
      </c>
      <c r="D3061" s="540">
        <v>118.08</v>
      </c>
    </row>
    <row r="3062" spans="1:4" ht="15" x14ac:dyDescent="0.25">
      <c r="A3062" s="304">
        <v>38947</v>
      </c>
      <c r="B3062" s="304" t="s">
        <v>8616</v>
      </c>
      <c r="C3062" s="304" t="s">
        <v>5555</v>
      </c>
      <c r="D3062" s="540">
        <v>5.43</v>
      </c>
    </row>
    <row r="3063" spans="1:4" ht="15" x14ac:dyDescent="0.25">
      <c r="A3063" s="304">
        <v>38948</v>
      </c>
      <c r="B3063" s="304" t="s">
        <v>8617</v>
      </c>
      <c r="C3063" s="304" t="s">
        <v>5555</v>
      </c>
      <c r="D3063" s="540">
        <v>8.66</v>
      </c>
    </row>
    <row r="3064" spans="1:4" ht="15" x14ac:dyDescent="0.25">
      <c r="A3064" s="304">
        <v>38949</v>
      </c>
      <c r="B3064" s="304" t="s">
        <v>8618</v>
      </c>
      <c r="C3064" s="304" t="s">
        <v>5555</v>
      </c>
      <c r="D3064" s="540">
        <v>9.61</v>
      </c>
    </row>
    <row r="3065" spans="1:4" ht="15" x14ac:dyDescent="0.25">
      <c r="A3065" s="304">
        <v>38951</v>
      </c>
      <c r="B3065" s="304" t="s">
        <v>8619</v>
      </c>
      <c r="C3065" s="304" t="s">
        <v>5555</v>
      </c>
      <c r="D3065" s="540">
        <v>15.2</v>
      </c>
    </row>
    <row r="3066" spans="1:4" ht="15" x14ac:dyDescent="0.25">
      <c r="A3066" s="304">
        <v>39312</v>
      </c>
      <c r="B3066" s="304" t="s">
        <v>8620</v>
      </c>
      <c r="C3066" s="304" t="s">
        <v>5555</v>
      </c>
      <c r="D3066" s="540">
        <v>11.79</v>
      </c>
    </row>
    <row r="3067" spans="1:4" ht="15" x14ac:dyDescent="0.25">
      <c r="A3067" s="304">
        <v>39313</v>
      </c>
      <c r="B3067" s="304" t="s">
        <v>8621</v>
      </c>
      <c r="C3067" s="304" t="s">
        <v>5555</v>
      </c>
      <c r="D3067" s="540">
        <v>15.39</v>
      </c>
    </row>
    <row r="3068" spans="1:4" ht="15" x14ac:dyDescent="0.25">
      <c r="A3068" s="304">
        <v>38950</v>
      </c>
      <c r="B3068" s="304" t="s">
        <v>8622</v>
      </c>
      <c r="C3068" s="304" t="s">
        <v>5555</v>
      </c>
      <c r="D3068" s="540">
        <v>23.16</v>
      </c>
    </row>
    <row r="3069" spans="1:4" ht="15" x14ac:dyDescent="0.25">
      <c r="A3069" s="304">
        <v>39314</v>
      </c>
      <c r="B3069" s="304" t="s">
        <v>8623</v>
      </c>
      <c r="C3069" s="304" t="s">
        <v>5555</v>
      </c>
      <c r="D3069" s="540">
        <v>24.44</v>
      </c>
    </row>
    <row r="3070" spans="1:4" ht="15" x14ac:dyDescent="0.25">
      <c r="A3070" s="304">
        <v>3907</v>
      </c>
      <c r="B3070" s="304" t="s">
        <v>8624</v>
      </c>
      <c r="C3070" s="304" t="s">
        <v>5555</v>
      </c>
      <c r="D3070" s="540">
        <v>3.5</v>
      </c>
    </row>
    <row r="3071" spans="1:4" ht="15" x14ac:dyDescent="0.25">
      <c r="A3071" s="304">
        <v>3889</v>
      </c>
      <c r="B3071" s="304" t="s">
        <v>8625</v>
      </c>
      <c r="C3071" s="304" t="s">
        <v>5555</v>
      </c>
      <c r="D3071" s="540">
        <v>2.67</v>
      </c>
    </row>
    <row r="3072" spans="1:4" ht="15" x14ac:dyDescent="0.25">
      <c r="A3072" s="304">
        <v>3868</v>
      </c>
      <c r="B3072" s="304" t="s">
        <v>8626</v>
      </c>
      <c r="C3072" s="304" t="s">
        <v>5555</v>
      </c>
      <c r="D3072" s="540">
        <v>1.04</v>
      </c>
    </row>
    <row r="3073" spans="1:4" ht="15" x14ac:dyDescent="0.25">
      <c r="A3073" s="304">
        <v>3869</v>
      </c>
      <c r="B3073" s="304" t="s">
        <v>8627</v>
      </c>
      <c r="C3073" s="304" t="s">
        <v>5555</v>
      </c>
      <c r="D3073" s="540">
        <v>2.97</v>
      </c>
    </row>
    <row r="3074" spans="1:4" ht="15" x14ac:dyDescent="0.25">
      <c r="A3074" s="304">
        <v>3872</v>
      </c>
      <c r="B3074" s="304" t="s">
        <v>8628</v>
      </c>
      <c r="C3074" s="304" t="s">
        <v>5555</v>
      </c>
      <c r="D3074" s="540">
        <v>3.61</v>
      </c>
    </row>
    <row r="3075" spans="1:4" ht="15" x14ac:dyDescent="0.25">
      <c r="A3075" s="304">
        <v>3850</v>
      </c>
      <c r="B3075" s="304" t="s">
        <v>8629</v>
      </c>
      <c r="C3075" s="304" t="s">
        <v>5555</v>
      </c>
      <c r="D3075" s="540">
        <v>9.3000000000000007</v>
      </c>
    </row>
    <row r="3076" spans="1:4" ht="15" x14ac:dyDescent="0.25">
      <c r="A3076" s="304">
        <v>38023</v>
      </c>
      <c r="B3076" s="304" t="s">
        <v>8630</v>
      </c>
      <c r="C3076" s="304" t="s">
        <v>5555</v>
      </c>
      <c r="D3076" s="540">
        <v>3.92</v>
      </c>
    </row>
    <row r="3077" spans="1:4" ht="15" x14ac:dyDescent="0.25">
      <c r="A3077" s="304">
        <v>37986</v>
      </c>
      <c r="B3077" s="304" t="s">
        <v>8631</v>
      </c>
      <c r="C3077" s="304" t="s">
        <v>5555</v>
      </c>
      <c r="D3077" s="540">
        <v>1.28</v>
      </c>
    </row>
    <row r="3078" spans="1:4" ht="15" x14ac:dyDescent="0.25">
      <c r="A3078" s="304">
        <v>37987</v>
      </c>
      <c r="B3078" s="304" t="s">
        <v>8632</v>
      </c>
      <c r="C3078" s="304" t="s">
        <v>5555</v>
      </c>
      <c r="D3078" s="540">
        <v>95.73</v>
      </c>
    </row>
    <row r="3079" spans="1:4" ht="15" x14ac:dyDescent="0.25">
      <c r="A3079" s="304">
        <v>37988</v>
      </c>
      <c r="B3079" s="304" t="s">
        <v>8633</v>
      </c>
      <c r="C3079" s="304" t="s">
        <v>5555</v>
      </c>
      <c r="D3079" s="540">
        <v>156.13999999999999</v>
      </c>
    </row>
    <row r="3080" spans="1:4" ht="15" x14ac:dyDescent="0.25">
      <c r="A3080" s="304">
        <v>21120</v>
      </c>
      <c r="B3080" s="304" t="s">
        <v>8634</v>
      </c>
      <c r="C3080" s="304" t="s">
        <v>5555</v>
      </c>
      <c r="D3080" s="540">
        <v>7.78</v>
      </c>
    </row>
    <row r="3081" spans="1:4" ht="15" x14ac:dyDescent="0.25">
      <c r="A3081" s="304">
        <v>39318</v>
      </c>
      <c r="B3081" s="304" t="s">
        <v>8635</v>
      </c>
      <c r="C3081" s="304" t="s">
        <v>5555</v>
      </c>
      <c r="D3081" s="540">
        <v>6.41</v>
      </c>
    </row>
    <row r="3082" spans="1:4" ht="15" x14ac:dyDescent="0.25">
      <c r="A3082" s="304">
        <v>20162</v>
      </c>
      <c r="B3082" s="304" t="s">
        <v>8636</v>
      </c>
      <c r="C3082" s="304" t="s">
        <v>5555</v>
      </c>
      <c r="D3082" s="540">
        <v>11.02</v>
      </c>
    </row>
    <row r="3083" spans="1:4" ht="15" x14ac:dyDescent="0.25">
      <c r="A3083" s="304">
        <v>40366</v>
      </c>
      <c r="B3083" s="304" t="s">
        <v>8637</v>
      </c>
      <c r="C3083" s="304" t="s">
        <v>5555</v>
      </c>
      <c r="D3083" s="540">
        <v>21.46</v>
      </c>
    </row>
    <row r="3084" spans="1:4" ht="15" x14ac:dyDescent="0.25">
      <c r="A3084" s="304">
        <v>40363</v>
      </c>
      <c r="B3084" s="304" t="s">
        <v>8638</v>
      </c>
      <c r="C3084" s="304" t="s">
        <v>5555</v>
      </c>
      <c r="D3084" s="540">
        <v>16.79</v>
      </c>
    </row>
    <row r="3085" spans="1:4" ht="15" x14ac:dyDescent="0.25">
      <c r="A3085" s="304">
        <v>40354</v>
      </c>
      <c r="B3085" s="304" t="s">
        <v>8639</v>
      </c>
      <c r="C3085" s="304" t="s">
        <v>5555</v>
      </c>
      <c r="D3085" s="540">
        <v>7.31</v>
      </c>
    </row>
    <row r="3086" spans="1:4" ht="15" x14ac:dyDescent="0.25">
      <c r="A3086" s="304">
        <v>40360</v>
      </c>
      <c r="B3086" s="304" t="s">
        <v>8640</v>
      </c>
      <c r="C3086" s="304" t="s">
        <v>5555</v>
      </c>
      <c r="D3086" s="540">
        <v>11</v>
      </c>
    </row>
    <row r="3087" spans="1:4" ht="15" x14ac:dyDescent="0.25">
      <c r="A3087" s="304">
        <v>40372</v>
      </c>
      <c r="B3087" s="304" t="s">
        <v>8641</v>
      </c>
      <c r="C3087" s="304" t="s">
        <v>5555</v>
      </c>
      <c r="D3087" s="540">
        <v>67.97</v>
      </c>
    </row>
    <row r="3088" spans="1:4" ht="15" x14ac:dyDescent="0.25">
      <c r="A3088" s="304">
        <v>40369</v>
      </c>
      <c r="B3088" s="304" t="s">
        <v>8642</v>
      </c>
      <c r="C3088" s="304" t="s">
        <v>5555</v>
      </c>
      <c r="D3088" s="540">
        <v>33.83</v>
      </c>
    </row>
    <row r="3089" spans="1:4" ht="15" x14ac:dyDescent="0.25">
      <c r="A3089" s="304">
        <v>40357</v>
      </c>
      <c r="B3089" s="304" t="s">
        <v>8643</v>
      </c>
      <c r="C3089" s="304" t="s">
        <v>5555</v>
      </c>
      <c r="D3089" s="540">
        <v>8.1999999999999993</v>
      </c>
    </row>
    <row r="3090" spans="1:4" ht="15" x14ac:dyDescent="0.25">
      <c r="A3090" s="304">
        <v>40375</v>
      </c>
      <c r="B3090" s="304" t="s">
        <v>8644</v>
      </c>
      <c r="C3090" s="304" t="s">
        <v>5555</v>
      </c>
      <c r="D3090" s="540">
        <v>92.02</v>
      </c>
    </row>
    <row r="3091" spans="1:4" ht="15" x14ac:dyDescent="0.25">
      <c r="A3091" s="304">
        <v>1893</v>
      </c>
      <c r="B3091" s="304" t="s">
        <v>8645</v>
      </c>
      <c r="C3091" s="304" t="s">
        <v>5555</v>
      </c>
      <c r="D3091" s="540">
        <v>2.35</v>
      </c>
    </row>
    <row r="3092" spans="1:4" ht="15" x14ac:dyDescent="0.25">
      <c r="A3092" s="304">
        <v>1902</v>
      </c>
      <c r="B3092" s="304" t="s">
        <v>8646</v>
      </c>
      <c r="C3092" s="304" t="s">
        <v>5555</v>
      </c>
      <c r="D3092" s="540">
        <v>1.71</v>
      </c>
    </row>
    <row r="3093" spans="1:4" ht="15" x14ac:dyDescent="0.25">
      <c r="A3093" s="304">
        <v>1901</v>
      </c>
      <c r="B3093" s="304" t="s">
        <v>8647</v>
      </c>
      <c r="C3093" s="304" t="s">
        <v>5555</v>
      </c>
      <c r="D3093" s="540">
        <v>0.53</v>
      </c>
    </row>
    <row r="3094" spans="1:4" ht="15" x14ac:dyDescent="0.25">
      <c r="A3094" s="304">
        <v>1892</v>
      </c>
      <c r="B3094" s="304" t="s">
        <v>8648</v>
      </c>
      <c r="C3094" s="304" t="s">
        <v>5555</v>
      </c>
      <c r="D3094" s="540">
        <v>1.1000000000000001</v>
      </c>
    </row>
    <row r="3095" spans="1:4" ht="15" x14ac:dyDescent="0.25">
      <c r="A3095" s="304">
        <v>1907</v>
      </c>
      <c r="B3095" s="304" t="s">
        <v>8649</v>
      </c>
      <c r="C3095" s="304" t="s">
        <v>5555</v>
      </c>
      <c r="D3095" s="540">
        <v>7.58</v>
      </c>
    </row>
    <row r="3096" spans="1:4" ht="15" x14ac:dyDescent="0.25">
      <c r="A3096" s="304">
        <v>1894</v>
      </c>
      <c r="B3096" s="304" t="s">
        <v>8650</v>
      </c>
      <c r="C3096" s="304" t="s">
        <v>5555</v>
      </c>
      <c r="D3096" s="540">
        <v>3.41</v>
      </c>
    </row>
    <row r="3097" spans="1:4" ht="15" x14ac:dyDescent="0.25">
      <c r="A3097" s="304">
        <v>1891</v>
      </c>
      <c r="B3097" s="304" t="s">
        <v>8651</v>
      </c>
      <c r="C3097" s="304" t="s">
        <v>5555</v>
      </c>
      <c r="D3097" s="540">
        <v>0.79</v>
      </c>
    </row>
    <row r="3098" spans="1:4" ht="15" x14ac:dyDescent="0.25">
      <c r="A3098" s="304">
        <v>1896</v>
      </c>
      <c r="B3098" s="304" t="s">
        <v>8652</v>
      </c>
      <c r="C3098" s="304" t="s">
        <v>5555</v>
      </c>
      <c r="D3098" s="540">
        <v>10.18</v>
      </c>
    </row>
    <row r="3099" spans="1:4" ht="15" x14ac:dyDescent="0.25">
      <c r="A3099" s="304">
        <v>1895</v>
      </c>
      <c r="B3099" s="304" t="s">
        <v>8653</v>
      </c>
      <c r="C3099" s="304" t="s">
        <v>5555</v>
      </c>
      <c r="D3099" s="540">
        <v>17.89</v>
      </c>
    </row>
    <row r="3100" spans="1:4" ht="15" x14ac:dyDescent="0.25">
      <c r="A3100" s="304">
        <v>2641</v>
      </c>
      <c r="B3100" s="304" t="s">
        <v>8654</v>
      </c>
      <c r="C3100" s="304" t="s">
        <v>5555</v>
      </c>
      <c r="D3100" s="540">
        <v>24.62</v>
      </c>
    </row>
    <row r="3101" spans="1:4" ht="15" x14ac:dyDescent="0.25">
      <c r="A3101" s="304">
        <v>2636</v>
      </c>
      <c r="B3101" s="304" t="s">
        <v>8655</v>
      </c>
      <c r="C3101" s="304" t="s">
        <v>5555</v>
      </c>
      <c r="D3101" s="540">
        <v>1.58</v>
      </c>
    </row>
    <row r="3102" spans="1:4" ht="15" x14ac:dyDescent="0.25">
      <c r="A3102" s="304">
        <v>2637</v>
      </c>
      <c r="B3102" s="304" t="s">
        <v>8656</v>
      </c>
      <c r="C3102" s="304" t="s">
        <v>5555</v>
      </c>
      <c r="D3102" s="540">
        <v>1.68</v>
      </c>
    </row>
    <row r="3103" spans="1:4" ht="15" x14ac:dyDescent="0.25">
      <c r="A3103" s="304">
        <v>2638</v>
      </c>
      <c r="B3103" s="304" t="s">
        <v>8657</v>
      </c>
      <c r="C3103" s="304" t="s">
        <v>5555</v>
      </c>
      <c r="D3103" s="540">
        <v>1.96</v>
      </c>
    </row>
    <row r="3104" spans="1:4" ht="15" x14ac:dyDescent="0.25">
      <c r="A3104" s="304">
        <v>2639</v>
      </c>
      <c r="B3104" s="304" t="s">
        <v>8658</v>
      </c>
      <c r="C3104" s="304" t="s">
        <v>5555</v>
      </c>
      <c r="D3104" s="540">
        <v>3.48</v>
      </c>
    </row>
    <row r="3105" spans="1:4" ht="15" x14ac:dyDescent="0.25">
      <c r="A3105" s="304">
        <v>2644</v>
      </c>
      <c r="B3105" s="304" t="s">
        <v>8659</v>
      </c>
      <c r="C3105" s="304" t="s">
        <v>5555</v>
      </c>
      <c r="D3105" s="540">
        <v>5.03</v>
      </c>
    </row>
    <row r="3106" spans="1:4" ht="15" x14ac:dyDescent="0.25">
      <c r="A3106" s="304">
        <v>2643</v>
      </c>
      <c r="B3106" s="304" t="s">
        <v>8660</v>
      </c>
      <c r="C3106" s="304" t="s">
        <v>5555</v>
      </c>
      <c r="D3106" s="540">
        <v>7.02</v>
      </c>
    </row>
    <row r="3107" spans="1:4" ht="15" x14ac:dyDescent="0.25">
      <c r="A3107" s="304">
        <v>2640</v>
      </c>
      <c r="B3107" s="304" t="s">
        <v>8661</v>
      </c>
      <c r="C3107" s="304" t="s">
        <v>5555</v>
      </c>
      <c r="D3107" s="540">
        <v>10.24</v>
      </c>
    </row>
    <row r="3108" spans="1:4" ht="15" x14ac:dyDescent="0.25">
      <c r="A3108" s="304">
        <v>2642</v>
      </c>
      <c r="B3108" s="304" t="s">
        <v>8662</v>
      </c>
      <c r="C3108" s="304" t="s">
        <v>5555</v>
      </c>
      <c r="D3108" s="540">
        <v>15.6</v>
      </c>
    </row>
    <row r="3109" spans="1:4" ht="15" x14ac:dyDescent="0.25">
      <c r="A3109" s="304">
        <v>38943</v>
      </c>
      <c r="B3109" s="304" t="s">
        <v>8663</v>
      </c>
      <c r="C3109" s="304" t="s">
        <v>5555</v>
      </c>
      <c r="D3109" s="540">
        <v>4.01</v>
      </c>
    </row>
    <row r="3110" spans="1:4" ht="15" x14ac:dyDescent="0.25">
      <c r="A3110" s="304">
        <v>38944</v>
      </c>
      <c r="B3110" s="304" t="s">
        <v>8664</v>
      </c>
      <c r="C3110" s="304" t="s">
        <v>5555</v>
      </c>
      <c r="D3110" s="540">
        <v>6.19</v>
      </c>
    </row>
    <row r="3111" spans="1:4" ht="15" x14ac:dyDescent="0.25">
      <c r="A3111" s="304">
        <v>38945</v>
      </c>
      <c r="B3111" s="304" t="s">
        <v>8665</v>
      </c>
      <c r="C3111" s="304" t="s">
        <v>5555</v>
      </c>
      <c r="D3111" s="540">
        <v>12.56</v>
      </c>
    </row>
    <row r="3112" spans="1:4" ht="15" x14ac:dyDescent="0.25">
      <c r="A3112" s="304">
        <v>38946</v>
      </c>
      <c r="B3112" s="304" t="s">
        <v>8666</v>
      </c>
      <c r="C3112" s="304" t="s">
        <v>5555</v>
      </c>
      <c r="D3112" s="540">
        <v>18.739999999999998</v>
      </c>
    </row>
    <row r="3113" spans="1:4" ht="15" x14ac:dyDescent="0.25">
      <c r="A3113" s="304">
        <v>39308</v>
      </c>
      <c r="B3113" s="304" t="s">
        <v>8667</v>
      </c>
      <c r="C3113" s="304" t="s">
        <v>5555</v>
      </c>
      <c r="D3113" s="540">
        <v>8.17</v>
      </c>
    </row>
    <row r="3114" spans="1:4" ht="15" x14ac:dyDescent="0.25">
      <c r="A3114" s="304">
        <v>39309</v>
      </c>
      <c r="B3114" s="304" t="s">
        <v>8668</v>
      </c>
      <c r="C3114" s="304" t="s">
        <v>5555</v>
      </c>
      <c r="D3114" s="540">
        <v>11.81</v>
      </c>
    </row>
    <row r="3115" spans="1:4" ht="15" x14ac:dyDescent="0.25">
      <c r="A3115" s="304">
        <v>39310</v>
      </c>
      <c r="B3115" s="304" t="s">
        <v>8669</v>
      </c>
      <c r="C3115" s="304" t="s">
        <v>5555</v>
      </c>
      <c r="D3115" s="540">
        <v>17.899999999999999</v>
      </c>
    </row>
    <row r="3116" spans="1:4" ht="15" x14ac:dyDescent="0.25">
      <c r="A3116" s="304">
        <v>39311</v>
      </c>
      <c r="B3116" s="304" t="s">
        <v>8670</v>
      </c>
      <c r="C3116" s="304" t="s">
        <v>5555</v>
      </c>
      <c r="D3116" s="540">
        <v>26.91</v>
      </c>
    </row>
    <row r="3117" spans="1:4" ht="15" x14ac:dyDescent="0.25">
      <c r="A3117" s="304">
        <v>39855</v>
      </c>
      <c r="B3117" s="304" t="s">
        <v>8671</v>
      </c>
      <c r="C3117" s="304" t="s">
        <v>5555</v>
      </c>
      <c r="D3117" s="540">
        <v>1.65</v>
      </c>
    </row>
    <row r="3118" spans="1:4" ht="15" x14ac:dyDescent="0.25">
      <c r="A3118" s="304">
        <v>39856</v>
      </c>
      <c r="B3118" s="304" t="s">
        <v>8672</v>
      </c>
      <c r="C3118" s="304" t="s">
        <v>5555</v>
      </c>
      <c r="D3118" s="540">
        <v>3.89</v>
      </c>
    </row>
    <row r="3119" spans="1:4" ht="15" x14ac:dyDescent="0.25">
      <c r="A3119" s="304">
        <v>39857</v>
      </c>
      <c r="B3119" s="304" t="s">
        <v>8673</v>
      </c>
      <c r="C3119" s="304" t="s">
        <v>5555</v>
      </c>
      <c r="D3119" s="540">
        <v>6.3</v>
      </c>
    </row>
    <row r="3120" spans="1:4" ht="15" x14ac:dyDescent="0.25">
      <c r="A3120" s="304">
        <v>39858</v>
      </c>
      <c r="B3120" s="304" t="s">
        <v>8674</v>
      </c>
      <c r="C3120" s="304" t="s">
        <v>5555</v>
      </c>
      <c r="D3120" s="540">
        <v>13.99</v>
      </c>
    </row>
    <row r="3121" spans="1:4" ht="15" x14ac:dyDescent="0.25">
      <c r="A3121" s="304">
        <v>39859</v>
      </c>
      <c r="B3121" s="304" t="s">
        <v>8675</v>
      </c>
      <c r="C3121" s="304" t="s">
        <v>5555</v>
      </c>
      <c r="D3121" s="540">
        <v>21.56</v>
      </c>
    </row>
    <row r="3122" spans="1:4" ht="15" x14ac:dyDescent="0.25">
      <c r="A3122" s="304">
        <v>39860</v>
      </c>
      <c r="B3122" s="304" t="s">
        <v>8676</v>
      </c>
      <c r="C3122" s="304" t="s">
        <v>5555</v>
      </c>
      <c r="D3122" s="540">
        <v>33.090000000000003</v>
      </c>
    </row>
    <row r="3123" spans="1:4" ht="15" x14ac:dyDescent="0.25">
      <c r="A3123" s="304">
        <v>39861</v>
      </c>
      <c r="B3123" s="304" t="s">
        <v>8677</v>
      </c>
      <c r="C3123" s="304" t="s">
        <v>5555</v>
      </c>
      <c r="D3123" s="540">
        <v>94.47</v>
      </c>
    </row>
    <row r="3124" spans="1:4" ht="15" x14ac:dyDescent="0.25">
      <c r="A3124" s="304">
        <v>38447</v>
      </c>
      <c r="B3124" s="304" t="s">
        <v>8678</v>
      </c>
      <c r="C3124" s="304" t="s">
        <v>5555</v>
      </c>
      <c r="D3124" s="540">
        <v>71.430000000000007</v>
      </c>
    </row>
    <row r="3125" spans="1:4" ht="15" x14ac:dyDescent="0.25">
      <c r="A3125" s="304">
        <v>36320</v>
      </c>
      <c r="B3125" s="304" t="s">
        <v>8679</v>
      </c>
      <c r="C3125" s="304" t="s">
        <v>5555</v>
      </c>
      <c r="D3125" s="540">
        <v>1.03</v>
      </c>
    </row>
    <row r="3126" spans="1:4" ht="15" x14ac:dyDescent="0.25">
      <c r="A3126" s="304">
        <v>36324</v>
      </c>
      <c r="B3126" s="304" t="s">
        <v>8680</v>
      </c>
      <c r="C3126" s="304" t="s">
        <v>5555</v>
      </c>
      <c r="D3126" s="540">
        <v>1.57</v>
      </c>
    </row>
    <row r="3127" spans="1:4" ht="15" x14ac:dyDescent="0.25">
      <c r="A3127" s="304">
        <v>38441</v>
      </c>
      <c r="B3127" s="304" t="s">
        <v>8681</v>
      </c>
      <c r="C3127" s="304" t="s">
        <v>5555</v>
      </c>
      <c r="D3127" s="540">
        <v>2.06</v>
      </c>
    </row>
    <row r="3128" spans="1:4" ht="15" x14ac:dyDescent="0.25">
      <c r="A3128" s="304">
        <v>38442</v>
      </c>
      <c r="B3128" s="304" t="s">
        <v>8682</v>
      </c>
      <c r="C3128" s="304" t="s">
        <v>5555</v>
      </c>
      <c r="D3128" s="540">
        <v>5.23</v>
      </c>
    </row>
    <row r="3129" spans="1:4" ht="15" x14ac:dyDescent="0.25">
      <c r="A3129" s="304">
        <v>38443</v>
      </c>
      <c r="B3129" s="304" t="s">
        <v>8683</v>
      </c>
      <c r="C3129" s="304" t="s">
        <v>5555</v>
      </c>
      <c r="D3129" s="540">
        <v>7.91</v>
      </c>
    </row>
    <row r="3130" spans="1:4" ht="15" x14ac:dyDescent="0.25">
      <c r="A3130" s="304">
        <v>38444</v>
      </c>
      <c r="B3130" s="304" t="s">
        <v>8684</v>
      </c>
      <c r="C3130" s="304" t="s">
        <v>5555</v>
      </c>
      <c r="D3130" s="540">
        <v>11.77</v>
      </c>
    </row>
    <row r="3131" spans="1:4" ht="15" x14ac:dyDescent="0.25">
      <c r="A3131" s="304">
        <v>38445</v>
      </c>
      <c r="B3131" s="304" t="s">
        <v>8685</v>
      </c>
      <c r="C3131" s="304" t="s">
        <v>5555</v>
      </c>
      <c r="D3131" s="540">
        <v>27.66</v>
      </c>
    </row>
    <row r="3132" spans="1:4" ht="15" x14ac:dyDescent="0.25">
      <c r="A3132" s="304">
        <v>38446</v>
      </c>
      <c r="B3132" s="304" t="s">
        <v>8686</v>
      </c>
      <c r="C3132" s="304" t="s">
        <v>5555</v>
      </c>
      <c r="D3132" s="540">
        <v>44.64</v>
      </c>
    </row>
    <row r="3133" spans="1:4" ht="15" x14ac:dyDescent="0.25">
      <c r="A3133" s="304">
        <v>3867</v>
      </c>
      <c r="B3133" s="304" t="s">
        <v>8687</v>
      </c>
      <c r="C3133" s="304" t="s">
        <v>5555</v>
      </c>
      <c r="D3133" s="540">
        <v>62.49</v>
      </c>
    </row>
    <row r="3134" spans="1:4" ht="15" x14ac:dyDescent="0.25">
      <c r="A3134" s="304">
        <v>3861</v>
      </c>
      <c r="B3134" s="304" t="s">
        <v>8688</v>
      </c>
      <c r="C3134" s="304" t="s">
        <v>5555</v>
      </c>
      <c r="D3134" s="540">
        <v>0.52</v>
      </c>
    </row>
    <row r="3135" spans="1:4" ht="15" x14ac:dyDescent="0.25">
      <c r="A3135" s="304">
        <v>3904</v>
      </c>
      <c r="B3135" s="304" t="s">
        <v>8689</v>
      </c>
      <c r="C3135" s="304" t="s">
        <v>5555</v>
      </c>
      <c r="D3135" s="540">
        <v>0.63</v>
      </c>
    </row>
    <row r="3136" spans="1:4" ht="15" x14ac:dyDescent="0.25">
      <c r="A3136" s="304">
        <v>3903</v>
      </c>
      <c r="B3136" s="304" t="s">
        <v>8690</v>
      </c>
      <c r="C3136" s="304" t="s">
        <v>5555</v>
      </c>
      <c r="D3136" s="540">
        <v>1.55</v>
      </c>
    </row>
    <row r="3137" spans="1:4" ht="15" x14ac:dyDescent="0.25">
      <c r="A3137" s="304">
        <v>3862</v>
      </c>
      <c r="B3137" s="304" t="s">
        <v>8691</v>
      </c>
      <c r="C3137" s="304" t="s">
        <v>5555</v>
      </c>
      <c r="D3137" s="540">
        <v>3.16</v>
      </c>
    </row>
    <row r="3138" spans="1:4" ht="15" x14ac:dyDescent="0.25">
      <c r="A3138" s="304">
        <v>3863</v>
      </c>
      <c r="B3138" s="304" t="s">
        <v>8692</v>
      </c>
      <c r="C3138" s="304" t="s">
        <v>5555</v>
      </c>
      <c r="D3138" s="540">
        <v>3.71</v>
      </c>
    </row>
    <row r="3139" spans="1:4" ht="15" x14ac:dyDescent="0.25">
      <c r="A3139" s="304">
        <v>3864</v>
      </c>
      <c r="B3139" s="304" t="s">
        <v>8693</v>
      </c>
      <c r="C3139" s="304" t="s">
        <v>5555</v>
      </c>
      <c r="D3139" s="540">
        <v>9.67</v>
      </c>
    </row>
    <row r="3140" spans="1:4" ht="15" x14ac:dyDescent="0.25">
      <c r="A3140" s="304">
        <v>3865</v>
      </c>
      <c r="B3140" s="304" t="s">
        <v>8694</v>
      </c>
      <c r="C3140" s="304" t="s">
        <v>5555</v>
      </c>
      <c r="D3140" s="540">
        <v>16.829999999999998</v>
      </c>
    </row>
    <row r="3141" spans="1:4" ht="15" x14ac:dyDescent="0.25">
      <c r="A3141" s="304">
        <v>3866</v>
      </c>
      <c r="B3141" s="304" t="s">
        <v>8695</v>
      </c>
      <c r="C3141" s="304" t="s">
        <v>5555</v>
      </c>
      <c r="D3141" s="540">
        <v>38.520000000000003</v>
      </c>
    </row>
    <row r="3142" spans="1:4" ht="15" x14ac:dyDescent="0.25">
      <c r="A3142" s="304">
        <v>3902</v>
      </c>
      <c r="B3142" s="304" t="s">
        <v>8696</v>
      </c>
      <c r="C3142" s="304" t="s">
        <v>5555</v>
      </c>
      <c r="D3142" s="540">
        <v>18.73</v>
      </c>
    </row>
    <row r="3143" spans="1:4" ht="15" x14ac:dyDescent="0.25">
      <c r="A3143" s="304">
        <v>3878</v>
      </c>
      <c r="B3143" s="304" t="s">
        <v>8697</v>
      </c>
      <c r="C3143" s="304" t="s">
        <v>5555</v>
      </c>
      <c r="D3143" s="540">
        <v>5.92</v>
      </c>
    </row>
    <row r="3144" spans="1:4" ht="15" x14ac:dyDescent="0.25">
      <c r="A3144" s="304">
        <v>3877</v>
      </c>
      <c r="B3144" s="304" t="s">
        <v>8698</v>
      </c>
      <c r="C3144" s="304" t="s">
        <v>5555</v>
      </c>
      <c r="D3144" s="540">
        <v>5.41</v>
      </c>
    </row>
    <row r="3145" spans="1:4" ht="15" x14ac:dyDescent="0.25">
      <c r="A3145" s="304">
        <v>3879</v>
      </c>
      <c r="B3145" s="304" t="s">
        <v>8699</v>
      </c>
      <c r="C3145" s="304" t="s">
        <v>5555</v>
      </c>
      <c r="D3145" s="540">
        <v>11.94</v>
      </c>
    </row>
    <row r="3146" spans="1:4" ht="15" x14ac:dyDescent="0.25">
      <c r="A3146" s="304">
        <v>3880</v>
      </c>
      <c r="B3146" s="304" t="s">
        <v>8700</v>
      </c>
      <c r="C3146" s="304" t="s">
        <v>5555</v>
      </c>
      <c r="D3146" s="540">
        <v>26.94</v>
      </c>
    </row>
    <row r="3147" spans="1:4" ht="15" x14ac:dyDescent="0.25">
      <c r="A3147" s="304">
        <v>12892</v>
      </c>
      <c r="B3147" s="304" t="s">
        <v>8701</v>
      </c>
      <c r="C3147" s="304" t="s">
        <v>6022</v>
      </c>
      <c r="D3147" s="540">
        <v>10.84</v>
      </c>
    </row>
    <row r="3148" spans="1:4" ht="15" x14ac:dyDescent="0.25">
      <c r="A3148" s="304">
        <v>3883</v>
      </c>
      <c r="B3148" s="304" t="s">
        <v>8702</v>
      </c>
      <c r="C3148" s="304" t="s">
        <v>5555</v>
      </c>
      <c r="D3148" s="540">
        <v>1.24</v>
      </c>
    </row>
    <row r="3149" spans="1:4" ht="15" x14ac:dyDescent="0.25">
      <c r="A3149" s="304">
        <v>3876</v>
      </c>
      <c r="B3149" s="304" t="s">
        <v>8703</v>
      </c>
      <c r="C3149" s="304" t="s">
        <v>5555</v>
      </c>
      <c r="D3149" s="540">
        <v>3.11</v>
      </c>
    </row>
    <row r="3150" spans="1:4" ht="15" x14ac:dyDescent="0.25">
      <c r="A3150" s="304">
        <v>3884</v>
      </c>
      <c r="B3150" s="304" t="s">
        <v>8704</v>
      </c>
      <c r="C3150" s="304" t="s">
        <v>5555</v>
      </c>
      <c r="D3150" s="540">
        <v>1.86</v>
      </c>
    </row>
    <row r="3151" spans="1:4" ht="15" x14ac:dyDescent="0.25">
      <c r="A3151" s="304">
        <v>3837</v>
      </c>
      <c r="B3151" s="304" t="s">
        <v>8705</v>
      </c>
      <c r="C3151" s="304" t="s">
        <v>5555</v>
      </c>
      <c r="D3151" s="540">
        <v>34.44</v>
      </c>
    </row>
    <row r="3152" spans="1:4" ht="15" x14ac:dyDescent="0.25">
      <c r="A3152" s="304">
        <v>3845</v>
      </c>
      <c r="B3152" s="304" t="s">
        <v>8706</v>
      </c>
      <c r="C3152" s="304" t="s">
        <v>5555</v>
      </c>
      <c r="D3152" s="540">
        <v>12.58</v>
      </c>
    </row>
    <row r="3153" spans="1:4" ht="15" x14ac:dyDescent="0.25">
      <c r="A3153" s="304">
        <v>11045</v>
      </c>
      <c r="B3153" s="304" t="s">
        <v>8707</v>
      </c>
      <c r="C3153" s="304" t="s">
        <v>5555</v>
      </c>
      <c r="D3153" s="540">
        <v>24.27</v>
      </c>
    </row>
    <row r="3154" spans="1:4" ht="15" x14ac:dyDescent="0.25">
      <c r="A3154" s="304">
        <v>20170</v>
      </c>
      <c r="B3154" s="304" t="s">
        <v>8708</v>
      </c>
      <c r="C3154" s="304" t="s">
        <v>5555</v>
      </c>
      <c r="D3154" s="540">
        <v>8.93</v>
      </c>
    </row>
    <row r="3155" spans="1:4" ht="15" x14ac:dyDescent="0.25">
      <c r="A3155" s="304">
        <v>20171</v>
      </c>
      <c r="B3155" s="304" t="s">
        <v>8709</v>
      </c>
      <c r="C3155" s="304" t="s">
        <v>5555</v>
      </c>
      <c r="D3155" s="540">
        <v>26.53</v>
      </c>
    </row>
    <row r="3156" spans="1:4" ht="15" x14ac:dyDescent="0.25">
      <c r="A3156" s="304">
        <v>20167</v>
      </c>
      <c r="B3156" s="304" t="s">
        <v>8710</v>
      </c>
      <c r="C3156" s="304" t="s">
        <v>5555</v>
      </c>
      <c r="D3156" s="540">
        <v>3.31</v>
      </c>
    </row>
    <row r="3157" spans="1:4" ht="15" x14ac:dyDescent="0.25">
      <c r="A3157" s="304">
        <v>20168</v>
      </c>
      <c r="B3157" s="304" t="s">
        <v>8711</v>
      </c>
      <c r="C3157" s="304" t="s">
        <v>5555</v>
      </c>
      <c r="D3157" s="540">
        <v>5.2</v>
      </c>
    </row>
    <row r="3158" spans="1:4" ht="15" x14ac:dyDescent="0.25">
      <c r="A3158" s="304">
        <v>20169</v>
      </c>
      <c r="B3158" s="304" t="s">
        <v>8712</v>
      </c>
      <c r="C3158" s="304" t="s">
        <v>5555</v>
      </c>
      <c r="D3158" s="540">
        <v>7.37</v>
      </c>
    </row>
    <row r="3159" spans="1:4" ht="15" x14ac:dyDescent="0.25">
      <c r="A3159" s="304">
        <v>3899</v>
      </c>
      <c r="B3159" s="304" t="s">
        <v>8713</v>
      </c>
      <c r="C3159" s="304" t="s">
        <v>5555</v>
      </c>
      <c r="D3159" s="540">
        <v>3.9</v>
      </c>
    </row>
    <row r="3160" spans="1:4" ht="15" x14ac:dyDescent="0.25">
      <c r="A3160" s="304">
        <v>38676</v>
      </c>
      <c r="B3160" s="304" t="s">
        <v>8714</v>
      </c>
      <c r="C3160" s="304" t="s">
        <v>5555</v>
      </c>
      <c r="D3160" s="540">
        <v>18.88</v>
      </c>
    </row>
    <row r="3161" spans="1:4" ht="15" x14ac:dyDescent="0.25">
      <c r="A3161" s="304">
        <v>3897</v>
      </c>
      <c r="B3161" s="304" t="s">
        <v>8715</v>
      </c>
      <c r="C3161" s="304" t="s">
        <v>5555</v>
      </c>
      <c r="D3161" s="540">
        <v>0.82</v>
      </c>
    </row>
    <row r="3162" spans="1:4" ht="15" x14ac:dyDescent="0.25">
      <c r="A3162" s="304">
        <v>3875</v>
      </c>
      <c r="B3162" s="304" t="s">
        <v>8716</v>
      </c>
      <c r="C3162" s="304" t="s">
        <v>5555</v>
      </c>
      <c r="D3162" s="540">
        <v>1.77</v>
      </c>
    </row>
    <row r="3163" spans="1:4" ht="15" x14ac:dyDescent="0.25">
      <c r="A3163" s="304">
        <v>3898</v>
      </c>
      <c r="B3163" s="304" t="s">
        <v>8717</v>
      </c>
      <c r="C3163" s="304" t="s">
        <v>5555</v>
      </c>
      <c r="D3163" s="540">
        <v>3.36</v>
      </c>
    </row>
    <row r="3164" spans="1:4" ht="15" x14ac:dyDescent="0.25">
      <c r="A3164" s="304">
        <v>3855</v>
      </c>
      <c r="B3164" s="304" t="s">
        <v>8718</v>
      </c>
      <c r="C3164" s="304" t="s">
        <v>5555</v>
      </c>
      <c r="D3164" s="540">
        <v>4.13</v>
      </c>
    </row>
    <row r="3165" spans="1:4" ht="15" x14ac:dyDescent="0.25">
      <c r="A3165" s="304">
        <v>3874</v>
      </c>
      <c r="B3165" s="304" t="s">
        <v>8719</v>
      </c>
      <c r="C3165" s="304" t="s">
        <v>5555</v>
      </c>
      <c r="D3165" s="540">
        <v>4.3899999999999997</v>
      </c>
    </row>
    <row r="3166" spans="1:4" ht="15" x14ac:dyDescent="0.25">
      <c r="A3166" s="304">
        <v>3870</v>
      </c>
      <c r="B3166" s="304" t="s">
        <v>8720</v>
      </c>
      <c r="C3166" s="304" t="s">
        <v>5555</v>
      </c>
      <c r="D3166" s="540">
        <v>5.45</v>
      </c>
    </row>
    <row r="3167" spans="1:4" ht="15" x14ac:dyDescent="0.25">
      <c r="A3167" s="304">
        <v>38678</v>
      </c>
      <c r="B3167" s="304" t="s">
        <v>8721</v>
      </c>
      <c r="C3167" s="304" t="s">
        <v>5555</v>
      </c>
      <c r="D3167" s="540">
        <v>14.83</v>
      </c>
    </row>
    <row r="3168" spans="1:4" ht="15" x14ac:dyDescent="0.25">
      <c r="A3168" s="304">
        <v>3859</v>
      </c>
      <c r="B3168" s="304" t="s">
        <v>8722</v>
      </c>
      <c r="C3168" s="304" t="s">
        <v>5555</v>
      </c>
      <c r="D3168" s="540">
        <v>1.1000000000000001</v>
      </c>
    </row>
    <row r="3169" spans="1:4" ht="15" x14ac:dyDescent="0.25">
      <c r="A3169" s="304">
        <v>3856</v>
      </c>
      <c r="B3169" s="304" t="s">
        <v>8723</v>
      </c>
      <c r="C3169" s="304" t="s">
        <v>5555</v>
      </c>
      <c r="D3169" s="540">
        <v>1.39</v>
      </c>
    </row>
    <row r="3170" spans="1:4" ht="15" x14ac:dyDescent="0.25">
      <c r="A3170" s="304">
        <v>3906</v>
      </c>
      <c r="B3170" s="304" t="s">
        <v>8724</v>
      </c>
      <c r="C3170" s="304" t="s">
        <v>5555</v>
      </c>
      <c r="D3170" s="540">
        <v>1.31</v>
      </c>
    </row>
    <row r="3171" spans="1:4" ht="15" x14ac:dyDescent="0.25">
      <c r="A3171" s="304">
        <v>3860</v>
      </c>
      <c r="B3171" s="304" t="s">
        <v>8725</v>
      </c>
      <c r="C3171" s="304" t="s">
        <v>5555</v>
      </c>
      <c r="D3171" s="540">
        <v>4.3099999999999996</v>
      </c>
    </row>
    <row r="3172" spans="1:4" ht="15" x14ac:dyDescent="0.25">
      <c r="A3172" s="304">
        <v>3905</v>
      </c>
      <c r="B3172" s="304" t="s">
        <v>8726</v>
      </c>
      <c r="C3172" s="304" t="s">
        <v>5555</v>
      </c>
      <c r="D3172" s="540">
        <v>9.5399999999999991</v>
      </c>
    </row>
    <row r="3173" spans="1:4" ht="15" x14ac:dyDescent="0.25">
      <c r="A3173" s="304">
        <v>3871</v>
      </c>
      <c r="B3173" s="304" t="s">
        <v>8727</v>
      </c>
      <c r="C3173" s="304" t="s">
        <v>5555</v>
      </c>
      <c r="D3173" s="540">
        <v>19.809999999999999</v>
      </c>
    </row>
    <row r="3174" spans="1:4" ht="15" x14ac:dyDescent="0.25">
      <c r="A3174" s="304">
        <v>37429</v>
      </c>
      <c r="B3174" s="304" t="s">
        <v>8728</v>
      </c>
      <c r="C3174" s="304" t="s">
        <v>5555</v>
      </c>
      <c r="D3174" s="541">
        <v>1712.36</v>
      </c>
    </row>
    <row r="3175" spans="1:4" ht="15" x14ac:dyDescent="0.25">
      <c r="A3175" s="304">
        <v>37426</v>
      </c>
      <c r="B3175" s="304" t="s">
        <v>8729</v>
      </c>
      <c r="C3175" s="304" t="s">
        <v>5555</v>
      </c>
      <c r="D3175" s="540">
        <v>16.47</v>
      </c>
    </row>
    <row r="3176" spans="1:4" ht="15" x14ac:dyDescent="0.25">
      <c r="A3176" s="304">
        <v>37427</v>
      </c>
      <c r="B3176" s="304" t="s">
        <v>8730</v>
      </c>
      <c r="C3176" s="304" t="s">
        <v>5555</v>
      </c>
      <c r="D3176" s="540">
        <v>39.29</v>
      </c>
    </row>
    <row r="3177" spans="1:4" ht="15" x14ac:dyDescent="0.25">
      <c r="A3177" s="304">
        <v>37424</v>
      </c>
      <c r="B3177" s="304" t="s">
        <v>8731</v>
      </c>
      <c r="C3177" s="304" t="s">
        <v>5555</v>
      </c>
      <c r="D3177" s="540">
        <v>7.57</v>
      </c>
    </row>
    <row r="3178" spans="1:4" ht="15" x14ac:dyDescent="0.25">
      <c r="A3178" s="304">
        <v>37428</v>
      </c>
      <c r="B3178" s="304" t="s">
        <v>8732</v>
      </c>
      <c r="C3178" s="304" t="s">
        <v>5555</v>
      </c>
      <c r="D3178" s="540">
        <v>135.41</v>
      </c>
    </row>
    <row r="3179" spans="1:4" ht="15" x14ac:dyDescent="0.25">
      <c r="A3179" s="304">
        <v>37425</v>
      </c>
      <c r="B3179" s="304" t="s">
        <v>8733</v>
      </c>
      <c r="C3179" s="304" t="s">
        <v>5555</v>
      </c>
      <c r="D3179" s="540">
        <v>8.16</v>
      </c>
    </row>
    <row r="3180" spans="1:4" ht="15" x14ac:dyDescent="0.25">
      <c r="A3180" s="304">
        <v>11519</v>
      </c>
      <c r="B3180" s="304" t="s">
        <v>8734</v>
      </c>
      <c r="C3180" s="304" t="s">
        <v>6022</v>
      </c>
      <c r="D3180" s="540">
        <v>25.6</v>
      </c>
    </row>
    <row r="3181" spans="1:4" ht="15" x14ac:dyDescent="0.25">
      <c r="A3181" s="304">
        <v>11520</v>
      </c>
      <c r="B3181" s="304" t="s">
        <v>8735</v>
      </c>
      <c r="C3181" s="304" t="s">
        <v>6022</v>
      </c>
      <c r="D3181" s="540">
        <v>10.15</v>
      </c>
    </row>
    <row r="3182" spans="1:4" ht="15" x14ac:dyDescent="0.25">
      <c r="A3182" s="304">
        <v>11518</v>
      </c>
      <c r="B3182" s="304" t="s">
        <v>8736</v>
      </c>
      <c r="C3182" s="304" t="s">
        <v>6022</v>
      </c>
      <c r="D3182" s="540">
        <v>29.54</v>
      </c>
    </row>
    <row r="3183" spans="1:4" ht="15" x14ac:dyDescent="0.25">
      <c r="A3183" s="304">
        <v>38473</v>
      </c>
      <c r="B3183" s="304" t="s">
        <v>8737</v>
      </c>
      <c r="C3183" s="304" t="s">
        <v>5555</v>
      </c>
      <c r="D3183" s="540">
        <v>113.49</v>
      </c>
    </row>
    <row r="3184" spans="1:4" ht="15" x14ac:dyDescent="0.25">
      <c r="A3184" s="304">
        <v>4244</v>
      </c>
      <c r="B3184" s="304" t="s">
        <v>8738</v>
      </c>
      <c r="C3184" s="304" t="s">
        <v>5566</v>
      </c>
      <c r="D3184" s="540">
        <v>15.57</v>
      </c>
    </row>
    <row r="3185" spans="1:4" ht="15" x14ac:dyDescent="0.25">
      <c r="A3185" s="304">
        <v>40977</v>
      </c>
      <c r="B3185" s="304" t="s">
        <v>8739</v>
      </c>
      <c r="C3185" s="304" t="s">
        <v>5755</v>
      </c>
      <c r="D3185" s="541">
        <v>2725.27</v>
      </c>
    </row>
    <row r="3186" spans="1:4" ht="15" x14ac:dyDescent="0.25">
      <c r="A3186" s="304">
        <v>2742</v>
      </c>
      <c r="B3186" s="304" t="s">
        <v>8740</v>
      </c>
      <c r="C3186" s="304" t="s">
        <v>5575</v>
      </c>
      <c r="D3186" s="540">
        <v>2.2200000000000002</v>
      </c>
    </row>
    <row r="3187" spans="1:4" ht="15" x14ac:dyDescent="0.25">
      <c r="A3187" s="304">
        <v>2748</v>
      </c>
      <c r="B3187" s="304" t="s">
        <v>8741</v>
      </c>
      <c r="C3187" s="304" t="s">
        <v>5575</v>
      </c>
      <c r="D3187" s="540">
        <v>6.53</v>
      </c>
    </row>
    <row r="3188" spans="1:4" ht="15" x14ac:dyDescent="0.25">
      <c r="A3188" s="304">
        <v>2736</v>
      </c>
      <c r="B3188" s="304" t="s">
        <v>8742</v>
      </c>
      <c r="C3188" s="304" t="s">
        <v>5575</v>
      </c>
      <c r="D3188" s="540">
        <v>9.1199999999999992</v>
      </c>
    </row>
    <row r="3189" spans="1:4" ht="15" x14ac:dyDescent="0.25">
      <c r="A3189" s="304">
        <v>2745</v>
      </c>
      <c r="B3189" s="304" t="s">
        <v>8743</v>
      </c>
      <c r="C3189" s="304" t="s">
        <v>5575</v>
      </c>
      <c r="D3189" s="540">
        <v>1.84</v>
      </c>
    </row>
    <row r="3190" spans="1:4" ht="15" x14ac:dyDescent="0.25">
      <c r="A3190" s="304">
        <v>2751</v>
      </c>
      <c r="B3190" s="304" t="s">
        <v>8744</v>
      </c>
      <c r="C3190" s="304" t="s">
        <v>5575</v>
      </c>
      <c r="D3190" s="540">
        <v>2.35</v>
      </c>
    </row>
    <row r="3191" spans="1:4" ht="15" x14ac:dyDescent="0.25">
      <c r="A3191" s="304">
        <v>14439</v>
      </c>
      <c r="B3191" s="304" t="s">
        <v>8745</v>
      </c>
      <c r="C3191" s="304" t="s">
        <v>5575</v>
      </c>
      <c r="D3191" s="540">
        <v>2.08</v>
      </c>
    </row>
    <row r="3192" spans="1:4" ht="15" x14ac:dyDescent="0.25">
      <c r="A3192" s="304">
        <v>2731</v>
      </c>
      <c r="B3192" s="304" t="s">
        <v>8746</v>
      </c>
      <c r="C3192" s="304" t="s">
        <v>5575</v>
      </c>
      <c r="D3192" s="540">
        <v>54.28</v>
      </c>
    </row>
    <row r="3193" spans="1:4" ht="15" x14ac:dyDescent="0.25">
      <c r="A3193" s="304">
        <v>21138</v>
      </c>
      <c r="B3193" s="304" t="s">
        <v>8747</v>
      </c>
      <c r="C3193" s="304" t="s">
        <v>5575</v>
      </c>
      <c r="D3193" s="540">
        <v>5.89</v>
      </c>
    </row>
    <row r="3194" spans="1:4" ht="15" x14ac:dyDescent="0.25">
      <c r="A3194" s="304">
        <v>2747</v>
      </c>
      <c r="B3194" s="304" t="s">
        <v>8748</v>
      </c>
      <c r="C3194" s="304" t="s">
        <v>5575</v>
      </c>
      <c r="D3194" s="540">
        <v>14.55</v>
      </c>
    </row>
    <row r="3195" spans="1:4" ht="15" x14ac:dyDescent="0.25">
      <c r="A3195" s="304">
        <v>4115</v>
      </c>
      <c r="B3195" s="304" t="s">
        <v>8749</v>
      </c>
      <c r="C3195" s="304" t="s">
        <v>5575</v>
      </c>
      <c r="D3195" s="540">
        <v>11.4</v>
      </c>
    </row>
    <row r="3196" spans="1:4" ht="15" x14ac:dyDescent="0.25">
      <c r="A3196" s="304">
        <v>2729</v>
      </c>
      <c r="B3196" s="304" t="s">
        <v>8750</v>
      </c>
      <c r="C3196" s="304" t="s">
        <v>5555</v>
      </c>
      <c r="D3196" s="540">
        <v>13.72</v>
      </c>
    </row>
    <row r="3197" spans="1:4" ht="15" x14ac:dyDescent="0.25">
      <c r="A3197" s="304">
        <v>4119</v>
      </c>
      <c r="B3197" s="304" t="s">
        <v>8751</v>
      </c>
      <c r="C3197" s="304" t="s">
        <v>5575</v>
      </c>
      <c r="D3197" s="540">
        <v>22.93</v>
      </c>
    </row>
    <row r="3198" spans="1:4" ht="15" x14ac:dyDescent="0.25">
      <c r="A3198" s="304">
        <v>2794</v>
      </c>
      <c r="B3198" s="304" t="s">
        <v>8752</v>
      </c>
      <c r="C3198" s="304" t="s">
        <v>5575</v>
      </c>
      <c r="D3198" s="540">
        <v>56.61</v>
      </c>
    </row>
    <row r="3199" spans="1:4" ht="15" x14ac:dyDescent="0.25">
      <c r="A3199" s="304">
        <v>2788</v>
      </c>
      <c r="B3199" s="304" t="s">
        <v>8753</v>
      </c>
      <c r="C3199" s="304" t="s">
        <v>5575</v>
      </c>
      <c r="D3199" s="540">
        <v>114.45</v>
      </c>
    </row>
    <row r="3200" spans="1:4" ht="15" x14ac:dyDescent="0.25">
      <c r="A3200" s="304">
        <v>4006</v>
      </c>
      <c r="B3200" s="304" t="s">
        <v>8754</v>
      </c>
      <c r="C3200" s="304" t="s">
        <v>5751</v>
      </c>
      <c r="D3200" s="540">
        <v>894.91</v>
      </c>
    </row>
    <row r="3201" spans="1:4" ht="15" x14ac:dyDescent="0.25">
      <c r="A3201" s="304">
        <v>36151</v>
      </c>
      <c r="B3201" s="304" t="s">
        <v>8755</v>
      </c>
      <c r="C3201" s="304" t="s">
        <v>5555</v>
      </c>
      <c r="D3201" s="540">
        <v>24.1</v>
      </c>
    </row>
    <row r="3202" spans="1:4" ht="15" x14ac:dyDescent="0.25">
      <c r="A3202" s="304">
        <v>37457</v>
      </c>
      <c r="B3202" s="304" t="s">
        <v>8756</v>
      </c>
      <c r="C3202" s="304" t="s">
        <v>5575</v>
      </c>
      <c r="D3202" s="540">
        <v>1.81</v>
      </c>
    </row>
    <row r="3203" spans="1:4" ht="15" x14ac:dyDescent="0.25">
      <c r="A3203" s="304">
        <v>37456</v>
      </c>
      <c r="B3203" s="304" t="s">
        <v>8757</v>
      </c>
      <c r="C3203" s="304" t="s">
        <v>5575</v>
      </c>
      <c r="D3203" s="540">
        <v>0.95</v>
      </c>
    </row>
    <row r="3204" spans="1:4" ht="15" x14ac:dyDescent="0.25">
      <c r="A3204" s="304">
        <v>37461</v>
      </c>
      <c r="B3204" s="304" t="s">
        <v>8758</v>
      </c>
      <c r="C3204" s="304" t="s">
        <v>5575</v>
      </c>
      <c r="D3204" s="540">
        <v>6.74</v>
      </c>
    </row>
    <row r="3205" spans="1:4" ht="15" x14ac:dyDescent="0.25">
      <c r="A3205" s="304">
        <v>37460</v>
      </c>
      <c r="B3205" s="304" t="s">
        <v>8759</v>
      </c>
      <c r="C3205" s="304" t="s">
        <v>5575</v>
      </c>
      <c r="D3205" s="540">
        <v>9.2100000000000009</v>
      </c>
    </row>
    <row r="3206" spans="1:4" ht="15" x14ac:dyDescent="0.25">
      <c r="A3206" s="304">
        <v>37458</v>
      </c>
      <c r="B3206" s="304" t="s">
        <v>8760</v>
      </c>
      <c r="C3206" s="304" t="s">
        <v>5575</v>
      </c>
      <c r="D3206" s="540">
        <v>2.7</v>
      </c>
    </row>
    <row r="3207" spans="1:4" ht="15" x14ac:dyDescent="0.25">
      <c r="A3207" s="304">
        <v>37454</v>
      </c>
      <c r="B3207" s="304" t="s">
        <v>8761</v>
      </c>
      <c r="C3207" s="304" t="s">
        <v>5575</v>
      </c>
      <c r="D3207" s="540">
        <v>0.7</v>
      </c>
    </row>
    <row r="3208" spans="1:4" ht="15" x14ac:dyDescent="0.25">
      <c r="A3208" s="304">
        <v>37455</v>
      </c>
      <c r="B3208" s="304" t="s">
        <v>8762</v>
      </c>
      <c r="C3208" s="304" t="s">
        <v>5575</v>
      </c>
      <c r="D3208" s="540">
        <v>1.19</v>
      </c>
    </row>
    <row r="3209" spans="1:4" ht="15" x14ac:dyDescent="0.25">
      <c r="A3209" s="304">
        <v>37459</v>
      </c>
      <c r="B3209" s="304" t="s">
        <v>8763</v>
      </c>
      <c r="C3209" s="304" t="s">
        <v>5575</v>
      </c>
      <c r="D3209" s="540">
        <v>3.79</v>
      </c>
    </row>
    <row r="3210" spans="1:4" ht="15" x14ac:dyDescent="0.25">
      <c r="A3210" s="304">
        <v>21029</v>
      </c>
      <c r="B3210" s="304" t="s">
        <v>8764</v>
      </c>
      <c r="C3210" s="304" t="s">
        <v>5555</v>
      </c>
      <c r="D3210" s="540">
        <v>300</v>
      </c>
    </row>
    <row r="3211" spans="1:4" ht="15" x14ac:dyDescent="0.25">
      <c r="A3211" s="304">
        <v>21030</v>
      </c>
      <c r="B3211" s="304" t="s">
        <v>8765</v>
      </c>
      <c r="C3211" s="304" t="s">
        <v>5555</v>
      </c>
      <c r="D3211" s="540">
        <v>369.8</v>
      </c>
    </row>
    <row r="3212" spans="1:4" ht="15" x14ac:dyDescent="0.25">
      <c r="A3212" s="304">
        <v>21031</v>
      </c>
      <c r="B3212" s="304" t="s">
        <v>8766</v>
      </c>
      <c r="C3212" s="304" t="s">
        <v>5555</v>
      </c>
      <c r="D3212" s="540">
        <v>460.39</v>
      </c>
    </row>
    <row r="3213" spans="1:4" ht="15" x14ac:dyDescent="0.25">
      <c r="A3213" s="304">
        <v>21032</v>
      </c>
      <c r="B3213" s="304" t="s">
        <v>8767</v>
      </c>
      <c r="C3213" s="304" t="s">
        <v>5555</v>
      </c>
      <c r="D3213" s="540">
        <v>491.58</v>
      </c>
    </row>
    <row r="3214" spans="1:4" ht="15" x14ac:dyDescent="0.25">
      <c r="A3214" s="304">
        <v>37527</v>
      </c>
      <c r="B3214" s="304" t="s">
        <v>8768</v>
      </c>
      <c r="C3214" s="304" t="s">
        <v>5555</v>
      </c>
      <c r="D3214" s="540">
        <v>444.05</v>
      </c>
    </row>
    <row r="3215" spans="1:4" ht="15" x14ac:dyDescent="0.25">
      <c r="A3215" s="304">
        <v>37528</v>
      </c>
      <c r="B3215" s="304" t="s">
        <v>8769</v>
      </c>
      <c r="C3215" s="304" t="s">
        <v>5555</v>
      </c>
      <c r="D3215" s="540">
        <v>529.45000000000005</v>
      </c>
    </row>
    <row r="3216" spans="1:4" ht="15" x14ac:dyDescent="0.25">
      <c r="A3216" s="304">
        <v>37529</v>
      </c>
      <c r="B3216" s="304" t="s">
        <v>8770</v>
      </c>
      <c r="C3216" s="304" t="s">
        <v>5555</v>
      </c>
      <c r="D3216" s="540">
        <v>534.65</v>
      </c>
    </row>
    <row r="3217" spans="1:4" ht="15" x14ac:dyDescent="0.25">
      <c r="A3217" s="304">
        <v>37530</v>
      </c>
      <c r="B3217" s="304" t="s">
        <v>8771</v>
      </c>
      <c r="C3217" s="304" t="s">
        <v>5555</v>
      </c>
      <c r="D3217" s="540">
        <v>698.01</v>
      </c>
    </row>
    <row r="3218" spans="1:4" ht="15" x14ac:dyDescent="0.25">
      <c r="A3218" s="304">
        <v>21034</v>
      </c>
      <c r="B3218" s="304" t="s">
        <v>8772</v>
      </c>
      <c r="C3218" s="304" t="s">
        <v>5555</v>
      </c>
      <c r="D3218" s="540">
        <v>595.54</v>
      </c>
    </row>
    <row r="3219" spans="1:4" ht="15" x14ac:dyDescent="0.25">
      <c r="A3219" s="304">
        <v>37531</v>
      </c>
      <c r="B3219" s="304" t="s">
        <v>8773</v>
      </c>
      <c r="C3219" s="304" t="s">
        <v>5555</v>
      </c>
      <c r="D3219" s="540">
        <v>750</v>
      </c>
    </row>
    <row r="3220" spans="1:4" ht="15" x14ac:dyDescent="0.25">
      <c r="A3220" s="304">
        <v>21036</v>
      </c>
      <c r="B3220" s="304" t="s">
        <v>8774</v>
      </c>
      <c r="C3220" s="304" t="s">
        <v>5555</v>
      </c>
      <c r="D3220" s="540">
        <v>911.88</v>
      </c>
    </row>
    <row r="3221" spans="1:4" ht="15" x14ac:dyDescent="0.25">
      <c r="A3221" s="304">
        <v>21037</v>
      </c>
      <c r="B3221" s="304" t="s">
        <v>8775</v>
      </c>
      <c r="C3221" s="304" t="s">
        <v>5555</v>
      </c>
      <c r="D3221" s="541">
        <v>1039.5999999999999</v>
      </c>
    </row>
    <row r="3222" spans="1:4" ht="15" x14ac:dyDescent="0.25">
      <c r="A3222" s="304">
        <v>20185</v>
      </c>
      <c r="B3222" s="304" t="s">
        <v>8776</v>
      </c>
      <c r="C3222" s="304" t="s">
        <v>5575</v>
      </c>
      <c r="D3222" s="540">
        <v>10.96</v>
      </c>
    </row>
    <row r="3223" spans="1:4" ht="15" x14ac:dyDescent="0.25">
      <c r="A3223" s="304">
        <v>20260</v>
      </c>
      <c r="B3223" s="304" t="s">
        <v>8777</v>
      </c>
      <c r="C3223" s="304" t="s">
        <v>5555</v>
      </c>
      <c r="D3223" s="540">
        <v>8.82</v>
      </c>
    </row>
    <row r="3224" spans="1:4" ht="15" x14ac:dyDescent="0.25">
      <c r="A3224" s="304">
        <v>37523</v>
      </c>
      <c r="B3224" s="304" t="s">
        <v>8778</v>
      </c>
      <c r="C3224" s="304" t="s">
        <v>5555</v>
      </c>
      <c r="D3224" s="541">
        <v>367007.57</v>
      </c>
    </row>
    <row r="3225" spans="1:4" ht="15" x14ac:dyDescent="0.25">
      <c r="A3225" s="304">
        <v>37515</v>
      </c>
      <c r="B3225" s="304" t="s">
        <v>8779</v>
      </c>
      <c r="C3225" s="304" t="s">
        <v>5555</v>
      </c>
      <c r="D3225" s="541">
        <v>326288.5</v>
      </c>
    </row>
    <row r="3226" spans="1:4" ht="15" x14ac:dyDescent="0.25">
      <c r="A3226" s="304">
        <v>12899</v>
      </c>
      <c r="B3226" s="304" t="s">
        <v>8780</v>
      </c>
      <c r="C3226" s="304" t="s">
        <v>5555</v>
      </c>
      <c r="D3226" s="540">
        <v>100.35</v>
      </c>
    </row>
    <row r="3227" spans="1:4" ht="15" x14ac:dyDescent="0.25">
      <c r="A3227" s="304">
        <v>12898</v>
      </c>
      <c r="B3227" s="304" t="s">
        <v>8781</v>
      </c>
      <c r="C3227" s="304" t="s">
        <v>5555</v>
      </c>
      <c r="D3227" s="540">
        <v>159.18</v>
      </c>
    </row>
    <row r="3228" spans="1:4" ht="15" x14ac:dyDescent="0.25">
      <c r="A3228" s="304">
        <v>42528</v>
      </c>
      <c r="B3228" s="304" t="s">
        <v>8782</v>
      </c>
      <c r="C3228" s="304" t="s">
        <v>5564</v>
      </c>
      <c r="D3228" s="540">
        <v>7.62</v>
      </c>
    </row>
    <row r="3229" spans="1:4" ht="15" x14ac:dyDescent="0.25">
      <c r="A3229" s="304">
        <v>39696</v>
      </c>
      <c r="B3229" s="304" t="s">
        <v>8783</v>
      </c>
      <c r="C3229" s="304" t="s">
        <v>5564</v>
      </c>
      <c r="D3229" s="540">
        <v>5.36</v>
      </c>
    </row>
    <row r="3230" spans="1:4" ht="15" x14ac:dyDescent="0.25">
      <c r="A3230" s="304">
        <v>39700</v>
      </c>
      <c r="B3230" s="304" t="s">
        <v>8784</v>
      </c>
      <c r="C3230" s="304" t="s">
        <v>5564</v>
      </c>
      <c r="D3230" s="540">
        <v>19.27</v>
      </c>
    </row>
    <row r="3231" spans="1:4" ht="15" x14ac:dyDescent="0.25">
      <c r="A3231" s="304">
        <v>11621</v>
      </c>
      <c r="B3231" s="304" t="s">
        <v>8785</v>
      </c>
      <c r="C3231" s="304" t="s">
        <v>5564</v>
      </c>
      <c r="D3231" s="540">
        <v>38.340000000000003</v>
      </c>
    </row>
    <row r="3232" spans="1:4" ht="15" x14ac:dyDescent="0.25">
      <c r="A3232" s="304">
        <v>4014</v>
      </c>
      <c r="B3232" s="304" t="s">
        <v>8786</v>
      </c>
      <c r="C3232" s="304" t="s">
        <v>5564</v>
      </c>
      <c r="D3232" s="540">
        <v>39.67</v>
      </c>
    </row>
    <row r="3233" spans="1:4" ht="15" x14ac:dyDescent="0.25">
      <c r="A3233" s="304">
        <v>4015</v>
      </c>
      <c r="B3233" s="304" t="s">
        <v>8787</v>
      </c>
      <c r="C3233" s="304" t="s">
        <v>5564</v>
      </c>
      <c r="D3233" s="540">
        <v>48.72</v>
      </c>
    </row>
    <row r="3234" spans="1:4" ht="15" x14ac:dyDescent="0.25">
      <c r="A3234" s="304">
        <v>4017</v>
      </c>
      <c r="B3234" s="304" t="s">
        <v>8788</v>
      </c>
      <c r="C3234" s="304" t="s">
        <v>5564</v>
      </c>
      <c r="D3234" s="540">
        <v>70.89</v>
      </c>
    </row>
    <row r="3235" spans="1:4" ht="15" x14ac:dyDescent="0.25">
      <c r="A3235" s="304">
        <v>4016</v>
      </c>
      <c r="B3235" s="304" t="s">
        <v>8789</v>
      </c>
      <c r="C3235" s="304" t="s">
        <v>5564</v>
      </c>
      <c r="D3235" s="540">
        <v>28</v>
      </c>
    </row>
    <row r="3236" spans="1:4" ht="15" x14ac:dyDescent="0.25">
      <c r="A3236" s="304">
        <v>39699</v>
      </c>
      <c r="B3236" s="304" t="s">
        <v>8790</v>
      </c>
      <c r="C3236" s="304" t="s">
        <v>5564</v>
      </c>
      <c r="D3236" s="540">
        <v>11.01</v>
      </c>
    </row>
    <row r="3237" spans="1:4" ht="15" x14ac:dyDescent="0.25">
      <c r="A3237" s="304">
        <v>38544</v>
      </c>
      <c r="B3237" s="304" t="s">
        <v>8791</v>
      </c>
      <c r="C3237" s="304" t="s">
        <v>5564</v>
      </c>
      <c r="D3237" s="540">
        <v>7.18</v>
      </c>
    </row>
    <row r="3238" spans="1:4" ht="15" x14ac:dyDescent="0.25">
      <c r="A3238" s="304">
        <v>38545</v>
      </c>
      <c r="B3238" s="304" t="s">
        <v>8792</v>
      </c>
      <c r="C3238" s="304" t="s">
        <v>5564</v>
      </c>
      <c r="D3238" s="540">
        <v>4.6100000000000003</v>
      </c>
    </row>
    <row r="3239" spans="1:4" ht="15" x14ac:dyDescent="0.25">
      <c r="A3239" s="304">
        <v>42527</v>
      </c>
      <c r="B3239" s="304" t="s">
        <v>8793</v>
      </c>
      <c r="C3239" s="304" t="s">
        <v>5564</v>
      </c>
      <c r="D3239" s="540">
        <v>20.14</v>
      </c>
    </row>
    <row r="3240" spans="1:4" ht="15" x14ac:dyDescent="0.25">
      <c r="A3240" s="304">
        <v>39323</v>
      </c>
      <c r="B3240" s="304" t="s">
        <v>8794</v>
      </c>
      <c r="C3240" s="304" t="s">
        <v>5564</v>
      </c>
      <c r="D3240" s="540">
        <v>17.61</v>
      </c>
    </row>
    <row r="3241" spans="1:4" ht="15" x14ac:dyDescent="0.25">
      <c r="A3241" s="304">
        <v>626</v>
      </c>
      <c r="B3241" s="304" t="s">
        <v>8795</v>
      </c>
      <c r="C3241" s="304" t="s">
        <v>5626</v>
      </c>
      <c r="D3241" s="540">
        <v>11.37</v>
      </c>
    </row>
    <row r="3242" spans="1:4" ht="15" x14ac:dyDescent="0.25">
      <c r="A3242" s="304">
        <v>25860</v>
      </c>
      <c r="B3242" s="304" t="s">
        <v>8796</v>
      </c>
      <c r="C3242" s="304" t="s">
        <v>5564</v>
      </c>
      <c r="D3242" s="540">
        <v>8.64</v>
      </c>
    </row>
    <row r="3243" spans="1:4" ht="15" x14ac:dyDescent="0.25">
      <c r="A3243" s="304">
        <v>25861</v>
      </c>
      <c r="B3243" s="304" t="s">
        <v>8797</v>
      </c>
      <c r="C3243" s="304" t="s">
        <v>5564</v>
      </c>
      <c r="D3243" s="540">
        <v>13.04</v>
      </c>
    </row>
    <row r="3244" spans="1:4" ht="15" x14ac:dyDescent="0.25">
      <c r="A3244" s="304">
        <v>25862</v>
      </c>
      <c r="B3244" s="304" t="s">
        <v>8798</v>
      </c>
      <c r="C3244" s="304" t="s">
        <v>5564</v>
      </c>
      <c r="D3244" s="540">
        <v>13.84</v>
      </c>
    </row>
    <row r="3245" spans="1:4" ht="15" x14ac:dyDescent="0.25">
      <c r="A3245" s="304">
        <v>25863</v>
      </c>
      <c r="B3245" s="304" t="s">
        <v>8799</v>
      </c>
      <c r="C3245" s="304" t="s">
        <v>5564</v>
      </c>
      <c r="D3245" s="540">
        <v>17.3</v>
      </c>
    </row>
    <row r="3246" spans="1:4" ht="15" x14ac:dyDescent="0.25">
      <c r="A3246" s="304">
        <v>25864</v>
      </c>
      <c r="B3246" s="304" t="s">
        <v>8800</v>
      </c>
      <c r="C3246" s="304" t="s">
        <v>5564</v>
      </c>
      <c r="D3246" s="540">
        <v>25.94</v>
      </c>
    </row>
    <row r="3247" spans="1:4" ht="15" x14ac:dyDescent="0.25">
      <c r="A3247" s="304">
        <v>25865</v>
      </c>
      <c r="B3247" s="304" t="s">
        <v>8801</v>
      </c>
      <c r="C3247" s="304" t="s">
        <v>5564</v>
      </c>
      <c r="D3247" s="540">
        <v>34.76</v>
      </c>
    </row>
    <row r="3248" spans="1:4" ht="15" x14ac:dyDescent="0.25">
      <c r="A3248" s="304">
        <v>25866</v>
      </c>
      <c r="B3248" s="304" t="s">
        <v>8802</v>
      </c>
      <c r="C3248" s="304" t="s">
        <v>5564</v>
      </c>
      <c r="D3248" s="540">
        <v>43.16</v>
      </c>
    </row>
    <row r="3249" spans="1:4" ht="15" x14ac:dyDescent="0.25">
      <c r="A3249" s="304">
        <v>25868</v>
      </c>
      <c r="B3249" s="304" t="s">
        <v>8803</v>
      </c>
      <c r="C3249" s="304" t="s">
        <v>5564</v>
      </c>
      <c r="D3249" s="540">
        <v>9.6300000000000008</v>
      </c>
    </row>
    <row r="3250" spans="1:4" ht="15" x14ac:dyDescent="0.25">
      <c r="A3250" s="304">
        <v>25869</v>
      </c>
      <c r="B3250" s="304" t="s">
        <v>8804</v>
      </c>
      <c r="C3250" s="304" t="s">
        <v>5564</v>
      </c>
      <c r="D3250" s="540">
        <v>13.6</v>
      </c>
    </row>
    <row r="3251" spans="1:4" ht="15" x14ac:dyDescent="0.25">
      <c r="A3251" s="304">
        <v>25870</v>
      </c>
      <c r="B3251" s="304" t="s">
        <v>8805</v>
      </c>
      <c r="C3251" s="304" t="s">
        <v>5564</v>
      </c>
      <c r="D3251" s="540">
        <v>15.41</v>
      </c>
    </row>
    <row r="3252" spans="1:4" ht="15" x14ac:dyDescent="0.25">
      <c r="A3252" s="304">
        <v>25871</v>
      </c>
      <c r="B3252" s="304" t="s">
        <v>8806</v>
      </c>
      <c r="C3252" s="304" t="s">
        <v>5564</v>
      </c>
      <c r="D3252" s="540">
        <v>18.920000000000002</v>
      </c>
    </row>
    <row r="3253" spans="1:4" ht="15" x14ac:dyDescent="0.25">
      <c r="A3253" s="304">
        <v>25867</v>
      </c>
      <c r="B3253" s="304" t="s">
        <v>8807</v>
      </c>
      <c r="C3253" s="304" t="s">
        <v>5564</v>
      </c>
      <c r="D3253" s="540">
        <v>28.01</v>
      </c>
    </row>
    <row r="3254" spans="1:4" ht="15" x14ac:dyDescent="0.25">
      <c r="A3254" s="304">
        <v>25872</v>
      </c>
      <c r="B3254" s="304" t="s">
        <v>8808</v>
      </c>
      <c r="C3254" s="304" t="s">
        <v>5564</v>
      </c>
      <c r="D3254" s="540">
        <v>37.86</v>
      </c>
    </row>
    <row r="3255" spans="1:4" ht="15" x14ac:dyDescent="0.25">
      <c r="A3255" s="304">
        <v>25873</v>
      </c>
      <c r="B3255" s="304" t="s">
        <v>8809</v>
      </c>
      <c r="C3255" s="304" t="s">
        <v>5564</v>
      </c>
      <c r="D3255" s="540">
        <v>47.22</v>
      </c>
    </row>
    <row r="3256" spans="1:4" ht="15" x14ac:dyDescent="0.25">
      <c r="A3256" s="304">
        <v>40637</v>
      </c>
      <c r="B3256" s="304" t="s">
        <v>8810</v>
      </c>
      <c r="C3256" s="304" t="s">
        <v>5555</v>
      </c>
      <c r="D3256" s="541">
        <v>505925.24</v>
      </c>
    </row>
    <row r="3257" spans="1:4" ht="15" x14ac:dyDescent="0.25">
      <c r="A3257" s="304">
        <v>13836</v>
      </c>
      <c r="B3257" s="304" t="s">
        <v>8811</v>
      </c>
      <c r="C3257" s="304" t="s">
        <v>5555</v>
      </c>
      <c r="D3257" s="541">
        <v>78291.97</v>
      </c>
    </row>
    <row r="3258" spans="1:4" ht="15" x14ac:dyDescent="0.25">
      <c r="A3258" s="304">
        <v>14534</v>
      </c>
      <c r="B3258" s="304" t="s">
        <v>8812</v>
      </c>
      <c r="C3258" s="304" t="s">
        <v>5555</v>
      </c>
      <c r="D3258" s="541">
        <v>32775.089999999997</v>
      </c>
    </row>
    <row r="3259" spans="1:4" ht="15" x14ac:dyDescent="0.25">
      <c r="A3259" s="304">
        <v>14619</v>
      </c>
      <c r="B3259" s="304" t="s">
        <v>8813</v>
      </c>
      <c r="C3259" s="304" t="s">
        <v>5555</v>
      </c>
      <c r="D3259" s="541">
        <v>11982.58</v>
      </c>
    </row>
    <row r="3260" spans="1:4" ht="15" x14ac:dyDescent="0.25">
      <c r="A3260" s="304">
        <v>14535</v>
      </c>
      <c r="B3260" s="304" t="s">
        <v>8814</v>
      </c>
      <c r="C3260" s="304" t="s">
        <v>5555</v>
      </c>
      <c r="D3260" s="541">
        <v>325295.92</v>
      </c>
    </row>
    <row r="3261" spans="1:4" ht="15" x14ac:dyDescent="0.25">
      <c r="A3261" s="304">
        <v>39813</v>
      </c>
      <c r="B3261" s="304" t="s">
        <v>8815</v>
      </c>
      <c r="C3261" s="304" t="s">
        <v>5555</v>
      </c>
      <c r="D3261" s="541">
        <v>17291.87</v>
      </c>
    </row>
    <row r="3262" spans="1:4" ht="15" x14ac:dyDescent="0.25">
      <c r="A3262" s="304">
        <v>40403</v>
      </c>
      <c r="B3262" s="304" t="s">
        <v>8816</v>
      </c>
      <c r="C3262" s="304" t="s">
        <v>5555</v>
      </c>
      <c r="D3262" s="540">
        <v>703.22</v>
      </c>
    </row>
    <row r="3263" spans="1:4" ht="15" x14ac:dyDescent="0.25">
      <c r="A3263" s="304">
        <v>12868</v>
      </c>
      <c r="B3263" s="304" t="s">
        <v>8817</v>
      </c>
      <c r="C3263" s="304" t="s">
        <v>5566</v>
      </c>
      <c r="D3263" s="540">
        <v>15.35</v>
      </c>
    </row>
    <row r="3264" spans="1:4" ht="15" x14ac:dyDescent="0.25">
      <c r="A3264" s="304">
        <v>40916</v>
      </c>
      <c r="B3264" s="304" t="s">
        <v>8818</v>
      </c>
      <c r="C3264" s="304" t="s">
        <v>5755</v>
      </c>
      <c r="D3264" s="541">
        <v>2688.7</v>
      </c>
    </row>
    <row r="3265" spans="1:4" ht="15" x14ac:dyDescent="0.25">
      <c r="A3265" s="304">
        <v>4755</v>
      </c>
      <c r="B3265" s="304" t="s">
        <v>8819</v>
      </c>
      <c r="C3265" s="304" t="s">
        <v>5566</v>
      </c>
      <c r="D3265" s="540">
        <v>17.37</v>
      </c>
    </row>
    <row r="3266" spans="1:4" ht="15" x14ac:dyDescent="0.25">
      <c r="A3266" s="304">
        <v>41067</v>
      </c>
      <c r="B3266" s="304" t="s">
        <v>8820</v>
      </c>
      <c r="C3266" s="304" t="s">
        <v>5755</v>
      </c>
      <c r="D3266" s="541">
        <v>3041.69</v>
      </c>
    </row>
    <row r="3267" spans="1:4" ht="15" x14ac:dyDescent="0.25">
      <c r="A3267" s="304">
        <v>38463</v>
      </c>
      <c r="B3267" s="304" t="s">
        <v>8821</v>
      </c>
      <c r="C3267" s="304" t="s">
        <v>5555</v>
      </c>
      <c r="D3267" s="540">
        <v>27.57</v>
      </c>
    </row>
    <row r="3268" spans="1:4" ht="15" x14ac:dyDescent="0.25">
      <c r="A3268" s="304">
        <v>40703</v>
      </c>
      <c r="B3268" s="304" t="s">
        <v>8822</v>
      </c>
      <c r="C3268" s="304" t="s">
        <v>5555</v>
      </c>
      <c r="D3268" s="541">
        <v>5833</v>
      </c>
    </row>
    <row r="3269" spans="1:4" ht="15" x14ac:dyDescent="0.25">
      <c r="A3269" s="304">
        <v>14531</v>
      </c>
      <c r="B3269" s="304" t="s">
        <v>8823</v>
      </c>
      <c r="C3269" s="304" t="s">
        <v>5555</v>
      </c>
      <c r="D3269" s="541">
        <v>10874.91</v>
      </c>
    </row>
    <row r="3270" spans="1:4" ht="15" x14ac:dyDescent="0.25">
      <c r="A3270" s="304">
        <v>36533</v>
      </c>
      <c r="B3270" s="304" t="s">
        <v>8824</v>
      </c>
      <c r="C3270" s="304" t="s">
        <v>5555</v>
      </c>
      <c r="D3270" s="541">
        <v>12514.24</v>
      </c>
    </row>
    <row r="3271" spans="1:4" ht="15" x14ac:dyDescent="0.25">
      <c r="A3271" s="304">
        <v>11616</v>
      </c>
      <c r="B3271" s="304" t="s">
        <v>8825</v>
      </c>
      <c r="C3271" s="304" t="s">
        <v>5555</v>
      </c>
      <c r="D3271" s="541">
        <v>11819.51</v>
      </c>
    </row>
    <row r="3272" spans="1:4" ht="15" x14ac:dyDescent="0.25">
      <c r="A3272" s="304">
        <v>41898</v>
      </c>
      <c r="B3272" s="304" t="s">
        <v>8826</v>
      </c>
      <c r="C3272" s="304" t="s">
        <v>5555</v>
      </c>
      <c r="D3272" s="541">
        <v>13298.56</v>
      </c>
    </row>
    <row r="3273" spans="1:4" ht="15" x14ac:dyDescent="0.25">
      <c r="A3273" s="304">
        <v>13447</v>
      </c>
      <c r="B3273" s="304" t="s">
        <v>8827</v>
      </c>
      <c r="C3273" s="304" t="s">
        <v>5555</v>
      </c>
      <c r="D3273" s="541">
        <v>24470.26</v>
      </c>
    </row>
    <row r="3274" spans="1:4" ht="15" x14ac:dyDescent="0.25">
      <c r="A3274" s="304">
        <v>14529</v>
      </c>
      <c r="B3274" s="304" t="s">
        <v>8828</v>
      </c>
      <c r="C3274" s="304" t="s">
        <v>5555</v>
      </c>
      <c r="D3274" s="541">
        <v>13685.6</v>
      </c>
    </row>
    <row r="3275" spans="1:4" ht="15" x14ac:dyDescent="0.25">
      <c r="A3275" s="304">
        <v>10747</v>
      </c>
      <c r="B3275" s="304" t="s">
        <v>8829</v>
      </c>
      <c r="C3275" s="304" t="s">
        <v>5555</v>
      </c>
      <c r="D3275" s="541">
        <v>13427.66</v>
      </c>
    </row>
    <row r="3276" spans="1:4" ht="15" x14ac:dyDescent="0.25">
      <c r="A3276" s="304">
        <v>36141</v>
      </c>
      <c r="B3276" s="304" t="s">
        <v>8830</v>
      </c>
      <c r="C3276" s="304" t="s">
        <v>5555</v>
      </c>
      <c r="D3276" s="540">
        <v>32.53</v>
      </c>
    </row>
    <row r="3277" spans="1:4" ht="15" x14ac:dyDescent="0.25">
      <c r="A3277" s="304">
        <v>4053</v>
      </c>
      <c r="B3277" s="304" t="s">
        <v>8831</v>
      </c>
      <c r="C3277" s="304" t="s">
        <v>7915</v>
      </c>
      <c r="D3277" s="540">
        <v>49.44</v>
      </c>
    </row>
    <row r="3278" spans="1:4" ht="15" x14ac:dyDescent="0.25">
      <c r="A3278" s="304">
        <v>4052</v>
      </c>
      <c r="B3278" s="304" t="s">
        <v>8832</v>
      </c>
      <c r="C3278" s="304" t="s">
        <v>5740</v>
      </c>
      <c r="D3278" s="540">
        <v>100.84</v>
      </c>
    </row>
    <row r="3279" spans="1:4" ht="15" x14ac:dyDescent="0.25">
      <c r="A3279" s="304">
        <v>4056</v>
      </c>
      <c r="B3279" s="304" t="s">
        <v>8833</v>
      </c>
      <c r="C3279" s="304" t="s">
        <v>7915</v>
      </c>
      <c r="D3279" s="540">
        <v>26</v>
      </c>
    </row>
    <row r="3280" spans="1:4" ht="15" x14ac:dyDescent="0.25">
      <c r="A3280" s="304">
        <v>4051</v>
      </c>
      <c r="B3280" s="304" t="s">
        <v>8834</v>
      </c>
      <c r="C3280" s="304" t="s">
        <v>5740</v>
      </c>
      <c r="D3280" s="540">
        <v>64.900000000000006</v>
      </c>
    </row>
    <row r="3281" spans="1:4" ht="15" x14ac:dyDescent="0.25">
      <c r="A3281" s="304">
        <v>4048</v>
      </c>
      <c r="B3281" s="304" t="s">
        <v>8834</v>
      </c>
      <c r="C3281" s="304" t="s">
        <v>5628</v>
      </c>
      <c r="D3281" s="540">
        <v>3.6</v>
      </c>
    </row>
    <row r="3282" spans="1:4" ht="15" x14ac:dyDescent="0.25">
      <c r="A3282" s="304">
        <v>4047</v>
      </c>
      <c r="B3282" s="304" t="s">
        <v>8834</v>
      </c>
      <c r="C3282" s="304" t="s">
        <v>7915</v>
      </c>
      <c r="D3282" s="540">
        <v>12.98</v>
      </c>
    </row>
    <row r="3283" spans="1:4" ht="15" x14ac:dyDescent="0.25">
      <c r="A3283" s="304">
        <v>39434</v>
      </c>
      <c r="B3283" s="304" t="s">
        <v>8835</v>
      </c>
      <c r="C3283" s="304" t="s">
        <v>5626</v>
      </c>
      <c r="D3283" s="540">
        <v>4.04</v>
      </c>
    </row>
    <row r="3284" spans="1:4" ht="15" x14ac:dyDescent="0.25">
      <c r="A3284" s="304">
        <v>39433</v>
      </c>
      <c r="B3284" s="304" t="s">
        <v>8836</v>
      </c>
      <c r="C3284" s="304" t="s">
        <v>5626</v>
      </c>
      <c r="D3284" s="540">
        <v>2.9</v>
      </c>
    </row>
    <row r="3285" spans="1:4" ht="15" x14ac:dyDescent="0.25">
      <c r="A3285" s="304">
        <v>4049</v>
      </c>
      <c r="B3285" s="304" t="s">
        <v>8837</v>
      </c>
      <c r="C3285" s="304" t="s">
        <v>5628</v>
      </c>
      <c r="D3285" s="540">
        <v>40.659999999999997</v>
      </c>
    </row>
    <row r="3286" spans="1:4" ht="15" x14ac:dyDescent="0.25">
      <c r="A3286" s="304">
        <v>38120</v>
      </c>
      <c r="B3286" s="304" t="s">
        <v>8838</v>
      </c>
      <c r="C3286" s="304" t="s">
        <v>5626</v>
      </c>
      <c r="D3286" s="540">
        <v>80.91</v>
      </c>
    </row>
    <row r="3287" spans="1:4" ht="15" x14ac:dyDescent="0.25">
      <c r="A3287" s="304">
        <v>38877</v>
      </c>
      <c r="B3287" s="304" t="s">
        <v>8839</v>
      </c>
      <c r="C3287" s="304" t="s">
        <v>5626</v>
      </c>
      <c r="D3287" s="540">
        <v>6.69</v>
      </c>
    </row>
    <row r="3288" spans="1:4" ht="15" x14ac:dyDescent="0.25">
      <c r="A3288" s="304">
        <v>34546</v>
      </c>
      <c r="B3288" s="304" t="s">
        <v>8840</v>
      </c>
      <c r="C3288" s="304" t="s">
        <v>5626</v>
      </c>
      <c r="D3288" s="540">
        <v>6.74</v>
      </c>
    </row>
    <row r="3289" spans="1:4" ht="15" x14ac:dyDescent="0.25">
      <c r="A3289" s="304">
        <v>10498</v>
      </c>
      <c r="B3289" s="304" t="s">
        <v>8841</v>
      </c>
      <c r="C3289" s="304" t="s">
        <v>5626</v>
      </c>
      <c r="D3289" s="540">
        <v>10.17</v>
      </c>
    </row>
    <row r="3290" spans="1:4" ht="15" x14ac:dyDescent="0.25">
      <c r="A3290" s="304">
        <v>4823</v>
      </c>
      <c r="B3290" s="304" t="s">
        <v>8842</v>
      </c>
      <c r="C3290" s="304" t="s">
        <v>5626</v>
      </c>
      <c r="D3290" s="540">
        <v>34.22</v>
      </c>
    </row>
    <row r="3291" spans="1:4" ht="15" x14ac:dyDescent="0.25">
      <c r="A3291" s="304">
        <v>12357</v>
      </c>
      <c r="B3291" s="304" t="s">
        <v>8843</v>
      </c>
      <c r="C3291" s="304" t="s">
        <v>5555</v>
      </c>
      <c r="D3291" s="540">
        <v>91.93</v>
      </c>
    </row>
    <row r="3292" spans="1:4" ht="15" x14ac:dyDescent="0.25">
      <c r="A3292" s="304">
        <v>12358</v>
      </c>
      <c r="B3292" s="304" t="s">
        <v>8844</v>
      </c>
      <c r="C3292" s="304" t="s">
        <v>5555</v>
      </c>
      <c r="D3292" s="540">
        <v>103.41</v>
      </c>
    </row>
    <row r="3293" spans="1:4" ht="15" x14ac:dyDescent="0.25">
      <c r="A3293" s="304">
        <v>11079</v>
      </c>
      <c r="B3293" s="304" t="s">
        <v>8845</v>
      </c>
      <c r="C3293" s="304" t="s">
        <v>5751</v>
      </c>
      <c r="D3293" s="541">
        <v>1060.46</v>
      </c>
    </row>
    <row r="3294" spans="1:4" ht="15" x14ac:dyDescent="0.25">
      <c r="A3294" s="304">
        <v>11082</v>
      </c>
      <c r="B3294" s="304" t="s">
        <v>8846</v>
      </c>
      <c r="C3294" s="304" t="s">
        <v>5751</v>
      </c>
      <c r="D3294" s="541">
        <v>1081.92</v>
      </c>
    </row>
    <row r="3295" spans="1:4" ht="15" x14ac:dyDescent="0.25">
      <c r="A3295" s="304">
        <v>4058</v>
      </c>
      <c r="B3295" s="304" t="s">
        <v>8847</v>
      </c>
      <c r="C3295" s="304" t="s">
        <v>5566</v>
      </c>
      <c r="D3295" s="540">
        <v>19.579999999999998</v>
      </c>
    </row>
    <row r="3296" spans="1:4" ht="15" x14ac:dyDescent="0.25">
      <c r="A3296" s="304">
        <v>40974</v>
      </c>
      <c r="B3296" s="304" t="s">
        <v>8848</v>
      </c>
      <c r="C3296" s="304" t="s">
        <v>5755</v>
      </c>
      <c r="D3296" s="541">
        <v>3428.27</v>
      </c>
    </row>
    <row r="3297" spans="1:4" ht="15" x14ac:dyDescent="0.25">
      <c r="A3297" s="304">
        <v>34794</v>
      </c>
      <c r="B3297" s="304" t="s">
        <v>8849</v>
      </c>
      <c r="C3297" s="304" t="s">
        <v>5566</v>
      </c>
      <c r="D3297" s="540">
        <v>10.56</v>
      </c>
    </row>
    <row r="3298" spans="1:4" ht="15" x14ac:dyDescent="0.25">
      <c r="A3298" s="304">
        <v>40925</v>
      </c>
      <c r="B3298" s="304" t="s">
        <v>8850</v>
      </c>
      <c r="C3298" s="304" t="s">
        <v>5755</v>
      </c>
      <c r="D3298" s="541">
        <v>1850.7</v>
      </c>
    </row>
    <row r="3299" spans="1:4" ht="15" x14ac:dyDescent="0.25">
      <c r="A3299" s="304">
        <v>13741</v>
      </c>
      <c r="B3299" s="304" t="s">
        <v>8851</v>
      </c>
      <c r="C3299" s="304" t="s">
        <v>5555</v>
      </c>
      <c r="D3299" s="541">
        <v>2158.4499999999998</v>
      </c>
    </row>
    <row r="3300" spans="1:4" ht="15" x14ac:dyDescent="0.25">
      <c r="A3300" s="304">
        <v>3288</v>
      </c>
      <c r="B3300" s="304" t="s">
        <v>8852</v>
      </c>
      <c r="C3300" s="304" t="s">
        <v>5575</v>
      </c>
      <c r="D3300" s="540">
        <v>3.38</v>
      </c>
    </row>
    <row r="3301" spans="1:4" ht="15" x14ac:dyDescent="0.25">
      <c r="A3301" s="304">
        <v>13587</v>
      </c>
      <c r="B3301" s="304" t="s">
        <v>8853</v>
      </c>
      <c r="C3301" s="304" t="s">
        <v>5575</v>
      </c>
      <c r="D3301" s="540">
        <v>2.04</v>
      </c>
    </row>
    <row r="3302" spans="1:4" ht="15" x14ac:dyDescent="0.25">
      <c r="A3302" s="304">
        <v>38598</v>
      </c>
      <c r="B3302" s="304" t="s">
        <v>8854</v>
      </c>
      <c r="C3302" s="304" t="s">
        <v>5555</v>
      </c>
      <c r="D3302" s="540">
        <v>3.11</v>
      </c>
    </row>
    <row r="3303" spans="1:4" ht="15" x14ac:dyDescent="0.25">
      <c r="A3303" s="304">
        <v>38595</v>
      </c>
      <c r="B3303" s="304" t="s">
        <v>8855</v>
      </c>
      <c r="C3303" s="304" t="s">
        <v>5555</v>
      </c>
      <c r="D3303" s="540">
        <v>2.14</v>
      </c>
    </row>
    <row r="3304" spans="1:4" ht="15" x14ac:dyDescent="0.25">
      <c r="A3304" s="304">
        <v>38592</v>
      </c>
      <c r="B3304" s="304" t="s">
        <v>8856</v>
      </c>
      <c r="C3304" s="304" t="s">
        <v>5555</v>
      </c>
      <c r="D3304" s="540">
        <v>2.8</v>
      </c>
    </row>
    <row r="3305" spans="1:4" ht="15" x14ac:dyDescent="0.25">
      <c r="A3305" s="304">
        <v>38588</v>
      </c>
      <c r="B3305" s="304" t="s">
        <v>8857</v>
      </c>
      <c r="C3305" s="304" t="s">
        <v>5555</v>
      </c>
      <c r="D3305" s="540">
        <v>1.77</v>
      </c>
    </row>
    <row r="3306" spans="1:4" ht="15" x14ac:dyDescent="0.25">
      <c r="A3306" s="304">
        <v>38593</v>
      </c>
      <c r="B3306" s="304" t="s">
        <v>8858</v>
      </c>
      <c r="C3306" s="304" t="s">
        <v>5555</v>
      </c>
      <c r="D3306" s="540">
        <v>3.01</v>
      </c>
    </row>
    <row r="3307" spans="1:4" ht="15" x14ac:dyDescent="0.25">
      <c r="A3307" s="304">
        <v>38589</v>
      </c>
      <c r="B3307" s="304" t="s">
        <v>8859</v>
      </c>
      <c r="C3307" s="304" t="s">
        <v>5555</v>
      </c>
      <c r="D3307" s="540">
        <v>2.15</v>
      </c>
    </row>
    <row r="3308" spans="1:4" ht="15" x14ac:dyDescent="0.25">
      <c r="A3308" s="304">
        <v>38594</v>
      </c>
      <c r="B3308" s="304" t="s">
        <v>8860</v>
      </c>
      <c r="C3308" s="304" t="s">
        <v>5555</v>
      </c>
      <c r="D3308" s="540">
        <v>4.47</v>
      </c>
    </row>
    <row r="3309" spans="1:4" ht="15" x14ac:dyDescent="0.25">
      <c r="A3309" s="304">
        <v>34787</v>
      </c>
      <c r="B3309" s="304" t="s">
        <v>8861</v>
      </c>
      <c r="C3309" s="304" t="s">
        <v>5555</v>
      </c>
      <c r="D3309" s="540">
        <v>0.76</v>
      </c>
    </row>
    <row r="3310" spans="1:4" ht="15" x14ac:dyDescent="0.25">
      <c r="A3310" s="304">
        <v>34788</v>
      </c>
      <c r="B3310" s="304" t="s">
        <v>8862</v>
      </c>
      <c r="C3310" s="304" t="s">
        <v>5555</v>
      </c>
      <c r="D3310" s="540">
        <v>0.77</v>
      </c>
    </row>
    <row r="3311" spans="1:4" ht="15" x14ac:dyDescent="0.25">
      <c r="A3311" s="304">
        <v>34784</v>
      </c>
      <c r="B3311" s="304" t="s">
        <v>8863</v>
      </c>
      <c r="C3311" s="304" t="s">
        <v>5555</v>
      </c>
      <c r="D3311" s="540">
        <v>0.84</v>
      </c>
    </row>
    <row r="3312" spans="1:4" ht="15" x14ac:dyDescent="0.25">
      <c r="A3312" s="304">
        <v>34781</v>
      </c>
      <c r="B3312" s="304" t="s">
        <v>8864</v>
      </c>
      <c r="C3312" s="304" t="s">
        <v>5555</v>
      </c>
      <c r="D3312" s="540">
        <v>0.96</v>
      </c>
    </row>
    <row r="3313" spans="1:4" ht="15" x14ac:dyDescent="0.25">
      <c r="A3313" s="304">
        <v>34773</v>
      </c>
      <c r="B3313" s="304" t="s">
        <v>8865</v>
      </c>
      <c r="C3313" s="304" t="s">
        <v>5555</v>
      </c>
      <c r="D3313" s="540">
        <v>2.2400000000000002</v>
      </c>
    </row>
    <row r="3314" spans="1:4" ht="15" x14ac:dyDescent="0.25">
      <c r="A3314" s="304">
        <v>34769</v>
      </c>
      <c r="B3314" s="304" t="s">
        <v>8866</v>
      </c>
      <c r="C3314" s="304" t="s">
        <v>5555</v>
      </c>
      <c r="D3314" s="540">
        <v>2.59</v>
      </c>
    </row>
    <row r="3315" spans="1:4" ht="15" x14ac:dyDescent="0.25">
      <c r="A3315" s="304">
        <v>34763</v>
      </c>
      <c r="B3315" s="304" t="s">
        <v>8867</v>
      </c>
      <c r="C3315" s="304" t="s">
        <v>5555</v>
      </c>
      <c r="D3315" s="540">
        <v>1.5</v>
      </c>
    </row>
    <row r="3316" spans="1:4" ht="15" x14ac:dyDescent="0.25">
      <c r="A3316" s="304">
        <v>34774</v>
      </c>
      <c r="B3316" s="304" t="s">
        <v>8868</v>
      </c>
      <c r="C3316" s="304" t="s">
        <v>5555</v>
      </c>
      <c r="D3316" s="540">
        <v>2</v>
      </c>
    </row>
    <row r="3317" spans="1:4" ht="15" x14ac:dyDescent="0.25">
      <c r="A3317" s="304">
        <v>34771</v>
      </c>
      <c r="B3317" s="304" t="s">
        <v>8869</v>
      </c>
      <c r="C3317" s="304" t="s">
        <v>5555</v>
      </c>
      <c r="D3317" s="540">
        <v>2.29</v>
      </c>
    </row>
    <row r="3318" spans="1:4" ht="15" x14ac:dyDescent="0.25">
      <c r="A3318" s="304">
        <v>34764</v>
      </c>
      <c r="B3318" s="304" t="s">
        <v>8870</v>
      </c>
      <c r="C3318" s="304" t="s">
        <v>5555</v>
      </c>
      <c r="D3318" s="540">
        <v>1.4</v>
      </c>
    </row>
    <row r="3319" spans="1:4" ht="15" x14ac:dyDescent="0.25">
      <c r="A3319" s="304">
        <v>4062</v>
      </c>
      <c r="B3319" s="304" t="s">
        <v>8871</v>
      </c>
      <c r="C3319" s="304" t="s">
        <v>5555</v>
      </c>
      <c r="D3319" s="540">
        <v>20.62</v>
      </c>
    </row>
    <row r="3320" spans="1:4" ht="15" x14ac:dyDescent="0.25">
      <c r="A3320" s="304">
        <v>4059</v>
      </c>
      <c r="B3320" s="304" t="s">
        <v>8872</v>
      </c>
      <c r="C3320" s="304" t="s">
        <v>5575</v>
      </c>
      <c r="D3320" s="540">
        <v>25</v>
      </c>
    </row>
    <row r="3321" spans="1:4" ht="15" x14ac:dyDescent="0.25">
      <c r="A3321" s="304">
        <v>4061</v>
      </c>
      <c r="B3321" s="304" t="s">
        <v>8873</v>
      </c>
      <c r="C3321" s="304" t="s">
        <v>5555</v>
      </c>
      <c r="D3321" s="540">
        <v>20</v>
      </c>
    </row>
    <row r="3322" spans="1:4" ht="15" x14ac:dyDescent="0.25">
      <c r="A3322" s="304">
        <v>10608</v>
      </c>
      <c r="B3322" s="304" t="s">
        <v>8874</v>
      </c>
      <c r="C3322" s="304" t="s">
        <v>5555</v>
      </c>
      <c r="D3322" s="541">
        <v>11200</v>
      </c>
    </row>
    <row r="3323" spans="1:4" ht="15" x14ac:dyDescent="0.25">
      <c r="A3323" s="304">
        <v>4069</v>
      </c>
      <c r="B3323" s="304" t="s">
        <v>8875</v>
      </c>
      <c r="C3323" s="304" t="s">
        <v>5566</v>
      </c>
      <c r="D3323" s="540">
        <v>26.22</v>
      </c>
    </row>
    <row r="3324" spans="1:4" ht="15" x14ac:dyDescent="0.25">
      <c r="A3324" s="304">
        <v>40819</v>
      </c>
      <c r="B3324" s="304" t="s">
        <v>8876</v>
      </c>
      <c r="C3324" s="304" t="s">
        <v>5755</v>
      </c>
      <c r="D3324" s="541">
        <v>4591.25</v>
      </c>
    </row>
    <row r="3325" spans="1:4" ht="15" x14ac:dyDescent="0.25">
      <c r="A3325" s="304">
        <v>34361</v>
      </c>
      <c r="B3325" s="304" t="s">
        <v>8877</v>
      </c>
      <c r="C3325" s="304" t="s">
        <v>5626</v>
      </c>
      <c r="D3325" s="540">
        <v>2.16</v>
      </c>
    </row>
    <row r="3326" spans="1:4" ht="15" x14ac:dyDescent="0.25">
      <c r="A3326" s="304">
        <v>36512</v>
      </c>
      <c r="B3326" s="304" t="s">
        <v>8878</v>
      </c>
      <c r="C3326" s="304" t="s">
        <v>5555</v>
      </c>
      <c r="D3326" s="541">
        <v>12292.04</v>
      </c>
    </row>
    <row r="3327" spans="1:4" ht="15" x14ac:dyDescent="0.25">
      <c r="A3327" s="304">
        <v>25972</v>
      </c>
      <c r="B3327" s="304" t="s">
        <v>8879</v>
      </c>
      <c r="C3327" s="304" t="s">
        <v>5626</v>
      </c>
      <c r="D3327" s="540">
        <v>13.33</v>
      </c>
    </row>
    <row r="3328" spans="1:4" ht="15" x14ac:dyDescent="0.25">
      <c r="A3328" s="304">
        <v>25973</v>
      </c>
      <c r="B3328" s="304" t="s">
        <v>8880</v>
      </c>
      <c r="C3328" s="304" t="s">
        <v>5626</v>
      </c>
      <c r="D3328" s="540">
        <v>13.33</v>
      </c>
    </row>
    <row r="3329" spans="1:4" ht="15" x14ac:dyDescent="0.25">
      <c r="A3329" s="304">
        <v>11697</v>
      </c>
      <c r="B3329" s="304" t="s">
        <v>8881</v>
      </c>
      <c r="C3329" s="304" t="s">
        <v>5555</v>
      </c>
      <c r="D3329" s="540">
        <v>561.55999999999995</v>
      </c>
    </row>
    <row r="3330" spans="1:4" ht="15" x14ac:dyDescent="0.25">
      <c r="A3330" s="304">
        <v>11698</v>
      </c>
      <c r="B3330" s="304" t="s">
        <v>8882</v>
      </c>
      <c r="C3330" s="304" t="s">
        <v>5555</v>
      </c>
      <c r="D3330" s="540">
        <v>669.91</v>
      </c>
    </row>
    <row r="3331" spans="1:4" ht="15" x14ac:dyDescent="0.25">
      <c r="A3331" s="304">
        <v>11699</v>
      </c>
      <c r="B3331" s="304" t="s">
        <v>8883</v>
      </c>
      <c r="C3331" s="304" t="s">
        <v>5555</v>
      </c>
      <c r="D3331" s="540">
        <v>740.4</v>
      </c>
    </row>
    <row r="3332" spans="1:4" ht="15" x14ac:dyDescent="0.25">
      <c r="A3332" s="304">
        <v>10432</v>
      </c>
      <c r="B3332" s="304" t="s">
        <v>8884</v>
      </c>
      <c r="C3332" s="304" t="s">
        <v>5555</v>
      </c>
      <c r="D3332" s="540">
        <v>272.8</v>
      </c>
    </row>
    <row r="3333" spans="1:4" ht="15" x14ac:dyDescent="0.25">
      <c r="A3333" s="304">
        <v>10430</v>
      </c>
      <c r="B3333" s="304" t="s">
        <v>8885</v>
      </c>
      <c r="C3333" s="304" t="s">
        <v>5555</v>
      </c>
      <c r="D3333" s="540">
        <v>293.8</v>
      </c>
    </row>
    <row r="3334" spans="1:4" ht="15" x14ac:dyDescent="0.25">
      <c r="A3334" s="304">
        <v>37514</v>
      </c>
      <c r="B3334" s="304" t="s">
        <v>8886</v>
      </c>
      <c r="C3334" s="304" t="s">
        <v>5555</v>
      </c>
      <c r="D3334" s="541">
        <v>144877.5</v>
      </c>
    </row>
    <row r="3335" spans="1:4" ht="15" x14ac:dyDescent="0.25">
      <c r="A3335" s="304">
        <v>37519</v>
      </c>
      <c r="B3335" s="304" t="s">
        <v>8887</v>
      </c>
      <c r="C3335" s="304" t="s">
        <v>5555</v>
      </c>
      <c r="D3335" s="541">
        <v>223588.48000000001</v>
      </c>
    </row>
    <row r="3336" spans="1:4" ht="15" x14ac:dyDescent="0.25">
      <c r="A3336" s="304">
        <v>37520</v>
      </c>
      <c r="B3336" s="304" t="s">
        <v>8888</v>
      </c>
      <c r="C3336" s="304" t="s">
        <v>5555</v>
      </c>
      <c r="D3336" s="541">
        <v>219923.1</v>
      </c>
    </row>
    <row r="3337" spans="1:4" ht="15" x14ac:dyDescent="0.25">
      <c r="A3337" s="304">
        <v>37521</v>
      </c>
      <c r="B3337" s="304" t="s">
        <v>8889</v>
      </c>
      <c r="C3337" s="304" t="s">
        <v>5555</v>
      </c>
      <c r="D3337" s="541">
        <v>268306.19</v>
      </c>
    </row>
    <row r="3338" spans="1:4" ht="15" x14ac:dyDescent="0.25">
      <c r="A3338" s="304">
        <v>37522</v>
      </c>
      <c r="B3338" s="304" t="s">
        <v>8890</v>
      </c>
      <c r="C3338" s="304" t="s">
        <v>5555</v>
      </c>
      <c r="D3338" s="541">
        <v>276378.38</v>
      </c>
    </row>
    <row r="3339" spans="1:4" ht="15" x14ac:dyDescent="0.25">
      <c r="A3339" s="304">
        <v>21109</v>
      </c>
      <c r="B3339" s="304" t="s">
        <v>8891</v>
      </c>
      <c r="C3339" s="304" t="s">
        <v>5555</v>
      </c>
      <c r="D3339" s="540">
        <v>55.88</v>
      </c>
    </row>
    <row r="3340" spans="1:4" ht="15" x14ac:dyDescent="0.25">
      <c r="A3340" s="304">
        <v>36800</v>
      </c>
      <c r="B3340" s="304" t="s">
        <v>8892</v>
      </c>
      <c r="C3340" s="304" t="s">
        <v>5555</v>
      </c>
      <c r="D3340" s="540">
        <v>75.599999999999994</v>
      </c>
    </row>
    <row r="3341" spans="1:4" ht="15" x14ac:dyDescent="0.25">
      <c r="A3341" s="304">
        <v>11769</v>
      </c>
      <c r="B3341" s="304" t="s">
        <v>8893</v>
      </c>
      <c r="C3341" s="304" t="s">
        <v>5555</v>
      </c>
      <c r="D3341" s="540">
        <v>185.28</v>
      </c>
    </row>
    <row r="3342" spans="1:4" ht="15" x14ac:dyDescent="0.25">
      <c r="A3342" s="304">
        <v>36793</v>
      </c>
      <c r="B3342" s="304" t="s">
        <v>8894</v>
      </c>
      <c r="C3342" s="304" t="s">
        <v>5555</v>
      </c>
      <c r="D3342" s="540">
        <v>299.98</v>
      </c>
    </row>
    <row r="3343" spans="1:4" ht="15" x14ac:dyDescent="0.25">
      <c r="A3343" s="304">
        <v>37546</v>
      </c>
      <c r="B3343" s="304" t="s">
        <v>8895</v>
      </c>
      <c r="C3343" s="304" t="s">
        <v>5555</v>
      </c>
      <c r="D3343" s="541">
        <v>8344.8799999999992</v>
      </c>
    </row>
    <row r="3344" spans="1:4" ht="15" x14ac:dyDescent="0.25">
      <c r="A3344" s="304">
        <v>37544</v>
      </c>
      <c r="B3344" s="304" t="s">
        <v>8896</v>
      </c>
      <c r="C3344" s="304" t="s">
        <v>5555</v>
      </c>
      <c r="D3344" s="541">
        <v>8826.11</v>
      </c>
    </row>
    <row r="3345" spans="1:4" ht="15" x14ac:dyDescent="0.25">
      <c r="A3345" s="304">
        <v>37545</v>
      </c>
      <c r="B3345" s="304" t="s">
        <v>8897</v>
      </c>
      <c r="C3345" s="304" t="s">
        <v>5555</v>
      </c>
      <c r="D3345" s="541">
        <v>10501.89</v>
      </c>
    </row>
    <row r="3346" spans="1:4" ht="15" x14ac:dyDescent="0.25">
      <c r="A3346" s="304">
        <v>11771</v>
      </c>
      <c r="B3346" s="304" t="s">
        <v>8898</v>
      </c>
      <c r="C3346" s="304" t="s">
        <v>5555</v>
      </c>
      <c r="D3346" s="540">
        <v>229.82</v>
      </c>
    </row>
    <row r="3347" spans="1:4" ht="15" x14ac:dyDescent="0.25">
      <c r="A3347" s="304">
        <v>39919</v>
      </c>
      <c r="B3347" s="304" t="s">
        <v>8899</v>
      </c>
      <c r="C3347" s="304" t="s">
        <v>5555</v>
      </c>
      <c r="D3347" s="541">
        <v>41770.74</v>
      </c>
    </row>
    <row r="3348" spans="1:4" ht="15" x14ac:dyDescent="0.25">
      <c r="A3348" s="304">
        <v>38385</v>
      </c>
      <c r="B3348" s="304" t="s">
        <v>8900</v>
      </c>
      <c r="C3348" s="304" t="s">
        <v>5555</v>
      </c>
      <c r="D3348" s="540">
        <v>36.74</v>
      </c>
    </row>
    <row r="3349" spans="1:4" ht="15" x14ac:dyDescent="0.25">
      <c r="A3349" s="304">
        <v>37587</v>
      </c>
      <c r="B3349" s="304" t="s">
        <v>8901</v>
      </c>
      <c r="C3349" s="304" t="s">
        <v>5555</v>
      </c>
      <c r="D3349" s="540">
        <v>209.03</v>
      </c>
    </row>
    <row r="3350" spans="1:4" ht="15" x14ac:dyDescent="0.25">
      <c r="A3350" s="304">
        <v>11571</v>
      </c>
      <c r="B3350" s="304" t="s">
        <v>8902</v>
      </c>
      <c r="C3350" s="304" t="s">
        <v>5555</v>
      </c>
      <c r="D3350" s="540">
        <v>181.37</v>
      </c>
    </row>
    <row r="3351" spans="1:4" ht="15" x14ac:dyDescent="0.25">
      <c r="A3351" s="304">
        <v>11561</v>
      </c>
      <c r="B3351" s="304" t="s">
        <v>8903</v>
      </c>
      <c r="C3351" s="304" t="s">
        <v>5555</v>
      </c>
      <c r="D3351" s="540">
        <v>140.27000000000001</v>
      </c>
    </row>
    <row r="3352" spans="1:4" ht="15" x14ac:dyDescent="0.25">
      <c r="A3352" s="304">
        <v>11560</v>
      </c>
      <c r="B3352" s="304" t="s">
        <v>8904</v>
      </c>
      <c r="C3352" s="304" t="s">
        <v>5555</v>
      </c>
      <c r="D3352" s="540">
        <v>119.39</v>
      </c>
    </row>
    <row r="3353" spans="1:4" ht="15" x14ac:dyDescent="0.25">
      <c r="A3353" s="304">
        <v>11499</v>
      </c>
      <c r="B3353" s="304" t="s">
        <v>8905</v>
      </c>
      <c r="C3353" s="304" t="s">
        <v>5555</v>
      </c>
      <c r="D3353" s="541">
        <v>1018.54</v>
      </c>
    </row>
    <row r="3354" spans="1:4" ht="15" x14ac:dyDescent="0.25">
      <c r="A3354" s="304">
        <v>34761</v>
      </c>
      <c r="B3354" s="304" t="s">
        <v>8906</v>
      </c>
      <c r="C3354" s="304" t="s">
        <v>5566</v>
      </c>
      <c r="D3354" s="540">
        <v>15.72</v>
      </c>
    </row>
    <row r="3355" spans="1:4" ht="15" x14ac:dyDescent="0.25">
      <c r="A3355" s="304">
        <v>40924</v>
      </c>
      <c r="B3355" s="304" t="s">
        <v>8907</v>
      </c>
      <c r="C3355" s="304" t="s">
        <v>5755</v>
      </c>
      <c r="D3355" s="541">
        <v>2752.84</v>
      </c>
    </row>
    <row r="3356" spans="1:4" ht="15" x14ac:dyDescent="0.25">
      <c r="A3356" s="304">
        <v>25957</v>
      </c>
      <c r="B3356" s="304" t="s">
        <v>8908</v>
      </c>
      <c r="C3356" s="304" t="s">
        <v>5566</v>
      </c>
      <c r="D3356" s="540">
        <v>15.22</v>
      </c>
    </row>
    <row r="3357" spans="1:4" ht="15" x14ac:dyDescent="0.25">
      <c r="A3357" s="304">
        <v>40983</v>
      </c>
      <c r="B3357" s="304" t="s">
        <v>8909</v>
      </c>
      <c r="C3357" s="304" t="s">
        <v>5755</v>
      </c>
      <c r="D3357" s="541">
        <v>2666.75</v>
      </c>
    </row>
    <row r="3358" spans="1:4" ht="15" x14ac:dyDescent="0.25">
      <c r="A3358" s="304">
        <v>2437</v>
      </c>
      <c r="B3358" s="304" t="s">
        <v>8910</v>
      </c>
      <c r="C3358" s="304" t="s">
        <v>5566</v>
      </c>
      <c r="D3358" s="540">
        <v>28.6</v>
      </c>
    </row>
    <row r="3359" spans="1:4" ht="15" x14ac:dyDescent="0.25">
      <c r="A3359" s="304">
        <v>40921</v>
      </c>
      <c r="B3359" s="304" t="s">
        <v>8911</v>
      </c>
      <c r="C3359" s="304" t="s">
        <v>5755</v>
      </c>
      <c r="D3359" s="541">
        <v>5008.2299999999996</v>
      </c>
    </row>
    <row r="3360" spans="1:4" ht="15" x14ac:dyDescent="0.25">
      <c r="A3360" s="304">
        <v>40534</v>
      </c>
      <c r="B3360" s="304" t="s">
        <v>8912</v>
      </c>
      <c r="C3360" s="304" t="s">
        <v>5555</v>
      </c>
      <c r="D3360" s="540">
        <v>242.61</v>
      </c>
    </row>
    <row r="3361" spans="1:4" ht="15" x14ac:dyDescent="0.25">
      <c r="A3361" s="304">
        <v>14252</v>
      </c>
      <c r="B3361" s="304" t="s">
        <v>8913</v>
      </c>
      <c r="C3361" s="304" t="s">
        <v>5555</v>
      </c>
      <c r="D3361" s="541">
        <v>1819.92</v>
      </c>
    </row>
    <row r="3362" spans="1:4" ht="15" x14ac:dyDescent="0.25">
      <c r="A3362" s="304">
        <v>730</v>
      </c>
      <c r="B3362" s="304" t="s">
        <v>8914</v>
      </c>
      <c r="C3362" s="304" t="s">
        <v>5555</v>
      </c>
      <c r="D3362" s="541">
        <v>4862.5</v>
      </c>
    </row>
    <row r="3363" spans="1:4" ht="15" x14ac:dyDescent="0.25">
      <c r="A3363" s="304">
        <v>723</v>
      </c>
      <c r="B3363" s="304" t="s">
        <v>8915</v>
      </c>
      <c r="C3363" s="304" t="s">
        <v>5555</v>
      </c>
      <c r="D3363" s="541">
        <v>2416.83</v>
      </c>
    </row>
    <row r="3364" spans="1:4" ht="15" x14ac:dyDescent="0.25">
      <c r="A3364" s="304">
        <v>36502</v>
      </c>
      <c r="B3364" s="304" t="s">
        <v>8916</v>
      </c>
      <c r="C3364" s="304" t="s">
        <v>5555</v>
      </c>
      <c r="D3364" s="541">
        <v>2271.5300000000002</v>
      </c>
    </row>
    <row r="3365" spans="1:4" ht="15" x14ac:dyDescent="0.25">
      <c r="A3365" s="304">
        <v>36503</v>
      </c>
      <c r="B3365" s="304" t="s">
        <v>8917</v>
      </c>
      <c r="C3365" s="304" t="s">
        <v>5555</v>
      </c>
      <c r="D3365" s="541">
        <v>2801.07</v>
      </c>
    </row>
    <row r="3366" spans="1:4" ht="15" x14ac:dyDescent="0.25">
      <c r="A3366" s="304">
        <v>4090</v>
      </c>
      <c r="B3366" s="304" t="s">
        <v>8918</v>
      </c>
      <c r="C3366" s="304" t="s">
        <v>5555</v>
      </c>
      <c r="D3366" s="541">
        <v>547000</v>
      </c>
    </row>
    <row r="3367" spans="1:4" ht="15" x14ac:dyDescent="0.25">
      <c r="A3367" s="304">
        <v>13227</v>
      </c>
      <c r="B3367" s="304" t="s">
        <v>8919</v>
      </c>
      <c r="C3367" s="304" t="s">
        <v>5555</v>
      </c>
      <c r="D3367" s="541">
        <v>679715.71</v>
      </c>
    </row>
    <row r="3368" spans="1:4" ht="15" x14ac:dyDescent="0.25">
      <c r="A3368" s="304">
        <v>10597</v>
      </c>
      <c r="B3368" s="304" t="s">
        <v>8920</v>
      </c>
      <c r="C3368" s="304" t="s">
        <v>5555</v>
      </c>
      <c r="D3368" s="541">
        <v>715488.47</v>
      </c>
    </row>
    <row r="3369" spans="1:4" ht="15" x14ac:dyDescent="0.25">
      <c r="A3369" s="304">
        <v>39628</v>
      </c>
      <c r="B3369" s="304" t="s">
        <v>8921</v>
      </c>
      <c r="C3369" s="304" t="s">
        <v>5555</v>
      </c>
      <c r="D3369" s="541">
        <v>2503.56</v>
      </c>
    </row>
    <row r="3370" spans="1:4" ht="15" x14ac:dyDescent="0.25">
      <c r="A3370" s="304">
        <v>39404</v>
      </c>
      <c r="B3370" s="304" t="s">
        <v>8922</v>
      </c>
      <c r="C3370" s="304" t="s">
        <v>5555</v>
      </c>
      <c r="D3370" s="541">
        <v>1241.43</v>
      </c>
    </row>
    <row r="3371" spans="1:4" ht="15" x14ac:dyDescent="0.25">
      <c r="A3371" s="304">
        <v>39402</v>
      </c>
      <c r="B3371" s="304" t="s">
        <v>8923</v>
      </c>
      <c r="C3371" s="304" t="s">
        <v>5555</v>
      </c>
      <c r="D3371" s="541">
        <v>1022.7</v>
      </c>
    </row>
    <row r="3372" spans="1:4" ht="15" x14ac:dyDescent="0.25">
      <c r="A3372" s="304">
        <v>39403</v>
      </c>
      <c r="B3372" s="304" t="s">
        <v>8924</v>
      </c>
      <c r="C3372" s="304" t="s">
        <v>5555</v>
      </c>
      <c r="D3372" s="541">
        <v>1000.46</v>
      </c>
    </row>
    <row r="3373" spans="1:4" ht="15" x14ac:dyDescent="0.25">
      <c r="A3373" s="304">
        <v>4093</v>
      </c>
      <c r="B3373" s="304" t="s">
        <v>8925</v>
      </c>
      <c r="C3373" s="304" t="s">
        <v>5566</v>
      </c>
      <c r="D3373" s="540">
        <v>14.21</v>
      </c>
    </row>
    <row r="3374" spans="1:4" ht="15" x14ac:dyDescent="0.25">
      <c r="A3374" s="304">
        <v>10512</v>
      </c>
      <c r="B3374" s="304" t="s">
        <v>8926</v>
      </c>
      <c r="C3374" s="304" t="s">
        <v>5755</v>
      </c>
      <c r="D3374" s="541">
        <v>2488.42</v>
      </c>
    </row>
    <row r="3375" spans="1:4" ht="15" x14ac:dyDescent="0.25">
      <c r="A3375" s="304">
        <v>20020</v>
      </c>
      <c r="B3375" s="304" t="s">
        <v>8927</v>
      </c>
      <c r="C3375" s="304" t="s">
        <v>5566</v>
      </c>
      <c r="D3375" s="540">
        <v>13.4</v>
      </c>
    </row>
    <row r="3376" spans="1:4" ht="15" x14ac:dyDescent="0.25">
      <c r="A3376" s="304">
        <v>41038</v>
      </c>
      <c r="B3376" s="304" t="s">
        <v>8928</v>
      </c>
      <c r="C3376" s="304" t="s">
        <v>5755</v>
      </c>
      <c r="D3376" s="541">
        <v>2347.21</v>
      </c>
    </row>
    <row r="3377" spans="1:4" ht="15" x14ac:dyDescent="0.25">
      <c r="A3377" s="304">
        <v>4094</v>
      </c>
      <c r="B3377" s="304" t="s">
        <v>8929</v>
      </c>
      <c r="C3377" s="304" t="s">
        <v>5566</v>
      </c>
      <c r="D3377" s="540">
        <v>18.98</v>
      </c>
    </row>
    <row r="3378" spans="1:4" ht="15" x14ac:dyDescent="0.25">
      <c r="A3378" s="304">
        <v>40988</v>
      </c>
      <c r="B3378" s="304" t="s">
        <v>8930</v>
      </c>
      <c r="C3378" s="304" t="s">
        <v>5755</v>
      </c>
      <c r="D3378" s="541">
        <v>3323.14</v>
      </c>
    </row>
    <row r="3379" spans="1:4" ht="15" x14ac:dyDescent="0.25">
      <c r="A3379" s="304">
        <v>4095</v>
      </c>
      <c r="B3379" s="304" t="s">
        <v>8931</v>
      </c>
      <c r="C3379" s="304" t="s">
        <v>5566</v>
      </c>
      <c r="D3379" s="540">
        <v>15.5</v>
      </c>
    </row>
    <row r="3380" spans="1:4" ht="15" x14ac:dyDescent="0.25">
      <c r="A3380" s="304">
        <v>40990</v>
      </c>
      <c r="B3380" s="304" t="s">
        <v>8932</v>
      </c>
      <c r="C3380" s="304" t="s">
        <v>5755</v>
      </c>
      <c r="D3380" s="541">
        <v>2715.94</v>
      </c>
    </row>
    <row r="3381" spans="1:4" ht="15" x14ac:dyDescent="0.25">
      <c r="A3381" s="304">
        <v>4097</v>
      </c>
      <c r="B3381" s="304" t="s">
        <v>8933</v>
      </c>
      <c r="C3381" s="304" t="s">
        <v>5566</v>
      </c>
      <c r="D3381" s="540">
        <v>19.149999999999999</v>
      </c>
    </row>
    <row r="3382" spans="1:4" ht="15" x14ac:dyDescent="0.25">
      <c r="A3382" s="304">
        <v>40994</v>
      </c>
      <c r="B3382" s="304" t="s">
        <v>8934</v>
      </c>
      <c r="C3382" s="304" t="s">
        <v>5755</v>
      </c>
      <c r="D3382" s="541">
        <v>3352.5</v>
      </c>
    </row>
    <row r="3383" spans="1:4" ht="15" x14ac:dyDescent="0.25">
      <c r="A3383" s="304">
        <v>4096</v>
      </c>
      <c r="B3383" s="304" t="s">
        <v>8935</v>
      </c>
      <c r="C3383" s="304" t="s">
        <v>5566</v>
      </c>
      <c r="D3383" s="540">
        <v>17.78</v>
      </c>
    </row>
    <row r="3384" spans="1:4" ht="15" x14ac:dyDescent="0.25">
      <c r="A3384" s="304">
        <v>40992</v>
      </c>
      <c r="B3384" s="304" t="s">
        <v>8936</v>
      </c>
      <c r="C3384" s="304" t="s">
        <v>5755</v>
      </c>
      <c r="D3384" s="541">
        <v>3113.88</v>
      </c>
    </row>
    <row r="3385" spans="1:4" ht="15" x14ac:dyDescent="0.25">
      <c r="A3385" s="304">
        <v>13955</v>
      </c>
      <c r="B3385" s="304" t="s">
        <v>8937</v>
      </c>
      <c r="C3385" s="304" t="s">
        <v>5555</v>
      </c>
      <c r="D3385" s="541">
        <v>2301.6799999999998</v>
      </c>
    </row>
    <row r="3386" spans="1:4" ht="15" x14ac:dyDescent="0.25">
      <c r="A3386" s="304">
        <v>4114</v>
      </c>
      <c r="B3386" s="304" t="s">
        <v>8938</v>
      </c>
      <c r="C3386" s="304" t="s">
        <v>5555</v>
      </c>
      <c r="D3386" s="540">
        <v>35.49</v>
      </c>
    </row>
    <row r="3387" spans="1:4" ht="15" x14ac:dyDescent="0.25">
      <c r="A3387" s="304">
        <v>36797</v>
      </c>
      <c r="B3387" s="304" t="s">
        <v>8939</v>
      </c>
      <c r="C3387" s="304" t="s">
        <v>5555</v>
      </c>
      <c r="D3387" s="540">
        <v>31.04</v>
      </c>
    </row>
    <row r="3388" spans="1:4" ht="15" x14ac:dyDescent="0.25">
      <c r="A3388" s="304">
        <v>4107</v>
      </c>
      <c r="B3388" s="304" t="s">
        <v>8940</v>
      </c>
      <c r="C3388" s="304" t="s">
        <v>5555</v>
      </c>
      <c r="D3388" s="540">
        <v>29.89</v>
      </c>
    </row>
    <row r="3389" spans="1:4" ht="15" x14ac:dyDescent="0.25">
      <c r="A3389" s="304">
        <v>36799</v>
      </c>
      <c r="B3389" s="304" t="s">
        <v>8941</v>
      </c>
      <c r="C3389" s="304" t="s">
        <v>5555</v>
      </c>
      <c r="D3389" s="540">
        <v>28.53</v>
      </c>
    </row>
    <row r="3390" spans="1:4" ht="15" x14ac:dyDescent="0.25">
      <c r="A3390" s="304">
        <v>4108</v>
      </c>
      <c r="B3390" s="304" t="s">
        <v>8942</v>
      </c>
      <c r="C3390" s="304" t="s">
        <v>5555</v>
      </c>
      <c r="D3390" s="540">
        <v>24.03</v>
      </c>
    </row>
    <row r="3391" spans="1:4" ht="15" x14ac:dyDescent="0.25">
      <c r="A3391" s="304">
        <v>4102</v>
      </c>
      <c r="B3391" s="304" t="s">
        <v>8943</v>
      </c>
      <c r="C3391" s="304" t="s">
        <v>5555</v>
      </c>
      <c r="D3391" s="540">
        <v>35.75</v>
      </c>
    </row>
    <row r="3392" spans="1:4" ht="15" x14ac:dyDescent="0.25">
      <c r="A3392" s="304">
        <v>10826</v>
      </c>
      <c r="B3392" s="304" t="s">
        <v>8944</v>
      </c>
      <c r="C3392" s="304" t="s">
        <v>5555</v>
      </c>
      <c r="D3392" s="540">
        <v>143.66999999999999</v>
      </c>
    </row>
    <row r="3393" spans="1:4" ht="15" x14ac:dyDescent="0.25">
      <c r="A3393" s="304">
        <v>365</v>
      </c>
      <c r="B3393" s="304" t="s">
        <v>8945</v>
      </c>
      <c r="C3393" s="304" t="s">
        <v>5555</v>
      </c>
      <c r="D3393" s="540">
        <v>89.08</v>
      </c>
    </row>
    <row r="3394" spans="1:4" ht="15" x14ac:dyDescent="0.25">
      <c r="A3394" s="304">
        <v>38639</v>
      </c>
      <c r="B3394" s="304" t="s">
        <v>8946</v>
      </c>
      <c r="C3394" s="304" t="s">
        <v>5555</v>
      </c>
      <c r="D3394" s="540">
        <v>344.82</v>
      </c>
    </row>
    <row r="3395" spans="1:4" ht="15" x14ac:dyDescent="0.25">
      <c r="A3395" s="304">
        <v>38640</v>
      </c>
      <c r="B3395" s="304" t="s">
        <v>8947</v>
      </c>
      <c r="C3395" s="304" t="s">
        <v>5555</v>
      </c>
      <c r="D3395" s="540">
        <v>5.17</v>
      </c>
    </row>
    <row r="3396" spans="1:4" ht="15" x14ac:dyDescent="0.25">
      <c r="A3396" s="304">
        <v>358</v>
      </c>
      <c r="B3396" s="304" t="s">
        <v>8948</v>
      </c>
      <c r="C3396" s="304" t="s">
        <v>5555</v>
      </c>
      <c r="D3396" s="540">
        <v>106.32</v>
      </c>
    </row>
    <row r="3397" spans="1:4" ht="15" x14ac:dyDescent="0.25">
      <c r="A3397" s="304">
        <v>359</v>
      </c>
      <c r="B3397" s="304" t="s">
        <v>8949</v>
      </c>
      <c r="C3397" s="304" t="s">
        <v>5555</v>
      </c>
      <c r="D3397" s="540">
        <v>218.39</v>
      </c>
    </row>
    <row r="3398" spans="1:4" ht="15" x14ac:dyDescent="0.25">
      <c r="A3398" s="304">
        <v>38641</v>
      </c>
      <c r="B3398" s="304" t="s">
        <v>8950</v>
      </c>
      <c r="C3398" s="304" t="s">
        <v>5555</v>
      </c>
      <c r="D3398" s="540">
        <v>215.51</v>
      </c>
    </row>
    <row r="3399" spans="1:4" ht="15" x14ac:dyDescent="0.25">
      <c r="A3399" s="304">
        <v>360</v>
      </c>
      <c r="B3399" s="304" t="s">
        <v>8951</v>
      </c>
      <c r="C3399" s="304" t="s">
        <v>5555</v>
      </c>
      <c r="D3399" s="540">
        <v>5</v>
      </c>
    </row>
    <row r="3400" spans="1:4" ht="15" x14ac:dyDescent="0.25">
      <c r="A3400" s="304">
        <v>4127</v>
      </c>
      <c r="B3400" s="304" t="s">
        <v>8952</v>
      </c>
      <c r="C3400" s="304" t="s">
        <v>5555</v>
      </c>
      <c r="D3400" s="540">
        <v>210.82</v>
      </c>
    </row>
    <row r="3401" spans="1:4" ht="15" x14ac:dyDescent="0.25">
      <c r="A3401" s="304">
        <v>4154</v>
      </c>
      <c r="B3401" s="304" t="s">
        <v>8953</v>
      </c>
      <c r="C3401" s="304" t="s">
        <v>5555</v>
      </c>
      <c r="D3401" s="540">
        <v>257.57</v>
      </c>
    </row>
    <row r="3402" spans="1:4" ht="15" x14ac:dyDescent="0.25">
      <c r="A3402" s="304">
        <v>4168</v>
      </c>
      <c r="B3402" s="304" t="s">
        <v>8954</v>
      </c>
      <c r="C3402" s="304" t="s">
        <v>5555</v>
      </c>
      <c r="D3402" s="540">
        <v>272.02</v>
      </c>
    </row>
    <row r="3403" spans="1:4" ht="15" x14ac:dyDescent="0.25">
      <c r="A3403" s="304">
        <v>4161</v>
      </c>
      <c r="B3403" s="304" t="s">
        <v>8955</v>
      </c>
      <c r="C3403" s="304" t="s">
        <v>5555</v>
      </c>
      <c r="D3403" s="540">
        <v>261.82</v>
      </c>
    </row>
    <row r="3404" spans="1:4" ht="15" x14ac:dyDescent="0.25">
      <c r="A3404" s="304">
        <v>42430</v>
      </c>
      <c r="B3404" s="304" t="s">
        <v>8956</v>
      </c>
      <c r="C3404" s="304" t="s">
        <v>5555</v>
      </c>
      <c r="D3404" s="541">
        <v>3654.84</v>
      </c>
    </row>
    <row r="3405" spans="1:4" ht="15" x14ac:dyDescent="0.25">
      <c r="A3405" s="304">
        <v>4214</v>
      </c>
      <c r="B3405" s="304" t="s">
        <v>8957</v>
      </c>
      <c r="C3405" s="304" t="s">
        <v>5555</v>
      </c>
      <c r="D3405" s="540">
        <v>7.41</v>
      </c>
    </row>
    <row r="3406" spans="1:4" ht="15" x14ac:dyDescent="0.25">
      <c r="A3406" s="304">
        <v>4215</v>
      </c>
      <c r="B3406" s="304" t="s">
        <v>8958</v>
      </c>
      <c r="C3406" s="304" t="s">
        <v>5555</v>
      </c>
      <c r="D3406" s="540">
        <v>4.87</v>
      </c>
    </row>
    <row r="3407" spans="1:4" ht="15" x14ac:dyDescent="0.25">
      <c r="A3407" s="304">
        <v>4210</v>
      </c>
      <c r="B3407" s="304" t="s">
        <v>8959</v>
      </c>
      <c r="C3407" s="304" t="s">
        <v>5555</v>
      </c>
      <c r="D3407" s="540">
        <v>0.82</v>
      </c>
    </row>
    <row r="3408" spans="1:4" ht="15" x14ac:dyDescent="0.25">
      <c r="A3408" s="304">
        <v>4212</v>
      </c>
      <c r="B3408" s="304" t="s">
        <v>8960</v>
      </c>
      <c r="C3408" s="304" t="s">
        <v>5555</v>
      </c>
      <c r="D3408" s="540">
        <v>2.35</v>
      </c>
    </row>
    <row r="3409" spans="1:4" ht="15" x14ac:dyDescent="0.25">
      <c r="A3409" s="304">
        <v>4213</v>
      </c>
      <c r="B3409" s="304" t="s">
        <v>8961</v>
      </c>
      <c r="C3409" s="304" t="s">
        <v>5555</v>
      </c>
      <c r="D3409" s="540">
        <v>10.52</v>
      </c>
    </row>
    <row r="3410" spans="1:4" ht="15" x14ac:dyDescent="0.25">
      <c r="A3410" s="304">
        <v>4211</v>
      </c>
      <c r="B3410" s="304" t="s">
        <v>8962</v>
      </c>
      <c r="C3410" s="304" t="s">
        <v>5555</v>
      </c>
      <c r="D3410" s="540">
        <v>1.17</v>
      </c>
    </row>
    <row r="3411" spans="1:4" ht="15" x14ac:dyDescent="0.25">
      <c r="A3411" s="304">
        <v>4209</v>
      </c>
      <c r="B3411" s="304" t="s">
        <v>8963</v>
      </c>
      <c r="C3411" s="304" t="s">
        <v>5555</v>
      </c>
      <c r="D3411" s="540">
        <v>12.1</v>
      </c>
    </row>
    <row r="3412" spans="1:4" ht="15" x14ac:dyDescent="0.25">
      <c r="A3412" s="304">
        <v>4180</v>
      </c>
      <c r="B3412" s="304" t="s">
        <v>8964</v>
      </c>
      <c r="C3412" s="304" t="s">
        <v>5555</v>
      </c>
      <c r="D3412" s="540">
        <v>9.11</v>
      </c>
    </row>
    <row r="3413" spans="1:4" ht="15" x14ac:dyDescent="0.25">
      <c r="A3413" s="304">
        <v>4177</v>
      </c>
      <c r="B3413" s="304" t="s">
        <v>8965</v>
      </c>
      <c r="C3413" s="304" t="s">
        <v>5555</v>
      </c>
      <c r="D3413" s="540">
        <v>3.02</v>
      </c>
    </row>
    <row r="3414" spans="1:4" ht="15" x14ac:dyDescent="0.25">
      <c r="A3414" s="304">
        <v>4179</v>
      </c>
      <c r="B3414" s="304" t="s">
        <v>8966</v>
      </c>
      <c r="C3414" s="304" t="s">
        <v>5555</v>
      </c>
      <c r="D3414" s="540">
        <v>6.19</v>
      </c>
    </row>
    <row r="3415" spans="1:4" ht="15" x14ac:dyDescent="0.25">
      <c r="A3415" s="304">
        <v>4208</v>
      </c>
      <c r="B3415" s="304" t="s">
        <v>8967</v>
      </c>
      <c r="C3415" s="304" t="s">
        <v>5555</v>
      </c>
      <c r="D3415" s="540">
        <v>28.82</v>
      </c>
    </row>
    <row r="3416" spans="1:4" ht="15" x14ac:dyDescent="0.25">
      <c r="A3416" s="304">
        <v>4181</v>
      </c>
      <c r="B3416" s="304" t="s">
        <v>8968</v>
      </c>
      <c r="C3416" s="304" t="s">
        <v>5555</v>
      </c>
      <c r="D3416" s="540">
        <v>18.829999999999998</v>
      </c>
    </row>
    <row r="3417" spans="1:4" ht="15" x14ac:dyDescent="0.25">
      <c r="A3417" s="304">
        <v>4178</v>
      </c>
      <c r="B3417" s="304" t="s">
        <v>8969</v>
      </c>
      <c r="C3417" s="304" t="s">
        <v>5555</v>
      </c>
      <c r="D3417" s="540">
        <v>4.1900000000000004</v>
      </c>
    </row>
    <row r="3418" spans="1:4" ht="15" x14ac:dyDescent="0.25">
      <c r="A3418" s="304">
        <v>4182</v>
      </c>
      <c r="B3418" s="304" t="s">
        <v>8970</v>
      </c>
      <c r="C3418" s="304" t="s">
        <v>5555</v>
      </c>
      <c r="D3418" s="540">
        <v>46.88</v>
      </c>
    </row>
    <row r="3419" spans="1:4" ht="15" x14ac:dyDescent="0.25">
      <c r="A3419" s="304">
        <v>4183</v>
      </c>
      <c r="B3419" s="304" t="s">
        <v>8971</v>
      </c>
      <c r="C3419" s="304" t="s">
        <v>5555</v>
      </c>
      <c r="D3419" s="540">
        <v>75.48</v>
      </c>
    </row>
    <row r="3420" spans="1:4" ht="15" x14ac:dyDescent="0.25">
      <c r="A3420" s="304">
        <v>4184</v>
      </c>
      <c r="B3420" s="304" t="s">
        <v>8972</v>
      </c>
      <c r="C3420" s="304" t="s">
        <v>5555</v>
      </c>
      <c r="D3420" s="540">
        <v>166.61</v>
      </c>
    </row>
    <row r="3421" spans="1:4" ht="15" x14ac:dyDescent="0.25">
      <c r="A3421" s="304">
        <v>4185</v>
      </c>
      <c r="B3421" s="304" t="s">
        <v>8973</v>
      </c>
      <c r="C3421" s="304" t="s">
        <v>5555</v>
      </c>
      <c r="D3421" s="540">
        <v>276.83</v>
      </c>
    </row>
    <row r="3422" spans="1:4" ht="15" x14ac:dyDescent="0.25">
      <c r="A3422" s="304">
        <v>4205</v>
      </c>
      <c r="B3422" s="304" t="s">
        <v>8974</v>
      </c>
      <c r="C3422" s="304" t="s">
        <v>5555</v>
      </c>
      <c r="D3422" s="540">
        <v>15.99</v>
      </c>
    </row>
    <row r="3423" spans="1:4" ht="15" x14ac:dyDescent="0.25">
      <c r="A3423" s="304">
        <v>4192</v>
      </c>
      <c r="B3423" s="304" t="s">
        <v>8975</v>
      </c>
      <c r="C3423" s="304" t="s">
        <v>5555</v>
      </c>
      <c r="D3423" s="540">
        <v>15.99</v>
      </c>
    </row>
    <row r="3424" spans="1:4" ht="15" x14ac:dyDescent="0.25">
      <c r="A3424" s="304">
        <v>4191</v>
      </c>
      <c r="B3424" s="304" t="s">
        <v>8976</v>
      </c>
      <c r="C3424" s="304" t="s">
        <v>5555</v>
      </c>
      <c r="D3424" s="540">
        <v>15.99</v>
      </c>
    </row>
    <row r="3425" spans="1:4" ht="15" x14ac:dyDescent="0.25">
      <c r="A3425" s="304">
        <v>4207</v>
      </c>
      <c r="B3425" s="304" t="s">
        <v>8977</v>
      </c>
      <c r="C3425" s="304" t="s">
        <v>5555</v>
      </c>
      <c r="D3425" s="540">
        <v>12.86</v>
      </c>
    </row>
    <row r="3426" spans="1:4" ht="15" x14ac:dyDescent="0.25">
      <c r="A3426" s="304">
        <v>4206</v>
      </c>
      <c r="B3426" s="304" t="s">
        <v>8978</v>
      </c>
      <c r="C3426" s="304" t="s">
        <v>5555</v>
      </c>
      <c r="D3426" s="540">
        <v>12.49</v>
      </c>
    </row>
    <row r="3427" spans="1:4" ht="15" x14ac:dyDescent="0.25">
      <c r="A3427" s="304">
        <v>4190</v>
      </c>
      <c r="B3427" s="304" t="s">
        <v>8979</v>
      </c>
      <c r="C3427" s="304" t="s">
        <v>5555</v>
      </c>
      <c r="D3427" s="540">
        <v>12.49</v>
      </c>
    </row>
    <row r="3428" spans="1:4" ht="15" x14ac:dyDescent="0.25">
      <c r="A3428" s="304">
        <v>4186</v>
      </c>
      <c r="B3428" s="304" t="s">
        <v>8980</v>
      </c>
      <c r="C3428" s="304" t="s">
        <v>5555</v>
      </c>
      <c r="D3428" s="540">
        <v>3.69</v>
      </c>
    </row>
    <row r="3429" spans="1:4" ht="15" x14ac:dyDescent="0.25">
      <c r="A3429" s="304">
        <v>4188</v>
      </c>
      <c r="B3429" s="304" t="s">
        <v>8981</v>
      </c>
      <c r="C3429" s="304" t="s">
        <v>5555</v>
      </c>
      <c r="D3429" s="540">
        <v>7.54</v>
      </c>
    </row>
    <row r="3430" spans="1:4" ht="15" x14ac:dyDescent="0.25">
      <c r="A3430" s="304">
        <v>4189</v>
      </c>
      <c r="B3430" s="304" t="s">
        <v>8982</v>
      </c>
      <c r="C3430" s="304" t="s">
        <v>5555</v>
      </c>
      <c r="D3430" s="540">
        <v>7.54</v>
      </c>
    </row>
    <row r="3431" spans="1:4" ht="15" x14ac:dyDescent="0.25">
      <c r="A3431" s="304">
        <v>4197</v>
      </c>
      <c r="B3431" s="304" t="s">
        <v>8983</v>
      </c>
      <c r="C3431" s="304" t="s">
        <v>5555</v>
      </c>
      <c r="D3431" s="540">
        <v>39.92</v>
      </c>
    </row>
    <row r="3432" spans="1:4" ht="15" x14ac:dyDescent="0.25">
      <c r="A3432" s="304">
        <v>4194</v>
      </c>
      <c r="B3432" s="304" t="s">
        <v>8984</v>
      </c>
      <c r="C3432" s="304" t="s">
        <v>5555</v>
      </c>
      <c r="D3432" s="540">
        <v>24.12</v>
      </c>
    </row>
    <row r="3433" spans="1:4" ht="15" x14ac:dyDescent="0.25">
      <c r="A3433" s="304">
        <v>4193</v>
      </c>
      <c r="B3433" s="304" t="s">
        <v>8985</v>
      </c>
      <c r="C3433" s="304" t="s">
        <v>5555</v>
      </c>
      <c r="D3433" s="540">
        <v>24.12</v>
      </c>
    </row>
    <row r="3434" spans="1:4" ht="15" x14ac:dyDescent="0.25">
      <c r="A3434" s="304">
        <v>4204</v>
      </c>
      <c r="B3434" s="304" t="s">
        <v>8986</v>
      </c>
      <c r="C3434" s="304" t="s">
        <v>5555</v>
      </c>
      <c r="D3434" s="540">
        <v>24.12</v>
      </c>
    </row>
    <row r="3435" spans="1:4" ht="15" x14ac:dyDescent="0.25">
      <c r="A3435" s="304">
        <v>4187</v>
      </c>
      <c r="B3435" s="304" t="s">
        <v>8987</v>
      </c>
      <c r="C3435" s="304" t="s">
        <v>5555</v>
      </c>
      <c r="D3435" s="540">
        <v>4.8</v>
      </c>
    </row>
    <row r="3436" spans="1:4" ht="15" x14ac:dyDescent="0.25">
      <c r="A3436" s="304">
        <v>4202</v>
      </c>
      <c r="B3436" s="304" t="s">
        <v>8988</v>
      </c>
      <c r="C3436" s="304" t="s">
        <v>5555</v>
      </c>
      <c r="D3436" s="540">
        <v>72.900000000000006</v>
      </c>
    </row>
    <row r="3437" spans="1:4" ht="15" x14ac:dyDescent="0.25">
      <c r="A3437" s="304">
        <v>4203</v>
      </c>
      <c r="B3437" s="304" t="s">
        <v>8989</v>
      </c>
      <c r="C3437" s="304" t="s">
        <v>5555</v>
      </c>
      <c r="D3437" s="540">
        <v>64.38</v>
      </c>
    </row>
    <row r="3438" spans="1:4" ht="15" x14ac:dyDescent="0.25">
      <c r="A3438" s="304">
        <v>40368</v>
      </c>
      <c r="B3438" s="304" t="s">
        <v>8990</v>
      </c>
      <c r="C3438" s="304" t="s">
        <v>5555</v>
      </c>
      <c r="D3438" s="540">
        <v>26.3</v>
      </c>
    </row>
    <row r="3439" spans="1:4" ht="15" x14ac:dyDescent="0.25">
      <c r="A3439" s="304">
        <v>40365</v>
      </c>
      <c r="B3439" s="304" t="s">
        <v>8991</v>
      </c>
      <c r="C3439" s="304" t="s">
        <v>5555</v>
      </c>
      <c r="D3439" s="540">
        <v>17.739999999999998</v>
      </c>
    </row>
    <row r="3440" spans="1:4" ht="15" x14ac:dyDescent="0.25">
      <c r="A3440" s="304">
        <v>40356</v>
      </c>
      <c r="B3440" s="304" t="s">
        <v>8992</v>
      </c>
      <c r="C3440" s="304" t="s">
        <v>5555</v>
      </c>
      <c r="D3440" s="540">
        <v>6.06</v>
      </c>
    </row>
    <row r="3441" spans="1:4" ht="15" x14ac:dyDescent="0.25">
      <c r="A3441" s="304">
        <v>40362</v>
      </c>
      <c r="B3441" s="304" t="s">
        <v>8993</v>
      </c>
      <c r="C3441" s="304" t="s">
        <v>5555</v>
      </c>
      <c r="D3441" s="540">
        <v>11.75</v>
      </c>
    </row>
    <row r="3442" spans="1:4" ht="15" x14ac:dyDescent="0.25">
      <c r="A3442" s="304">
        <v>40374</v>
      </c>
      <c r="B3442" s="304" t="s">
        <v>8994</v>
      </c>
      <c r="C3442" s="304" t="s">
        <v>5555</v>
      </c>
      <c r="D3442" s="540">
        <v>68.73</v>
      </c>
    </row>
    <row r="3443" spans="1:4" ht="15" x14ac:dyDescent="0.25">
      <c r="A3443" s="304">
        <v>40371</v>
      </c>
      <c r="B3443" s="304" t="s">
        <v>8995</v>
      </c>
      <c r="C3443" s="304" t="s">
        <v>5555</v>
      </c>
      <c r="D3443" s="540">
        <v>43.27</v>
      </c>
    </row>
    <row r="3444" spans="1:4" ht="15" x14ac:dyDescent="0.25">
      <c r="A3444" s="304">
        <v>40359</v>
      </c>
      <c r="B3444" s="304" t="s">
        <v>8996</v>
      </c>
      <c r="C3444" s="304" t="s">
        <v>5555</v>
      </c>
      <c r="D3444" s="540">
        <v>7.83</v>
      </c>
    </row>
    <row r="3445" spans="1:4" ht="15" x14ac:dyDescent="0.25">
      <c r="A3445" s="304">
        <v>7595</v>
      </c>
      <c r="B3445" s="304" t="s">
        <v>8997</v>
      </c>
      <c r="C3445" s="304" t="s">
        <v>5566</v>
      </c>
      <c r="D3445" s="540">
        <v>16.68</v>
      </c>
    </row>
    <row r="3446" spans="1:4" ht="15" x14ac:dyDescent="0.25">
      <c r="A3446" s="304">
        <v>41094</v>
      </c>
      <c r="B3446" s="304" t="s">
        <v>8998</v>
      </c>
      <c r="C3446" s="304" t="s">
        <v>5755</v>
      </c>
      <c r="D3446" s="541">
        <v>2919.92</v>
      </c>
    </row>
    <row r="3447" spans="1:4" ht="15" x14ac:dyDescent="0.25">
      <c r="A3447" s="304">
        <v>38175</v>
      </c>
      <c r="B3447" s="304" t="s">
        <v>8999</v>
      </c>
      <c r="C3447" s="304" t="s">
        <v>5555</v>
      </c>
      <c r="D3447" s="540">
        <v>2.42</v>
      </c>
    </row>
    <row r="3448" spans="1:4" ht="15" x14ac:dyDescent="0.25">
      <c r="A3448" s="304">
        <v>38176</v>
      </c>
      <c r="B3448" s="304" t="s">
        <v>9000</v>
      </c>
      <c r="C3448" s="304" t="s">
        <v>5555</v>
      </c>
      <c r="D3448" s="540">
        <v>6.56</v>
      </c>
    </row>
    <row r="3449" spans="1:4" ht="15" x14ac:dyDescent="0.25">
      <c r="A3449" s="304">
        <v>36152</v>
      </c>
      <c r="B3449" s="304" t="s">
        <v>9001</v>
      </c>
      <c r="C3449" s="304" t="s">
        <v>5555</v>
      </c>
      <c r="D3449" s="540">
        <v>4.6900000000000004</v>
      </c>
    </row>
    <row r="3450" spans="1:4" ht="15" x14ac:dyDescent="0.25">
      <c r="A3450" s="304">
        <v>11138</v>
      </c>
      <c r="B3450" s="304" t="s">
        <v>9002</v>
      </c>
      <c r="C3450" s="304" t="s">
        <v>5628</v>
      </c>
      <c r="D3450" s="540">
        <v>2.5299999999999998</v>
      </c>
    </row>
    <row r="3451" spans="1:4" ht="15" x14ac:dyDescent="0.25">
      <c r="A3451" s="304">
        <v>5333</v>
      </c>
      <c r="B3451" s="304" t="s">
        <v>9003</v>
      </c>
      <c r="C3451" s="304" t="s">
        <v>5628</v>
      </c>
      <c r="D3451" s="540">
        <v>16.09</v>
      </c>
    </row>
    <row r="3452" spans="1:4" ht="15" x14ac:dyDescent="0.25">
      <c r="A3452" s="304">
        <v>4221</v>
      </c>
      <c r="B3452" s="304" t="s">
        <v>9004</v>
      </c>
      <c r="C3452" s="304" t="s">
        <v>5628</v>
      </c>
      <c r="D3452" s="540">
        <v>3.94</v>
      </c>
    </row>
    <row r="3453" spans="1:4" ht="15" x14ac:dyDescent="0.25">
      <c r="A3453" s="304">
        <v>4227</v>
      </c>
      <c r="B3453" s="304" t="s">
        <v>9005</v>
      </c>
      <c r="C3453" s="304" t="s">
        <v>5628</v>
      </c>
      <c r="D3453" s="540">
        <v>19.61</v>
      </c>
    </row>
    <row r="3454" spans="1:4" ht="15" x14ac:dyDescent="0.25">
      <c r="A3454" s="304">
        <v>38170</v>
      </c>
      <c r="B3454" s="304" t="s">
        <v>9006</v>
      </c>
      <c r="C3454" s="304" t="s">
        <v>5555</v>
      </c>
      <c r="D3454" s="540">
        <v>11.05</v>
      </c>
    </row>
    <row r="3455" spans="1:4" ht="15" x14ac:dyDescent="0.25">
      <c r="A3455" s="304">
        <v>4252</v>
      </c>
      <c r="B3455" s="304" t="s">
        <v>9007</v>
      </c>
      <c r="C3455" s="304" t="s">
        <v>5566</v>
      </c>
      <c r="D3455" s="540">
        <v>18.440000000000001</v>
      </c>
    </row>
    <row r="3456" spans="1:4" ht="15" x14ac:dyDescent="0.25">
      <c r="A3456" s="304">
        <v>40980</v>
      </c>
      <c r="B3456" s="304" t="s">
        <v>9008</v>
      </c>
      <c r="C3456" s="304" t="s">
        <v>5755</v>
      </c>
      <c r="D3456" s="541">
        <v>3230.63</v>
      </c>
    </row>
    <row r="3457" spans="1:4" ht="15" x14ac:dyDescent="0.25">
      <c r="A3457" s="304">
        <v>4243</v>
      </c>
      <c r="B3457" s="304" t="s">
        <v>9009</v>
      </c>
      <c r="C3457" s="304" t="s">
        <v>5566</v>
      </c>
      <c r="D3457" s="540">
        <v>12.82</v>
      </c>
    </row>
    <row r="3458" spans="1:4" ht="15" x14ac:dyDescent="0.25">
      <c r="A3458" s="304">
        <v>41031</v>
      </c>
      <c r="B3458" s="304" t="s">
        <v>9010</v>
      </c>
      <c r="C3458" s="304" t="s">
        <v>5755</v>
      </c>
      <c r="D3458" s="541">
        <v>2243.67</v>
      </c>
    </row>
    <row r="3459" spans="1:4" ht="15" x14ac:dyDescent="0.25">
      <c r="A3459" s="304">
        <v>40986</v>
      </c>
      <c r="B3459" s="304" t="s">
        <v>9011</v>
      </c>
      <c r="C3459" s="304" t="s">
        <v>5755</v>
      </c>
      <c r="D3459" s="541">
        <v>2165.2199999999998</v>
      </c>
    </row>
    <row r="3460" spans="1:4" ht="15" x14ac:dyDescent="0.25">
      <c r="A3460" s="304">
        <v>37666</v>
      </c>
      <c r="B3460" s="304" t="s">
        <v>9012</v>
      </c>
      <c r="C3460" s="304" t="s">
        <v>5566</v>
      </c>
      <c r="D3460" s="540">
        <v>12.37</v>
      </c>
    </row>
    <row r="3461" spans="1:4" ht="15" x14ac:dyDescent="0.25">
      <c r="A3461" s="304">
        <v>4250</v>
      </c>
      <c r="B3461" s="304" t="s">
        <v>9013</v>
      </c>
      <c r="C3461" s="304" t="s">
        <v>5566</v>
      </c>
      <c r="D3461" s="540">
        <v>16.64</v>
      </c>
    </row>
    <row r="3462" spans="1:4" ht="15" x14ac:dyDescent="0.25">
      <c r="A3462" s="304">
        <v>40978</v>
      </c>
      <c r="B3462" s="304" t="s">
        <v>9014</v>
      </c>
      <c r="C3462" s="304" t="s">
        <v>5755</v>
      </c>
      <c r="D3462" s="541">
        <v>2914.01</v>
      </c>
    </row>
    <row r="3463" spans="1:4" ht="15" x14ac:dyDescent="0.25">
      <c r="A3463" s="304">
        <v>25960</v>
      </c>
      <c r="B3463" s="304" t="s">
        <v>9015</v>
      </c>
      <c r="C3463" s="304" t="s">
        <v>5566</v>
      </c>
      <c r="D3463" s="540">
        <v>15.76</v>
      </c>
    </row>
    <row r="3464" spans="1:4" ht="15" x14ac:dyDescent="0.25">
      <c r="A3464" s="304">
        <v>41043</v>
      </c>
      <c r="B3464" s="304" t="s">
        <v>9016</v>
      </c>
      <c r="C3464" s="304" t="s">
        <v>5755</v>
      </c>
      <c r="D3464" s="541">
        <v>2761.45</v>
      </c>
    </row>
    <row r="3465" spans="1:4" ht="15" x14ac:dyDescent="0.25">
      <c r="A3465" s="304">
        <v>4234</v>
      </c>
      <c r="B3465" s="304" t="s">
        <v>9017</v>
      </c>
      <c r="C3465" s="304" t="s">
        <v>5566</v>
      </c>
      <c r="D3465" s="540">
        <v>17.28</v>
      </c>
    </row>
    <row r="3466" spans="1:4" ht="15" x14ac:dyDescent="0.25">
      <c r="A3466" s="304">
        <v>40987</v>
      </c>
      <c r="B3466" s="304" t="s">
        <v>9018</v>
      </c>
      <c r="C3466" s="304" t="s">
        <v>5755</v>
      </c>
      <c r="D3466" s="541">
        <v>3025.04</v>
      </c>
    </row>
    <row r="3467" spans="1:4" ht="15" x14ac:dyDescent="0.25">
      <c r="A3467" s="304">
        <v>4253</v>
      </c>
      <c r="B3467" s="304" t="s">
        <v>9019</v>
      </c>
      <c r="C3467" s="304" t="s">
        <v>5566</v>
      </c>
      <c r="D3467" s="540">
        <v>14.92</v>
      </c>
    </row>
    <row r="3468" spans="1:4" ht="15" x14ac:dyDescent="0.25">
      <c r="A3468" s="304">
        <v>40981</v>
      </c>
      <c r="B3468" s="304" t="s">
        <v>9020</v>
      </c>
      <c r="C3468" s="304" t="s">
        <v>5755</v>
      </c>
      <c r="D3468" s="541">
        <v>2612.2399999999998</v>
      </c>
    </row>
    <row r="3469" spans="1:4" ht="15" x14ac:dyDescent="0.25">
      <c r="A3469" s="304">
        <v>4254</v>
      </c>
      <c r="B3469" s="304" t="s">
        <v>9021</v>
      </c>
      <c r="C3469" s="304" t="s">
        <v>5566</v>
      </c>
      <c r="D3469" s="540">
        <v>19.41</v>
      </c>
    </row>
    <row r="3470" spans="1:4" ht="15" x14ac:dyDescent="0.25">
      <c r="A3470" s="304">
        <v>41036</v>
      </c>
      <c r="B3470" s="304" t="s">
        <v>9022</v>
      </c>
      <c r="C3470" s="304" t="s">
        <v>5755</v>
      </c>
      <c r="D3470" s="541">
        <v>3397.49</v>
      </c>
    </row>
    <row r="3471" spans="1:4" ht="15" x14ac:dyDescent="0.25">
      <c r="A3471" s="304">
        <v>4251</v>
      </c>
      <c r="B3471" s="304" t="s">
        <v>9023</v>
      </c>
      <c r="C3471" s="304" t="s">
        <v>5566</v>
      </c>
      <c r="D3471" s="540">
        <v>23.38</v>
      </c>
    </row>
    <row r="3472" spans="1:4" ht="15" x14ac:dyDescent="0.25">
      <c r="A3472" s="304">
        <v>40979</v>
      </c>
      <c r="B3472" s="304" t="s">
        <v>9024</v>
      </c>
      <c r="C3472" s="304" t="s">
        <v>5755</v>
      </c>
      <c r="D3472" s="541">
        <v>4094.96</v>
      </c>
    </row>
    <row r="3473" spans="1:4" ht="15" x14ac:dyDescent="0.25">
      <c r="A3473" s="304">
        <v>4230</v>
      </c>
      <c r="B3473" s="304" t="s">
        <v>9025</v>
      </c>
      <c r="C3473" s="304" t="s">
        <v>5566</v>
      </c>
      <c r="D3473" s="540">
        <v>17.97</v>
      </c>
    </row>
    <row r="3474" spans="1:4" ht="15" x14ac:dyDescent="0.25">
      <c r="A3474" s="304">
        <v>40998</v>
      </c>
      <c r="B3474" s="304" t="s">
        <v>9026</v>
      </c>
      <c r="C3474" s="304" t="s">
        <v>5755</v>
      </c>
      <c r="D3474" s="541">
        <v>3147.02</v>
      </c>
    </row>
    <row r="3475" spans="1:4" ht="15" x14ac:dyDescent="0.25">
      <c r="A3475" s="304">
        <v>4257</v>
      </c>
      <c r="B3475" s="304" t="s">
        <v>9027</v>
      </c>
      <c r="C3475" s="304" t="s">
        <v>5566</v>
      </c>
      <c r="D3475" s="540">
        <v>14.92</v>
      </c>
    </row>
    <row r="3476" spans="1:4" ht="15" x14ac:dyDescent="0.25">
      <c r="A3476" s="304">
        <v>40982</v>
      </c>
      <c r="B3476" s="304" t="s">
        <v>9028</v>
      </c>
      <c r="C3476" s="304" t="s">
        <v>5755</v>
      </c>
      <c r="D3476" s="541">
        <v>2612.2600000000002</v>
      </c>
    </row>
    <row r="3477" spans="1:4" ht="15" x14ac:dyDescent="0.25">
      <c r="A3477" s="304">
        <v>4240</v>
      </c>
      <c r="B3477" s="304" t="s">
        <v>9029</v>
      </c>
      <c r="C3477" s="304" t="s">
        <v>5566</v>
      </c>
      <c r="D3477" s="540">
        <v>16.04</v>
      </c>
    </row>
    <row r="3478" spans="1:4" ht="15" x14ac:dyDescent="0.25">
      <c r="A3478" s="304">
        <v>41026</v>
      </c>
      <c r="B3478" s="304" t="s">
        <v>9030</v>
      </c>
      <c r="C3478" s="304" t="s">
        <v>5755</v>
      </c>
      <c r="D3478" s="541">
        <v>2808.5</v>
      </c>
    </row>
    <row r="3479" spans="1:4" ht="15" x14ac:dyDescent="0.25">
      <c r="A3479" s="304">
        <v>4239</v>
      </c>
      <c r="B3479" s="304" t="s">
        <v>9031</v>
      </c>
      <c r="C3479" s="304" t="s">
        <v>5566</v>
      </c>
      <c r="D3479" s="540">
        <v>19.670000000000002</v>
      </c>
    </row>
    <row r="3480" spans="1:4" ht="15" x14ac:dyDescent="0.25">
      <c r="A3480" s="304">
        <v>41024</v>
      </c>
      <c r="B3480" s="304" t="s">
        <v>9032</v>
      </c>
      <c r="C3480" s="304" t="s">
        <v>5755</v>
      </c>
      <c r="D3480" s="541">
        <v>3445.52</v>
      </c>
    </row>
    <row r="3481" spans="1:4" ht="15" x14ac:dyDescent="0.25">
      <c r="A3481" s="304">
        <v>4248</v>
      </c>
      <c r="B3481" s="304" t="s">
        <v>9033</v>
      </c>
      <c r="C3481" s="304" t="s">
        <v>5566</v>
      </c>
      <c r="D3481" s="540">
        <v>17.05</v>
      </c>
    </row>
    <row r="3482" spans="1:4" ht="15" x14ac:dyDescent="0.25">
      <c r="A3482" s="304">
        <v>41033</v>
      </c>
      <c r="B3482" s="304" t="s">
        <v>9034</v>
      </c>
      <c r="C3482" s="304" t="s">
        <v>5755</v>
      </c>
      <c r="D3482" s="541">
        <v>2985.33</v>
      </c>
    </row>
    <row r="3483" spans="1:4" ht="15" x14ac:dyDescent="0.25">
      <c r="A3483" s="304">
        <v>25959</v>
      </c>
      <c r="B3483" s="304" t="s">
        <v>9035</v>
      </c>
      <c r="C3483" s="304" t="s">
        <v>5566</v>
      </c>
      <c r="D3483" s="540">
        <v>16.55</v>
      </c>
    </row>
    <row r="3484" spans="1:4" ht="15" x14ac:dyDescent="0.25">
      <c r="A3484" s="304">
        <v>41040</v>
      </c>
      <c r="B3484" s="304" t="s">
        <v>9036</v>
      </c>
      <c r="C3484" s="304" t="s">
        <v>5755</v>
      </c>
      <c r="D3484" s="541">
        <v>2899.51</v>
      </c>
    </row>
    <row r="3485" spans="1:4" ht="15" x14ac:dyDescent="0.25">
      <c r="A3485" s="304">
        <v>4238</v>
      </c>
      <c r="B3485" s="304" t="s">
        <v>9037</v>
      </c>
      <c r="C3485" s="304" t="s">
        <v>5566</v>
      </c>
      <c r="D3485" s="540">
        <v>16.850000000000001</v>
      </c>
    </row>
    <row r="3486" spans="1:4" ht="15" x14ac:dyDescent="0.25">
      <c r="A3486" s="304">
        <v>41012</v>
      </c>
      <c r="B3486" s="304" t="s">
        <v>9038</v>
      </c>
      <c r="C3486" s="304" t="s">
        <v>5755</v>
      </c>
      <c r="D3486" s="541">
        <v>2953.18</v>
      </c>
    </row>
    <row r="3487" spans="1:4" ht="15" x14ac:dyDescent="0.25">
      <c r="A3487" s="304">
        <v>4237</v>
      </c>
      <c r="B3487" s="304" t="s">
        <v>9039</v>
      </c>
      <c r="C3487" s="304" t="s">
        <v>5566</v>
      </c>
      <c r="D3487" s="540">
        <v>16.53</v>
      </c>
    </row>
    <row r="3488" spans="1:4" ht="15" x14ac:dyDescent="0.25">
      <c r="A3488" s="304">
        <v>41002</v>
      </c>
      <c r="B3488" s="304" t="s">
        <v>9040</v>
      </c>
      <c r="C3488" s="304" t="s">
        <v>5755</v>
      </c>
      <c r="D3488" s="541">
        <v>2894.85</v>
      </c>
    </row>
    <row r="3489" spans="1:4" ht="15" x14ac:dyDescent="0.25">
      <c r="A3489" s="304">
        <v>4233</v>
      </c>
      <c r="B3489" s="304" t="s">
        <v>9041</v>
      </c>
      <c r="C3489" s="304" t="s">
        <v>5566</v>
      </c>
      <c r="D3489" s="540">
        <v>14.21</v>
      </c>
    </row>
    <row r="3490" spans="1:4" ht="15" x14ac:dyDescent="0.25">
      <c r="A3490" s="304">
        <v>41001</v>
      </c>
      <c r="B3490" s="304" t="s">
        <v>9042</v>
      </c>
      <c r="C3490" s="304" t="s">
        <v>5755</v>
      </c>
      <c r="D3490" s="541">
        <v>2489.9899999999998</v>
      </c>
    </row>
    <row r="3491" spans="1:4" ht="15" x14ac:dyDescent="0.25">
      <c r="A3491" s="304">
        <v>2</v>
      </c>
      <c r="B3491" s="304" t="s">
        <v>9043</v>
      </c>
      <c r="C3491" s="304" t="s">
        <v>5751</v>
      </c>
      <c r="D3491" s="540">
        <v>8.2100000000000009</v>
      </c>
    </row>
    <row r="3492" spans="1:4" ht="15" x14ac:dyDescent="0.25">
      <c r="A3492" s="304">
        <v>36517</v>
      </c>
      <c r="B3492" s="304" t="s">
        <v>9044</v>
      </c>
      <c r="C3492" s="304" t="s">
        <v>5555</v>
      </c>
      <c r="D3492" s="541">
        <v>325565.65999999997</v>
      </c>
    </row>
    <row r="3493" spans="1:4" ht="15" x14ac:dyDescent="0.25">
      <c r="A3493" s="304">
        <v>4262</v>
      </c>
      <c r="B3493" s="304" t="s">
        <v>9045</v>
      </c>
      <c r="C3493" s="304" t="s">
        <v>5555</v>
      </c>
      <c r="D3493" s="541">
        <v>366628</v>
      </c>
    </row>
    <row r="3494" spans="1:4" ht="15" x14ac:dyDescent="0.25">
      <c r="A3494" s="304">
        <v>4263</v>
      </c>
      <c r="B3494" s="304" t="s">
        <v>9046</v>
      </c>
      <c r="C3494" s="304" t="s">
        <v>5555</v>
      </c>
      <c r="D3494" s="541">
        <v>508390.8</v>
      </c>
    </row>
    <row r="3495" spans="1:4" ht="15" x14ac:dyDescent="0.25">
      <c r="A3495" s="304">
        <v>36518</v>
      </c>
      <c r="B3495" s="304" t="s">
        <v>9047</v>
      </c>
      <c r="C3495" s="304" t="s">
        <v>5555</v>
      </c>
      <c r="D3495" s="541">
        <v>578783.37</v>
      </c>
    </row>
    <row r="3496" spans="1:4" ht="15" x14ac:dyDescent="0.25">
      <c r="A3496" s="304">
        <v>14221</v>
      </c>
      <c r="B3496" s="304" t="s">
        <v>9048</v>
      </c>
      <c r="C3496" s="304" t="s">
        <v>5555</v>
      </c>
      <c r="D3496" s="541">
        <v>337786.58</v>
      </c>
    </row>
    <row r="3497" spans="1:4" ht="15" x14ac:dyDescent="0.25">
      <c r="A3497" s="304">
        <v>38402</v>
      </c>
      <c r="B3497" s="304" t="s">
        <v>9049</v>
      </c>
      <c r="C3497" s="304" t="s">
        <v>5555</v>
      </c>
      <c r="D3497" s="540">
        <v>5.81</v>
      </c>
    </row>
    <row r="3498" spans="1:4" ht="15" x14ac:dyDescent="0.25">
      <c r="A3498" s="304">
        <v>3412</v>
      </c>
      <c r="B3498" s="304" t="s">
        <v>9050</v>
      </c>
      <c r="C3498" s="304" t="s">
        <v>5564</v>
      </c>
      <c r="D3498" s="540">
        <v>16.38</v>
      </c>
    </row>
    <row r="3499" spans="1:4" ht="15" x14ac:dyDescent="0.25">
      <c r="A3499" s="304">
        <v>3413</v>
      </c>
      <c r="B3499" s="304" t="s">
        <v>9051</v>
      </c>
      <c r="C3499" s="304" t="s">
        <v>5564</v>
      </c>
      <c r="D3499" s="540">
        <v>36.880000000000003</v>
      </c>
    </row>
    <row r="3500" spans="1:4" ht="15" x14ac:dyDescent="0.25">
      <c r="A3500" s="304">
        <v>39744</v>
      </c>
      <c r="B3500" s="304" t="s">
        <v>9052</v>
      </c>
      <c r="C3500" s="304" t="s">
        <v>5564</v>
      </c>
      <c r="D3500" s="540">
        <v>28.64</v>
      </c>
    </row>
    <row r="3501" spans="1:4" ht="15" x14ac:dyDescent="0.25">
      <c r="A3501" s="304">
        <v>39745</v>
      </c>
      <c r="B3501" s="304" t="s">
        <v>9053</v>
      </c>
      <c r="C3501" s="304" t="s">
        <v>5564</v>
      </c>
      <c r="D3501" s="540">
        <v>60.44</v>
      </c>
    </row>
    <row r="3502" spans="1:4" ht="15" x14ac:dyDescent="0.25">
      <c r="A3502" s="304">
        <v>39637</v>
      </c>
      <c r="B3502" s="304" t="s">
        <v>9054</v>
      </c>
      <c r="C3502" s="304" t="s">
        <v>5564</v>
      </c>
      <c r="D3502" s="540">
        <v>70.14</v>
      </c>
    </row>
    <row r="3503" spans="1:4" ht="15" x14ac:dyDescent="0.25">
      <c r="A3503" s="304">
        <v>39638</v>
      </c>
      <c r="B3503" s="304" t="s">
        <v>9055</v>
      </c>
      <c r="C3503" s="304" t="s">
        <v>5564</v>
      </c>
      <c r="D3503" s="540">
        <v>130.62</v>
      </c>
    </row>
    <row r="3504" spans="1:4" ht="15" x14ac:dyDescent="0.25">
      <c r="A3504" s="304">
        <v>39639</v>
      </c>
      <c r="B3504" s="304" t="s">
        <v>9056</v>
      </c>
      <c r="C3504" s="304" t="s">
        <v>5564</v>
      </c>
      <c r="D3504" s="540">
        <v>172.21</v>
      </c>
    </row>
    <row r="3505" spans="1:4" ht="15" x14ac:dyDescent="0.25">
      <c r="A3505" s="304">
        <v>39517</v>
      </c>
      <c r="B3505" s="304" t="s">
        <v>9057</v>
      </c>
      <c r="C3505" s="304" t="s">
        <v>5564</v>
      </c>
      <c r="D3505" s="540">
        <v>167.74</v>
      </c>
    </row>
    <row r="3506" spans="1:4" ht="15" x14ac:dyDescent="0.25">
      <c r="A3506" s="304">
        <v>39518</v>
      </c>
      <c r="B3506" s="304" t="s">
        <v>9058</v>
      </c>
      <c r="C3506" s="304" t="s">
        <v>5564</v>
      </c>
      <c r="D3506" s="540">
        <v>198.4</v>
      </c>
    </row>
    <row r="3507" spans="1:4" ht="15" x14ac:dyDescent="0.25">
      <c r="A3507" s="304">
        <v>38366</v>
      </c>
      <c r="B3507" s="304" t="s">
        <v>9059</v>
      </c>
      <c r="C3507" s="304" t="s">
        <v>5564</v>
      </c>
      <c r="D3507" s="540">
        <v>4.07</v>
      </c>
    </row>
    <row r="3508" spans="1:4" ht="15" x14ac:dyDescent="0.25">
      <c r="A3508" s="304">
        <v>11703</v>
      </c>
      <c r="B3508" s="304" t="s">
        <v>9060</v>
      </c>
      <c r="C3508" s="304" t="s">
        <v>5555</v>
      </c>
      <c r="D3508" s="540">
        <v>26.67</v>
      </c>
    </row>
    <row r="3509" spans="1:4" ht="15" x14ac:dyDescent="0.25">
      <c r="A3509" s="304">
        <v>37400</v>
      </c>
      <c r="B3509" s="304" t="s">
        <v>9061</v>
      </c>
      <c r="C3509" s="304" t="s">
        <v>5555</v>
      </c>
      <c r="D3509" s="540">
        <v>65.59</v>
      </c>
    </row>
    <row r="3510" spans="1:4" ht="15" x14ac:dyDescent="0.25">
      <c r="A3510" s="304">
        <v>25400</v>
      </c>
      <c r="B3510" s="304" t="s">
        <v>9062</v>
      </c>
      <c r="C3510" s="304" t="s">
        <v>5555</v>
      </c>
      <c r="D3510" s="541">
        <v>1179.46</v>
      </c>
    </row>
    <row r="3511" spans="1:4" ht="15" x14ac:dyDescent="0.25">
      <c r="A3511" s="304">
        <v>4272</v>
      </c>
      <c r="B3511" s="304" t="s">
        <v>9063</v>
      </c>
      <c r="C3511" s="304" t="s">
        <v>5555</v>
      </c>
      <c r="D3511" s="540">
        <v>52.78</v>
      </c>
    </row>
    <row r="3512" spans="1:4" ht="15" x14ac:dyDescent="0.25">
      <c r="A3512" s="304">
        <v>4276</v>
      </c>
      <c r="B3512" s="304" t="s">
        <v>9064</v>
      </c>
      <c r="C3512" s="304" t="s">
        <v>5555</v>
      </c>
      <c r="D3512" s="540">
        <v>155.79</v>
      </c>
    </row>
    <row r="3513" spans="1:4" ht="15" x14ac:dyDescent="0.25">
      <c r="A3513" s="304">
        <v>4273</v>
      </c>
      <c r="B3513" s="304" t="s">
        <v>9065</v>
      </c>
      <c r="C3513" s="304" t="s">
        <v>5555</v>
      </c>
      <c r="D3513" s="540">
        <v>258.79000000000002</v>
      </c>
    </row>
    <row r="3514" spans="1:4" ht="15" x14ac:dyDescent="0.25">
      <c r="A3514" s="304">
        <v>4274</v>
      </c>
      <c r="B3514" s="304" t="s">
        <v>9066</v>
      </c>
      <c r="C3514" s="304" t="s">
        <v>5555</v>
      </c>
      <c r="D3514" s="540">
        <v>60.01</v>
      </c>
    </row>
    <row r="3515" spans="1:4" ht="15" x14ac:dyDescent="0.25">
      <c r="A3515" s="304">
        <v>39438</v>
      </c>
      <c r="B3515" s="304" t="s">
        <v>9067</v>
      </c>
      <c r="C3515" s="304" t="s">
        <v>5555</v>
      </c>
      <c r="D3515" s="540">
        <v>0.19</v>
      </c>
    </row>
    <row r="3516" spans="1:4" ht="15" x14ac:dyDescent="0.25">
      <c r="A3516" s="304">
        <v>11963</v>
      </c>
      <c r="B3516" s="304" t="s">
        <v>9068</v>
      </c>
      <c r="C3516" s="304" t="s">
        <v>5555</v>
      </c>
      <c r="D3516" s="540">
        <v>6.99</v>
      </c>
    </row>
    <row r="3517" spans="1:4" ht="15" x14ac:dyDescent="0.25">
      <c r="A3517" s="304">
        <v>11964</v>
      </c>
      <c r="B3517" s="304" t="s">
        <v>9069</v>
      </c>
      <c r="C3517" s="304" t="s">
        <v>5555</v>
      </c>
      <c r="D3517" s="540">
        <v>1.76</v>
      </c>
    </row>
    <row r="3518" spans="1:4" ht="15" x14ac:dyDescent="0.25">
      <c r="A3518" s="304">
        <v>4379</v>
      </c>
      <c r="B3518" s="304" t="s">
        <v>9070</v>
      </c>
      <c r="C3518" s="304" t="s">
        <v>5555</v>
      </c>
      <c r="D3518" s="540">
        <v>0.03</v>
      </c>
    </row>
    <row r="3519" spans="1:4" ht="15" x14ac:dyDescent="0.25">
      <c r="A3519" s="304">
        <v>4377</v>
      </c>
      <c r="B3519" s="304" t="s">
        <v>9071</v>
      </c>
      <c r="C3519" s="304" t="s">
        <v>5555</v>
      </c>
      <c r="D3519" s="540">
        <v>0.13</v>
      </c>
    </row>
    <row r="3520" spans="1:4" ht="15" x14ac:dyDescent="0.25">
      <c r="A3520" s="304">
        <v>4356</v>
      </c>
      <c r="B3520" s="304" t="s">
        <v>9072</v>
      </c>
      <c r="C3520" s="304" t="s">
        <v>5555</v>
      </c>
      <c r="D3520" s="540">
        <v>0.19</v>
      </c>
    </row>
    <row r="3521" spans="1:4" ht="15" x14ac:dyDescent="0.25">
      <c r="A3521" s="304">
        <v>13246</v>
      </c>
      <c r="B3521" s="304" t="s">
        <v>9073</v>
      </c>
      <c r="C3521" s="304" t="s">
        <v>5555</v>
      </c>
      <c r="D3521" s="540">
        <v>0.33</v>
      </c>
    </row>
    <row r="3522" spans="1:4" ht="15" x14ac:dyDescent="0.25">
      <c r="A3522" s="304">
        <v>4346</v>
      </c>
      <c r="B3522" s="304" t="s">
        <v>9074</v>
      </c>
      <c r="C3522" s="304" t="s">
        <v>5555</v>
      </c>
      <c r="D3522" s="540">
        <v>7.49</v>
      </c>
    </row>
    <row r="3523" spans="1:4" ht="15" x14ac:dyDescent="0.25">
      <c r="A3523" s="304">
        <v>11955</v>
      </c>
      <c r="B3523" s="304" t="s">
        <v>9075</v>
      </c>
      <c r="C3523" s="304" t="s">
        <v>5555</v>
      </c>
      <c r="D3523" s="540">
        <v>3.28</v>
      </c>
    </row>
    <row r="3524" spans="1:4" ht="15" x14ac:dyDescent="0.25">
      <c r="A3524" s="304">
        <v>11960</v>
      </c>
      <c r="B3524" s="304" t="s">
        <v>9076</v>
      </c>
      <c r="C3524" s="304" t="s">
        <v>5555</v>
      </c>
      <c r="D3524" s="540">
        <v>0.11</v>
      </c>
    </row>
    <row r="3525" spans="1:4" ht="15" x14ac:dyDescent="0.25">
      <c r="A3525" s="304">
        <v>4333</v>
      </c>
      <c r="B3525" s="304" t="s">
        <v>9077</v>
      </c>
      <c r="C3525" s="304" t="s">
        <v>5555</v>
      </c>
      <c r="D3525" s="540">
        <v>0.19</v>
      </c>
    </row>
    <row r="3526" spans="1:4" ht="15" x14ac:dyDescent="0.25">
      <c r="A3526" s="304">
        <v>4358</v>
      </c>
      <c r="B3526" s="304" t="s">
        <v>9078</v>
      </c>
      <c r="C3526" s="304" t="s">
        <v>5555</v>
      </c>
      <c r="D3526" s="540">
        <v>1.5</v>
      </c>
    </row>
    <row r="3527" spans="1:4" ht="15" x14ac:dyDescent="0.25">
      <c r="A3527" s="304">
        <v>39435</v>
      </c>
      <c r="B3527" s="304" t="s">
        <v>9079</v>
      </c>
      <c r="C3527" s="304" t="s">
        <v>5555</v>
      </c>
      <c r="D3527" s="540">
        <v>7.0000000000000007E-2</v>
      </c>
    </row>
    <row r="3528" spans="1:4" ht="15" x14ac:dyDescent="0.25">
      <c r="A3528" s="304">
        <v>39436</v>
      </c>
      <c r="B3528" s="304" t="s">
        <v>9080</v>
      </c>
      <c r="C3528" s="304" t="s">
        <v>5555</v>
      </c>
      <c r="D3528" s="540">
        <v>0.13</v>
      </c>
    </row>
    <row r="3529" spans="1:4" ht="15" x14ac:dyDescent="0.25">
      <c r="A3529" s="304">
        <v>39437</v>
      </c>
      <c r="B3529" s="304" t="s">
        <v>9081</v>
      </c>
      <c r="C3529" s="304" t="s">
        <v>5555</v>
      </c>
      <c r="D3529" s="540">
        <v>0.17</v>
      </c>
    </row>
    <row r="3530" spans="1:4" ht="15" x14ac:dyDescent="0.25">
      <c r="A3530" s="304">
        <v>39439</v>
      </c>
      <c r="B3530" s="304" t="s">
        <v>9082</v>
      </c>
      <c r="C3530" s="304" t="s">
        <v>5555</v>
      </c>
      <c r="D3530" s="540">
        <v>0.11</v>
      </c>
    </row>
    <row r="3531" spans="1:4" ht="15" x14ac:dyDescent="0.25">
      <c r="A3531" s="304">
        <v>39440</v>
      </c>
      <c r="B3531" s="304" t="s">
        <v>9083</v>
      </c>
      <c r="C3531" s="304" t="s">
        <v>5555</v>
      </c>
      <c r="D3531" s="540">
        <v>0.15</v>
      </c>
    </row>
    <row r="3532" spans="1:4" ht="15" x14ac:dyDescent="0.25">
      <c r="A3532" s="304">
        <v>39441</v>
      </c>
      <c r="B3532" s="304" t="s">
        <v>9084</v>
      </c>
      <c r="C3532" s="304" t="s">
        <v>5555</v>
      </c>
      <c r="D3532" s="540">
        <v>0.19</v>
      </c>
    </row>
    <row r="3533" spans="1:4" ht="15" x14ac:dyDescent="0.25">
      <c r="A3533" s="304">
        <v>39442</v>
      </c>
      <c r="B3533" s="304" t="s">
        <v>9085</v>
      </c>
      <c r="C3533" s="304" t="s">
        <v>5555</v>
      </c>
      <c r="D3533" s="540">
        <v>0.13</v>
      </c>
    </row>
    <row r="3534" spans="1:4" ht="15" x14ac:dyDescent="0.25">
      <c r="A3534" s="304">
        <v>39443</v>
      </c>
      <c r="B3534" s="304" t="s">
        <v>9086</v>
      </c>
      <c r="C3534" s="304" t="s">
        <v>5555</v>
      </c>
      <c r="D3534" s="540">
        <v>0.18</v>
      </c>
    </row>
    <row r="3535" spans="1:4" ht="15" x14ac:dyDescent="0.25">
      <c r="A3535" s="304">
        <v>4329</v>
      </c>
      <c r="B3535" s="304" t="s">
        <v>9087</v>
      </c>
      <c r="C3535" s="304" t="s">
        <v>5555</v>
      </c>
      <c r="D3535" s="540">
        <v>1.6</v>
      </c>
    </row>
    <row r="3536" spans="1:4" ht="15" x14ac:dyDescent="0.25">
      <c r="A3536" s="304">
        <v>4383</v>
      </c>
      <c r="B3536" s="304" t="s">
        <v>9088</v>
      </c>
      <c r="C3536" s="304" t="s">
        <v>5555</v>
      </c>
      <c r="D3536" s="540">
        <v>14.46</v>
      </c>
    </row>
    <row r="3537" spans="1:4" ht="15" x14ac:dyDescent="0.25">
      <c r="A3537" s="304">
        <v>4344</v>
      </c>
      <c r="B3537" s="304" t="s">
        <v>9089</v>
      </c>
      <c r="C3537" s="304" t="s">
        <v>5555</v>
      </c>
      <c r="D3537" s="540">
        <v>15.16</v>
      </c>
    </row>
    <row r="3538" spans="1:4" ht="15" x14ac:dyDescent="0.25">
      <c r="A3538" s="304">
        <v>436</v>
      </c>
      <c r="B3538" s="304" t="s">
        <v>9090</v>
      </c>
      <c r="C3538" s="304" t="s">
        <v>5555</v>
      </c>
      <c r="D3538" s="540">
        <v>6.23</v>
      </c>
    </row>
    <row r="3539" spans="1:4" ht="15" x14ac:dyDescent="0.25">
      <c r="A3539" s="304">
        <v>442</v>
      </c>
      <c r="B3539" s="304" t="s">
        <v>9091</v>
      </c>
      <c r="C3539" s="304" t="s">
        <v>5555</v>
      </c>
      <c r="D3539" s="540">
        <v>3.68</v>
      </c>
    </row>
    <row r="3540" spans="1:4" ht="15" x14ac:dyDescent="0.25">
      <c r="A3540" s="304">
        <v>11953</v>
      </c>
      <c r="B3540" s="304" t="s">
        <v>9092</v>
      </c>
      <c r="C3540" s="304" t="s">
        <v>5555</v>
      </c>
      <c r="D3540" s="540">
        <v>2.4</v>
      </c>
    </row>
    <row r="3541" spans="1:4" ht="15" x14ac:dyDescent="0.25">
      <c r="A3541" s="304">
        <v>4335</v>
      </c>
      <c r="B3541" s="304" t="s">
        <v>9093</v>
      </c>
      <c r="C3541" s="304" t="s">
        <v>5555</v>
      </c>
      <c r="D3541" s="540">
        <v>10.18</v>
      </c>
    </row>
    <row r="3542" spans="1:4" ht="15" x14ac:dyDescent="0.25">
      <c r="A3542" s="304">
        <v>4334</v>
      </c>
      <c r="B3542" s="304" t="s">
        <v>9094</v>
      </c>
      <c r="C3542" s="304" t="s">
        <v>5555</v>
      </c>
      <c r="D3542" s="540">
        <v>13.96</v>
      </c>
    </row>
    <row r="3543" spans="1:4" ht="15" x14ac:dyDescent="0.25">
      <c r="A3543" s="304">
        <v>4343</v>
      </c>
      <c r="B3543" s="304" t="s">
        <v>9095</v>
      </c>
      <c r="C3543" s="304" t="s">
        <v>5555</v>
      </c>
      <c r="D3543" s="540">
        <v>3.43</v>
      </c>
    </row>
    <row r="3544" spans="1:4" ht="15" x14ac:dyDescent="0.25">
      <c r="A3544" s="304">
        <v>430</v>
      </c>
      <c r="B3544" s="304" t="s">
        <v>9096</v>
      </c>
      <c r="C3544" s="304" t="s">
        <v>5555</v>
      </c>
      <c r="D3544" s="540">
        <v>5.57</v>
      </c>
    </row>
    <row r="3545" spans="1:4" ht="15" x14ac:dyDescent="0.25">
      <c r="A3545" s="304">
        <v>441</v>
      </c>
      <c r="B3545" s="304" t="s">
        <v>9097</v>
      </c>
      <c r="C3545" s="304" t="s">
        <v>5555</v>
      </c>
      <c r="D3545" s="540">
        <v>6.13</v>
      </c>
    </row>
    <row r="3546" spans="1:4" ht="15" x14ac:dyDescent="0.25">
      <c r="A3546" s="304">
        <v>431</v>
      </c>
      <c r="B3546" s="304" t="s">
        <v>9098</v>
      </c>
      <c r="C3546" s="304" t="s">
        <v>5555</v>
      </c>
      <c r="D3546" s="540">
        <v>7.41</v>
      </c>
    </row>
    <row r="3547" spans="1:4" ht="15" x14ac:dyDescent="0.25">
      <c r="A3547" s="304">
        <v>432</v>
      </c>
      <c r="B3547" s="304" t="s">
        <v>9099</v>
      </c>
      <c r="C3547" s="304" t="s">
        <v>5555</v>
      </c>
      <c r="D3547" s="540">
        <v>8.18</v>
      </c>
    </row>
    <row r="3548" spans="1:4" ht="15" x14ac:dyDescent="0.25">
      <c r="A3548" s="304">
        <v>429</v>
      </c>
      <c r="B3548" s="304" t="s">
        <v>9100</v>
      </c>
      <c r="C3548" s="304" t="s">
        <v>5555</v>
      </c>
      <c r="D3548" s="540">
        <v>11.02</v>
      </c>
    </row>
    <row r="3549" spans="1:4" ht="15" x14ac:dyDescent="0.25">
      <c r="A3549" s="304">
        <v>439</v>
      </c>
      <c r="B3549" s="304" t="s">
        <v>9101</v>
      </c>
      <c r="C3549" s="304" t="s">
        <v>5555</v>
      </c>
      <c r="D3549" s="540">
        <v>9.39</v>
      </c>
    </row>
    <row r="3550" spans="1:4" ht="15" x14ac:dyDescent="0.25">
      <c r="A3550" s="304">
        <v>433</v>
      </c>
      <c r="B3550" s="304" t="s">
        <v>9102</v>
      </c>
      <c r="C3550" s="304" t="s">
        <v>5555</v>
      </c>
      <c r="D3550" s="540">
        <v>10.96</v>
      </c>
    </row>
    <row r="3551" spans="1:4" ht="15" x14ac:dyDescent="0.25">
      <c r="A3551" s="304">
        <v>437</v>
      </c>
      <c r="B3551" s="304" t="s">
        <v>9103</v>
      </c>
      <c r="C3551" s="304" t="s">
        <v>5555</v>
      </c>
      <c r="D3551" s="540">
        <v>14.57</v>
      </c>
    </row>
    <row r="3552" spans="1:4" ht="15" x14ac:dyDescent="0.25">
      <c r="A3552" s="304">
        <v>11790</v>
      </c>
      <c r="B3552" s="304" t="s">
        <v>9104</v>
      </c>
      <c r="C3552" s="304" t="s">
        <v>5555</v>
      </c>
      <c r="D3552" s="540">
        <v>16.52</v>
      </c>
    </row>
    <row r="3553" spans="1:4" ht="15" x14ac:dyDescent="0.25">
      <c r="A3553" s="304">
        <v>428</v>
      </c>
      <c r="B3553" s="304" t="s">
        <v>9105</v>
      </c>
      <c r="C3553" s="304" t="s">
        <v>5555</v>
      </c>
      <c r="D3553" s="540">
        <v>17.97</v>
      </c>
    </row>
    <row r="3554" spans="1:4" ht="15" x14ac:dyDescent="0.25">
      <c r="A3554" s="304">
        <v>4384</v>
      </c>
      <c r="B3554" s="304" t="s">
        <v>9106</v>
      </c>
      <c r="C3554" s="304" t="s">
        <v>5555</v>
      </c>
      <c r="D3554" s="540">
        <v>16.62</v>
      </c>
    </row>
    <row r="3555" spans="1:4" ht="15" x14ac:dyDescent="0.25">
      <c r="A3555" s="304">
        <v>4351</v>
      </c>
      <c r="B3555" s="304" t="s">
        <v>9107</v>
      </c>
      <c r="C3555" s="304" t="s">
        <v>5555</v>
      </c>
      <c r="D3555" s="540">
        <v>12.32</v>
      </c>
    </row>
    <row r="3556" spans="1:4" ht="15" x14ac:dyDescent="0.25">
      <c r="A3556" s="304">
        <v>11054</v>
      </c>
      <c r="B3556" s="304" t="s">
        <v>9108</v>
      </c>
      <c r="C3556" s="304" t="s">
        <v>5555</v>
      </c>
      <c r="D3556" s="540">
        <v>0.02</v>
      </c>
    </row>
    <row r="3557" spans="1:4" ht="15" x14ac:dyDescent="0.25">
      <c r="A3557" s="304">
        <v>11055</v>
      </c>
      <c r="B3557" s="304" t="s">
        <v>9109</v>
      </c>
      <c r="C3557" s="304" t="s">
        <v>5555</v>
      </c>
      <c r="D3557" s="540">
        <v>0.04</v>
      </c>
    </row>
    <row r="3558" spans="1:4" ht="15" x14ac:dyDescent="0.25">
      <c r="A3558" s="304">
        <v>11056</v>
      </c>
      <c r="B3558" s="304" t="s">
        <v>9110</v>
      </c>
      <c r="C3558" s="304" t="s">
        <v>5555</v>
      </c>
      <c r="D3558" s="540">
        <v>0.04</v>
      </c>
    </row>
    <row r="3559" spans="1:4" ht="15" x14ac:dyDescent="0.25">
      <c r="A3559" s="304">
        <v>11057</v>
      </c>
      <c r="B3559" s="304" t="s">
        <v>9111</v>
      </c>
      <c r="C3559" s="304" t="s">
        <v>5555</v>
      </c>
      <c r="D3559" s="540">
        <v>0.09</v>
      </c>
    </row>
    <row r="3560" spans="1:4" ht="15" x14ac:dyDescent="0.25">
      <c r="A3560" s="304">
        <v>11059</v>
      </c>
      <c r="B3560" s="304" t="s">
        <v>9112</v>
      </c>
      <c r="C3560" s="304" t="s">
        <v>5555</v>
      </c>
      <c r="D3560" s="540">
        <v>0.18</v>
      </c>
    </row>
    <row r="3561" spans="1:4" ht="15" x14ac:dyDescent="0.25">
      <c r="A3561" s="304">
        <v>11058</v>
      </c>
      <c r="B3561" s="304" t="s">
        <v>9113</v>
      </c>
      <c r="C3561" s="304" t="s">
        <v>5555</v>
      </c>
      <c r="D3561" s="540">
        <v>0.23</v>
      </c>
    </row>
    <row r="3562" spans="1:4" ht="15" x14ac:dyDescent="0.25">
      <c r="A3562" s="304">
        <v>4380</v>
      </c>
      <c r="B3562" s="304" t="s">
        <v>9114</v>
      </c>
      <c r="C3562" s="304" t="s">
        <v>5555</v>
      </c>
      <c r="D3562" s="540">
        <v>0.78</v>
      </c>
    </row>
    <row r="3563" spans="1:4" ht="15" x14ac:dyDescent="0.25">
      <c r="A3563" s="304">
        <v>4299</v>
      </c>
      <c r="B3563" s="304" t="s">
        <v>9115</v>
      </c>
      <c r="C3563" s="304" t="s">
        <v>5555</v>
      </c>
      <c r="D3563" s="540">
        <v>0.74</v>
      </c>
    </row>
    <row r="3564" spans="1:4" ht="15" x14ac:dyDescent="0.25">
      <c r="A3564" s="304">
        <v>4304</v>
      </c>
      <c r="B3564" s="304" t="s">
        <v>9116</v>
      </c>
      <c r="C3564" s="304" t="s">
        <v>5555</v>
      </c>
      <c r="D3564" s="540">
        <v>1.01</v>
      </c>
    </row>
    <row r="3565" spans="1:4" ht="15" x14ac:dyDescent="0.25">
      <c r="A3565" s="304">
        <v>4305</v>
      </c>
      <c r="B3565" s="304" t="s">
        <v>9117</v>
      </c>
      <c r="C3565" s="304" t="s">
        <v>5555</v>
      </c>
      <c r="D3565" s="540">
        <v>1.17</v>
      </c>
    </row>
    <row r="3566" spans="1:4" ht="15" x14ac:dyDescent="0.25">
      <c r="A3566" s="304">
        <v>4306</v>
      </c>
      <c r="B3566" s="304" t="s">
        <v>9118</v>
      </c>
      <c r="C3566" s="304" t="s">
        <v>5555</v>
      </c>
      <c r="D3566" s="540">
        <v>1.36</v>
      </c>
    </row>
    <row r="3567" spans="1:4" ht="15" x14ac:dyDescent="0.25">
      <c r="A3567" s="304">
        <v>4308</v>
      </c>
      <c r="B3567" s="304" t="s">
        <v>9119</v>
      </c>
      <c r="C3567" s="304" t="s">
        <v>5555</v>
      </c>
      <c r="D3567" s="540">
        <v>2.81</v>
      </c>
    </row>
    <row r="3568" spans="1:4" ht="15" x14ac:dyDescent="0.25">
      <c r="A3568" s="304">
        <v>4302</v>
      </c>
      <c r="B3568" s="304" t="s">
        <v>9120</v>
      </c>
      <c r="C3568" s="304" t="s">
        <v>5555</v>
      </c>
      <c r="D3568" s="540">
        <v>2.11</v>
      </c>
    </row>
    <row r="3569" spans="1:4" ht="15" x14ac:dyDescent="0.25">
      <c r="A3569" s="304">
        <v>4300</v>
      </c>
      <c r="B3569" s="304" t="s">
        <v>9121</v>
      </c>
      <c r="C3569" s="304" t="s">
        <v>5555</v>
      </c>
      <c r="D3569" s="540">
        <v>0.5</v>
      </c>
    </row>
    <row r="3570" spans="1:4" ht="15" x14ac:dyDescent="0.25">
      <c r="A3570" s="304">
        <v>4301</v>
      </c>
      <c r="B3570" s="304" t="s">
        <v>9122</v>
      </c>
      <c r="C3570" s="304" t="s">
        <v>5555</v>
      </c>
      <c r="D3570" s="540">
        <v>0.61</v>
      </c>
    </row>
    <row r="3571" spans="1:4" ht="15" x14ac:dyDescent="0.25">
      <c r="A3571" s="304">
        <v>4320</v>
      </c>
      <c r="B3571" s="304" t="s">
        <v>9123</v>
      </c>
      <c r="C3571" s="304" t="s">
        <v>5555</v>
      </c>
      <c r="D3571" s="540">
        <v>1.86</v>
      </c>
    </row>
    <row r="3572" spans="1:4" ht="15" x14ac:dyDescent="0.25">
      <c r="A3572" s="304">
        <v>4318</v>
      </c>
      <c r="B3572" s="304" t="s">
        <v>9124</v>
      </c>
      <c r="C3572" s="304" t="s">
        <v>5555</v>
      </c>
      <c r="D3572" s="540">
        <v>0.91</v>
      </c>
    </row>
    <row r="3573" spans="1:4" ht="15" x14ac:dyDescent="0.25">
      <c r="A3573" s="304">
        <v>40547</v>
      </c>
      <c r="B3573" s="304" t="s">
        <v>11251</v>
      </c>
      <c r="C3573" s="304" t="s">
        <v>7833</v>
      </c>
      <c r="D3573" s="540">
        <v>20.2</v>
      </c>
    </row>
    <row r="3574" spans="1:4" ht="15" x14ac:dyDescent="0.25">
      <c r="A3574" s="304">
        <v>11962</v>
      </c>
      <c r="B3574" s="304" t="s">
        <v>9125</v>
      </c>
      <c r="C3574" s="304" t="s">
        <v>5555</v>
      </c>
      <c r="D3574" s="540">
        <v>0.16</v>
      </c>
    </row>
    <row r="3575" spans="1:4" ht="15" x14ac:dyDescent="0.25">
      <c r="A3575" s="304">
        <v>4332</v>
      </c>
      <c r="B3575" s="304" t="s">
        <v>9126</v>
      </c>
      <c r="C3575" s="304" t="s">
        <v>5555</v>
      </c>
      <c r="D3575" s="540">
        <v>0.8</v>
      </c>
    </row>
    <row r="3576" spans="1:4" ht="15" x14ac:dyDescent="0.25">
      <c r="A3576" s="304">
        <v>4331</v>
      </c>
      <c r="B3576" s="304" t="s">
        <v>9127</v>
      </c>
      <c r="C3576" s="304" t="s">
        <v>5555</v>
      </c>
      <c r="D3576" s="540">
        <v>3.03</v>
      </c>
    </row>
    <row r="3577" spans="1:4" ht="15" x14ac:dyDescent="0.25">
      <c r="A3577" s="304">
        <v>4336</v>
      </c>
      <c r="B3577" s="304" t="s">
        <v>9128</v>
      </c>
      <c r="C3577" s="304" t="s">
        <v>5555</v>
      </c>
      <c r="D3577" s="540">
        <v>3.88</v>
      </c>
    </row>
    <row r="3578" spans="1:4" ht="15" x14ac:dyDescent="0.25">
      <c r="A3578" s="304">
        <v>13294</v>
      </c>
      <c r="B3578" s="304" t="s">
        <v>9129</v>
      </c>
      <c r="C3578" s="304" t="s">
        <v>5555</v>
      </c>
      <c r="D3578" s="540">
        <v>1.1100000000000001</v>
      </c>
    </row>
    <row r="3579" spans="1:4" ht="15" x14ac:dyDescent="0.25">
      <c r="A3579" s="304">
        <v>11948</v>
      </c>
      <c r="B3579" s="304" t="s">
        <v>9130</v>
      </c>
      <c r="C3579" s="304" t="s">
        <v>5555</v>
      </c>
      <c r="D3579" s="540">
        <v>0.5</v>
      </c>
    </row>
    <row r="3580" spans="1:4" ht="15" x14ac:dyDescent="0.25">
      <c r="A3580" s="304">
        <v>4382</v>
      </c>
      <c r="B3580" s="304" t="s">
        <v>9131</v>
      </c>
      <c r="C3580" s="304" t="s">
        <v>5555</v>
      </c>
      <c r="D3580" s="540">
        <v>0.83</v>
      </c>
    </row>
    <row r="3581" spans="1:4" ht="15" x14ac:dyDescent="0.25">
      <c r="A3581" s="304">
        <v>4354</v>
      </c>
      <c r="B3581" s="304" t="s">
        <v>9132</v>
      </c>
      <c r="C3581" s="304" t="s">
        <v>5555</v>
      </c>
      <c r="D3581" s="540">
        <v>34.78</v>
      </c>
    </row>
    <row r="3582" spans="1:4" ht="15" x14ac:dyDescent="0.25">
      <c r="A3582" s="304">
        <v>40839</v>
      </c>
      <c r="B3582" s="304" t="s">
        <v>9133</v>
      </c>
      <c r="C3582" s="304" t="s">
        <v>7833</v>
      </c>
      <c r="D3582" s="540">
        <v>83.69</v>
      </c>
    </row>
    <row r="3583" spans="1:4" ht="15" x14ac:dyDescent="0.25">
      <c r="A3583" s="304">
        <v>40552</v>
      </c>
      <c r="B3583" s="304" t="s">
        <v>9134</v>
      </c>
      <c r="C3583" s="304" t="s">
        <v>7833</v>
      </c>
      <c r="D3583" s="540">
        <v>34.630000000000003</v>
      </c>
    </row>
    <row r="3584" spans="1:4" ht="15" x14ac:dyDescent="0.25">
      <c r="A3584" s="304">
        <v>40549</v>
      </c>
      <c r="B3584" s="304" t="s">
        <v>9135</v>
      </c>
      <c r="C3584" s="304" t="s">
        <v>7833</v>
      </c>
      <c r="D3584" s="540">
        <v>137.08000000000001</v>
      </c>
    </row>
    <row r="3585" spans="1:4" ht="15" x14ac:dyDescent="0.25">
      <c r="A3585" s="304">
        <v>4385</v>
      </c>
      <c r="B3585" s="304" t="s">
        <v>9136</v>
      </c>
      <c r="C3585" s="304" t="s">
        <v>6074</v>
      </c>
      <c r="D3585" s="541">
        <v>1285.71</v>
      </c>
    </row>
    <row r="3586" spans="1:4" ht="15" x14ac:dyDescent="0.25">
      <c r="A3586" s="304">
        <v>38397</v>
      </c>
      <c r="B3586" s="304" t="s">
        <v>9137</v>
      </c>
      <c r="C3586" s="304" t="s">
        <v>5626</v>
      </c>
      <c r="D3586" s="540">
        <v>4.3099999999999996</v>
      </c>
    </row>
    <row r="3587" spans="1:4" ht="15" x14ac:dyDescent="0.25">
      <c r="A3587" s="304">
        <v>20078</v>
      </c>
      <c r="B3587" s="304" t="s">
        <v>9138</v>
      </c>
      <c r="C3587" s="304" t="s">
        <v>5555</v>
      </c>
      <c r="D3587" s="540">
        <v>19.149999999999999</v>
      </c>
    </row>
    <row r="3588" spans="1:4" ht="15" x14ac:dyDescent="0.25">
      <c r="A3588" s="304">
        <v>20079</v>
      </c>
      <c r="B3588" s="304" t="s">
        <v>9139</v>
      </c>
      <c r="C3588" s="304" t="s">
        <v>5555</v>
      </c>
      <c r="D3588" s="540">
        <v>119.44</v>
      </c>
    </row>
    <row r="3589" spans="1:4" ht="15" x14ac:dyDescent="0.25">
      <c r="A3589" s="304">
        <v>39897</v>
      </c>
      <c r="B3589" s="304" t="s">
        <v>9140</v>
      </c>
      <c r="C3589" s="304" t="s">
        <v>5555</v>
      </c>
      <c r="D3589" s="540">
        <v>30.33</v>
      </c>
    </row>
    <row r="3590" spans="1:4" ht="15" x14ac:dyDescent="0.25">
      <c r="A3590" s="304">
        <v>118</v>
      </c>
      <c r="B3590" s="304" t="s">
        <v>9141</v>
      </c>
      <c r="C3590" s="304" t="s">
        <v>5555</v>
      </c>
      <c r="D3590" s="540">
        <v>72.39</v>
      </c>
    </row>
    <row r="3591" spans="1:4" ht="15" x14ac:dyDescent="0.25">
      <c r="A3591" s="304">
        <v>4396</v>
      </c>
      <c r="B3591" s="304" t="s">
        <v>9142</v>
      </c>
      <c r="C3591" s="304" t="s">
        <v>5564</v>
      </c>
      <c r="D3591" s="540">
        <v>140.4</v>
      </c>
    </row>
    <row r="3592" spans="1:4" ht="15" x14ac:dyDescent="0.25">
      <c r="A3592" s="304">
        <v>36881</v>
      </c>
      <c r="B3592" s="304" t="s">
        <v>9143</v>
      </c>
      <c r="C3592" s="304" t="s">
        <v>5564</v>
      </c>
      <c r="D3592" s="540">
        <v>125.46</v>
      </c>
    </row>
    <row r="3593" spans="1:4" ht="15" x14ac:dyDescent="0.25">
      <c r="A3593" s="304">
        <v>36882</v>
      </c>
      <c r="B3593" s="304" t="s">
        <v>9144</v>
      </c>
      <c r="C3593" s="304" t="s">
        <v>5564</v>
      </c>
      <c r="D3593" s="540">
        <v>146.37</v>
      </c>
    </row>
    <row r="3594" spans="1:4" ht="15" x14ac:dyDescent="0.25">
      <c r="A3594" s="304">
        <v>4397</v>
      </c>
      <c r="B3594" s="304" t="s">
        <v>9145</v>
      </c>
      <c r="C3594" s="304" t="s">
        <v>5564</v>
      </c>
      <c r="D3594" s="540">
        <v>227.67</v>
      </c>
    </row>
    <row r="3595" spans="1:4" ht="15" x14ac:dyDescent="0.25">
      <c r="A3595" s="304">
        <v>34754</v>
      </c>
      <c r="B3595" s="304" t="s">
        <v>9146</v>
      </c>
      <c r="C3595" s="304" t="s">
        <v>5564</v>
      </c>
      <c r="D3595" s="540">
        <v>421.57</v>
      </c>
    </row>
    <row r="3596" spans="1:4" ht="15" x14ac:dyDescent="0.25">
      <c r="A3596" s="304">
        <v>25962</v>
      </c>
      <c r="B3596" s="304" t="s">
        <v>9147</v>
      </c>
      <c r="C3596" s="304" t="s">
        <v>5564</v>
      </c>
      <c r="D3596" s="540">
        <v>267.01</v>
      </c>
    </row>
    <row r="3597" spans="1:4" ht="15" x14ac:dyDescent="0.25">
      <c r="A3597" s="304">
        <v>34752</v>
      </c>
      <c r="B3597" s="304" t="s">
        <v>9148</v>
      </c>
      <c r="C3597" s="304" t="s">
        <v>5564</v>
      </c>
      <c r="D3597" s="540">
        <v>470.2</v>
      </c>
    </row>
    <row r="3598" spans="1:4" ht="15" x14ac:dyDescent="0.25">
      <c r="A3598" s="304">
        <v>4751</v>
      </c>
      <c r="B3598" s="304" t="s">
        <v>9149</v>
      </c>
      <c r="C3598" s="304" t="s">
        <v>5566</v>
      </c>
      <c r="D3598" s="540">
        <v>18.57</v>
      </c>
    </row>
    <row r="3599" spans="1:4" ht="15" x14ac:dyDescent="0.25">
      <c r="A3599" s="304">
        <v>41066</v>
      </c>
      <c r="B3599" s="304" t="s">
        <v>9150</v>
      </c>
      <c r="C3599" s="304" t="s">
        <v>5755</v>
      </c>
      <c r="D3599" s="541">
        <v>3252.7</v>
      </c>
    </row>
    <row r="3600" spans="1:4" ht="15" x14ac:dyDescent="0.25">
      <c r="A3600" s="304">
        <v>39604</v>
      </c>
      <c r="B3600" s="304" t="s">
        <v>9151</v>
      </c>
      <c r="C3600" s="304" t="s">
        <v>5555</v>
      </c>
      <c r="D3600" s="540">
        <v>8.67</v>
      </c>
    </row>
    <row r="3601" spans="1:4" ht="15" x14ac:dyDescent="0.25">
      <c r="A3601" s="304">
        <v>39605</v>
      </c>
      <c r="B3601" s="304" t="s">
        <v>9152</v>
      </c>
      <c r="C3601" s="304" t="s">
        <v>5555</v>
      </c>
      <c r="D3601" s="540">
        <v>12.03</v>
      </c>
    </row>
    <row r="3602" spans="1:4" ht="15" x14ac:dyDescent="0.25">
      <c r="A3602" s="304">
        <v>39606</v>
      </c>
      <c r="B3602" s="304" t="s">
        <v>9153</v>
      </c>
      <c r="C3602" s="304" t="s">
        <v>5555</v>
      </c>
      <c r="D3602" s="540">
        <v>15.28</v>
      </c>
    </row>
    <row r="3603" spans="1:4" ht="15" x14ac:dyDescent="0.25">
      <c r="A3603" s="304">
        <v>39607</v>
      </c>
      <c r="B3603" s="304" t="s">
        <v>9154</v>
      </c>
      <c r="C3603" s="304" t="s">
        <v>5555</v>
      </c>
      <c r="D3603" s="540">
        <v>17.53</v>
      </c>
    </row>
    <row r="3604" spans="1:4" ht="15" x14ac:dyDescent="0.25">
      <c r="A3604" s="304">
        <v>39594</v>
      </c>
      <c r="B3604" s="304" t="s">
        <v>9155</v>
      </c>
      <c r="C3604" s="304" t="s">
        <v>5555</v>
      </c>
      <c r="D3604" s="540">
        <v>166</v>
      </c>
    </row>
    <row r="3605" spans="1:4" ht="15" x14ac:dyDescent="0.25">
      <c r="A3605" s="304">
        <v>39596</v>
      </c>
      <c r="B3605" s="304" t="s">
        <v>9156</v>
      </c>
      <c r="C3605" s="304" t="s">
        <v>5555</v>
      </c>
      <c r="D3605" s="540">
        <v>289.33</v>
      </c>
    </row>
    <row r="3606" spans="1:4" ht="15" x14ac:dyDescent="0.25">
      <c r="A3606" s="304">
        <v>39595</v>
      </c>
      <c r="B3606" s="304" t="s">
        <v>9157</v>
      </c>
      <c r="C3606" s="304" t="s">
        <v>5555</v>
      </c>
      <c r="D3606" s="540">
        <v>242.87</v>
      </c>
    </row>
    <row r="3607" spans="1:4" ht="15" x14ac:dyDescent="0.25">
      <c r="A3607" s="304">
        <v>39597</v>
      </c>
      <c r="B3607" s="304" t="s">
        <v>9158</v>
      </c>
      <c r="C3607" s="304" t="s">
        <v>5555</v>
      </c>
      <c r="D3607" s="540">
        <v>390.17</v>
      </c>
    </row>
    <row r="3608" spans="1:4" ht="15" x14ac:dyDescent="0.25">
      <c r="A3608" s="304">
        <v>20209</v>
      </c>
      <c r="B3608" s="304" t="s">
        <v>9159</v>
      </c>
      <c r="C3608" s="304" t="s">
        <v>5575</v>
      </c>
      <c r="D3608" s="540">
        <v>10.39</v>
      </c>
    </row>
    <row r="3609" spans="1:4" ht="15" x14ac:dyDescent="0.25">
      <c r="A3609" s="304">
        <v>4433</v>
      </c>
      <c r="B3609" s="304" t="s">
        <v>9160</v>
      </c>
      <c r="C3609" s="304" t="s">
        <v>5575</v>
      </c>
      <c r="D3609" s="540">
        <v>7.56</v>
      </c>
    </row>
    <row r="3610" spans="1:4" ht="15" x14ac:dyDescent="0.25">
      <c r="A3610" s="304">
        <v>10731</v>
      </c>
      <c r="B3610" s="304" t="s">
        <v>9161</v>
      </c>
      <c r="C3610" s="304" t="s">
        <v>5564</v>
      </c>
      <c r="D3610" s="540">
        <v>25.21</v>
      </c>
    </row>
    <row r="3611" spans="1:4" ht="15" x14ac:dyDescent="0.25">
      <c r="A3611" s="304">
        <v>4704</v>
      </c>
      <c r="B3611" s="304" t="s">
        <v>9162</v>
      </c>
      <c r="C3611" s="304" t="s">
        <v>5564</v>
      </c>
      <c r="D3611" s="540">
        <v>22.75</v>
      </c>
    </row>
    <row r="3612" spans="1:4" ht="15" x14ac:dyDescent="0.25">
      <c r="A3612" s="304">
        <v>10730</v>
      </c>
      <c r="B3612" s="304" t="s">
        <v>9163</v>
      </c>
      <c r="C3612" s="304" t="s">
        <v>5564</v>
      </c>
      <c r="D3612" s="540">
        <v>24.37</v>
      </c>
    </row>
    <row r="3613" spans="1:4" ht="15" x14ac:dyDescent="0.25">
      <c r="A3613" s="304">
        <v>4729</v>
      </c>
      <c r="B3613" s="304" t="s">
        <v>9164</v>
      </c>
      <c r="C3613" s="304" t="s">
        <v>5751</v>
      </c>
      <c r="D3613" s="540">
        <v>99.26</v>
      </c>
    </row>
    <row r="3614" spans="1:4" ht="15" x14ac:dyDescent="0.25">
      <c r="A3614" s="304">
        <v>4720</v>
      </c>
      <c r="B3614" s="304" t="s">
        <v>9165</v>
      </c>
      <c r="C3614" s="304" t="s">
        <v>5751</v>
      </c>
      <c r="D3614" s="540">
        <v>108.53</v>
      </c>
    </row>
    <row r="3615" spans="1:4" ht="15" x14ac:dyDescent="0.25">
      <c r="A3615" s="304">
        <v>4721</v>
      </c>
      <c r="B3615" s="304" t="s">
        <v>9166</v>
      </c>
      <c r="C3615" s="304" t="s">
        <v>5751</v>
      </c>
      <c r="D3615" s="540">
        <v>85</v>
      </c>
    </row>
    <row r="3616" spans="1:4" ht="15" x14ac:dyDescent="0.25">
      <c r="A3616" s="304">
        <v>4718</v>
      </c>
      <c r="B3616" s="304" t="s">
        <v>9167</v>
      </c>
      <c r="C3616" s="304" t="s">
        <v>5751</v>
      </c>
      <c r="D3616" s="540">
        <v>85</v>
      </c>
    </row>
    <row r="3617" spans="1:4" ht="15" x14ac:dyDescent="0.25">
      <c r="A3617" s="304">
        <v>4722</v>
      </c>
      <c r="B3617" s="304" t="s">
        <v>9168</v>
      </c>
      <c r="C3617" s="304" t="s">
        <v>5751</v>
      </c>
      <c r="D3617" s="540">
        <v>85</v>
      </c>
    </row>
    <row r="3618" spans="1:4" ht="15" x14ac:dyDescent="0.25">
      <c r="A3618" s="304">
        <v>4723</v>
      </c>
      <c r="B3618" s="304" t="s">
        <v>9169</v>
      </c>
      <c r="C3618" s="304" t="s">
        <v>5751</v>
      </c>
      <c r="D3618" s="540">
        <v>92.73</v>
      </c>
    </row>
    <row r="3619" spans="1:4" ht="15" x14ac:dyDescent="0.25">
      <c r="A3619" s="304">
        <v>4727</v>
      </c>
      <c r="B3619" s="304" t="s">
        <v>9170</v>
      </c>
      <c r="C3619" s="304" t="s">
        <v>5751</v>
      </c>
      <c r="D3619" s="540">
        <v>95.31</v>
      </c>
    </row>
    <row r="3620" spans="1:4" ht="15" x14ac:dyDescent="0.25">
      <c r="A3620" s="304">
        <v>4748</v>
      </c>
      <c r="B3620" s="304" t="s">
        <v>9171</v>
      </c>
      <c r="C3620" s="304" t="s">
        <v>5751</v>
      </c>
      <c r="D3620" s="540">
        <v>91.96</v>
      </c>
    </row>
    <row r="3621" spans="1:4" ht="15" x14ac:dyDescent="0.25">
      <c r="A3621" s="304">
        <v>4730</v>
      </c>
      <c r="B3621" s="304" t="s">
        <v>9172</v>
      </c>
      <c r="C3621" s="304" t="s">
        <v>5751</v>
      </c>
      <c r="D3621" s="540">
        <v>88.87</v>
      </c>
    </row>
    <row r="3622" spans="1:4" ht="15" x14ac:dyDescent="0.25">
      <c r="A3622" s="304">
        <v>13186</v>
      </c>
      <c r="B3622" s="304" t="s">
        <v>9173</v>
      </c>
      <c r="C3622" s="304" t="s">
        <v>5751</v>
      </c>
      <c r="D3622" s="540">
        <v>76.459999999999994</v>
      </c>
    </row>
    <row r="3623" spans="1:4" ht="15" x14ac:dyDescent="0.25">
      <c r="A3623" s="304">
        <v>10737</v>
      </c>
      <c r="B3623" s="304" t="s">
        <v>9174</v>
      </c>
      <c r="C3623" s="304" t="s">
        <v>5564</v>
      </c>
      <c r="D3623" s="540">
        <v>79.22</v>
      </c>
    </row>
    <row r="3624" spans="1:4" ht="15" x14ac:dyDescent="0.25">
      <c r="A3624" s="304">
        <v>10734</v>
      </c>
      <c r="B3624" s="304" t="s">
        <v>9175</v>
      </c>
      <c r="C3624" s="304" t="s">
        <v>5564</v>
      </c>
      <c r="D3624" s="540">
        <v>47.12</v>
      </c>
    </row>
    <row r="3625" spans="1:4" ht="15" x14ac:dyDescent="0.25">
      <c r="A3625" s="304">
        <v>4708</v>
      </c>
      <c r="B3625" s="304" t="s">
        <v>9176</v>
      </c>
      <c r="C3625" s="304" t="s">
        <v>5564</v>
      </c>
      <c r="D3625" s="540">
        <v>91.41</v>
      </c>
    </row>
    <row r="3626" spans="1:4" ht="15" x14ac:dyDescent="0.25">
      <c r="A3626" s="304">
        <v>4712</v>
      </c>
      <c r="B3626" s="304" t="s">
        <v>9177</v>
      </c>
      <c r="C3626" s="304" t="s">
        <v>5564</v>
      </c>
      <c r="D3626" s="540">
        <v>44.69</v>
      </c>
    </row>
    <row r="3627" spans="1:4" ht="15" x14ac:dyDescent="0.25">
      <c r="A3627" s="304">
        <v>4710</v>
      </c>
      <c r="B3627" s="304" t="s">
        <v>9178</v>
      </c>
      <c r="C3627" s="304" t="s">
        <v>5564</v>
      </c>
      <c r="D3627" s="540">
        <v>143.31</v>
      </c>
    </row>
    <row r="3628" spans="1:4" ht="15" x14ac:dyDescent="0.25">
      <c r="A3628" s="304">
        <v>4746</v>
      </c>
      <c r="B3628" s="304" t="s">
        <v>9179</v>
      </c>
      <c r="C3628" s="304" t="s">
        <v>5751</v>
      </c>
      <c r="D3628" s="540">
        <v>82.43</v>
      </c>
    </row>
    <row r="3629" spans="1:4" ht="15" x14ac:dyDescent="0.25">
      <c r="A3629" s="304">
        <v>4750</v>
      </c>
      <c r="B3629" s="304" t="s">
        <v>9180</v>
      </c>
      <c r="C3629" s="304" t="s">
        <v>5566</v>
      </c>
      <c r="D3629" s="540">
        <v>15.39</v>
      </c>
    </row>
    <row r="3630" spans="1:4" ht="15" x14ac:dyDescent="0.25">
      <c r="A3630" s="304">
        <v>41065</v>
      </c>
      <c r="B3630" s="304" t="s">
        <v>9181</v>
      </c>
      <c r="C3630" s="304" t="s">
        <v>5755</v>
      </c>
      <c r="D3630" s="541">
        <v>2694.35</v>
      </c>
    </row>
    <row r="3631" spans="1:4" ht="15" x14ac:dyDescent="0.25">
      <c r="A3631" s="304">
        <v>34747</v>
      </c>
      <c r="B3631" s="304" t="s">
        <v>9182</v>
      </c>
      <c r="C3631" s="304" t="s">
        <v>5575</v>
      </c>
      <c r="D3631" s="540">
        <v>77.930000000000007</v>
      </c>
    </row>
    <row r="3632" spans="1:4" ht="15" x14ac:dyDescent="0.25">
      <c r="A3632" s="304">
        <v>4826</v>
      </c>
      <c r="B3632" s="304" t="s">
        <v>9183</v>
      </c>
      <c r="C3632" s="304" t="s">
        <v>5575</v>
      </c>
      <c r="D3632" s="540">
        <v>83.79</v>
      </c>
    </row>
    <row r="3633" spans="1:4" ht="15" x14ac:dyDescent="0.25">
      <c r="A3633" s="304">
        <v>41975</v>
      </c>
      <c r="B3633" s="304" t="s">
        <v>9184</v>
      </c>
      <c r="C3633" s="304" t="s">
        <v>5564</v>
      </c>
      <c r="D3633" s="540">
        <v>70.430000000000007</v>
      </c>
    </row>
    <row r="3634" spans="1:4" ht="15" x14ac:dyDescent="0.25">
      <c r="A3634" s="304">
        <v>4825</v>
      </c>
      <c r="B3634" s="304" t="s">
        <v>9185</v>
      </c>
      <c r="C3634" s="304" t="s">
        <v>5575</v>
      </c>
      <c r="D3634" s="540">
        <v>115.99</v>
      </c>
    </row>
    <row r="3635" spans="1:4" ht="15" x14ac:dyDescent="0.25">
      <c r="A3635" s="304">
        <v>34744</v>
      </c>
      <c r="B3635" s="304" t="s">
        <v>9186</v>
      </c>
      <c r="C3635" s="304" t="s">
        <v>5564</v>
      </c>
      <c r="D3635" s="540">
        <v>27.9</v>
      </c>
    </row>
    <row r="3636" spans="1:4" ht="15" x14ac:dyDescent="0.25">
      <c r="A3636" s="304">
        <v>39430</v>
      </c>
      <c r="B3636" s="304" t="s">
        <v>9187</v>
      </c>
      <c r="C3636" s="304" t="s">
        <v>5555</v>
      </c>
      <c r="D3636" s="540">
        <v>1.1200000000000001</v>
      </c>
    </row>
    <row r="3637" spans="1:4" ht="15" x14ac:dyDescent="0.25">
      <c r="A3637" s="304">
        <v>39573</v>
      </c>
      <c r="B3637" s="304" t="s">
        <v>9188</v>
      </c>
      <c r="C3637" s="304" t="s">
        <v>5555</v>
      </c>
      <c r="D3637" s="540">
        <v>1.1000000000000001</v>
      </c>
    </row>
    <row r="3638" spans="1:4" ht="15" x14ac:dyDescent="0.25">
      <c r="A3638" s="304">
        <v>38410</v>
      </c>
      <c r="B3638" s="304" t="s">
        <v>9189</v>
      </c>
      <c r="C3638" s="304" t="s">
        <v>5555</v>
      </c>
      <c r="D3638" s="541">
        <v>9771.73</v>
      </c>
    </row>
    <row r="3639" spans="1:4" ht="15" x14ac:dyDescent="0.25">
      <c r="A3639" s="304">
        <v>4765</v>
      </c>
      <c r="B3639" s="304" t="s">
        <v>9190</v>
      </c>
      <c r="C3639" s="304" t="s">
        <v>5575</v>
      </c>
      <c r="D3639" s="540">
        <v>79.7</v>
      </c>
    </row>
    <row r="3640" spans="1:4" ht="15" x14ac:dyDescent="0.25">
      <c r="A3640" s="304">
        <v>4766</v>
      </c>
      <c r="B3640" s="304" t="s">
        <v>9191</v>
      </c>
      <c r="C3640" s="304" t="s">
        <v>5626</v>
      </c>
      <c r="D3640" s="540">
        <v>6.35</v>
      </c>
    </row>
    <row r="3641" spans="1:4" ht="15" x14ac:dyDescent="0.25">
      <c r="A3641" s="304">
        <v>4767</v>
      </c>
      <c r="B3641" s="304" t="s">
        <v>9191</v>
      </c>
      <c r="C3641" s="304" t="s">
        <v>5575</v>
      </c>
      <c r="D3641" s="540">
        <v>137.32</v>
      </c>
    </row>
    <row r="3642" spans="1:4" ht="15" x14ac:dyDescent="0.25">
      <c r="A3642" s="304">
        <v>10963</v>
      </c>
      <c r="B3642" s="304" t="s">
        <v>9192</v>
      </c>
      <c r="C3642" s="304" t="s">
        <v>5575</v>
      </c>
      <c r="D3642" s="540">
        <v>217.62</v>
      </c>
    </row>
    <row r="3643" spans="1:4" ht="15" x14ac:dyDescent="0.25">
      <c r="A3643" s="304">
        <v>10962</v>
      </c>
      <c r="B3643" s="304" t="s">
        <v>9193</v>
      </c>
      <c r="C3643" s="304" t="s">
        <v>5626</v>
      </c>
      <c r="D3643" s="540">
        <v>6.75</v>
      </c>
    </row>
    <row r="3644" spans="1:4" ht="15" x14ac:dyDescent="0.25">
      <c r="A3644" s="304">
        <v>34742</v>
      </c>
      <c r="B3644" s="304" t="s">
        <v>9194</v>
      </c>
      <c r="C3644" s="304" t="s">
        <v>5626</v>
      </c>
      <c r="D3644" s="540">
        <v>6.33</v>
      </c>
    </row>
    <row r="3645" spans="1:4" ht="15" x14ac:dyDescent="0.25">
      <c r="A3645" s="304">
        <v>4773</v>
      </c>
      <c r="B3645" s="304" t="s">
        <v>9195</v>
      </c>
      <c r="C3645" s="304" t="s">
        <v>5575</v>
      </c>
      <c r="D3645" s="540">
        <v>274.70999999999998</v>
      </c>
    </row>
    <row r="3646" spans="1:4" ht="15" x14ac:dyDescent="0.25">
      <c r="A3646" s="304">
        <v>34740</v>
      </c>
      <c r="B3646" s="304" t="s">
        <v>9196</v>
      </c>
      <c r="C3646" s="304" t="s">
        <v>5626</v>
      </c>
      <c r="D3646" s="540">
        <v>6.33</v>
      </c>
    </row>
    <row r="3647" spans="1:4" ht="15" x14ac:dyDescent="0.25">
      <c r="A3647" s="304">
        <v>4776</v>
      </c>
      <c r="B3647" s="304" t="s">
        <v>9197</v>
      </c>
      <c r="C3647" s="304" t="s">
        <v>5575</v>
      </c>
      <c r="D3647" s="540">
        <v>425.9</v>
      </c>
    </row>
    <row r="3648" spans="1:4" ht="15" x14ac:dyDescent="0.25">
      <c r="A3648" s="304">
        <v>4774</v>
      </c>
      <c r="B3648" s="304" t="s">
        <v>9197</v>
      </c>
      <c r="C3648" s="304" t="s">
        <v>5626</v>
      </c>
      <c r="D3648" s="540">
        <v>6.35</v>
      </c>
    </row>
    <row r="3649" spans="1:4" ht="15" x14ac:dyDescent="0.25">
      <c r="A3649" s="304">
        <v>40313</v>
      </c>
      <c r="B3649" s="304" t="s">
        <v>9198</v>
      </c>
      <c r="C3649" s="304" t="s">
        <v>5626</v>
      </c>
      <c r="D3649" s="540">
        <v>6.33</v>
      </c>
    </row>
    <row r="3650" spans="1:4" ht="15" x14ac:dyDescent="0.25">
      <c r="A3650" s="304">
        <v>13340</v>
      </c>
      <c r="B3650" s="304" t="s">
        <v>9199</v>
      </c>
      <c r="C3650" s="304" t="s">
        <v>5575</v>
      </c>
      <c r="D3650" s="540">
        <v>26.85</v>
      </c>
    </row>
    <row r="3651" spans="1:4" ht="15" x14ac:dyDescent="0.25">
      <c r="A3651" s="304">
        <v>10965</v>
      </c>
      <c r="B3651" s="304" t="s">
        <v>9200</v>
      </c>
      <c r="C3651" s="304" t="s">
        <v>5575</v>
      </c>
      <c r="D3651" s="540">
        <v>57.28</v>
      </c>
    </row>
    <row r="3652" spans="1:4" ht="15" x14ac:dyDescent="0.25">
      <c r="A3652" s="304">
        <v>10966</v>
      </c>
      <c r="B3652" s="304" t="s">
        <v>9201</v>
      </c>
      <c r="C3652" s="304" t="s">
        <v>5626</v>
      </c>
      <c r="D3652" s="540">
        <v>6.4</v>
      </c>
    </row>
    <row r="3653" spans="1:4" ht="15" x14ac:dyDescent="0.25">
      <c r="A3653" s="304">
        <v>40537</v>
      </c>
      <c r="B3653" s="304" t="s">
        <v>9202</v>
      </c>
      <c r="C3653" s="304" t="s">
        <v>5626</v>
      </c>
      <c r="D3653" s="540">
        <v>6.99</v>
      </c>
    </row>
    <row r="3654" spans="1:4" ht="15" x14ac:dyDescent="0.25">
      <c r="A3654" s="304">
        <v>40536</v>
      </c>
      <c r="B3654" s="304" t="s">
        <v>9203</v>
      </c>
      <c r="C3654" s="304" t="s">
        <v>5626</v>
      </c>
      <c r="D3654" s="540">
        <v>6.99</v>
      </c>
    </row>
    <row r="3655" spans="1:4" ht="15" x14ac:dyDescent="0.25">
      <c r="A3655" s="304">
        <v>40535</v>
      </c>
      <c r="B3655" s="304" t="s">
        <v>9204</v>
      </c>
      <c r="C3655" s="304" t="s">
        <v>5626</v>
      </c>
      <c r="D3655" s="540">
        <v>6.99</v>
      </c>
    </row>
    <row r="3656" spans="1:4" ht="15" x14ac:dyDescent="0.25">
      <c r="A3656" s="304">
        <v>39427</v>
      </c>
      <c r="B3656" s="304" t="s">
        <v>9205</v>
      </c>
      <c r="C3656" s="304" t="s">
        <v>5575</v>
      </c>
      <c r="D3656" s="540">
        <v>2.98</v>
      </c>
    </row>
    <row r="3657" spans="1:4" ht="15" x14ac:dyDescent="0.25">
      <c r="A3657" s="304">
        <v>39424</v>
      </c>
      <c r="B3657" s="304" t="s">
        <v>9206</v>
      </c>
      <c r="C3657" s="304" t="s">
        <v>5575</v>
      </c>
      <c r="D3657" s="540">
        <v>1.77</v>
      </c>
    </row>
    <row r="3658" spans="1:4" ht="15" x14ac:dyDescent="0.25">
      <c r="A3658" s="304">
        <v>39425</v>
      </c>
      <c r="B3658" s="304" t="s">
        <v>9207</v>
      </c>
      <c r="C3658" s="304" t="s">
        <v>5575</v>
      </c>
      <c r="D3658" s="540">
        <v>1.75</v>
      </c>
    </row>
    <row r="3659" spans="1:4" ht="15" x14ac:dyDescent="0.25">
      <c r="A3659" s="304">
        <v>40664</v>
      </c>
      <c r="B3659" s="304" t="s">
        <v>9208</v>
      </c>
      <c r="C3659" s="304" t="s">
        <v>5626</v>
      </c>
      <c r="D3659" s="540">
        <v>6</v>
      </c>
    </row>
    <row r="3660" spans="1:4" ht="15" x14ac:dyDescent="0.25">
      <c r="A3660" s="304">
        <v>34360</v>
      </c>
      <c r="B3660" s="304" t="s">
        <v>9209</v>
      </c>
      <c r="C3660" s="304" t="s">
        <v>5626</v>
      </c>
      <c r="D3660" s="540">
        <v>27.41</v>
      </c>
    </row>
    <row r="3661" spans="1:4" ht="15" x14ac:dyDescent="0.25">
      <c r="A3661" s="304">
        <v>20259</v>
      </c>
      <c r="B3661" s="304" t="s">
        <v>9210</v>
      </c>
      <c r="C3661" s="304" t="s">
        <v>5575</v>
      </c>
      <c r="D3661" s="540">
        <v>8.8000000000000007</v>
      </c>
    </row>
    <row r="3662" spans="1:4" ht="15" x14ac:dyDescent="0.25">
      <c r="A3662" s="304">
        <v>14077</v>
      </c>
      <c r="B3662" s="304" t="s">
        <v>9211</v>
      </c>
      <c r="C3662" s="304" t="s">
        <v>5575</v>
      </c>
      <c r="D3662" s="540">
        <v>134.69</v>
      </c>
    </row>
    <row r="3663" spans="1:4" ht="15" x14ac:dyDescent="0.25">
      <c r="A3663" s="304">
        <v>3678</v>
      </c>
      <c r="B3663" s="304" t="s">
        <v>9212</v>
      </c>
      <c r="C3663" s="304" t="s">
        <v>5575</v>
      </c>
      <c r="D3663" s="540">
        <v>60.88</v>
      </c>
    </row>
    <row r="3664" spans="1:4" ht="15" x14ac:dyDescent="0.25">
      <c r="A3664" s="304">
        <v>39418</v>
      </c>
      <c r="B3664" s="304" t="s">
        <v>9213</v>
      </c>
      <c r="C3664" s="304" t="s">
        <v>5575</v>
      </c>
      <c r="D3664" s="540">
        <v>3.32</v>
      </c>
    </row>
    <row r="3665" spans="1:4" ht="15" x14ac:dyDescent="0.25">
      <c r="A3665" s="304">
        <v>39419</v>
      </c>
      <c r="B3665" s="304" t="s">
        <v>9214</v>
      </c>
      <c r="C3665" s="304" t="s">
        <v>5575</v>
      </c>
      <c r="D3665" s="540">
        <v>4.05</v>
      </c>
    </row>
    <row r="3666" spans="1:4" ht="15" x14ac:dyDescent="0.25">
      <c r="A3666" s="304">
        <v>39420</v>
      </c>
      <c r="B3666" s="304" t="s">
        <v>9215</v>
      </c>
      <c r="C3666" s="304" t="s">
        <v>5575</v>
      </c>
      <c r="D3666" s="540">
        <v>4.47</v>
      </c>
    </row>
    <row r="3667" spans="1:4" ht="15" x14ac:dyDescent="0.25">
      <c r="A3667" s="304">
        <v>39571</v>
      </c>
      <c r="B3667" s="304" t="s">
        <v>9216</v>
      </c>
      <c r="C3667" s="304" t="s">
        <v>5575</v>
      </c>
      <c r="D3667" s="540">
        <v>2.7</v>
      </c>
    </row>
    <row r="3668" spans="1:4" ht="15" x14ac:dyDescent="0.25">
      <c r="A3668" s="304">
        <v>39421</v>
      </c>
      <c r="B3668" s="304" t="s">
        <v>9217</v>
      </c>
      <c r="C3668" s="304" t="s">
        <v>5575</v>
      </c>
      <c r="D3668" s="540">
        <v>3.94</v>
      </c>
    </row>
    <row r="3669" spans="1:4" ht="15" x14ac:dyDescent="0.25">
      <c r="A3669" s="304">
        <v>39422</v>
      </c>
      <c r="B3669" s="304" t="s">
        <v>9218</v>
      </c>
      <c r="C3669" s="304" t="s">
        <v>5575</v>
      </c>
      <c r="D3669" s="540">
        <v>4.5999999999999996</v>
      </c>
    </row>
    <row r="3670" spans="1:4" ht="15" x14ac:dyDescent="0.25">
      <c r="A3670" s="304">
        <v>39423</v>
      </c>
      <c r="B3670" s="304" t="s">
        <v>9219</v>
      </c>
      <c r="C3670" s="304" t="s">
        <v>5575</v>
      </c>
      <c r="D3670" s="540">
        <v>5.34</v>
      </c>
    </row>
    <row r="3671" spans="1:4" ht="15" x14ac:dyDescent="0.25">
      <c r="A3671" s="304">
        <v>39426</v>
      </c>
      <c r="B3671" s="304" t="s">
        <v>9220</v>
      </c>
      <c r="C3671" s="304" t="s">
        <v>5575</v>
      </c>
      <c r="D3671" s="540">
        <v>12</v>
      </c>
    </row>
    <row r="3672" spans="1:4" ht="15" x14ac:dyDescent="0.25">
      <c r="A3672" s="304">
        <v>39429</v>
      </c>
      <c r="B3672" s="304" t="s">
        <v>9221</v>
      </c>
      <c r="C3672" s="304" t="s">
        <v>5575</v>
      </c>
      <c r="D3672" s="540">
        <v>3.78</v>
      </c>
    </row>
    <row r="3673" spans="1:4" ht="15" x14ac:dyDescent="0.25">
      <c r="A3673" s="304">
        <v>39428</v>
      </c>
      <c r="B3673" s="304" t="s">
        <v>9222</v>
      </c>
      <c r="C3673" s="304" t="s">
        <v>5575</v>
      </c>
      <c r="D3673" s="540">
        <v>2.89</v>
      </c>
    </row>
    <row r="3674" spans="1:4" ht="15" x14ac:dyDescent="0.25">
      <c r="A3674" s="304">
        <v>39572</v>
      </c>
      <c r="B3674" s="304" t="s">
        <v>9223</v>
      </c>
      <c r="C3674" s="304" t="s">
        <v>5575</v>
      </c>
      <c r="D3674" s="540">
        <v>2.5</v>
      </c>
    </row>
    <row r="3675" spans="1:4" ht="15" x14ac:dyDescent="0.25">
      <c r="A3675" s="304">
        <v>39570</v>
      </c>
      <c r="B3675" s="304" t="s">
        <v>9224</v>
      </c>
      <c r="C3675" s="304" t="s">
        <v>5575</v>
      </c>
      <c r="D3675" s="540">
        <v>2.65</v>
      </c>
    </row>
    <row r="3676" spans="1:4" ht="15" x14ac:dyDescent="0.25">
      <c r="A3676" s="304">
        <v>39569</v>
      </c>
      <c r="B3676" s="304" t="s">
        <v>9225</v>
      </c>
      <c r="C3676" s="304" t="s">
        <v>5575</v>
      </c>
      <c r="D3676" s="540">
        <v>2.62</v>
      </c>
    </row>
    <row r="3677" spans="1:4" ht="15" x14ac:dyDescent="0.25">
      <c r="A3677" s="304">
        <v>11552</v>
      </c>
      <c r="B3677" s="304" t="s">
        <v>9226</v>
      </c>
      <c r="C3677" s="304" t="s">
        <v>5575</v>
      </c>
      <c r="D3677" s="540">
        <v>8.35</v>
      </c>
    </row>
    <row r="3678" spans="1:4" ht="15" x14ac:dyDescent="0.25">
      <c r="A3678" s="304">
        <v>40598</v>
      </c>
      <c r="B3678" s="304" t="s">
        <v>9227</v>
      </c>
      <c r="C3678" s="304" t="s">
        <v>5626</v>
      </c>
      <c r="D3678" s="540">
        <v>6.99</v>
      </c>
    </row>
    <row r="3679" spans="1:4" ht="15" x14ac:dyDescent="0.25">
      <c r="A3679" s="304">
        <v>39029</v>
      </c>
      <c r="B3679" s="304" t="s">
        <v>9228</v>
      </c>
      <c r="C3679" s="304" t="s">
        <v>5575</v>
      </c>
      <c r="D3679" s="540">
        <v>8.4700000000000006</v>
      </c>
    </row>
    <row r="3680" spans="1:4" ht="15" x14ac:dyDescent="0.25">
      <c r="A3680" s="304">
        <v>39028</v>
      </c>
      <c r="B3680" s="304" t="s">
        <v>9229</v>
      </c>
      <c r="C3680" s="304" t="s">
        <v>5575</v>
      </c>
      <c r="D3680" s="540">
        <v>4.93</v>
      </c>
    </row>
    <row r="3681" spans="1:4" ht="15" x14ac:dyDescent="0.25">
      <c r="A3681" s="304">
        <v>39328</v>
      </c>
      <c r="B3681" s="304" t="s">
        <v>9230</v>
      </c>
      <c r="C3681" s="304" t="s">
        <v>5575</v>
      </c>
      <c r="D3681" s="540">
        <v>2.71</v>
      </c>
    </row>
    <row r="3682" spans="1:4" ht="15" x14ac:dyDescent="0.25">
      <c r="A3682" s="304">
        <v>38541</v>
      </c>
      <c r="B3682" s="304" t="s">
        <v>9231</v>
      </c>
      <c r="C3682" s="304" t="s">
        <v>5555</v>
      </c>
      <c r="D3682" s="541">
        <v>2257631.56</v>
      </c>
    </row>
    <row r="3683" spans="1:4" ht="15" x14ac:dyDescent="0.25">
      <c r="A3683" s="304">
        <v>38542</v>
      </c>
      <c r="B3683" s="304" t="s">
        <v>9232</v>
      </c>
      <c r="C3683" s="304" t="s">
        <v>5555</v>
      </c>
      <c r="D3683" s="541">
        <v>3510526.29</v>
      </c>
    </row>
    <row r="3684" spans="1:4" ht="15" x14ac:dyDescent="0.25">
      <c r="A3684" s="304">
        <v>38543</v>
      </c>
      <c r="B3684" s="304" t="s">
        <v>9233</v>
      </c>
      <c r="C3684" s="304" t="s">
        <v>5555</v>
      </c>
      <c r="D3684" s="541">
        <v>859473.7</v>
      </c>
    </row>
    <row r="3685" spans="1:4" ht="15" x14ac:dyDescent="0.25">
      <c r="A3685" s="304">
        <v>40406</v>
      </c>
      <c r="B3685" s="304" t="s">
        <v>9234</v>
      </c>
      <c r="C3685" s="304" t="s">
        <v>5555</v>
      </c>
      <c r="D3685" s="541">
        <v>39280.78</v>
      </c>
    </row>
    <row r="3686" spans="1:4" ht="15" x14ac:dyDescent="0.25">
      <c r="A3686" s="304">
        <v>40789</v>
      </c>
      <c r="B3686" s="304" t="s">
        <v>9235</v>
      </c>
      <c r="C3686" s="304" t="s">
        <v>5555</v>
      </c>
      <c r="D3686" s="541">
        <v>5660.76</v>
      </c>
    </row>
    <row r="3687" spans="1:4" ht="15" x14ac:dyDescent="0.25">
      <c r="A3687" s="304">
        <v>40791</v>
      </c>
      <c r="B3687" s="304" t="s">
        <v>9236</v>
      </c>
      <c r="C3687" s="304" t="s">
        <v>5555</v>
      </c>
      <c r="D3687" s="541">
        <v>17720.650000000001</v>
      </c>
    </row>
    <row r="3688" spans="1:4" ht="15" x14ac:dyDescent="0.25">
      <c r="A3688" s="304">
        <v>11651</v>
      </c>
      <c r="B3688" s="304" t="s">
        <v>9237</v>
      </c>
      <c r="C3688" s="304" t="s">
        <v>5555</v>
      </c>
      <c r="D3688" s="541">
        <v>9691.67</v>
      </c>
    </row>
    <row r="3689" spans="1:4" ht="15" x14ac:dyDescent="0.25">
      <c r="A3689" s="304">
        <v>42002</v>
      </c>
      <c r="B3689" s="304" t="s">
        <v>9238</v>
      </c>
      <c r="C3689" s="304" t="s">
        <v>5555</v>
      </c>
      <c r="D3689" s="541">
        <v>736118.03</v>
      </c>
    </row>
    <row r="3690" spans="1:4" ht="15" x14ac:dyDescent="0.25">
      <c r="A3690" s="304">
        <v>40435</v>
      </c>
      <c r="B3690" s="304" t="s">
        <v>9239</v>
      </c>
      <c r="C3690" s="304" t="s">
        <v>5555</v>
      </c>
      <c r="D3690" s="541">
        <v>471500</v>
      </c>
    </row>
    <row r="3691" spans="1:4" ht="15" x14ac:dyDescent="0.25">
      <c r="A3691" s="304">
        <v>39012</v>
      </c>
      <c r="B3691" s="304" t="s">
        <v>9240</v>
      </c>
      <c r="C3691" s="304" t="s">
        <v>5555</v>
      </c>
      <c r="D3691" s="541">
        <v>491945.06</v>
      </c>
    </row>
    <row r="3692" spans="1:4" ht="15" x14ac:dyDescent="0.25">
      <c r="A3692" s="304">
        <v>13617</v>
      </c>
      <c r="B3692" s="304" t="s">
        <v>9241</v>
      </c>
      <c r="C3692" s="304" t="s">
        <v>5555</v>
      </c>
      <c r="D3692" s="541">
        <v>44055.69</v>
      </c>
    </row>
    <row r="3693" spans="1:4" ht="15" x14ac:dyDescent="0.25">
      <c r="A3693" s="304">
        <v>5327</v>
      </c>
      <c r="B3693" s="304" t="s">
        <v>9242</v>
      </c>
      <c r="C3693" s="304" t="s">
        <v>5626</v>
      </c>
      <c r="D3693" s="540">
        <v>25.53</v>
      </c>
    </row>
    <row r="3694" spans="1:4" ht="15" x14ac:dyDescent="0.25">
      <c r="A3694" s="304">
        <v>35274</v>
      </c>
      <c r="B3694" s="304" t="s">
        <v>9243</v>
      </c>
      <c r="C3694" s="304" t="s">
        <v>5575</v>
      </c>
      <c r="D3694" s="540">
        <v>23.25</v>
      </c>
    </row>
    <row r="3695" spans="1:4" ht="15" x14ac:dyDescent="0.25">
      <c r="A3695" s="304">
        <v>35275</v>
      </c>
      <c r="B3695" s="304" t="s">
        <v>9244</v>
      </c>
      <c r="C3695" s="304" t="s">
        <v>5575</v>
      </c>
      <c r="D3695" s="540">
        <v>49.67</v>
      </c>
    </row>
    <row r="3696" spans="1:4" ht="15" x14ac:dyDescent="0.25">
      <c r="A3696" s="304">
        <v>35276</v>
      </c>
      <c r="B3696" s="304" t="s">
        <v>9245</v>
      </c>
      <c r="C3696" s="304" t="s">
        <v>5575</v>
      </c>
      <c r="D3696" s="540">
        <v>81.209999999999994</v>
      </c>
    </row>
    <row r="3697" spans="1:4" ht="15" x14ac:dyDescent="0.25">
      <c r="A3697" s="304">
        <v>38386</v>
      </c>
      <c r="B3697" s="304" t="s">
        <v>9246</v>
      </c>
      <c r="C3697" s="304" t="s">
        <v>5555</v>
      </c>
      <c r="D3697" s="540">
        <v>3.94</v>
      </c>
    </row>
    <row r="3698" spans="1:4" ht="15" x14ac:dyDescent="0.25">
      <c r="A3698" s="304">
        <v>11091</v>
      </c>
      <c r="B3698" s="304" t="s">
        <v>9247</v>
      </c>
      <c r="C3698" s="304" t="s">
        <v>5555</v>
      </c>
      <c r="D3698" s="540">
        <v>0.9</v>
      </c>
    </row>
    <row r="3699" spans="1:4" ht="15" x14ac:dyDescent="0.25">
      <c r="A3699" s="304">
        <v>37586</v>
      </c>
      <c r="B3699" s="304" t="s">
        <v>9248</v>
      </c>
      <c r="C3699" s="304" t="s">
        <v>7833</v>
      </c>
      <c r="D3699" s="540">
        <v>30.9</v>
      </c>
    </row>
    <row r="3700" spans="1:4" ht="15" x14ac:dyDescent="0.25">
      <c r="A3700" s="304">
        <v>37395</v>
      </c>
      <c r="B3700" s="304" t="s">
        <v>9249</v>
      </c>
      <c r="C3700" s="304" t="s">
        <v>7833</v>
      </c>
      <c r="D3700" s="540">
        <v>26.57</v>
      </c>
    </row>
    <row r="3701" spans="1:4" ht="15" x14ac:dyDescent="0.25">
      <c r="A3701" s="304">
        <v>14147</v>
      </c>
      <c r="B3701" s="304" t="s">
        <v>9250</v>
      </c>
      <c r="C3701" s="304" t="s">
        <v>7833</v>
      </c>
      <c r="D3701" s="540">
        <v>35.25</v>
      </c>
    </row>
    <row r="3702" spans="1:4" ht="15" x14ac:dyDescent="0.25">
      <c r="A3702" s="304">
        <v>37396</v>
      </c>
      <c r="B3702" s="304" t="s">
        <v>9251</v>
      </c>
      <c r="C3702" s="304" t="s">
        <v>7833</v>
      </c>
      <c r="D3702" s="540">
        <v>21.74</v>
      </c>
    </row>
    <row r="3703" spans="1:4" ht="15" x14ac:dyDescent="0.25">
      <c r="A3703" s="304">
        <v>37397</v>
      </c>
      <c r="B3703" s="304" t="s">
        <v>9252</v>
      </c>
      <c r="C3703" s="304" t="s">
        <v>7833</v>
      </c>
      <c r="D3703" s="540">
        <v>22.78</v>
      </c>
    </row>
    <row r="3704" spans="1:4" ht="15" x14ac:dyDescent="0.25">
      <c r="A3704" s="304">
        <v>11559</v>
      </c>
      <c r="B3704" s="304" t="s">
        <v>9253</v>
      </c>
      <c r="C3704" s="304" t="s">
        <v>5555</v>
      </c>
      <c r="D3704" s="540">
        <v>3.84</v>
      </c>
    </row>
    <row r="3705" spans="1:4" ht="15" x14ac:dyDescent="0.25">
      <c r="A3705" s="304">
        <v>444</v>
      </c>
      <c r="B3705" s="304" t="s">
        <v>9254</v>
      </c>
      <c r="C3705" s="304" t="s">
        <v>5555</v>
      </c>
      <c r="D3705" s="540">
        <v>23.2</v>
      </c>
    </row>
    <row r="3706" spans="1:4" ht="15" x14ac:dyDescent="0.25">
      <c r="A3706" s="304">
        <v>445</v>
      </c>
      <c r="B3706" s="304" t="s">
        <v>9255</v>
      </c>
      <c r="C3706" s="304" t="s">
        <v>5555</v>
      </c>
      <c r="D3706" s="540">
        <v>31.75</v>
      </c>
    </row>
    <row r="3707" spans="1:4" ht="15" x14ac:dyDescent="0.25">
      <c r="A3707" s="304">
        <v>4783</v>
      </c>
      <c r="B3707" s="304" t="s">
        <v>9256</v>
      </c>
      <c r="C3707" s="304" t="s">
        <v>5566</v>
      </c>
      <c r="D3707" s="540">
        <v>15.03</v>
      </c>
    </row>
    <row r="3708" spans="1:4" ht="15" x14ac:dyDescent="0.25">
      <c r="A3708" s="304">
        <v>41079</v>
      </c>
      <c r="B3708" s="304" t="s">
        <v>9257</v>
      </c>
      <c r="C3708" s="304" t="s">
        <v>5755</v>
      </c>
      <c r="D3708" s="541">
        <v>2630.47</v>
      </c>
    </row>
    <row r="3709" spans="1:4" ht="15" x14ac:dyDescent="0.25">
      <c r="A3709" s="304">
        <v>12874</v>
      </c>
      <c r="B3709" s="304" t="s">
        <v>9258</v>
      </c>
      <c r="C3709" s="304" t="s">
        <v>5566</v>
      </c>
      <c r="D3709" s="540">
        <v>17.88</v>
      </c>
    </row>
    <row r="3710" spans="1:4" ht="15" x14ac:dyDescent="0.25">
      <c r="A3710" s="304">
        <v>41082</v>
      </c>
      <c r="B3710" s="304" t="s">
        <v>9259</v>
      </c>
      <c r="C3710" s="304" t="s">
        <v>5755</v>
      </c>
      <c r="D3710" s="541">
        <v>3131.95</v>
      </c>
    </row>
    <row r="3711" spans="1:4" ht="15" x14ac:dyDescent="0.25">
      <c r="A3711" s="304">
        <v>4785</v>
      </c>
      <c r="B3711" s="304" t="s">
        <v>9260</v>
      </c>
      <c r="C3711" s="304" t="s">
        <v>5566</v>
      </c>
      <c r="D3711" s="540">
        <v>16.14</v>
      </c>
    </row>
    <row r="3712" spans="1:4" ht="15" x14ac:dyDescent="0.25">
      <c r="A3712" s="304">
        <v>41081</v>
      </c>
      <c r="B3712" s="304" t="s">
        <v>9261</v>
      </c>
      <c r="C3712" s="304" t="s">
        <v>5755</v>
      </c>
      <c r="D3712" s="541">
        <v>2829.34</v>
      </c>
    </row>
    <row r="3713" spans="1:4" ht="15" x14ac:dyDescent="0.25">
      <c r="A3713" s="304">
        <v>4801</v>
      </c>
      <c r="B3713" s="304" t="s">
        <v>9262</v>
      </c>
      <c r="C3713" s="304" t="s">
        <v>5564</v>
      </c>
      <c r="D3713" s="540">
        <v>52.5</v>
      </c>
    </row>
    <row r="3714" spans="1:4" ht="15" x14ac:dyDescent="0.25">
      <c r="A3714" s="304">
        <v>4794</v>
      </c>
      <c r="B3714" s="304" t="s">
        <v>9263</v>
      </c>
      <c r="C3714" s="304" t="s">
        <v>5564</v>
      </c>
      <c r="D3714" s="540">
        <v>239.12</v>
      </c>
    </row>
    <row r="3715" spans="1:4" ht="15" x14ac:dyDescent="0.25">
      <c r="A3715" s="304">
        <v>4796</v>
      </c>
      <c r="B3715" s="304" t="s">
        <v>9264</v>
      </c>
      <c r="C3715" s="304" t="s">
        <v>5564</v>
      </c>
      <c r="D3715" s="540">
        <v>145.24</v>
      </c>
    </row>
    <row r="3716" spans="1:4" ht="15" x14ac:dyDescent="0.25">
      <c r="A3716" s="304">
        <v>4800</v>
      </c>
      <c r="B3716" s="304" t="s">
        <v>9265</v>
      </c>
      <c r="C3716" s="304" t="s">
        <v>5564</v>
      </c>
      <c r="D3716" s="540">
        <v>39.94</v>
      </c>
    </row>
    <row r="3717" spans="1:4" ht="15" x14ac:dyDescent="0.25">
      <c r="A3717" s="304">
        <v>4795</v>
      </c>
      <c r="B3717" s="304" t="s">
        <v>9266</v>
      </c>
      <c r="C3717" s="304" t="s">
        <v>5564</v>
      </c>
      <c r="D3717" s="540">
        <v>232.77</v>
      </c>
    </row>
    <row r="3718" spans="1:4" ht="15" x14ac:dyDescent="0.25">
      <c r="A3718" s="304">
        <v>39694</v>
      </c>
      <c r="B3718" s="304" t="s">
        <v>9267</v>
      </c>
      <c r="C3718" s="304" t="s">
        <v>5564</v>
      </c>
      <c r="D3718" s="540">
        <v>224.76</v>
      </c>
    </row>
    <row r="3719" spans="1:4" ht="15" x14ac:dyDescent="0.25">
      <c r="A3719" s="304">
        <v>1292</v>
      </c>
      <c r="B3719" s="304" t="s">
        <v>9268</v>
      </c>
      <c r="C3719" s="304" t="s">
        <v>5564</v>
      </c>
      <c r="D3719" s="540">
        <v>51.49</v>
      </c>
    </row>
    <row r="3720" spans="1:4" ht="15" x14ac:dyDescent="0.25">
      <c r="A3720" s="304">
        <v>1287</v>
      </c>
      <c r="B3720" s="304" t="s">
        <v>9269</v>
      </c>
      <c r="C3720" s="304" t="s">
        <v>5564</v>
      </c>
      <c r="D3720" s="540">
        <v>25.26</v>
      </c>
    </row>
    <row r="3721" spans="1:4" ht="15" x14ac:dyDescent="0.25">
      <c r="A3721" s="304">
        <v>1297</v>
      </c>
      <c r="B3721" s="304" t="s">
        <v>9270</v>
      </c>
      <c r="C3721" s="304" t="s">
        <v>5564</v>
      </c>
      <c r="D3721" s="540">
        <v>20.95</v>
      </c>
    </row>
    <row r="3722" spans="1:4" ht="15" x14ac:dyDescent="0.25">
      <c r="A3722" s="304">
        <v>4786</v>
      </c>
      <c r="B3722" s="304" t="s">
        <v>9271</v>
      </c>
      <c r="C3722" s="304" t="s">
        <v>5564</v>
      </c>
      <c r="D3722" s="540">
        <v>81</v>
      </c>
    </row>
    <row r="3723" spans="1:4" ht="15" x14ac:dyDescent="0.25">
      <c r="A3723" s="304">
        <v>10840</v>
      </c>
      <c r="B3723" s="304" t="s">
        <v>9272</v>
      </c>
      <c r="C3723" s="304" t="s">
        <v>5564</v>
      </c>
      <c r="D3723" s="540">
        <v>285</v>
      </c>
    </row>
    <row r="3724" spans="1:4" ht="15" x14ac:dyDescent="0.25">
      <c r="A3724" s="304">
        <v>10841</v>
      </c>
      <c r="B3724" s="304" t="s">
        <v>9273</v>
      </c>
      <c r="C3724" s="304" t="s">
        <v>5564</v>
      </c>
      <c r="D3724" s="540">
        <v>215.09</v>
      </c>
    </row>
    <row r="3725" spans="1:4" ht="15" x14ac:dyDescent="0.25">
      <c r="A3725" s="304">
        <v>25980</v>
      </c>
      <c r="B3725" s="304" t="s">
        <v>9274</v>
      </c>
      <c r="C3725" s="304" t="s">
        <v>5564</v>
      </c>
      <c r="D3725" s="540">
        <v>274.83999999999997</v>
      </c>
    </row>
    <row r="3726" spans="1:4" ht="15" x14ac:dyDescent="0.25">
      <c r="A3726" s="304">
        <v>10842</v>
      </c>
      <c r="B3726" s="304" t="s">
        <v>9275</v>
      </c>
      <c r="C3726" s="304" t="s">
        <v>5564</v>
      </c>
      <c r="D3726" s="540">
        <v>310.69</v>
      </c>
    </row>
    <row r="3727" spans="1:4" ht="15" x14ac:dyDescent="0.25">
      <c r="A3727" s="304">
        <v>21108</v>
      </c>
      <c r="B3727" s="304" t="s">
        <v>9276</v>
      </c>
      <c r="C3727" s="304" t="s">
        <v>5564</v>
      </c>
      <c r="D3727" s="540">
        <v>68.63</v>
      </c>
    </row>
    <row r="3728" spans="1:4" ht="15" x14ac:dyDescent="0.25">
      <c r="A3728" s="304">
        <v>38180</v>
      </c>
      <c r="B3728" s="304" t="s">
        <v>9277</v>
      </c>
      <c r="C3728" s="304" t="s">
        <v>5564</v>
      </c>
      <c r="D3728" s="540">
        <v>116.93</v>
      </c>
    </row>
    <row r="3729" spans="1:4" ht="15" x14ac:dyDescent="0.25">
      <c r="A3729" s="304">
        <v>40648</v>
      </c>
      <c r="B3729" s="304" t="s">
        <v>9278</v>
      </c>
      <c r="C3729" s="304" t="s">
        <v>5564</v>
      </c>
      <c r="D3729" s="540">
        <v>155.52000000000001</v>
      </c>
    </row>
    <row r="3730" spans="1:4" ht="15" x14ac:dyDescent="0.25">
      <c r="A3730" s="304">
        <v>40649</v>
      </c>
      <c r="B3730" s="304" t="s">
        <v>9279</v>
      </c>
      <c r="C3730" s="304" t="s">
        <v>5564</v>
      </c>
      <c r="D3730" s="540">
        <v>90.59</v>
      </c>
    </row>
    <row r="3731" spans="1:4" ht="15" x14ac:dyDescent="0.25">
      <c r="A3731" s="304">
        <v>40650</v>
      </c>
      <c r="B3731" s="304" t="s">
        <v>9280</v>
      </c>
      <c r="C3731" s="304" t="s">
        <v>5564</v>
      </c>
      <c r="D3731" s="540">
        <v>116.64</v>
      </c>
    </row>
    <row r="3732" spans="1:4" ht="15" x14ac:dyDescent="0.25">
      <c r="A3732" s="304">
        <v>40651</v>
      </c>
      <c r="B3732" s="304" t="s">
        <v>9281</v>
      </c>
      <c r="C3732" s="304" t="s">
        <v>5564</v>
      </c>
      <c r="D3732" s="540">
        <v>215.13</v>
      </c>
    </row>
    <row r="3733" spans="1:4" ht="15" x14ac:dyDescent="0.25">
      <c r="A3733" s="304">
        <v>40652</v>
      </c>
      <c r="B3733" s="304" t="s">
        <v>9282</v>
      </c>
      <c r="C3733" s="304" t="s">
        <v>5564</v>
      </c>
      <c r="D3733" s="540">
        <v>115.34</v>
      </c>
    </row>
    <row r="3734" spans="1:4" ht="15" x14ac:dyDescent="0.25">
      <c r="A3734" s="304">
        <v>40647</v>
      </c>
      <c r="B3734" s="304" t="s">
        <v>9283</v>
      </c>
      <c r="C3734" s="304" t="s">
        <v>5564</v>
      </c>
      <c r="D3734" s="540">
        <v>127</v>
      </c>
    </row>
    <row r="3735" spans="1:4" ht="15" x14ac:dyDescent="0.25">
      <c r="A3735" s="304">
        <v>40653</v>
      </c>
      <c r="B3735" s="304" t="s">
        <v>9284</v>
      </c>
      <c r="C3735" s="304" t="s">
        <v>5564</v>
      </c>
      <c r="D3735" s="540">
        <v>97.2</v>
      </c>
    </row>
    <row r="3736" spans="1:4" ht="15" x14ac:dyDescent="0.25">
      <c r="A3736" s="304">
        <v>36178</v>
      </c>
      <c r="B3736" s="304" t="s">
        <v>9285</v>
      </c>
      <c r="C3736" s="304" t="s">
        <v>5555</v>
      </c>
      <c r="D3736" s="540">
        <v>8.51</v>
      </c>
    </row>
    <row r="3737" spans="1:4" ht="15" x14ac:dyDescent="0.25">
      <c r="A3737" s="304">
        <v>38195</v>
      </c>
      <c r="B3737" s="304" t="s">
        <v>9286</v>
      </c>
      <c r="C3737" s="304" t="s">
        <v>5564</v>
      </c>
      <c r="D3737" s="540">
        <v>81.05</v>
      </c>
    </row>
    <row r="3738" spans="1:4" ht="15" x14ac:dyDescent="0.25">
      <c r="A3738" s="304">
        <v>38181</v>
      </c>
      <c r="B3738" s="304" t="s">
        <v>9287</v>
      </c>
      <c r="C3738" s="304" t="s">
        <v>5564</v>
      </c>
      <c r="D3738" s="540">
        <v>159.63</v>
      </c>
    </row>
    <row r="3739" spans="1:4" ht="15" x14ac:dyDescent="0.25">
      <c r="A3739" s="304">
        <v>38182</v>
      </c>
      <c r="B3739" s="304" t="s">
        <v>9288</v>
      </c>
      <c r="C3739" s="304" t="s">
        <v>5564</v>
      </c>
      <c r="D3739" s="540">
        <v>152.05000000000001</v>
      </c>
    </row>
    <row r="3740" spans="1:4" ht="15" x14ac:dyDescent="0.25">
      <c r="A3740" s="304">
        <v>38186</v>
      </c>
      <c r="B3740" s="304" t="s">
        <v>9289</v>
      </c>
      <c r="C3740" s="304" t="s">
        <v>5564</v>
      </c>
      <c r="D3740" s="540">
        <v>395.25</v>
      </c>
    </row>
    <row r="3741" spans="1:4" ht="15" x14ac:dyDescent="0.25">
      <c r="A3741" s="304">
        <v>38185</v>
      </c>
      <c r="B3741" s="304" t="s">
        <v>9290</v>
      </c>
      <c r="C3741" s="304" t="s">
        <v>5564</v>
      </c>
      <c r="D3741" s="540">
        <v>351.91</v>
      </c>
    </row>
    <row r="3742" spans="1:4" ht="15" x14ac:dyDescent="0.25">
      <c r="A3742" s="304">
        <v>40654</v>
      </c>
      <c r="B3742" s="304" t="s">
        <v>9291</v>
      </c>
      <c r="C3742" s="304" t="s">
        <v>5564</v>
      </c>
      <c r="D3742" s="540">
        <v>150.97999999999999</v>
      </c>
    </row>
    <row r="3743" spans="1:4" ht="15" x14ac:dyDescent="0.25">
      <c r="A3743" s="304">
        <v>25981</v>
      </c>
      <c r="B3743" s="304" t="s">
        <v>9292</v>
      </c>
      <c r="C3743" s="304" t="s">
        <v>5564</v>
      </c>
      <c r="D3743" s="540">
        <v>227.04</v>
      </c>
    </row>
    <row r="3744" spans="1:4" ht="15" x14ac:dyDescent="0.25">
      <c r="A3744" s="304">
        <v>4822</v>
      </c>
      <c r="B3744" s="304" t="s">
        <v>9293</v>
      </c>
      <c r="C3744" s="304" t="s">
        <v>5564</v>
      </c>
      <c r="D3744" s="540">
        <v>321.05</v>
      </c>
    </row>
    <row r="3745" spans="1:4" ht="15" x14ac:dyDescent="0.25">
      <c r="A3745" s="304">
        <v>4818</v>
      </c>
      <c r="B3745" s="304" t="s">
        <v>9294</v>
      </c>
      <c r="C3745" s="304" t="s">
        <v>5564</v>
      </c>
      <c r="D3745" s="540">
        <v>330</v>
      </c>
    </row>
    <row r="3746" spans="1:4" ht="15" x14ac:dyDescent="0.25">
      <c r="A3746" s="304">
        <v>39567</v>
      </c>
      <c r="B3746" s="304" t="s">
        <v>9295</v>
      </c>
      <c r="C3746" s="304" t="s">
        <v>5564</v>
      </c>
      <c r="D3746" s="540">
        <v>48.06</v>
      </c>
    </row>
    <row r="3747" spans="1:4" ht="15" x14ac:dyDescent="0.25">
      <c r="A3747" s="304">
        <v>39566</v>
      </c>
      <c r="B3747" s="304" t="s">
        <v>9296</v>
      </c>
      <c r="C3747" s="304" t="s">
        <v>5564</v>
      </c>
      <c r="D3747" s="540">
        <v>55.51</v>
      </c>
    </row>
    <row r="3748" spans="1:4" ht="15" x14ac:dyDescent="0.25">
      <c r="A3748" s="304">
        <v>11062</v>
      </c>
      <c r="B3748" s="304" t="s">
        <v>9297</v>
      </c>
      <c r="C3748" s="304" t="s">
        <v>5564</v>
      </c>
      <c r="D3748" s="540">
        <v>50.16</v>
      </c>
    </row>
    <row r="3749" spans="1:4" ht="15" x14ac:dyDescent="0.25">
      <c r="A3749" s="304">
        <v>11063</v>
      </c>
      <c r="B3749" s="304" t="s">
        <v>9298</v>
      </c>
      <c r="C3749" s="304" t="s">
        <v>5564</v>
      </c>
      <c r="D3749" s="540">
        <v>48.56</v>
      </c>
    </row>
    <row r="3750" spans="1:4" ht="15" x14ac:dyDescent="0.25">
      <c r="A3750" s="304">
        <v>13521</v>
      </c>
      <c r="B3750" s="304" t="s">
        <v>9299</v>
      </c>
      <c r="C3750" s="304" t="s">
        <v>5555</v>
      </c>
      <c r="D3750" s="540">
        <v>99</v>
      </c>
    </row>
    <row r="3751" spans="1:4" ht="15" x14ac:dyDescent="0.25">
      <c r="A3751" s="304">
        <v>10851</v>
      </c>
      <c r="B3751" s="304" t="s">
        <v>9300</v>
      </c>
      <c r="C3751" s="304" t="s">
        <v>5555</v>
      </c>
      <c r="D3751" s="540">
        <v>41.32</v>
      </c>
    </row>
    <row r="3752" spans="1:4" ht="15" x14ac:dyDescent="0.25">
      <c r="A3752" s="304">
        <v>39515</v>
      </c>
      <c r="B3752" s="304" t="s">
        <v>9301</v>
      </c>
      <c r="C3752" s="304" t="s">
        <v>5555</v>
      </c>
      <c r="D3752" s="540">
        <v>32.5</v>
      </c>
    </row>
    <row r="3753" spans="1:4" ht="15" x14ac:dyDescent="0.25">
      <c r="A3753" s="304">
        <v>39516</v>
      </c>
      <c r="B3753" s="304" t="s">
        <v>9302</v>
      </c>
      <c r="C3753" s="304" t="s">
        <v>5555</v>
      </c>
      <c r="D3753" s="540">
        <v>27.4</v>
      </c>
    </row>
    <row r="3754" spans="1:4" ht="15" x14ac:dyDescent="0.25">
      <c r="A3754" s="304">
        <v>39514</v>
      </c>
      <c r="B3754" s="304" t="s">
        <v>9303</v>
      </c>
      <c r="C3754" s="304" t="s">
        <v>5555</v>
      </c>
      <c r="D3754" s="540">
        <v>17.05</v>
      </c>
    </row>
    <row r="3755" spans="1:4" ht="15" x14ac:dyDescent="0.25">
      <c r="A3755" s="304">
        <v>4812</v>
      </c>
      <c r="B3755" s="304" t="s">
        <v>9304</v>
      </c>
      <c r="C3755" s="304" t="s">
        <v>5564</v>
      </c>
      <c r="D3755" s="540">
        <v>13.28</v>
      </c>
    </row>
    <row r="3756" spans="1:4" ht="15" x14ac:dyDescent="0.25">
      <c r="A3756" s="304">
        <v>10849</v>
      </c>
      <c r="B3756" s="304" t="s">
        <v>9305</v>
      </c>
      <c r="C3756" s="304" t="s">
        <v>5555</v>
      </c>
      <c r="D3756" s="541">
        <v>1440.01</v>
      </c>
    </row>
    <row r="3757" spans="1:4" ht="15" x14ac:dyDescent="0.25">
      <c r="A3757" s="304">
        <v>10848</v>
      </c>
      <c r="B3757" s="304" t="s">
        <v>9306</v>
      </c>
      <c r="C3757" s="304" t="s">
        <v>5555</v>
      </c>
      <c r="D3757" s="540">
        <v>904.5</v>
      </c>
    </row>
    <row r="3758" spans="1:4" ht="15" x14ac:dyDescent="0.25">
      <c r="A3758" s="304">
        <v>4813</v>
      </c>
      <c r="B3758" s="304" t="s">
        <v>9307</v>
      </c>
      <c r="C3758" s="304" t="s">
        <v>5564</v>
      </c>
      <c r="D3758" s="540">
        <v>300</v>
      </c>
    </row>
    <row r="3759" spans="1:4" ht="15" x14ac:dyDescent="0.25">
      <c r="A3759" s="304">
        <v>37560</v>
      </c>
      <c r="B3759" s="304" t="s">
        <v>9308</v>
      </c>
      <c r="C3759" s="304" t="s">
        <v>5555</v>
      </c>
      <c r="D3759" s="540">
        <v>35.43</v>
      </c>
    </row>
    <row r="3760" spans="1:4" ht="15" x14ac:dyDescent="0.25">
      <c r="A3760" s="304">
        <v>37557</v>
      </c>
      <c r="B3760" s="304" t="s">
        <v>9309</v>
      </c>
      <c r="C3760" s="304" t="s">
        <v>5555</v>
      </c>
      <c r="D3760" s="540">
        <v>10.76</v>
      </c>
    </row>
    <row r="3761" spans="1:4" ht="15" x14ac:dyDescent="0.25">
      <c r="A3761" s="304">
        <v>37556</v>
      </c>
      <c r="B3761" s="304" t="s">
        <v>9310</v>
      </c>
      <c r="C3761" s="304" t="s">
        <v>5555</v>
      </c>
      <c r="D3761" s="540">
        <v>20.82</v>
      </c>
    </row>
    <row r="3762" spans="1:4" ht="15" x14ac:dyDescent="0.25">
      <c r="A3762" s="304">
        <v>37559</v>
      </c>
      <c r="B3762" s="304" t="s">
        <v>9311</v>
      </c>
      <c r="C3762" s="304" t="s">
        <v>5555</v>
      </c>
      <c r="D3762" s="540">
        <v>25.54</v>
      </c>
    </row>
    <row r="3763" spans="1:4" ht="15" x14ac:dyDescent="0.25">
      <c r="A3763" s="304">
        <v>37539</v>
      </c>
      <c r="B3763" s="304" t="s">
        <v>9312</v>
      </c>
      <c r="C3763" s="304" t="s">
        <v>5555</v>
      </c>
      <c r="D3763" s="540">
        <v>18</v>
      </c>
    </row>
    <row r="3764" spans="1:4" ht="15" x14ac:dyDescent="0.25">
      <c r="A3764" s="304">
        <v>37558</v>
      </c>
      <c r="B3764" s="304" t="s">
        <v>9313</v>
      </c>
      <c r="C3764" s="304" t="s">
        <v>5555</v>
      </c>
      <c r="D3764" s="540">
        <v>33.56</v>
      </c>
    </row>
    <row r="3765" spans="1:4" ht="15" x14ac:dyDescent="0.25">
      <c r="A3765" s="304">
        <v>34723</v>
      </c>
      <c r="B3765" s="304" t="s">
        <v>9314</v>
      </c>
      <c r="C3765" s="304" t="s">
        <v>5564</v>
      </c>
      <c r="D3765" s="540">
        <v>693</v>
      </c>
    </row>
    <row r="3766" spans="1:4" ht="15" x14ac:dyDescent="0.25">
      <c r="A3766" s="304">
        <v>34721</v>
      </c>
      <c r="B3766" s="304" t="s">
        <v>9315</v>
      </c>
      <c r="C3766" s="304" t="s">
        <v>5564</v>
      </c>
      <c r="D3766" s="540">
        <v>864</v>
      </c>
    </row>
    <row r="3767" spans="1:4" ht="15" x14ac:dyDescent="0.25">
      <c r="A3767" s="304">
        <v>4309</v>
      </c>
      <c r="B3767" s="304" t="s">
        <v>9316</v>
      </c>
      <c r="C3767" s="304" t="s">
        <v>5555</v>
      </c>
      <c r="D3767" s="540">
        <v>4.05</v>
      </c>
    </row>
    <row r="3768" spans="1:4" ht="15" x14ac:dyDescent="0.25">
      <c r="A3768" s="304">
        <v>4307</v>
      </c>
      <c r="B3768" s="304" t="s">
        <v>9317</v>
      </c>
      <c r="C3768" s="304" t="s">
        <v>5555</v>
      </c>
      <c r="D3768" s="540">
        <v>6.93</v>
      </c>
    </row>
    <row r="3769" spans="1:4" ht="15" x14ac:dyDescent="0.25">
      <c r="A3769" s="304">
        <v>10850</v>
      </c>
      <c r="B3769" s="304" t="s">
        <v>9318</v>
      </c>
      <c r="C3769" s="304" t="s">
        <v>5555</v>
      </c>
      <c r="D3769" s="540">
        <v>45</v>
      </c>
    </row>
    <row r="3770" spans="1:4" ht="15" x14ac:dyDescent="0.25">
      <c r="A3770" s="304">
        <v>42438</v>
      </c>
      <c r="B3770" s="304" t="s">
        <v>9319</v>
      </c>
      <c r="C3770" s="304" t="s">
        <v>5555</v>
      </c>
      <c r="D3770" s="541">
        <v>1187.6099999999999</v>
      </c>
    </row>
    <row r="3771" spans="1:4" ht="15" x14ac:dyDescent="0.25">
      <c r="A3771" s="304">
        <v>4792</v>
      </c>
      <c r="B3771" s="304" t="s">
        <v>9320</v>
      </c>
      <c r="C3771" s="304" t="s">
        <v>5564</v>
      </c>
      <c r="D3771" s="540">
        <v>112.25</v>
      </c>
    </row>
    <row r="3772" spans="1:4" ht="15" x14ac:dyDescent="0.25">
      <c r="A3772" s="304">
        <v>4790</v>
      </c>
      <c r="B3772" s="304" t="s">
        <v>9321</v>
      </c>
      <c r="C3772" s="304" t="s">
        <v>5564</v>
      </c>
      <c r="D3772" s="540">
        <v>67.489999999999995</v>
      </c>
    </row>
    <row r="3773" spans="1:4" ht="15" x14ac:dyDescent="0.25">
      <c r="A3773" s="304">
        <v>40671</v>
      </c>
      <c r="B3773" s="304" t="s">
        <v>9322</v>
      </c>
      <c r="C3773" s="304" t="s">
        <v>5564</v>
      </c>
      <c r="D3773" s="540">
        <v>48.52</v>
      </c>
    </row>
    <row r="3774" spans="1:4" ht="15" x14ac:dyDescent="0.25">
      <c r="A3774" s="304">
        <v>7552</v>
      </c>
      <c r="B3774" s="304" t="s">
        <v>9323</v>
      </c>
      <c r="C3774" s="304" t="s">
        <v>5555</v>
      </c>
      <c r="D3774" s="540">
        <v>22.9</v>
      </c>
    </row>
    <row r="3775" spans="1:4" ht="15" x14ac:dyDescent="0.25">
      <c r="A3775" s="304">
        <v>4893</v>
      </c>
      <c r="B3775" s="304" t="s">
        <v>9324</v>
      </c>
      <c r="C3775" s="304" t="s">
        <v>5555</v>
      </c>
      <c r="D3775" s="540">
        <v>7.55</v>
      </c>
    </row>
    <row r="3776" spans="1:4" ht="15" x14ac:dyDescent="0.25">
      <c r="A3776" s="304">
        <v>4894</v>
      </c>
      <c r="B3776" s="304" t="s">
        <v>9325</v>
      </c>
      <c r="C3776" s="304" t="s">
        <v>5555</v>
      </c>
      <c r="D3776" s="540">
        <v>6.48</v>
      </c>
    </row>
    <row r="3777" spans="1:4" ht="15" x14ac:dyDescent="0.25">
      <c r="A3777" s="304">
        <v>4888</v>
      </c>
      <c r="B3777" s="304" t="s">
        <v>9326</v>
      </c>
      <c r="C3777" s="304" t="s">
        <v>5555</v>
      </c>
      <c r="D3777" s="540">
        <v>2.2000000000000002</v>
      </c>
    </row>
    <row r="3778" spans="1:4" ht="15" x14ac:dyDescent="0.25">
      <c r="A3778" s="304">
        <v>4890</v>
      </c>
      <c r="B3778" s="304" t="s">
        <v>9327</v>
      </c>
      <c r="C3778" s="304" t="s">
        <v>5555</v>
      </c>
      <c r="D3778" s="540">
        <v>4.1399999999999997</v>
      </c>
    </row>
    <row r="3779" spans="1:4" ht="15" x14ac:dyDescent="0.25">
      <c r="A3779" s="304">
        <v>12411</v>
      </c>
      <c r="B3779" s="304" t="s">
        <v>9328</v>
      </c>
      <c r="C3779" s="304" t="s">
        <v>5555</v>
      </c>
      <c r="D3779" s="540">
        <v>22.33</v>
      </c>
    </row>
    <row r="3780" spans="1:4" ht="15" x14ac:dyDescent="0.25">
      <c r="A3780" s="304">
        <v>4891</v>
      </c>
      <c r="B3780" s="304" t="s">
        <v>9329</v>
      </c>
      <c r="C3780" s="304" t="s">
        <v>5555</v>
      </c>
      <c r="D3780" s="540">
        <v>11.16</v>
      </c>
    </row>
    <row r="3781" spans="1:4" ht="15" x14ac:dyDescent="0.25">
      <c r="A3781" s="304">
        <v>4889</v>
      </c>
      <c r="B3781" s="304" t="s">
        <v>9330</v>
      </c>
      <c r="C3781" s="304" t="s">
        <v>5555</v>
      </c>
      <c r="D3781" s="540">
        <v>2.98</v>
      </c>
    </row>
    <row r="3782" spans="1:4" ht="15" x14ac:dyDescent="0.25">
      <c r="A3782" s="304">
        <v>4892</v>
      </c>
      <c r="B3782" s="304" t="s">
        <v>9331</v>
      </c>
      <c r="C3782" s="304" t="s">
        <v>5555</v>
      </c>
      <c r="D3782" s="540">
        <v>31.27</v>
      </c>
    </row>
    <row r="3783" spans="1:4" ht="15" x14ac:dyDescent="0.25">
      <c r="A3783" s="304">
        <v>12412</v>
      </c>
      <c r="B3783" s="304" t="s">
        <v>9332</v>
      </c>
      <c r="C3783" s="304" t="s">
        <v>5555</v>
      </c>
      <c r="D3783" s="540">
        <v>58.12</v>
      </c>
    </row>
    <row r="3784" spans="1:4" ht="15" x14ac:dyDescent="0.25">
      <c r="A3784" s="304">
        <v>11073</v>
      </c>
      <c r="B3784" s="304" t="s">
        <v>9333</v>
      </c>
      <c r="C3784" s="304" t="s">
        <v>5555</v>
      </c>
      <c r="D3784" s="540">
        <v>3.35</v>
      </c>
    </row>
    <row r="3785" spans="1:4" ht="15" x14ac:dyDescent="0.25">
      <c r="A3785" s="304">
        <v>11071</v>
      </c>
      <c r="B3785" s="304" t="s">
        <v>9334</v>
      </c>
      <c r="C3785" s="304" t="s">
        <v>5555</v>
      </c>
      <c r="D3785" s="540">
        <v>5.43</v>
      </c>
    </row>
    <row r="3786" spans="1:4" ht="15" x14ac:dyDescent="0.25">
      <c r="A3786" s="304">
        <v>11072</v>
      </c>
      <c r="B3786" s="304" t="s">
        <v>9335</v>
      </c>
      <c r="C3786" s="304" t="s">
        <v>5555</v>
      </c>
      <c r="D3786" s="540">
        <v>1.89</v>
      </c>
    </row>
    <row r="3787" spans="1:4" ht="15" x14ac:dyDescent="0.25">
      <c r="A3787" s="304">
        <v>4895</v>
      </c>
      <c r="B3787" s="304" t="s">
        <v>9336</v>
      </c>
      <c r="C3787" s="304" t="s">
        <v>5555</v>
      </c>
      <c r="D3787" s="540">
        <v>0.44</v>
      </c>
    </row>
    <row r="3788" spans="1:4" ht="15" x14ac:dyDescent="0.25">
      <c r="A3788" s="304">
        <v>4907</v>
      </c>
      <c r="B3788" s="304" t="s">
        <v>9337</v>
      </c>
      <c r="C3788" s="304" t="s">
        <v>5555</v>
      </c>
      <c r="D3788" s="540">
        <v>19.04</v>
      </c>
    </row>
    <row r="3789" spans="1:4" ht="15" x14ac:dyDescent="0.25">
      <c r="A3789" s="304">
        <v>4902</v>
      </c>
      <c r="B3789" s="304" t="s">
        <v>9338</v>
      </c>
      <c r="C3789" s="304" t="s">
        <v>5555</v>
      </c>
      <c r="D3789" s="540">
        <v>43.09</v>
      </c>
    </row>
    <row r="3790" spans="1:4" ht="15" x14ac:dyDescent="0.25">
      <c r="A3790" s="304">
        <v>4908</v>
      </c>
      <c r="B3790" s="304" t="s">
        <v>9339</v>
      </c>
      <c r="C3790" s="304" t="s">
        <v>5555</v>
      </c>
      <c r="D3790" s="540">
        <v>87.5</v>
      </c>
    </row>
    <row r="3791" spans="1:4" ht="15" x14ac:dyDescent="0.25">
      <c r="A3791" s="304">
        <v>4909</v>
      </c>
      <c r="B3791" s="304" t="s">
        <v>9340</v>
      </c>
      <c r="C3791" s="304" t="s">
        <v>5555</v>
      </c>
      <c r="D3791" s="540">
        <v>169</v>
      </c>
    </row>
    <row r="3792" spans="1:4" ht="15" x14ac:dyDescent="0.25">
      <c r="A3792" s="304">
        <v>4903</v>
      </c>
      <c r="B3792" s="304" t="s">
        <v>9341</v>
      </c>
      <c r="C3792" s="304" t="s">
        <v>5555</v>
      </c>
      <c r="D3792" s="540">
        <v>496.91</v>
      </c>
    </row>
    <row r="3793" spans="1:4" ht="15" x14ac:dyDescent="0.25">
      <c r="A3793" s="304">
        <v>4897</v>
      </c>
      <c r="B3793" s="304" t="s">
        <v>9342</v>
      </c>
      <c r="C3793" s="304" t="s">
        <v>5555</v>
      </c>
      <c r="D3793" s="540">
        <v>1.87</v>
      </c>
    </row>
    <row r="3794" spans="1:4" ht="15" x14ac:dyDescent="0.25">
      <c r="A3794" s="304">
        <v>4896</v>
      </c>
      <c r="B3794" s="304" t="s">
        <v>9343</v>
      </c>
      <c r="C3794" s="304" t="s">
        <v>5555</v>
      </c>
      <c r="D3794" s="540">
        <v>0.66</v>
      </c>
    </row>
    <row r="3795" spans="1:4" ht="15" x14ac:dyDescent="0.25">
      <c r="A3795" s="304">
        <v>4900</v>
      </c>
      <c r="B3795" s="304" t="s">
        <v>9344</v>
      </c>
      <c r="C3795" s="304" t="s">
        <v>5555</v>
      </c>
      <c r="D3795" s="540">
        <v>5.56</v>
      </c>
    </row>
    <row r="3796" spans="1:4" ht="15" x14ac:dyDescent="0.25">
      <c r="A3796" s="304">
        <v>4898</v>
      </c>
      <c r="B3796" s="304" t="s">
        <v>9345</v>
      </c>
      <c r="C3796" s="304" t="s">
        <v>5555</v>
      </c>
      <c r="D3796" s="540">
        <v>2.08</v>
      </c>
    </row>
    <row r="3797" spans="1:4" ht="15" x14ac:dyDescent="0.25">
      <c r="A3797" s="304">
        <v>4899</v>
      </c>
      <c r="B3797" s="304" t="s">
        <v>9346</v>
      </c>
      <c r="C3797" s="304" t="s">
        <v>5555</v>
      </c>
      <c r="D3797" s="540">
        <v>7.63</v>
      </c>
    </row>
    <row r="3798" spans="1:4" ht="15" x14ac:dyDescent="0.25">
      <c r="A3798" s="304">
        <v>11096</v>
      </c>
      <c r="B3798" s="304" t="s">
        <v>9347</v>
      </c>
      <c r="C3798" s="304" t="s">
        <v>5626</v>
      </c>
      <c r="D3798" s="540">
        <v>0.43</v>
      </c>
    </row>
    <row r="3799" spans="1:4" ht="15" x14ac:dyDescent="0.25">
      <c r="A3799" s="304">
        <v>4741</v>
      </c>
      <c r="B3799" s="304" t="s">
        <v>9348</v>
      </c>
      <c r="C3799" s="304" t="s">
        <v>5751</v>
      </c>
      <c r="D3799" s="540">
        <v>81.14</v>
      </c>
    </row>
    <row r="3800" spans="1:4" ht="15" x14ac:dyDescent="0.25">
      <c r="A3800" s="304">
        <v>4752</v>
      </c>
      <c r="B3800" s="304" t="s">
        <v>9349</v>
      </c>
      <c r="C3800" s="304" t="s">
        <v>5566</v>
      </c>
      <c r="D3800" s="540">
        <v>15.95</v>
      </c>
    </row>
    <row r="3801" spans="1:4" ht="15" x14ac:dyDescent="0.25">
      <c r="A3801" s="304">
        <v>41091</v>
      </c>
      <c r="B3801" s="304" t="s">
        <v>9350</v>
      </c>
      <c r="C3801" s="304" t="s">
        <v>5755</v>
      </c>
      <c r="D3801" s="541">
        <v>2794.75</v>
      </c>
    </row>
    <row r="3802" spans="1:4" ht="15" x14ac:dyDescent="0.25">
      <c r="A3802" s="304">
        <v>13954</v>
      </c>
      <c r="B3802" s="304" t="s">
        <v>9351</v>
      </c>
      <c r="C3802" s="304" t="s">
        <v>5555</v>
      </c>
      <c r="D3802" s="541">
        <v>4690.9399999999996</v>
      </c>
    </row>
    <row r="3803" spans="1:4" ht="15" x14ac:dyDescent="0.25">
      <c r="A3803" s="304">
        <v>3411</v>
      </c>
      <c r="B3803" s="304" t="s">
        <v>9352</v>
      </c>
      <c r="C3803" s="304" t="s">
        <v>5626</v>
      </c>
      <c r="D3803" s="540">
        <v>45.99</v>
      </c>
    </row>
    <row r="3804" spans="1:4" ht="15" x14ac:dyDescent="0.25">
      <c r="A3804" s="304">
        <v>39995</v>
      </c>
      <c r="B3804" s="304" t="s">
        <v>9353</v>
      </c>
      <c r="C3804" s="304" t="s">
        <v>5751</v>
      </c>
      <c r="D3804" s="540">
        <v>353.8</v>
      </c>
    </row>
    <row r="3805" spans="1:4" ht="15" x14ac:dyDescent="0.25">
      <c r="A3805" s="304">
        <v>11615</v>
      </c>
      <c r="B3805" s="304" t="s">
        <v>9354</v>
      </c>
      <c r="C3805" s="304" t="s">
        <v>5564</v>
      </c>
      <c r="D3805" s="540">
        <v>3</v>
      </c>
    </row>
    <row r="3806" spans="1:4" ht="15" x14ac:dyDescent="0.25">
      <c r="A3806" s="304">
        <v>3408</v>
      </c>
      <c r="B3806" s="304" t="s">
        <v>9355</v>
      </c>
      <c r="C3806" s="304" t="s">
        <v>5564</v>
      </c>
      <c r="D3806" s="540">
        <v>7.97</v>
      </c>
    </row>
    <row r="3807" spans="1:4" ht="15" x14ac:dyDescent="0.25">
      <c r="A3807" s="304">
        <v>3409</v>
      </c>
      <c r="B3807" s="304" t="s">
        <v>9356</v>
      </c>
      <c r="C3807" s="304" t="s">
        <v>5564</v>
      </c>
      <c r="D3807" s="540">
        <v>19.920000000000002</v>
      </c>
    </row>
    <row r="3808" spans="1:4" ht="15" x14ac:dyDescent="0.25">
      <c r="A3808" s="304">
        <v>11427</v>
      </c>
      <c r="B3808" s="304" t="s">
        <v>9357</v>
      </c>
      <c r="C3808" s="304" t="s">
        <v>5626</v>
      </c>
      <c r="D3808" s="540">
        <v>76.66</v>
      </c>
    </row>
    <row r="3809" spans="1:4" ht="15" x14ac:dyDescent="0.25">
      <c r="A3809" s="304">
        <v>4491</v>
      </c>
      <c r="B3809" s="304" t="s">
        <v>9358</v>
      </c>
      <c r="C3809" s="304" t="s">
        <v>5575</v>
      </c>
      <c r="D3809" s="540">
        <v>2.96</v>
      </c>
    </row>
    <row r="3810" spans="1:4" ht="15" x14ac:dyDescent="0.25">
      <c r="A3810" s="304">
        <v>26022</v>
      </c>
      <c r="B3810" s="304" t="s">
        <v>9359</v>
      </c>
      <c r="C3810" s="304" t="s">
        <v>5555</v>
      </c>
      <c r="D3810" s="540">
        <v>120.16</v>
      </c>
    </row>
    <row r="3811" spans="1:4" ht="15" x14ac:dyDescent="0.25">
      <c r="A3811" s="304">
        <v>421</v>
      </c>
      <c r="B3811" s="304" t="s">
        <v>9360</v>
      </c>
      <c r="C3811" s="304" t="s">
        <v>5555</v>
      </c>
      <c r="D3811" s="540">
        <v>10.85</v>
      </c>
    </row>
    <row r="3812" spans="1:4" ht="15" x14ac:dyDescent="0.25">
      <c r="A3812" s="304">
        <v>12362</v>
      </c>
      <c r="B3812" s="304" t="s">
        <v>9361</v>
      </c>
      <c r="C3812" s="304" t="s">
        <v>5555</v>
      </c>
      <c r="D3812" s="540">
        <v>12.6</v>
      </c>
    </row>
    <row r="3813" spans="1:4" ht="15" x14ac:dyDescent="0.25">
      <c r="A3813" s="304">
        <v>14148</v>
      </c>
      <c r="B3813" s="304" t="s">
        <v>9362</v>
      </c>
      <c r="C3813" s="304" t="s">
        <v>5555</v>
      </c>
      <c r="D3813" s="540">
        <v>0.6</v>
      </c>
    </row>
    <row r="3814" spans="1:4" ht="15" x14ac:dyDescent="0.25">
      <c r="A3814" s="304">
        <v>4341</v>
      </c>
      <c r="B3814" s="304" t="s">
        <v>9363</v>
      </c>
      <c r="C3814" s="304" t="s">
        <v>5555</v>
      </c>
      <c r="D3814" s="540">
        <v>0.75</v>
      </c>
    </row>
    <row r="3815" spans="1:4" ht="15" x14ac:dyDescent="0.25">
      <c r="A3815" s="304">
        <v>4337</v>
      </c>
      <c r="B3815" s="304" t="s">
        <v>9364</v>
      </c>
      <c r="C3815" s="304" t="s">
        <v>5555</v>
      </c>
      <c r="D3815" s="540">
        <v>1.89</v>
      </c>
    </row>
    <row r="3816" spans="1:4" ht="15" x14ac:dyDescent="0.25">
      <c r="A3816" s="304">
        <v>4339</v>
      </c>
      <c r="B3816" s="304" t="s">
        <v>9365</v>
      </c>
      <c r="C3816" s="304" t="s">
        <v>5555</v>
      </c>
      <c r="D3816" s="540">
        <v>0.4</v>
      </c>
    </row>
    <row r="3817" spans="1:4" ht="15" x14ac:dyDescent="0.25">
      <c r="A3817" s="304">
        <v>39997</v>
      </c>
      <c r="B3817" s="304" t="s">
        <v>9366</v>
      </c>
      <c r="C3817" s="304" t="s">
        <v>5555</v>
      </c>
      <c r="D3817" s="540">
        <v>0.22</v>
      </c>
    </row>
    <row r="3818" spans="1:4" ht="15" x14ac:dyDescent="0.25">
      <c r="A3818" s="304">
        <v>11971</v>
      </c>
      <c r="B3818" s="304" t="s">
        <v>9367</v>
      </c>
      <c r="C3818" s="304" t="s">
        <v>5555</v>
      </c>
      <c r="D3818" s="540">
        <v>3.13</v>
      </c>
    </row>
    <row r="3819" spans="1:4" ht="15" x14ac:dyDescent="0.25">
      <c r="A3819" s="304">
        <v>4342</v>
      </c>
      <c r="B3819" s="304" t="s">
        <v>9368</v>
      </c>
      <c r="C3819" s="304" t="s">
        <v>5555</v>
      </c>
      <c r="D3819" s="540">
        <v>0.16</v>
      </c>
    </row>
    <row r="3820" spans="1:4" ht="15" x14ac:dyDescent="0.25">
      <c r="A3820" s="304">
        <v>4330</v>
      </c>
      <c r="B3820" s="304" t="s">
        <v>9369</v>
      </c>
      <c r="C3820" s="304" t="s">
        <v>5555</v>
      </c>
      <c r="D3820" s="540">
        <v>0.11</v>
      </c>
    </row>
    <row r="3821" spans="1:4" ht="15" x14ac:dyDescent="0.25">
      <c r="A3821" s="304">
        <v>4340</v>
      </c>
      <c r="B3821" s="304" t="s">
        <v>9370</v>
      </c>
      <c r="C3821" s="304" t="s">
        <v>5555</v>
      </c>
      <c r="D3821" s="540">
        <v>0.87</v>
      </c>
    </row>
    <row r="3822" spans="1:4" ht="15" x14ac:dyDescent="0.25">
      <c r="A3822" s="304">
        <v>5088</v>
      </c>
      <c r="B3822" s="304" t="s">
        <v>9371</v>
      </c>
      <c r="C3822" s="304" t="s">
        <v>5555</v>
      </c>
      <c r="D3822" s="540">
        <v>2.4500000000000002</v>
      </c>
    </row>
    <row r="3823" spans="1:4" ht="15" x14ac:dyDescent="0.25">
      <c r="A3823" s="304">
        <v>11154</v>
      </c>
      <c r="B3823" s="304" t="s">
        <v>9372</v>
      </c>
      <c r="C3823" s="304" t="s">
        <v>5555</v>
      </c>
      <c r="D3823" s="540">
        <v>727.08</v>
      </c>
    </row>
    <row r="3824" spans="1:4" ht="15" x14ac:dyDescent="0.25">
      <c r="A3824" s="304">
        <v>39021</v>
      </c>
      <c r="B3824" s="304" t="s">
        <v>9373</v>
      </c>
      <c r="C3824" s="304" t="s">
        <v>5555</v>
      </c>
      <c r="D3824" s="540">
        <v>327.04000000000002</v>
      </c>
    </row>
    <row r="3825" spans="1:4" ht="15" x14ac:dyDescent="0.25">
      <c r="A3825" s="304">
        <v>39022</v>
      </c>
      <c r="B3825" s="304" t="s">
        <v>9374</v>
      </c>
      <c r="C3825" s="304" t="s">
        <v>5555</v>
      </c>
      <c r="D3825" s="540">
        <v>404.45</v>
      </c>
    </row>
    <row r="3826" spans="1:4" ht="15" x14ac:dyDescent="0.25">
      <c r="A3826" s="304">
        <v>39024</v>
      </c>
      <c r="B3826" s="304" t="s">
        <v>9375</v>
      </c>
      <c r="C3826" s="304" t="s">
        <v>5555</v>
      </c>
      <c r="D3826" s="540">
        <v>879.45</v>
      </c>
    </row>
    <row r="3827" spans="1:4" ht="15" x14ac:dyDescent="0.25">
      <c r="A3827" s="304">
        <v>4914</v>
      </c>
      <c r="B3827" s="304" t="s">
        <v>9376</v>
      </c>
      <c r="C3827" s="304" t="s">
        <v>5564</v>
      </c>
      <c r="D3827" s="540">
        <v>713.08</v>
      </c>
    </row>
    <row r="3828" spans="1:4" ht="15" x14ac:dyDescent="0.25">
      <c r="A3828" s="304">
        <v>4917</v>
      </c>
      <c r="B3828" s="304" t="s">
        <v>9377</v>
      </c>
      <c r="C3828" s="304" t="s">
        <v>5564</v>
      </c>
      <c r="D3828" s="540">
        <v>492.46</v>
      </c>
    </row>
    <row r="3829" spans="1:4" ht="15" x14ac:dyDescent="0.25">
      <c r="A3829" s="304">
        <v>39025</v>
      </c>
      <c r="B3829" s="304" t="s">
        <v>9378</v>
      </c>
      <c r="C3829" s="304" t="s">
        <v>5555</v>
      </c>
      <c r="D3829" s="540">
        <v>901.78</v>
      </c>
    </row>
    <row r="3830" spans="1:4" ht="15" x14ac:dyDescent="0.25">
      <c r="A3830" s="304">
        <v>4930</v>
      </c>
      <c r="B3830" s="304" t="s">
        <v>9379</v>
      </c>
      <c r="C3830" s="304" t="s">
        <v>5564</v>
      </c>
      <c r="D3830" s="540">
        <v>351.47</v>
      </c>
    </row>
    <row r="3831" spans="1:4" ht="15" x14ac:dyDescent="0.25">
      <c r="A3831" s="304">
        <v>4922</v>
      </c>
      <c r="B3831" s="304" t="s">
        <v>9380</v>
      </c>
      <c r="C3831" s="304" t="s">
        <v>5564</v>
      </c>
      <c r="D3831" s="540">
        <v>456.8</v>
      </c>
    </row>
    <row r="3832" spans="1:4" ht="15" x14ac:dyDescent="0.25">
      <c r="A3832" s="304">
        <v>4911</v>
      </c>
      <c r="B3832" s="304" t="s">
        <v>9381</v>
      </c>
      <c r="C3832" s="304" t="s">
        <v>5564</v>
      </c>
      <c r="D3832" s="540">
        <v>150.84</v>
      </c>
    </row>
    <row r="3833" spans="1:4" ht="15" x14ac:dyDescent="0.25">
      <c r="A3833" s="304">
        <v>37518</v>
      </c>
      <c r="B3833" s="304" t="s">
        <v>9382</v>
      </c>
      <c r="C3833" s="304" t="s">
        <v>5564</v>
      </c>
      <c r="D3833" s="540">
        <v>192.56</v>
      </c>
    </row>
    <row r="3834" spans="1:4" ht="15" x14ac:dyDescent="0.25">
      <c r="A3834" s="304">
        <v>4910</v>
      </c>
      <c r="B3834" s="304" t="s">
        <v>9383</v>
      </c>
      <c r="C3834" s="304" t="s">
        <v>5564</v>
      </c>
      <c r="D3834" s="540">
        <v>150.84</v>
      </c>
    </row>
    <row r="3835" spans="1:4" ht="15" x14ac:dyDescent="0.25">
      <c r="A3835" s="304">
        <v>4943</v>
      </c>
      <c r="B3835" s="304" t="s">
        <v>9384</v>
      </c>
      <c r="C3835" s="304" t="s">
        <v>5564</v>
      </c>
      <c r="D3835" s="540">
        <v>239.41</v>
      </c>
    </row>
    <row r="3836" spans="1:4" ht="15" x14ac:dyDescent="0.25">
      <c r="A3836" s="304">
        <v>5002</v>
      </c>
      <c r="B3836" s="304" t="s">
        <v>9385</v>
      </c>
      <c r="C3836" s="304" t="s">
        <v>5564</v>
      </c>
      <c r="D3836" s="540">
        <v>163.89</v>
      </c>
    </row>
    <row r="3837" spans="1:4" ht="15" x14ac:dyDescent="0.25">
      <c r="A3837" s="304">
        <v>4977</v>
      </c>
      <c r="B3837" s="304" t="s">
        <v>9386</v>
      </c>
      <c r="C3837" s="304" t="s">
        <v>5564</v>
      </c>
      <c r="D3837" s="540">
        <v>110.63</v>
      </c>
    </row>
    <row r="3838" spans="1:4" ht="15" x14ac:dyDescent="0.25">
      <c r="A3838" s="304">
        <v>5028</v>
      </c>
      <c r="B3838" s="304" t="s">
        <v>9387</v>
      </c>
      <c r="C3838" s="304" t="s">
        <v>5564</v>
      </c>
      <c r="D3838" s="540">
        <v>270.7</v>
      </c>
    </row>
    <row r="3839" spans="1:4" ht="15" x14ac:dyDescent="0.25">
      <c r="A3839" s="304">
        <v>4998</v>
      </c>
      <c r="B3839" s="304" t="s">
        <v>9388</v>
      </c>
      <c r="C3839" s="304" t="s">
        <v>5564</v>
      </c>
      <c r="D3839" s="540">
        <v>224.82</v>
      </c>
    </row>
    <row r="3840" spans="1:4" ht="15" x14ac:dyDescent="0.25">
      <c r="A3840" s="304">
        <v>4969</v>
      </c>
      <c r="B3840" s="304" t="s">
        <v>9389</v>
      </c>
      <c r="C3840" s="304" t="s">
        <v>5564</v>
      </c>
      <c r="D3840" s="540">
        <v>156.47</v>
      </c>
    </row>
    <row r="3841" spans="1:4" ht="15" x14ac:dyDescent="0.25">
      <c r="A3841" s="304">
        <v>11364</v>
      </c>
      <c r="B3841" s="304" t="s">
        <v>9390</v>
      </c>
      <c r="C3841" s="304" t="s">
        <v>5555</v>
      </c>
      <c r="D3841" s="540">
        <v>79.09</v>
      </c>
    </row>
    <row r="3842" spans="1:4" ht="15" x14ac:dyDescent="0.25">
      <c r="A3842" s="304">
        <v>11365</v>
      </c>
      <c r="B3842" s="304" t="s">
        <v>9391</v>
      </c>
      <c r="C3842" s="304" t="s">
        <v>5555</v>
      </c>
      <c r="D3842" s="540">
        <v>85.18</v>
      </c>
    </row>
    <row r="3843" spans="1:4" ht="15" x14ac:dyDescent="0.25">
      <c r="A3843" s="304">
        <v>11366</v>
      </c>
      <c r="B3843" s="304" t="s">
        <v>9392</v>
      </c>
      <c r="C3843" s="304" t="s">
        <v>5555</v>
      </c>
      <c r="D3843" s="540">
        <v>90.15</v>
      </c>
    </row>
    <row r="3844" spans="1:4" ht="15" x14ac:dyDescent="0.25">
      <c r="A3844" s="304">
        <v>11367</v>
      </c>
      <c r="B3844" s="304" t="s">
        <v>9393</v>
      </c>
      <c r="C3844" s="304" t="s">
        <v>5564</v>
      </c>
      <c r="D3844" s="540">
        <v>69.44</v>
      </c>
    </row>
    <row r="3845" spans="1:4" ht="15" x14ac:dyDescent="0.25">
      <c r="A3845" s="304">
        <v>4989</v>
      </c>
      <c r="B3845" s="304" t="s">
        <v>9394</v>
      </c>
      <c r="C3845" s="304" t="s">
        <v>5555</v>
      </c>
      <c r="D3845" s="540">
        <v>180.19</v>
      </c>
    </row>
    <row r="3846" spans="1:4" ht="15" x14ac:dyDescent="0.25">
      <c r="A3846" s="304">
        <v>4982</v>
      </c>
      <c r="B3846" s="304" t="s">
        <v>9395</v>
      </c>
      <c r="C3846" s="304" t="s">
        <v>5555</v>
      </c>
      <c r="D3846" s="540">
        <v>156.43</v>
      </c>
    </row>
    <row r="3847" spans="1:4" ht="15" x14ac:dyDescent="0.25">
      <c r="A3847" s="304">
        <v>20322</v>
      </c>
      <c r="B3847" s="304" t="s">
        <v>9396</v>
      </c>
      <c r="C3847" s="304" t="s">
        <v>5555</v>
      </c>
      <c r="D3847" s="540">
        <v>137.87</v>
      </c>
    </row>
    <row r="3848" spans="1:4" ht="15" x14ac:dyDescent="0.25">
      <c r="A3848" s="304">
        <v>10553</v>
      </c>
      <c r="B3848" s="304" t="s">
        <v>9397</v>
      </c>
      <c r="C3848" s="304" t="s">
        <v>5555</v>
      </c>
      <c r="D3848" s="540">
        <v>147</v>
      </c>
    </row>
    <row r="3849" spans="1:4" ht="15" x14ac:dyDescent="0.25">
      <c r="A3849" s="304">
        <v>5020</v>
      </c>
      <c r="B3849" s="304" t="s">
        <v>9398</v>
      </c>
      <c r="C3849" s="304" t="s">
        <v>5555</v>
      </c>
      <c r="D3849" s="540">
        <v>152.4</v>
      </c>
    </row>
    <row r="3850" spans="1:4" ht="15" x14ac:dyDescent="0.25">
      <c r="A3850" s="304">
        <v>4962</v>
      </c>
      <c r="B3850" s="304" t="s">
        <v>9399</v>
      </c>
      <c r="C3850" s="304" t="s">
        <v>5555</v>
      </c>
      <c r="D3850" s="540">
        <v>148.47999999999999</v>
      </c>
    </row>
    <row r="3851" spans="1:4" ht="15" x14ac:dyDescent="0.25">
      <c r="A3851" s="304">
        <v>4981</v>
      </c>
      <c r="B3851" s="304" t="s">
        <v>9400</v>
      </c>
      <c r="C3851" s="304" t="s">
        <v>5555</v>
      </c>
      <c r="D3851" s="540">
        <v>105</v>
      </c>
    </row>
    <row r="3852" spans="1:4" ht="15" x14ac:dyDescent="0.25">
      <c r="A3852" s="304">
        <v>10554</v>
      </c>
      <c r="B3852" s="304" t="s">
        <v>9401</v>
      </c>
      <c r="C3852" s="304" t="s">
        <v>5555</v>
      </c>
      <c r="D3852" s="540">
        <v>164.28</v>
      </c>
    </row>
    <row r="3853" spans="1:4" ht="15" x14ac:dyDescent="0.25">
      <c r="A3853" s="304">
        <v>4964</v>
      </c>
      <c r="B3853" s="304" t="s">
        <v>9402</v>
      </c>
      <c r="C3853" s="304" t="s">
        <v>5555</v>
      </c>
      <c r="D3853" s="540">
        <v>180.3</v>
      </c>
    </row>
    <row r="3854" spans="1:4" ht="15" x14ac:dyDescent="0.25">
      <c r="A3854" s="304">
        <v>4992</v>
      </c>
      <c r="B3854" s="304" t="s">
        <v>9403</v>
      </c>
      <c r="C3854" s="304" t="s">
        <v>5555</v>
      </c>
      <c r="D3854" s="540">
        <v>178.81</v>
      </c>
    </row>
    <row r="3855" spans="1:4" ht="15" x14ac:dyDescent="0.25">
      <c r="A3855" s="304">
        <v>10555</v>
      </c>
      <c r="B3855" s="304" t="s">
        <v>9404</v>
      </c>
      <c r="C3855" s="304" t="s">
        <v>5555</v>
      </c>
      <c r="D3855" s="540">
        <v>158.56</v>
      </c>
    </row>
    <row r="3856" spans="1:4" ht="15" x14ac:dyDescent="0.25">
      <c r="A3856" s="304">
        <v>4987</v>
      </c>
      <c r="B3856" s="304" t="s">
        <v>9405</v>
      </c>
      <c r="C3856" s="304" t="s">
        <v>5555</v>
      </c>
      <c r="D3856" s="540">
        <v>164.28</v>
      </c>
    </row>
    <row r="3857" spans="1:4" ht="15" x14ac:dyDescent="0.25">
      <c r="A3857" s="304">
        <v>10556</v>
      </c>
      <c r="B3857" s="304" t="s">
        <v>9406</v>
      </c>
      <c r="C3857" s="304" t="s">
        <v>5555</v>
      </c>
      <c r="D3857" s="540">
        <v>168.45</v>
      </c>
    </row>
    <row r="3858" spans="1:4" ht="15" x14ac:dyDescent="0.25">
      <c r="A3858" s="304">
        <v>4958</v>
      </c>
      <c r="B3858" s="304" t="s">
        <v>9407</v>
      </c>
      <c r="C3858" s="304" t="s">
        <v>5564</v>
      </c>
      <c r="D3858" s="540">
        <v>96.27</v>
      </c>
    </row>
    <row r="3859" spans="1:4" ht="15" x14ac:dyDescent="0.25">
      <c r="A3859" s="304">
        <v>39502</v>
      </c>
      <c r="B3859" s="304" t="s">
        <v>9408</v>
      </c>
      <c r="C3859" s="304" t="s">
        <v>5555</v>
      </c>
      <c r="D3859" s="540">
        <v>233.33</v>
      </c>
    </row>
    <row r="3860" spans="1:4" ht="15" x14ac:dyDescent="0.25">
      <c r="A3860" s="304">
        <v>39504</v>
      </c>
      <c r="B3860" s="304" t="s">
        <v>9409</v>
      </c>
      <c r="C3860" s="304" t="s">
        <v>5555</v>
      </c>
      <c r="D3860" s="540">
        <v>165.45</v>
      </c>
    </row>
    <row r="3861" spans="1:4" ht="15" x14ac:dyDescent="0.25">
      <c r="A3861" s="304">
        <v>39503</v>
      </c>
      <c r="B3861" s="304" t="s">
        <v>9410</v>
      </c>
      <c r="C3861" s="304" t="s">
        <v>5555</v>
      </c>
      <c r="D3861" s="540">
        <v>253.48</v>
      </c>
    </row>
    <row r="3862" spans="1:4" ht="15" x14ac:dyDescent="0.25">
      <c r="A3862" s="304">
        <v>39505</v>
      </c>
      <c r="B3862" s="304" t="s">
        <v>9411</v>
      </c>
      <c r="C3862" s="304" t="s">
        <v>5555</v>
      </c>
      <c r="D3862" s="540">
        <v>180.3</v>
      </c>
    </row>
    <row r="3863" spans="1:4" ht="15" x14ac:dyDescent="0.25">
      <c r="A3863" s="304">
        <v>25969</v>
      </c>
      <c r="B3863" s="304" t="s">
        <v>9412</v>
      </c>
      <c r="C3863" s="304" t="s">
        <v>5555</v>
      </c>
      <c r="D3863" s="540">
        <v>374.26</v>
      </c>
    </row>
    <row r="3864" spans="1:4" ht="15" x14ac:dyDescent="0.25">
      <c r="A3864" s="304">
        <v>4944</v>
      </c>
      <c r="B3864" s="304" t="s">
        <v>9413</v>
      </c>
      <c r="C3864" s="304" t="s">
        <v>5564</v>
      </c>
      <c r="D3864" s="540">
        <v>293.61</v>
      </c>
    </row>
    <row r="3865" spans="1:4" ht="15" x14ac:dyDescent="0.25">
      <c r="A3865" s="304">
        <v>21102</v>
      </c>
      <c r="B3865" s="304" t="s">
        <v>9414</v>
      </c>
      <c r="C3865" s="304" t="s">
        <v>5555</v>
      </c>
      <c r="D3865" s="540">
        <v>31.73</v>
      </c>
    </row>
    <row r="3866" spans="1:4" ht="15" x14ac:dyDescent="0.25">
      <c r="A3866" s="304">
        <v>21101</v>
      </c>
      <c r="B3866" s="304" t="s">
        <v>9415</v>
      </c>
      <c r="C3866" s="304" t="s">
        <v>5555</v>
      </c>
      <c r="D3866" s="540">
        <v>20.37</v>
      </c>
    </row>
    <row r="3867" spans="1:4" ht="15" x14ac:dyDescent="0.25">
      <c r="A3867" s="304">
        <v>34713</v>
      </c>
      <c r="B3867" s="304" t="s">
        <v>9416</v>
      </c>
      <c r="C3867" s="304" t="s">
        <v>5564</v>
      </c>
      <c r="D3867" s="540">
        <v>280.08</v>
      </c>
    </row>
    <row r="3868" spans="1:4" ht="15" x14ac:dyDescent="0.25">
      <c r="A3868" s="304">
        <v>4947</v>
      </c>
      <c r="B3868" s="304" t="s">
        <v>9417</v>
      </c>
      <c r="C3868" s="304" t="s">
        <v>5564</v>
      </c>
      <c r="D3868" s="540">
        <v>451.67</v>
      </c>
    </row>
    <row r="3869" spans="1:4" ht="15" x14ac:dyDescent="0.25">
      <c r="A3869" s="304">
        <v>37563</v>
      </c>
      <c r="B3869" s="304" t="s">
        <v>9418</v>
      </c>
      <c r="C3869" s="304" t="s">
        <v>5564</v>
      </c>
      <c r="D3869" s="540">
        <v>346.81</v>
      </c>
    </row>
    <row r="3870" spans="1:4" ht="15" x14ac:dyDescent="0.25">
      <c r="A3870" s="304">
        <v>4948</v>
      </c>
      <c r="B3870" s="304" t="s">
        <v>9419</v>
      </c>
      <c r="C3870" s="304" t="s">
        <v>5564</v>
      </c>
      <c r="D3870" s="540">
        <v>314.74</v>
      </c>
    </row>
    <row r="3871" spans="1:4" ht="15" x14ac:dyDescent="0.25">
      <c r="A3871" s="304">
        <v>37561</v>
      </c>
      <c r="B3871" s="304" t="s">
        <v>9420</v>
      </c>
      <c r="C3871" s="304" t="s">
        <v>5564</v>
      </c>
      <c r="D3871" s="540">
        <v>647.4</v>
      </c>
    </row>
    <row r="3872" spans="1:4" ht="15" x14ac:dyDescent="0.25">
      <c r="A3872" s="304">
        <v>37562</v>
      </c>
      <c r="B3872" s="304" t="s">
        <v>9421</v>
      </c>
      <c r="C3872" s="304" t="s">
        <v>5564</v>
      </c>
      <c r="D3872" s="540">
        <v>415.24</v>
      </c>
    </row>
    <row r="3873" spans="1:4" ht="15" x14ac:dyDescent="0.25">
      <c r="A3873" s="304">
        <v>37585</v>
      </c>
      <c r="B3873" s="304" t="s">
        <v>9422</v>
      </c>
      <c r="C3873" s="304" t="s">
        <v>5555</v>
      </c>
      <c r="D3873" s="540">
        <v>245.54</v>
      </c>
    </row>
    <row r="3874" spans="1:4" ht="15" x14ac:dyDescent="0.25">
      <c r="A3874" s="304">
        <v>14164</v>
      </c>
      <c r="B3874" s="304" t="s">
        <v>9423</v>
      </c>
      <c r="C3874" s="304" t="s">
        <v>5555</v>
      </c>
      <c r="D3874" s="541">
        <v>1127.17</v>
      </c>
    </row>
    <row r="3875" spans="1:4" ht="15" x14ac:dyDescent="0.25">
      <c r="A3875" s="304">
        <v>14163</v>
      </c>
      <c r="B3875" s="304" t="s">
        <v>9424</v>
      </c>
      <c r="C3875" s="304" t="s">
        <v>5555</v>
      </c>
      <c r="D3875" s="541">
        <v>1281.1099999999999</v>
      </c>
    </row>
    <row r="3876" spans="1:4" ht="15" x14ac:dyDescent="0.25">
      <c r="A3876" s="304">
        <v>5051</v>
      </c>
      <c r="B3876" s="304" t="s">
        <v>9425</v>
      </c>
      <c r="C3876" s="304" t="s">
        <v>5555</v>
      </c>
      <c r="D3876" s="541">
        <v>1089.56</v>
      </c>
    </row>
    <row r="3877" spans="1:4" ht="15" x14ac:dyDescent="0.25">
      <c r="A3877" s="304">
        <v>14162</v>
      </c>
      <c r="B3877" s="304" t="s">
        <v>9426</v>
      </c>
      <c r="C3877" s="304" t="s">
        <v>5555</v>
      </c>
      <c r="D3877" s="541">
        <v>1087.98</v>
      </c>
    </row>
    <row r="3878" spans="1:4" ht="15" x14ac:dyDescent="0.25">
      <c r="A3878" s="304">
        <v>5052</v>
      </c>
      <c r="B3878" s="304" t="s">
        <v>9427</v>
      </c>
      <c r="C3878" s="304" t="s">
        <v>5555</v>
      </c>
      <c r="D3878" s="540">
        <v>811.79</v>
      </c>
    </row>
    <row r="3879" spans="1:4" ht="15" x14ac:dyDescent="0.25">
      <c r="A3879" s="304">
        <v>14166</v>
      </c>
      <c r="B3879" s="304" t="s">
        <v>9428</v>
      </c>
      <c r="C3879" s="304" t="s">
        <v>5555</v>
      </c>
      <c r="D3879" s="540">
        <v>822.09</v>
      </c>
    </row>
    <row r="3880" spans="1:4" ht="15" x14ac:dyDescent="0.25">
      <c r="A3880" s="304">
        <v>14165</v>
      </c>
      <c r="B3880" s="304" t="s">
        <v>9429</v>
      </c>
      <c r="C3880" s="304" t="s">
        <v>5555</v>
      </c>
      <c r="D3880" s="541">
        <v>1138.9000000000001</v>
      </c>
    </row>
    <row r="3881" spans="1:4" ht="15" x14ac:dyDescent="0.25">
      <c r="A3881" s="304">
        <v>5050</v>
      </c>
      <c r="B3881" s="304" t="s">
        <v>9430</v>
      </c>
      <c r="C3881" s="304" t="s">
        <v>5555</v>
      </c>
      <c r="D3881" s="540">
        <v>280.31</v>
      </c>
    </row>
    <row r="3882" spans="1:4" ht="15" x14ac:dyDescent="0.25">
      <c r="A3882" s="304">
        <v>12378</v>
      </c>
      <c r="B3882" s="304" t="s">
        <v>9431</v>
      </c>
      <c r="C3882" s="304" t="s">
        <v>5555</v>
      </c>
      <c r="D3882" s="540">
        <v>666.28</v>
      </c>
    </row>
    <row r="3883" spans="1:4" ht="15" x14ac:dyDescent="0.25">
      <c r="A3883" s="304">
        <v>12366</v>
      </c>
      <c r="B3883" s="304" t="s">
        <v>9432</v>
      </c>
      <c r="C3883" s="304" t="s">
        <v>5555</v>
      </c>
      <c r="D3883" s="540">
        <v>486.81</v>
      </c>
    </row>
    <row r="3884" spans="1:4" ht="15" x14ac:dyDescent="0.25">
      <c r="A3884" s="304">
        <v>5045</v>
      </c>
      <c r="B3884" s="304" t="s">
        <v>9433</v>
      </c>
      <c r="C3884" s="304" t="s">
        <v>5555</v>
      </c>
      <c r="D3884" s="540">
        <v>677.9</v>
      </c>
    </row>
    <row r="3885" spans="1:4" ht="15" x14ac:dyDescent="0.25">
      <c r="A3885" s="304">
        <v>5044</v>
      </c>
      <c r="B3885" s="304" t="s">
        <v>9434</v>
      </c>
      <c r="C3885" s="304" t="s">
        <v>5555</v>
      </c>
      <c r="D3885" s="540">
        <v>478.26</v>
      </c>
    </row>
    <row r="3886" spans="1:4" ht="15" x14ac:dyDescent="0.25">
      <c r="A3886" s="304">
        <v>5055</v>
      </c>
      <c r="B3886" s="304" t="s">
        <v>9435</v>
      </c>
      <c r="C3886" s="304" t="s">
        <v>5555</v>
      </c>
      <c r="D3886" s="540">
        <v>679.97</v>
      </c>
    </row>
    <row r="3887" spans="1:4" ht="15" x14ac:dyDescent="0.25">
      <c r="A3887" s="304">
        <v>5053</v>
      </c>
      <c r="B3887" s="304" t="s">
        <v>9436</v>
      </c>
      <c r="C3887" s="304" t="s">
        <v>5555</v>
      </c>
      <c r="D3887" s="540">
        <v>529.24</v>
      </c>
    </row>
    <row r="3888" spans="1:4" ht="15" x14ac:dyDescent="0.25">
      <c r="A3888" s="304">
        <v>5035</v>
      </c>
      <c r="B3888" s="304" t="s">
        <v>9437</v>
      </c>
      <c r="C3888" s="304" t="s">
        <v>5555</v>
      </c>
      <c r="D3888" s="540">
        <v>865.29</v>
      </c>
    </row>
    <row r="3889" spans="1:4" ht="15" x14ac:dyDescent="0.25">
      <c r="A3889" s="304">
        <v>5036</v>
      </c>
      <c r="B3889" s="304" t="s">
        <v>9438</v>
      </c>
      <c r="C3889" s="304" t="s">
        <v>5555</v>
      </c>
      <c r="D3889" s="541">
        <v>1444.46</v>
      </c>
    </row>
    <row r="3890" spans="1:4" ht="15" x14ac:dyDescent="0.25">
      <c r="A3890" s="304">
        <v>5059</v>
      </c>
      <c r="B3890" s="304" t="s">
        <v>9439</v>
      </c>
      <c r="C3890" s="304" t="s">
        <v>5555</v>
      </c>
      <c r="D3890" s="540">
        <v>676.74</v>
      </c>
    </row>
    <row r="3891" spans="1:4" ht="15" x14ac:dyDescent="0.25">
      <c r="A3891" s="304">
        <v>5034</v>
      </c>
      <c r="B3891" s="304" t="s">
        <v>9440</v>
      </c>
      <c r="C3891" s="304" t="s">
        <v>5555</v>
      </c>
      <c r="D3891" s="540">
        <v>933.84</v>
      </c>
    </row>
    <row r="3892" spans="1:4" ht="15" x14ac:dyDescent="0.25">
      <c r="A3892" s="304">
        <v>5056</v>
      </c>
      <c r="B3892" s="304" t="s">
        <v>9441</v>
      </c>
      <c r="C3892" s="304" t="s">
        <v>5555</v>
      </c>
      <c r="D3892" s="540">
        <v>725.61</v>
      </c>
    </row>
    <row r="3893" spans="1:4" ht="15" x14ac:dyDescent="0.25">
      <c r="A3893" s="304">
        <v>5057</v>
      </c>
      <c r="B3893" s="304" t="s">
        <v>9442</v>
      </c>
      <c r="C3893" s="304" t="s">
        <v>5555</v>
      </c>
      <c r="D3893" s="540">
        <v>581.94000000000005</v>
      </c>
    </row>
    <row r="3894" spans="1:4" ht="15" x14ac:dyDescent="0.25">
      <c r="A3894" s="304">
        <v>5033</v>
      </c>
      <c r="B3894" s="304" t="s">
        <v>9443</v>
      </c>
      <c r="C3894" s="304" t="s">
        <v>5555</v>
      </c>
      <c r="D3894" s="540">
        <v>483.1</v>
      </c>
    </row>
    <row r="3895" spans="1:4" ht="15" x14ac:dyDescent="0.25">
      <c r="A3895" s="304">
        <v>5038</v>
      </c>
      <c r="B3895" s="304" t="s">
        <v>9444</v>
      </c>
      <c r="C3895" s="304" t="s">
        <v>5555</v>
      </c>
      <c r="D3895" s="540">
        <v>393.72</v>
      </c>
    </row>
    <row r="3896" spans="1:4" ht="15" x14ac:dyDescent="0.25">
      <c r="A3896" s="304">
        <v>12372</v>
      </c>
      <c r="B3896" s="304" t="s">
        <v>9445</v>
      </c>
      <c r="C3896" s="304" t="s">
        <v>5555</v>
      </c>
      <c r="D3896" s="540">
        <v>518.84</v>
      </c>
    </row>
    <row r="3897" spans="1:4" ht="15" x14ac:dyDescent="0.25">
      <c r="A3897" s="304">
        <v>13339</v>
      </c>
      <c r="B3897" s="304" t="s">
        <v>9446</v>
      </c>
      <c r="C3897" s="304" t="s">
        <v>5555</v>
      </c>
      <c r="D3897" s="540">
        <v>771.32</v>
      </c>
    </row>
    <row r="3898" spans="1:4" ht="15" x14ac:dyDescent="0.25">
      <c r="A3898" s="304">
        <v>12373</v>
      </c>
      <c r="B3898" s="304" t="s">
        <v>9447</v>
      </c>
      <c r="C3898" s="304" t="s">
        <v>5555</v>
      </c>
      <c r="D3898" s="540">
        <v>807.74</v>
      </c>
    </row>
    <row r="3899" spans="1:4" ht="15" x14ac:dyDescent="0.25">
      <c r="A3899" s="304">
        <v>12388</v>
      </c>
      <c r="B3899" s="304" t="s">
        <v>9448</v>
      </c>
      <c r="C3899" s="304" t="s">
        <v>5555</v>
      </c>
      <c r="D3899" s="540">
        <v>165.92</v>
      </c>
    </row>
    <row r="3900" spans="1:4" ht="15" x14ac:dyDescent="0.25">
      <c r="A3900" s="304">
        <v>34695</v>
      </c>
      <c r="B3900" s="304" t="s">
        <v>9449</v>
      </c>
      <c r="C3900" s="304" t="s">
        <v>5555</v>
      </c>
      <c r="D3900" s="540">
        <v>555.55999999999995</v>
      </c>
    </row>
    <row r="3901" spans="1:4" ht="15" x14ac:dyDescent="0.25">
      <c r="A3901" s="304">
        <v>34692</v>
      </c>
      <c r="B3901" s="304" t="s">
        <v>9450</v>
      </c>
      <c r="C3901" s="304" t="s">
        <v>5555</v>
      </c>
      <c r="D3901" s="541">
        <v>1333.35</v>
      </c>
    </row>
    <row r="3902" spans="1:4" ht="15" x14ac:dyDescent="0.25">
      <c r="A3902" s="304">
        <v>26028</v>
      </c>
      <c r="B3902" s="304" t="s">
        <v>9451</v>
      </c>
      <c r="C3902" s="304" t="s">
        <v>6708</v>
      </c>
      <c r="D3902" s="540">
        <v>318.20999999999998</v>
      </c>
    </row>
    <row r="3903" spans="1:4" ht="15" x14ac:dyDescent="0.25">
      <c r="A3903" s="304">
        <v>11844</v>
      </c>
      <c r="B3903" s="304" t="s">
        <v>9452</v>
      </c>
      <c r="C3903" s="304" t="s">
        <v>5575</v>
      </c>
      <c r="D3903" s="540">
        <v>31.57</v>
      </c>
    </row>
    <row r="3904" spans="1:4" ht="15" x14ac:dyDescent="0.25">
      <c r="A3904" s="304">
        <v>4465</v>
      </c>
      <c r="B3904" s="304" t="s">
        <v>9453</v>
      </c>
      <c r="C3904" s="304" t="s">
        <v>5575</v>
      </c>
      <c r="D3904" s="540">
        <v>30.26</v>
      </c>
    </row>
    <row r="3905" spans="1:4" ht="15" x14ac:dyDescent="0.25">
      <c r="A3905" s="304">
        <v>35273</v>
      </c>
      <c r="B3905" s="304" t="s">
        <v>9454</v>
      </c>
      <c r="C3905" s="304" t="s">
        <v>5575</v>
      </c>
      <c r="D3905" s="540">
        <v>33.44</v>
      </c>
    </row>
    <row r="3906" spans="1:4" ht="15" x14ac:dyDescent="0.25">
      <c r="A3906" s="304">
        <v>4470</v>
      </c>
      <c r="B3906" s="304" t="s">
        <v>9455</v>
      </c>
      <c r="C3906" s="304" t="s">
        <v>5575</v>
      </c>
      <c r="D3906" s="540">
        <v>49.96</v>
      </c>
    </row>
    <row r="3907" spans="1:4" ht="15" x14ac:dyDescent="0.25">
      <c r="A3907" s="304">
        <v>20204</v>
      </c>
      <c r="B3907" s="304" t="s">
        <v>9456</v>
      </c>
      <c r="C3907" s="304" t="s">
        <v>5575</v>
      </c>
      <c r="D3907" s="540">
        <v>44.59</v>
      </c>
    </row>
    <row r="3908" spans="1:4" ht="15" x14ac:dyDescent="0.25">
      <c r="A3908" s="304">
        <v>20208</v>
      </c>
      <c r="B3908" s="304" t="s">
        <v>9457</v>
      </c>
      <c r="C3908" s="304" t="s">
        <v>5575</v>
      </c>
      <c r="D3908" s="540">
        <v>52.35</v>
      </c>
    </row>
    <row r="3909" spans="1:4" ht="15" x14ac:dyDescent="0.25">
      <c r="A3909" s="304">
        <v>4437</v>
      </c>
      <c r="B3909" s="304" t="s">
        <v>9458</v>
      </c>
      <c r="C3909" s="304" t="s">
        <v>5575</v>
      </c>
      <c r="D3909" s="540">
        <v>36.18</v>
      </c>
    </row>
    <row r="3910" spans="1:4" ht="15" x14ac:dyDescent="0.25">
      <c r="A3910" s="304">
        <v>14580</v>
      </c>
      <c r="B3910" s="304" t="s">
        <v>9459</v>
      </c>
      <c r="C3910" s="304" t="s">
        <v>5575</v>
      </c>
      <c r="D3910" s="540">
        <v>39.4</v>
      </c>
    </row>
    <row r="3911" spans="1:4" ht="15" x14ac:dyDescent="0.25">
      <c r="A3911" s="304">
        <v>40304</v>
      </c>
      <c r="B3911" s="304" t="s">
        <v>9460</v>
      </c>
      <c r="C3911" s="304" t="s">
        <v>5626</v>
      </c>
      <c r="D3911" s="540">
        <v>12.49</v>
      </c>
    </row>
    <row r="3912" spans="1:4" ht="15" x14ac:dyDescent="0.25">
      <c r="A3912" s="304">
        <v>5065</v>
      </c>
      <c r="B3912" s="304" t="s">
        <v>9461</v>
      </c>
      <c r="C3912" s="304" t="s">
        <v>5626</v>
      </c>
      <c r="D3912" s="540">
        <v>19.25</v>
      </c>
    </row>
    <row r="3913" spans="1:4" ht="15" x14ac:dyDescent="0.25">
      <c r="A3913" s="304">
        <v>5072</v>
      </c>
      <c r="B3913" s="304" t="s">
        <v>9462</v>
      </c>
      <c r="C3913" s="304" t="s">
        <v>5626</v>
      </c>
      <c r="D3913" s="540">
        <v>17.809999999999999</v>
      </c>
    </row>
    <row r="3914" spans="1:4" ht="15" x14ac:dyDescent="0.25">
      <c r="A3914" s="304">
        <v>5066</v>
      </c>
      <c r="B3914" s="304" t="s">
        <v>9463</v>
      </c>
      <c r="C3914" s="304" t="s">
        <v>5626</v>
      </c>
      <c r="D3914" s="540">
        <v>13.33</v>
      </c>
    </row>
    <row r="3915" spans="1:4" ht="15" x14ac:dyDescent="0.25">
      <c r="A3915" s="304">
        <v>5063</v>
      </c>
      <c r="B3915" s="304" t="s">
        <v>9464</v>
      </c>
      <c r="C3915" s="304" t="s">
        <v>5626</v>
      </c>
      <c r="D3915" s="540">
        <v>12.07</v>
      </c>
    </row>
    <row r="3916" spans="1:4" ht="15" x14ac:dyDescent="0.25">
      <c r="A3916" s="304">
        <v>20247</v>
      </c>
      <c r="B3916" s="304" t="s">
        <v>9465</v>
      </c>
      <c r="C3916" s="304" t="s">
        <v>5626</v>
      </c>
      <c r="D3916" s="540">
        <v>11.2</v>
      </c>
    </row>
    <row r="3917" spans="1:4" ht="15" x14ac:dyDescent="0.25">
      <c r="A3917" s="304">
        <v>5074</v>
      </c>
      <c r="B3917" s="304" t="s">
        <v>9466</v>
      </c>
      <c r="C3917" s="304" t="s">
        <v>5626</v>
      </c>
      <c r="D3917" s="540">
        <v>11.34</v>
      </c>
    </row>
    <row r="3918" spans="1:4" ht="15" x14ac:dyDescent="0.25">
      <c r="A3918" s="304">
        <v>5067</v>
      </c>
      <c r="B3918" s="304" t="s">
        <v>9467</v>
      </c>
      <c r="C3918" s="304" t="s">
        <v>5626</v>
      </c>
      <c r="D3918" s="540">
        <v>10.78</v>
      </c>
    </row>
    <row r="3919" spans="1:4" ht="15" x14ac:dyDescent="0.25">
      <c r="A3919" s="304">
        <v>5078</v>
      </c>
      <c r="B3919" s="304" t="s">
        <v>9468</v>
      </c>
      <c r="C3919" s="304" t="s">
        <v>5626</v>
      </c>
      <c r="D3919" s="540">
        <v>10.66</v>
      </c>
    </row>
    <row r="3920" spans="1:4" ht="15" x14ac:dyDescent="0.25">
      <c r="A3920" s="304">
        <v>5068</v>
      </c>
      <c r="B3920" s="304" t="s">
        <v>9469</v>
      </c>
      <c r="C3920" s="304" t="s">
        <v>5626</v>
      </c>
      <c r="D3920" s="540">
        <v>10.119999999999999</v>
      </c>
    </row>
    <row r="3921" spans="1:4" ht="15" x14ac:dyDescent="0.25">
      <c r="A3921" s="304">
        <v>5073</v>
      </c>
      <c r="B3921" s="304" t="s">
        <v>9470</v>
      </c>
      <c r="C3921" s="304" t="s">
        <v>5626</v>
      </c>
      <c r="D3921" s="540">
        <v>10.31</v>
      </c>
    </row>
    <row r="3922" spans="1:4" ht="15" x14ac:dyDescent="0.25">
      <c r="A3922" s="304">
        <v>5069</v>
      </c>
      <c r="B3922" s="304" t="s">
        <v>9471</v>
      </c>
      <c r="C3922" s="304" t="s">
        <v>5626</v>
      </c>
      <c r="D3922" s="540">
        <v>10.31</v>
      </c>
    </row>
    <row r="3923" spans="1:4" ht="15" x14ac:dyDescent="0.25">
      <c r="A3923" s="304">
        <v>5070</v>
      </c>
      <c r="B3923" s="304" t="s">
        <v>9472</v>
      </c>
      <c r="C3923" s="304" t="s">
        <v>5626</v>
      </c>
      <c r="D3923" s="540">
        <v>10.43</v>
      </c>
    </row>
    <row r="3924" spans="1:4" ht="15" x14ac:dyDescent="0.25">
      <c r="A3924" s="304">
        <v>5071</v>
      </c>
      <c r="B3924" s="304" t="s">
        <v>9473</v>
      </c>
      <c r="C3924" s="304" t="s">
        <v>5626</v>
      </c>
      <c r="D3924" s="540">
        <v>10.119999999999999</v>
      </c>
    </row>
    <row r="3925" spans="1:4" ht="15" x14ac:dyDescent="0.25">
      <c r="A3925" s="304">
        <v>5061</v>
      </c>
      <c r="B3925" s="304" t="s">
        <v>9474</v>
      </c>
      <c r="C3925" s="304" t="s">
        <v>5626</v>
      </c>
      <c r="D3925" s="540">
        <v>9.9499999999999993</v>
      </c>
    </row>
    <row r="3926" spans="1:4" ht="15" x14ac:dyDescent="0.25">
      <c r="A3926" s="304">
        <v>5075</v>
      </c>
      <c r="B3926" s="304" t="s">
        <v>9475</v>
      </c>
      <c r="C3926" s="304" t="s">
        <v>5626</v>
      </c>
      <c r="D3926" s="540">
        <v>10.119999999999999</v>
      </c>
    </row>
    <row r="3927" spans="1:4" ht="15" x14ac:dyDescent="0.25">
      <c r="A3927" s="304">
        <v>39027</v>
      </c>
      <c r="B3927" s="304" t="s">
        <v>9476</v>
      </c>
      <c r="C3927" s="304" t="s">
        <v>5626</v>
      </c>
      <c r="D3927" s="540">
        <v>10.11</v>
      </c>
    </row>
    <row r="3928" spans="1:4" ht="15" x14ac:dyDescent="0.25">
      <c r="A3928" s="304">
        <v>5062</v>
      </c>
      <c r="B3928" s="304" t="s">
        <v>9477</v>
      </c>
      <c r="C3928" s="304" t="s">
        <v>5626</v>
      </c>
      <c r="D3928" s="540">
        <v>10.25</v>
      </c>
    </row>
    <row r="3929" spans="1:4" ht="15" x14ac:dyDescent="0.25">
      <c r="A3929" s="304">
        <v>40568</v>
      </c>
      <c r="B3929" s="304" t="s">
        <v>9478</v>
      </c>
      <c r="C3929" s="304" t="s">
        <v>5626</v>
      </c>
      <c r="D3929" s="540">
        <v>10.19</v>
      </c>
    </row>
    <row r="3930" spans="1:4" ht="15" x14ac:dyDescent="0.25">
      <c r="A3930" s="304">
        <v>39026</v>
      </c>
      <c r="B3930" s="304" t="s">
        <v>9479</v>
      </c>
      <c r="C3930" s="304" t="s">
        <v>5626</v>
      </c>
      <c r="D3930" s="540">
        <v>11.38</v>
      </c>
    </row>
    <row r="3931" spans="1:4" ht="15" x14ac:dyDescent="0.25">
      <c r="A3931" s="304">
        <v>11572</v>
      </c>
      <c r="B3931" s="304" t="s">
        <v>9480</v>
      </c>
      <c r="C3931" s="304" t="s">
        <v>5555</v>
      </c>
      <c r="D3931" s="540">
        <v>15.39</v>
      </c>
    </row>
    <row r="3932" spans="1:4" ht="15" x14ac:dyDescent="0.25">
      <c r="A3932" s="304">
        <v>42431</v>
      </c>
      <c r="B3932" s="304" t="s">
        <v>9481</v>
      </c>
      <c r="C3932" s="304" t="s">
        <v>5555</v>
      </c>
      <c r="D3932" s="541">
        <v>2248.1799999999998</v>
      </c>
    </row>
    <row r="3933" spans="1:4" ht="15" x14ac:dyDescent="0.25">
      <c r="A3933" s="304">
        <v>11149</v>
      </c>
      <c r="B3933" s="304" t="s">
        <v>9482</v>
      </c>
      <c r="C3933" s="304" t="s">
        <v>7915</v>
      </c>
      <c r="D3933" s="540">
        <v>149.81</v>
      </c>
    </row>
    <row r="3934" spans="1:4" ht="15" x14ac:dyDescent="0.25">
      <c r="A3934" s="304">
        <v>511</v>
      </c>
      <c r="B3934" s="304" t="s">
        <v>9483</v>
      </c>
      <c r="C3934" s="304" t="s">
        <v>5628</v>
      </c>
      <c r="D3934" s="540">
        <v>15.81</v>
      </c>
    </row>
    <row r="3935" spans="1:4" ht="15" x14ac:dyDescent="0.25">
      <c r="A3935" s="304">
        <v>11174</v>
      </c>
      <c r="B3935" s="304" t="s">
        <v>9484</v>
      </c>
      <c r="C3935" s="304" t="s">
        <v>5740</v>
      </c>
      <c r="D3935" s="540">
        <v>425.37</v>
      </c>
    </row>
    <row r="3936" spans="1:4" ht="15" x14ac:dyDescent="0.25">
      <c r="A3936" s="304">
        <v>37540</v>
      </c>
      <c r="B3936" s="304" t="s">
        <v>9485</v>
      </c>
      <c r="C3936" s="304" t="s">
        <v>5555</v>
      </c>
      <c r="D3936" s="541">
        <v>54296.78</v>
      </c>
    </row>
    <row r="3937" spans="1:4" ht="15" x14ac:dyDescent="0.25">
      <c r="A3937" s="304">
        <v>37548</v>
      </c>
      <c r="B3937" s="304" t="s">
        <v>9486</v>
      </c>
      <c r="C3937" s="304" t="s">
        <v>5555</v>
      </c>
      <c r="D3937" s="541">
        <v>71970.100000000006</v>
      </c>
    </row>
    <row r="3938" spans="1:4" ht="15" x14ac:dyDescent="0.25">
      <c r="A3938" s="304">
        <v>39828</v>
      </c>
      <c r="B3938" s="304" t="s">
        <v>9487</v>
      </c>
      <c r="C3938" s="304" t="s">
        <v>5555</v>
      </c>
      <c r="D3938" s="540">
        <v>431.75</v>
      </c>
    </row>
    <row r="3939" spans="1:4" ht="15" x14ac:dyDescent="0.25">
      <c r="A3939" s="304">
        <v>12273</v>
      </c>
      <c r="B3939" s="304" t="s">
        <v>9488</v>
      </c>
      <c r="C3939" s="304" t="s">
        <v>5555</v>
      </c>
      <c r="D3939" s="540">
        <v>74.510000000000005</v>
      </c>
    </row>
    <row r="3940" spans="1:4" ht="15" x14ac:dyDescent="0.25">
      <c r="A3940" s="304">
        <v>38392</v>
      </c>
      <c r="B3940" s="304" t="s">
        <v>9489</v>
      </c>
      <c r="C3940" s="304" t="s">
        <v>5555</v>
      </c>
      <c r="D3940" s="540">
        <v>43.48</v>
      </c>
    </row>
    <row r="3941" spans="1:4" ht="15" x14ac:dyDescent="0.25">
      <c r="A3941" s="304">
        <v>11735</v>
      </c>
      <c r="B3941" s="304" t="s">
        <v>9490</v>
      </c>
      <c r="C3941" s="304" t="s">
        <v>5555</v>
      </c>
      <c r="D3941" s="540">
        <v>3.5</v>
      </c>
    </row>
    <row r="3942" spans="1:4" ht="15" x14ac:dyDescent="0.25">
      <c r="A3942" s="304">
        <v>11733</v>
      </c>
      <c r="B3942" s="304" t="s">
        <v>9491</v>
      </c>
      <c r="C3942" s="304" t="s">
        <v>5555</v>
      </c>
      <c r="D3942" s="540">
        <v>1.71</v>
      </c>
    </row>
    <row r="3943" spans="1:4" ht="15" x14ac:dyDescent="0.25">
      <c r="A3943" s="304">
        <v>11734</v>
      </c>
      <c r="B3943" s="304" t="s">
        <v>9492</v>
      </c>
      <c r="C3943" s="304" t="s">
        <v>5555</v>
      </c>
      <c r="D3943" s="540">
        <v>2.64</v>
      </c>
    </row>
    <row r="3944" spans="1:4" ht="15" x14ac:dyDescent="0.25">
      <c r="A3944" s="304">
        <v>11737</v>
      </c>
      <c r="B3944" s="304" t="s">
        <v>9493</v>
      </c>
      <c r="C3944" s="304" t="s">
        <v>5555</v>
      </c>
      <c r="D3944" s="540">
        <v>4.67</v>
      </c>
    </row>
    <row r="3945" spans="1:4" ht="15" x14ac:dyDescent="0.25">
      <c r="A3945" s="304">
        <v>11738</v>
      </c>
      <c r="B3945" s="304" t="s">
        <v>9494</v>
      </c>
      <c r="C3945" s="304" t="s">
        <v>5555</v>
      </c>
      <c r="D3945" s="540">
        <v>7.6</v>
      </c>
    </row>
    <row r="3946" spans="1:4" ht="15" x14ac:dyDescent="0.25">
      <c r="A3946" s="304">
        <v>36143</v>
      </c>
      <c r="B3946" s="304" t="s">
        <v>9495</v>
      </c>
      <c r="C3946" s="304" t="s">
        <v>5555</v>
      </c>
      <c r="D3946" s="540">
        <v>24.7</v>
      </c>
    </row>
    <row r="3947" spans="1:4" ht="15" x14ac:dyDescent="0.25">
      <c r="A3947" s="304">
        <v>36142</v>
      </c>
      <c r="B3947" s="304" t="s">
        <v>9496</v>
      </c>
      <c r="C3947" s="304" t="s">
        <v>5555</v>
      </c>
      <c r="D3947" s="540">
        <v>1.8</v>
      </c>
    </row>
    <row r="3948" spans="1:4" ht="15" x14ac:dyDescent="0.25">
      <c r="A3948" s="304">
        <v>36146</v>
      </c>
      <c r="B3948" s="304" t="s">
        <v>9497</v>
      </c>
      <c r="C3948" s="304" t="s">
        <v>5555</v>
      </c>
      <c r="D3948" s="540">
        <v>204.85</v>
      </c>
    </row>
    <row r="3949" spans="1:4" ht="15" x14ac:dyDescent="0.25">
      <c r="A3949" s="304">
        <v>39015</v>
      </c>
      <c r="B3949" s="304" t="s">
        <v>9498</v>
      </c>
      <c r="C3949" s="304" t="s">
        <v>5555</v>
      </c>
      <c r="D3949" s="540">
        <v>0.64</v>
      </c>
    </row>
    <row r="3950" spans="1:4" ht="15" x14ac:dyDescent="0.25">
      <c r="A3950" s="304">
        <v>38377</v>
      </c>
      <c r="B3950" s="304" t="s">
        <v>9499</v>
      </c>
      <c r="C3950" s="304" t="s">
        <v>5555</v>
      </c>
      <c r="D3950" s="540">
        <v>24.99</v>
      </c>
    </row>
    <row r="3951" spans="1:4" ht="15" x14ac:dyDescent="0.25">
      <c r="A3951" s="304">
        <v>38376</v>
      </c>
      <c r="B3951" s="304" t="s">
        <v>9500</v>
      </c>
      <c r="C3951" s="304" t="s">
        <v>5555</v>
      </c>
      <c r="D3951" s="540">
        <v>28.49</v>
      </c>
    </row>
    <row r="3952" spans="1:4" ht="15" x14ac:dyDescent="0.25">
      <c r="A3952" s="304">
        <v>38116</v>
      </c>
      <c r="B3952" s="304" t="s">
        <v>9501</v>
      </c>
      <c r="C3952" s="304" t="s">
        <v>5555</v>
      </c>
      <c r="D3952" s="540">
        <v>5.25</v>
      </c>
    </row>
    <row r="3953" spans="1:4" ht="15" x14ac:dyDescent="0.25">
      <c r="A3953" s="304">
        <v>38066</v>
      </c>
      <c r="B3953" s="304" t="s">
        <v>9502</v>
      </c>
      <c r="C3953" s="304" t="s">
        <v>5555</v>
      </c>
      <c r="D3953" s="540">
        <v>8.67</v>
      </c>
    </row>
    <row r="3954" spans="1:4" ht="15" x14ac:dyDescent="0.25">
      <c r="A3954" s="304">
        <v>38117</v>
      </c>
      <c r="B3954" s="304" t="s">
        <v>9503</v>
      </c>
      <c r="C3954" s="304" t="s">
        <v>5555</v>
      </c>
      <c r="D3954" s="540">
        <v>8.9499999999999993</v>
      </c>
    </row>
    <row r="3955" spans="1:4" ht="15" x14ac:dyDescent="0.25">
      <c r="A3955" s="304">
        <v>38067</v>
      </c>
      <c r="B3955" s="304" t="s">
        <v>9504</v>
      </c>
      <c r="C3955" s="304" t="s">
        <v>5555</v>
      </c>
      <c r="D3955" s="540">
        <v>12.21</v>
      </c>
    </row>
    <row r="3956" spans="1:4" ht="15" x14ac:dyDescent="0.25">
      <c r="A3956" s="304">
        <v>41757</v>
      </c>
      <c r="B3956" s="304" t="s">
        <v>9505</v>
      </c>
      <c r="C3956" s="304" t="s">
        <v>5555</v>
      </c>
      <c r="D3956" s="541">
        <v>3809.22</v>
      </c>
    </row>
    <row r="3957" spans="1:4" ht="15" x14ac:dyDescent="0.25">
      <c r="A3957" s="304">
        <v>5080</v>
      </c>
      <c r="B3957" s="304" t="s">
        <v>9506</v>
      </c>
      <c r="C3957" s="304" t="s">
        <v>5555</v>
      </c>
      <c r="D3957" s="540">
        <v>10.91</v>
      </c>
    </row>
    <row r="3958" spans="1:4" ht="15" x14ac:dyDescent="0.25">
      <c r="A3958" s="304">
        <v>11522</v>
      </c>
      <c r="B3958" s="304" t="s">
        <v>9507</v>
      </c>
      <c r="C3958" s="304" t="s">
        <v>5555</v>
      </c>
      <c r="D3958" s="540">
        <v>13.64</v>
      </c>
    </row>
    <row r="3959" spans="1:4" ht="15" x14ac:dyDescent="0.25">
      <c r="A3959" s="304">
        <v>11523</v>
      </c>
      <c r="B3959" s="304" t="s">
        <v>9508</v>
      </c>
      <c r="C3959" s="304" t="s">
        <v>5555</v>
      </c>
      <c r="D3959" s="540">
        <v>12.76</v>
      </c>
    </row>
    <row r="3960" spans="1:4" ht="15" x14ac:dyDescent="0.25">
      <c r="A3960" s="304">
        <v>11524</v>
      </c>
      <c r="B3960" s="304" t="s">
        <v>9509</v>
      </c>
      <c r="C3960" s="304" t="s">
        <v>5555</v>
      </c>
      <c r="D3960" s="540">
        <v>26.28</v>
      </c>
    </row>
    <row r="3961" spans="1:4" ht="15" x14ac:dyDescent="0.25">
      <c r="A3961" s="304">
        <v>38168</v>
      </c>
      <c r="B3961" s="304" t="s">
        <v>9510</v>
      </c>
      <c r="C3961" s="304" t="s">
        <v>5555</v>
      </c>
      <c r="D3961" s="540">
        <v>126.87</v>
      </c>
    </row>
    <row r="3962" spans="1:4" ht="15" x14ac:dyDescent="0.25">
      <c r="A3962" s="304">
        <v>13393</v>
      </c>
      <c r="B3962" s="304" t="s">
        <v>9511</v>
      </c>
      <c r="C3962" s="304" t="s">
        <v>5555</v>
      </c>
      <c r="D3962" s="540">
        <v>166.63</v>
      </c>
    </row>
    <row r="3963" spans="1:4" ht="15" x14ac:dyDescent="0.25">
      <c r="A3963" s="304">
        <v>13395</v>
      </c>
      <c r="B3963" s="304" t="s">
        <v>9512</v>
      </c>
      <c r="C3963" s="304" t="s">
        <v>5555</v>
      </c>
      <c r="D3963" s="540">
        <v>199.81</v>
      </c>
    </row>
    <row r="3964" spans="1:4" ht="15" x14ac:dyDescent="0.25">
      <c r="A3964" s="304">
        <v>12039</v>
      </c>
      <c r="B3964" s="304" t="s">
        <v>9513</v>
      </c>
      <c r="C3964" s="304" t="s">
        <v>5555</v>
      </c>
      <c r="D3964" s="540">
        <v>267.36</v>
      </c>
    </row>
    <row r="3965" spans="1:4" ht="15" x14ac:dyDescent="0.25">
      <c r="A3965" s="304">
        <v>13396</v>
      </c>
      <c r="B3965" s="304" t="s">
        <v>9514</v>
      </c>
      <c r="C3965" s="304" t="s">
        <v>5555</v>
      </c>
      <c r="D3965" s="540">
        <v>427.63</v>
      </c>
    </row>
    <row r="3966" spans="1:4" ht="15" x14ac:dyDescent="0.25">
      <c r="A3966" s="304">
        <v>13397</v>
      </c>
      <c r="B3966" s="304" t="s">
        <v>9515</v>
      </c>
      <c r="C3966" s="304" t="s">
        <v>5555</v>
      </c>
      <c r="D3966" s="540">
        <v>432.22</v>
      </c>
    </row>
    <row r="3967" spans="1:4" ht="15" x14ac:dyDescent="0.25">
      <c r="A3967" s="304">
        <v>12041</v>
      </c>
      <c r="B3967" s="304" t="s">
        <v>9516</v>
      </c>
      <c r="C3967" s="304" t="s">
        <v>5555</v>
      </c>
      <c r="D3967" s="540">
        <v>584.92999999999995</v>
      </c>
    </row>
    <row r="3968" spans="1:4" ht="15" x14ac:dyDescent="0.25">
      <c r="A3968" s="304">
        <v>12043</v>
      </c>
      <c r="B3968" s="304" t="s">
        <v>9517</v>
      </c>
      <c r="C3968" s="304" t="s">
        <v>5555</v>
      </c>
      <c r="D3968" s="540">
        <v>674.48</v>
      </c>
    </row>
    <row r="3969" spans="1:4" ht="15" x14ac:dyDescent="0.25">
      <c r="A3969" s="304">
        <v>39762</v>
      </c>
      <c r="B3969" s="304" t="s">
        <v>9518</v>
      </c>
      <c r="C3969" s="304" t="s">
        <v>5555</v>
      </c>
      <c r="D3969" s="540">
        <v>455.68</v>
      </c>
    </row>
    <row r="3970" spans="1:4" ht="15" x14ac:dyDescent="0.25">
      <c r="A3970" s="304">
        <v>12042</v>
      </c>
      <c r="B3970" s="304" t="s">
        <v>9519</v>
      </c>
      <c r="C3970" s="304" t="s">
        <v>5555</v>
      </c>
      <c r="D3970" s="540">
        <v>455.8</v>
      </c>
    </row>
    <row r="3971" spans="1:4" ht="15" x14ac:dyDescent="0.25">
      <c r="A3971" s="304">
        <v>39763</v>
      </c>
      <c r="B3971" s="304" t="s">
        <v>9520</v>
      </c>
      <c r="C3971" s="304" t="s">
        <v>5555</v>
      </c>
      <c r="D3971" s="540">
        <v>687.72</v>
      </c>
    </row>
    <row r="3972" spans="1:4" ht="15" x14ac:dyDescent="0.25">
      <c r="A3972" s="304">
        <v>39756</v>
      </c>
      <c r="B3972" s="304" t="s">
        <v>9521</v>
      </c>
      <c r="C3972" s="304" t="s">
        <v>5555</v>
      </c>
      <c r="D3972" s="540">
        <v>208.5</v>
      </c>
    </row>
    <row r="3973" spans="1:4" ht="15" x14ac:dyDescent="0.25">
      <c r="A3973" s="304">
        <v>12038</v>
      </c>
      <c r="B3973" s="304" t="s">
        <v>9522</v>
      </c>
      <c r="C3973" s="304" t="s">
        <v>5555</v>
      </c>
      <c r="D3973" s="540">
        <v>232.77</v>
      </c>
    </row>
    <row r="3974" spans="1:4" ht="15" x14ac:dyDescent="0.25">
      <c r="A3974" s="304">
        <v>12040</v>
      </c>
      <c r="B3974" s="304" t="s">
        <v>9523</v>
      </c>
      <c r="C3974" s="304" t="s">
        <v>5555</v>
      </c>
      <c r="D3974" s="540">
        <v>297.42</v>
      </c>
    </row>
    <row r="3975" spans="1:4" ht="15" x14ac:dyDescent="0.25">
      <c r="A3975" s="304">
        <v>39757</v>
      </c>
      <c r="B3975" s="304" t="s">
        <v>9524</v>
      </c>
      <c r="C3975" s="304" t="s">
        <v>5555</v>
      </c>
      <c r="D3975" s="540">
        <v>318.02999999999997</v>
      </c>
    </row>
    <row r="3976" spans="1:4" ht="15" x14ac:dyDescent="0.25">
      <c r="A3976" s="304">
        <v>39758</v>
      </c>
      <c r="B3976" s="304" t="s">
        <v>9525</v>
      </c>
      <c r="C3976" s="304" t="s">
        <v>5555</v>
      </c>
      <c r="D3976" s="540">
        <v>412.82</v>
      </c>
    </row>
    <row r="3977" spans="1:4" ht="15" x14ac:dyDescent="0.25">
      <c r="A3977" s="304">
        <v>39759</v>
      </c>
      <c r="B3977" s="304" t="s">
        <v>9526</v>
      </c>
      <c r="C3977" s="304" t="s">
        <v>5555</v>
      </c>
      <c r="D3977" s="540">
        <v>564.03</v>
      </c>
    </row>
    <row r="3978" spans="1:4" ht="15" x14ac:dyDescent="0.25">
      <c r="A3978" s="304">
        <v>39760</v>
      </c>
      <c r="B3978" s="304" t="s">
        <v>9527</v>
      </c>
      <c r="C3978" s="304" t="s">
        <v>5555</v>
      </c>
      <c r="D3978" s="540">
        <v>566.62</v>
      </c>
    </row>
    <row r="3979" spans="1:4" ht="15" x14ac:dyDescent="0.25">
      <c r="A3979" s="304">
        <v>39761</v>
      </c>
      <c r="B3979" s="304" t="s">
        <v>9528</v>
      </c>
      <c r="C3979" s="304" t="s">
        <v>5555</v>
      </c>
      <c r="D3979" s="540">
        <v>725.19</v>
      </c>
    </row>
    <row r="3980" spans="1:4" ht="15" x14ac:dyDescent="0.25">
      <c r="A3980" s="304">
        <v>39765</v>
      </c>
      <c r="B3980" s="304" t="s">
        <v>9529</v>
      </c>
      <c r="C3980" s="304" t="s">
        <v>5555</v>
      </c>
      <c r="D3980" s="540">
        <v>32.19</v>
      </c>
    </row>
    <row r="3981" spans="1:4" ht="15" x14ac:dyDescent="0.25">
      <c r="A3981" s="304">
        <v>13399</v>
      </c>
      <c r="B3981" s="304" t="s">
        <v>9530</v>
      </c>
      <c r="C3981" s="304" t="s">
        <v>5555</v>
      </c>
      <c r="D3981" s="540">
        <v>18.309999999999999</v>
      </c>
    </row>
    <row r="3982" spans="1:4" ht="15" x14ac:dyDescent="0.25">
      <c r="A3982" s="304">
        <v>39764</v>
      </c>
      <c r="B3982" s="304" t="s">
        <v>9531</v>
      </c>
      <c r="C3982" s="304" t="s">
        <v>5555</v>
      </c>
      <c r="D3982" s="540">
        <v>25.18</v>
      </c>
    </row>
    <row r="3983" spans="1:4" ht="15" x14ac:dyDescent="0.25">
      <c r="A3983" s="304">
        <v>39805</v>
      </c>
      <c r="B3983" s="304" t="s">
        <v>9532</v>
      </c>
      <c r="C3983" s="304" t="s">
        <v>5555</v>
      </c>
      <c r="D3983" s="540">
        <v>107.59</v>
      </c>
    </row>
    <row r="3984" spans="1:4" ht="15" x14ac:dyDescent="0.25">
      <c r="A3984" s="304">
        <v>39806</v>
      </c>
      <c r="B3984" s="304" t="s">
        <v>9533</v>
      </c>
      <c r="C3984" s="304" t="s">
        <v>5555</v>
      </c>
      <c r="D3984" s="540">
        <v>203.18</v>
      </c>
    </row>
    <row r="3985" spans="1:4" ht="15" x14ac:dyDescent="0.25">
      <c r="A3985" s="304">
        <v>39807</v>
      </c>
      <c r="B3985" s="304" t="s">
        <v>9534</v>
      </c>
      <c r="C3985" s="304" t="s">
        <v>5555</v>
      </c>
      <c r="D3985" s="540">
        <v>286.43</v>
      </c>
    </row>
    <row r="3986" spans="1:4" ht="15" x14ac:dyDescent="0.25">
      <c r="A3986" s="304">
        <v>39804</v>
      </c>
      <c r="B3986" s="304" t="s">
        <v>9535</v>
      </c>
      <c r="C3986" s="304" t="s">
        <v>5555</v>
      </c>
      <c r="D3986" s="540">
        <v>60.41</v>
      </c>
    </row>
    <row r="3987" spans="1:4" ht="15" x14ac:dyDescent="0.25">
      <c r="A3987" s="304">
        <v>39796</v>
      </c>
      <c r="B3987" s="304" t="s">
        <v>9536</v>
      </c>
      <c r="C3987" s="304" t="s">
        <v>5555</v>
      </c>
      <c r="D3987" s="540">
        <v>61.57</v>
      </c>
    </row>
    <row r="3988" spans="1:4" ht="15" x14ac:dyDescent="0.25">
      <c r="A3988" s="304">
        <v>39797</v>
      </c>
      <c r="B3988" s="304" t="s">
        <v>9537</v>
      </c>
      <c r="C3988" s="304" t="s">
        <v>5555</v>
      </c>
      <c r="D3988" s="540">
        <v>81.75</v>
      </c>
    </row>
    <row r="3989" spans="1:4" ht="15" x14ac:dyDescent="0.25">
      <c r="A3989" s="304">
        <v>39798</v>
      </c>
      <c r="B3989" s="304" t="s">
        <v>9538</v>
      </c>
      <c r="C3989" s="304" t="s">
        <v>5555</v>
      </c>
      <c r="D3989" s="540">
        <v>136.28</v>
      </c>
    </row>
    <row r="3990" spans="1:4" ht="15" x14ac:dyDescent="0.25">
      <c r="A3990" s="304">
        <v>39794</v>
      </c>
      <c r="B3990" s="304" t="s">
        <v>9539</v>
      </c>
      <c r="C3990" s="304" t="s">
        <v>5555</v>
      </c>
      <c r="D3990" s="540">
        <v>19.37</v>
      </c>
    </row>
    <row r="3991" spans="1:4" ht="15" x14ac:dyDescent="0.25">
      <c r="A3991" s="304">
        <v>39795</v>
      </c>
      <c r="B3991" s="304" t="s">
        <v>9540</v>
      </c>
      <c r="C3991" s="304" t="s">
        <v>5555</v>
      </c>
      <c r="D3991" s="540">
        <v>27.12</v>
      </c>
    </row>
    <row r="3992" spans="1:4" ht="15" x14ac:dyDescent="0.25">
      <c r="A3992" s="304">
        <v>39801</v>
      </c>
      <c r="B3992" s="304" t="s">
        <v>9541</v>
      </c>
      <c r="C3992" s="304" t="s">
        <v>5555</v>
      </c>
      <c r="D3992" s="540">
        <v>69.400000000000006</v>
      </c>
    </row>
    <row r="3993" spans="1:4" ht="15" x14ac:dyDescent="0.25">
      <c r="A3993" s="304">
        <v>39802</v>
      </c>
      <c r="B3993" s="304" t="s">
        <v>9542</v>
      </c>
      <c r="C3993" s="304" t="s">
        <v>5555</v>
      </c>
      <c r="D3993" s="540">
        <v>115.26</v>
      </c>
    </row>
    <row r="3994" spans="1:4" ht="15" x14ac:dyDescent="0.25">
      <c r="A3994" s="304">
        <v>39803</v>
      </c>
      <c r="B3994" s="304" t="s">
        <v>9543</v>
      </c>
      <c r="C3994" s="304" t="s">
        <v>5555</v>
      </c>
      <c r="D3994" s="540">
        <v>159.72</v>
      </c>
    </row>
    <row r="3995" spans="1:4" ht="15" x14ac:dyDescent="0.25">
      <c r="A3995" s="304">
        <v>39799</v>
      </c>
      <c r="B3995" s="304" t="s">
        <v>9544</v>
      </c>
      <c r="C3995" s="304" t="s">
        <v>5555</v>
      </c>
      <c r="D3995" s="540">
        <v>26.24</v>
      </c>
    </row>
    <row r="3996" spans="1:4" ht="15" x14ac:dyDescent="0.25">
      <c r="A3996" s="304">
        <v>39800</v>
      </c>
      <c r="B3996" s="304" t="s">
        <v>9545</v>
      </c>
      <c r="C3996" s="304" t="s">
        <v>5555</v>
      </c>
      <c r="D3996" s="540">
        <v>44.16</v>
      </c>
    </row>
    <row r="3997" spans="1:4" ht="15" x14ac:dyDescent="0.25">
      <c r="A3997" s="304">
        <v>4224</v>
      </c>
      <c r="B3997" s="304" t="s">
        <v>9546</v>
      </c>
      <c r="C3997" s="304" t="s">
        <v>5628</v>
      </c>
      <c r="D3997" s="540">
        <v>11.14</v>
      </c>
    </row>
    <row r="3998" spans="1:4" ht="15" x14ac:dyDescent="0.25">
      <c r="A3998" s="304">
        <v>21059</v>
      </c>
      <c r="B3998" s="304" t="s">
        <v>9547</v>
      </c>
      <c r="C3998" s="304" t="s">
        <v>5555</v>
      </c>
      <c r="D3998" s="540">
        <v>31.02</v>
      </c>
    </row>
    <row r="3999" spans="1:4" ht="15" x14ac:dyDescent="0.25">
      <c r="A3999" s="304">
        <v>11234</v>
      </c>
      <c r="B3999" s="304" t="s">
        <v>9548</v>
      </c>
      <c r="C3999" s="304" t="s">
        <v>5555</v>
      </c>
      <c r="D3999" s="540">
        <v>46.75</v>
      </c>
    </row>
    <row r="4000" spans="1:4" ht="15" x14ac:dyDescent="0.25">
      <c r="A4000" s="304">
        <v>21060</v>
      </c>
      <c r="B4000" s="304" t="s">
        <v>9549</v>
      </c>
      <c r="C4000" s="304" t="s">
        <v>5555</v>
      </c>
      <c r="D4000" s="540">
        <v>57.55</v>
      </c>
    </row>
    <row r="4001" spans="1:4" ht="15" x14ac:dyDescent="0.25">
      <c r="A4001" s="304">
        <v>21061</v>
      </c>
      <c r="B4001" s="304" t="s">
        <v>9550</v>
      </c>
      <c r="C4001" s="304" t="s">
        <v>5555</v>
      </c>
      <c r="D4001" s="540">
        <v>71.930000000000007</v>
      </c>
    </row>
    <row r="4002" spans="1:4" ht="15" x14ac:dyDescent="0.25">
      <c r="A4002" s="304">
        <v>21062</v>
      </c>
      <c r="B4002" s="304" t="s">
        <v>9551</v>
      </c>
      <c r="C4002" s="304" t="s">
        <v>5555</v>
      </c>
      <c r="D4002" s="540">
        <v>113.3</v>
      </c>
    </row>
    <row r="4003" spans="1:4" ht="15" x14ac:dyDescent="0.25">
      <c r="A4003" s="304">
        <v>11708</v>
      </c>
      <c r="B4003" s="304" t="s">
        <v>9552</v>
      </c>
      <c r="C4003" s="304" t="s">
        <v>5555</v>
      </c>
      <c r="D4003" s="540">
        <v>12.36</v>
      </c>
    </row>
    <row r="4004" spans="1:4" ht="15" x14ac:dyDescent="0.25">
      <c r="A4004" s="304">
        <v>11709</v>
      </c>
      <c r="B4004" s="304" t="s">
        <v>9553</v>
      </c>
      <c r="C4004" s="304" t="s">
        <v>5555</v>
      </c>
      <c r="D4004" s="540">
        <v>29.04</v>
      </c>
    </row>
    <row r="4005" spans="1:4" ht="15" x14ac:dyDescent="0.25">
      <c r="A4005" s="304">
        <v>11710</v>
      </c>
      <c r="B4005" s="304" t="s">
        <v>9554</v>
      </c>
      <c r="C4005" s="304" t="s">
        <v>5555</v>
      </c>
      <c r="D4005" s="540">
        <v>66.760000000000005</v>
      </c>
    </row>
    <row r="4006" spans="1:4" ht="15" x14ac:dyDescent="0.25">
      <c r="A4006" s="304">
        <v>11707</v>
      </c>
      <c r="B4006" s="304" t="s">
        <v>9555</v>
      </c>
      <c r="C4006" s="304" t="s">
        <v>5555</v>
      </c>
      <c r="D4006" s="540">
        <v>9.26</v>
      </c>
    </row>
    <row r="4007" spans="1:4" ht="15" x14ac:dyDescent="0.25">
      <c r="A4007" s="304">
        <v>11739</v>
      </c>
      <c r="B4007" s="304" t="s">
        <v>9556</v>
      </c>
      <c r="C4007" s="304" t="s">
        <v>5555</v>
      </c>
      <c r="D4007" s="540">
        <v>5.0999999999999996</v>
      </c>
    </row>
    <row r="4008" spans="1:4" ht="15" x14ac:dyDescent="0.25">
      <c r="A4008" s="304">
        <v>11711</v>
      </c>
      <c r="B4008" s="304" t="s">
        <v>9557</v>
      </c>
      <c r="C4008" s="304" t="s">
        <v>5555</v>
      </c>
      <c r="D4008" s="540">
        <v>7.46</v>
      </c>
    </row>
    <row r="4009" spans="1:4" ht="15" x14ac:dyDescent="0.25">
      <c r="A4009" s="304">
        <v>5102</v>
      </c>
      <c r="B4009" s="304" t="s">
        <v>9558</v>
      </c>
      <c r="C4009" s="304" t="s">
        <v>5555</v>
      </c>
      <c r="D4009" s="540">
        <v>7.22</v>
      </c>
    </row>
    <row r="4010" spans="1:4" ht="15" x14ac:dyDescent="0.25">
      <c r="A4010" s="304">
        <v>11741</v>
      </c>
      <c r="B4010" s="304" t="s">
        <v>9559</v>
      </c>
      <c r="C4010" s="304" t="s">
        <v>5555</v>
      </c>
      <c r="D4010" s="540">
        <v>5.25</v>
      </c>
    </row>
    <row r="4011" spans="1:4" ht="15" x14ac:dyDescent="0.25">
      <c r="A4011" s="304">
        <v>11743</v>
      </c>
      <c r="B4011" s="304" t="s">
        <v>9560</v>
      </c>
      <c r="C4011" s="304" t="s">
        <v>5555</v>
      </c>
      <c r="D4011" s="540">
        <v>4.7699999999999996</v>
      </c>
    </row>
    <row r="4012" spans="1:4" ht="15" x14ac:dyDescent="0.25">
      <c r="A4012" s="304">
        <v>11745</v>
      </c>
      <c r="B4012" s="304" t="s">
        <v>9561</v>
      </c>
      <c r="C4012" s="304" t="s">
        <v>5555</v>
      </c>
      <c r="D4012" s="540">
        <v>6.78</v>
      </c>
    </row>
    <row r="4013" spans="1:4" ht="15" x14ac:dyDescent="0.25">
      <c r="A4013" s="304">
        <v>25961</v>
      </c>
      <c r="B4013" s="304" t="s">
        <v>9562</v>
      </c>
      <c r="C4013" s="304" t="s">
        <v>5566</v>
      </c>
      <c r="D4013" s="540">
        <v>11.18</v>
      </c>
    </row>
    <row r="4014" spans="1:4" ht="15" x14ac:dyDescent="0.25">
      <c r="A4014" s="304">
        <v>40985</v>
      </c>
      <c r="B4014" s="304" t="s">
        <v>9563</v>
      </c>
      <c r="C4014" s="304" t="s">
        <v>5755</v>
      </c>
      <c r="D4014" s="541">
        <v>1961.25</v>
      </c>
    </row>
    <row r="4015" spans="1:4" ht="15" x14ac:dyDescent="0.25">
      <c r="A4015" s="304">
        <v>1088</v>
      </c>
      <c r="B4015" s="304" t="s">
        <v>9564</v>
      </c>
      <c r="C4015" s="304" t="s">
        <v>5555</v>
      </c>
      <c r="D4015" s="540">
        <v>19.79</v>
      </c>
    </row>
    <row r="4016" spans="1:4" ht="15" x14ac:dyDescent="0.25">
      <c r="A4016" s="304">
        <v>1087</v>
      </c>
      <c r="B4016" s="304" t="s">
        <v>9565</v>
      </c>
      <c r="C4016" s="304" t="s">
        <v>5555</v>
      </c>
      <c r="D4016" s="540">
        <v>24.73</v>
      </c>
    </row>
    <row r="4017" spans="1:4" ht="15" x14ac:dyDescent="0.25">
      <c r="A4017" s="304">
        <v>38777</v>
      </c>
      <c r="B4017" s="304" t="s">
        <v>9566</v>
      </c>
      <c r="C4017" s="304" t="s">
        <v>5555</v>
      </c>
      <c r="D4017" s="540">
        <v>49.25</v>
      </c>
    </row>
    <row r="4018" spans="1:4" ht="15" x14ac:dyDescent="0.25">
      <c r="A4018" s="304">
        <v>1086</v>
      </c>
      <c r="B4018" s="304" t="s">
        <v>9567</v>
      </c>
      <c r="C4018" s="304" t="s">
        <v>5555</v>
      </c>
      <c r="D4018" s="540">
        <v>25.99</v>
      </c>
    </row>
    <row r="4019" spans="1:4" ht="15" x14ac:dyDescent="0.25">
      <c r="A4019" s="304">
        <v>1079</v>
      </c>
      <c r="B4019" s="304" t="s">
        <v>9568</v>
      </c>
      <c r="C4019" s="304" t="s">
        <v>5555</v>
      </c>
      <c r="D4019" s="540">
        <v>26.87</v>
      </c>
    </row>
    <row r="4020" spans="1:4" ht="15" x14ac:dyDescent="0.25">
      <c r="A4020" s="304">
        <v>39374</v>
      </c>
      <c r="B4020" s="304" t="s">
        <v>9569</v>
      </c>
      <c r="C4020" s="304" t="s">
        <v>5555</v>
      </c>
      <c r="D4020" s="540">
        <v>110</v>
      </c>
    </row>
    <row r="4021" spans="1:4" ht="15" x14ac:dyDescent="0.25">
      <c r="A4021" s="304">
        <v>1082</v>
      </c>
      <c r="B4021" s="304" t="s">
        <v>9570</v>
      </c>
      <c r="C4021" s="304" t="s">
        <v>5555</v>
      </c>
      <c r="D4021" s="540">
        <v>168.9</v>
      </c>
    </row>
    <row r="4022" spans="1:4" ht="15" x14ac:dyDescent="0.25">
      <c r="A4022" s="304">
        <v>12316</v>
      </c>
      <c r="B4022" s="304" t="s">
        <v>9571</v>
      </c>
      <c r="C4022" s="304" t="s">
        <v>5555</v>
      </c>
      <c r="D4022" s="540">
        <v>77.41</v>
      </c>
    </row>
    <row r="4023" spans="1:4" ht="15" x14ac:dyDescent="0.25">
      <c r="A4023" s="304">
        <v>12317</v>
      </c>
      <c r="B4023" s="304" t="s">
        <v>9572</v>
      </c>
      <c r="C4023" s="304" t="s">
        <v>5555</v>
      </c>
      <c r="D4023" s="540">
        <v>92.32</v>
      </c>
    </row>
    <row r="4024" spans="1:4" ht="15" x14ac:dyDescent="0.25">
      <c r="A4024" s="304">
        <v>12318</v>
      </c>
      <c r="B4024" s="304" t="s">
        <v>9573</v>
      </c>
      <c r="C4024" s="304" t="s">
        <v>5555</v>
      </c>
      <c r="D4024" s="540">
        <v>106.35</v>
      </c>
    </row>
    <row r="4025" spans="1:4" ht="15" x14ac:dyDescent="0.25">
      <c r="A4025" s="304">
        <v>5104</v>
      </c>
      <c r="B4025" s="304" t="s">
        <v>9574</v>
      </c>
      <c r="C4025" s="304" t="s">
        <v>5626</v>
      </c>
      <c r="D4025" s="540">
        <v>44.69</v>
      </c>
    </row>
    <row r="4026" spans="1:4" ht="15" x14ac:dyDescent="0.25">
      <c r="A4026" s="304">
        <v>26023</v>
      </c>
      <c r="B4026" s="304" t="s">
        <v>9575</v>
      </c>
      <c r="C4026" s="304" t="s">
        <v>5555</v>
      </c>
      <c r="D4026" s="540">
        <v>42.68</v>
      </c>
    </row>
    <row r="4027" spans="1:4" ht="15" x14ac:dyDescent="0.25">
      <c r="A4027" s="304">
        <v>2710</v>
      </c>
      <c r="B4027" s="304" t="s">
        <v>9576</v>
      </c>
      <c r="C4027" s="304" t="s">
        <v>5555</v>
      </c>
      <c r="D4027" s="540">
        <v>34.090000000000003</v>
      </c>
    </row>
    <row r="4028" spans="1:4" ht="15" x14ac:dyDescent="0.25">
      <c r="A4028" s="304">
        <v>14575</v>
      </c>
      <c r="B4028" s="304" t="s">
        <v>9577</v>
      </c>
      <c r="C4028" s="304" t="s">
        <v>5555</v>
      </c>
      <c r="D4028" s="541">
        <v>3780319.36</v>
      </c>
    </row>
    <row r="4029" spans="1:4" ht="15" x14ac:dyDescent="0.25">
      <c r="A4029" s="304">
        <v>20034</v>
      </c>
      <c r="B4029" s="304" t="s">
        <v>9578</v>
      </c>
      <c r="C4029" s="304" t="s">
        <v>5555</v>
      </c>
      <c r="D4029" s="540">
        <v>62.25</v>
      </c>
    </row>
    <row r="4030" spans="1:4" ht="15" x14ac:dyDescent="0.25">
      <c r="A4030" s="304">
        <v>20036</v>
      </c>
      <c r="B4030" s="304" t="s">
        <v>9579</v>
      </c>
      <c r="C4030" s="304" t="s">
        <v>5555</v>
      </c>
      <c r="D4030" s="540">
        <v>119.75</v>
      </c>
    </row>
    <row r="4031" spans="1:4" ht="15" x14ac:dyDescent="0.25">
      <c r="A4031" s="304">
        <v>20037</v>
      </c>
      <c r="B4031" s="304" t="s">
        <v>9580</v>
      </c>
      <c r="C4031" s="304" t="s">
        <v>5555</v>
      </c>
      <c r="D4031" s="540">
        <v>225.88</v>
      </c>
    </row>
    <row r="4032" spans="1:4" ht="15" x14ac:dyDescent="0.25">
      <c r="A4032" s="304">
        <v>20043</v>
      </c>
      <c r="B4032" s="304" t="s">
        <v>9581</v>
      </c>
      <c r="C4032" s="304" t="s">
        <v>5555</v>
      </c>
      <c r="D4032" s="540">
        <v>4.5599999999999996</v>
      </c>
    </row>
    <row r="4033" spans="1:4" ht="15" x14ac:dyDescent="0.25">
      <c r="A4033" s="304">
        <v>20044</v>
      </c>
      <c r="B4033" s="304" t="s">
        <v>9582</v>
      </c>
      <c r="C4033" s="304" t="s">
        <v>5555</v>
      </c>
      <c r="D4033" s="540">
        <v>5.33</v>
      </c>
    </row>
    <row r="4034" spans="1:4" ht="15" x14ac:dyDescent="0.25">
      <c r="A4034" s="304">
        <v>20042</v>
      </c>
      <c r="B4034" s="304" t="s">
        <v>9583</v>
      </c>
      <c r="C4034" s="304" t="s">
        <v>5555</v>
      </c>
      <c r="D4034" s="540">
        <v>3.86</v>
      </c>
    </row>
    <row r="4035" spans="1:4" ht="15" x14ac:dyDescent="0.25">
      <c r="A4035" s="304">
        <v>20046</v>
      </c>
      <c r="B4035" s="304" t="s">
        <v>9584</v>
      </c>
      <c r="C4035" s="304" t="s">
        <v>5555</v>
      </c>
      <c r="D4035" s="540">
        <v>11.31</v>
      </c>
    </row>
    <row r="4036" spans="1:4" ht="15" x14ac:dyDescent="0.25">
      <c r="A4036" s="304">
        <v>20047</v>
      </c>
      <c r="B4036" s="304" t="s">
        <v>9585</v>
      </c>
      <c r="C4036" s="304" t="s">
        <v>5555</v>
      </c>
      <c r="D4036" s="540">
        <v>30.91</v>
      </c>
    </row>
    <row r="4037" spans="1:4" ht="15" x14ac:dyDescent="0.25">
      <c r="A4037" s="304">
        <v>20045</v>
      </c>
      <c r="B4037" s="304" t="s">
        <v>9586</v>
      </c>
      <c r="C4037" s="304" t="s">
        <v>5555</v>
      </c>
      <c r="D4037" s="540">
        <v>4.6500000000000004</v>
      </c>
    </row>
    <row r="4038" spans="1:4" ht="15" x14ac:dyDescent="0.25">
      <c r="A4038" s="304">
        <v>20972</v>
      </c>
      <c r="B4038" s="304" t="s">
        <v>9587</v>
      </c>
      <c r="C4038" s="304" t="s">
        <v>5555</v>
      </c>
      <c r="D4038" s="540">
        <v>87.44</v>
      </c>
    </row>
    <row r="4039" spans="1:4" ht="15" x14ac:dyDescent="0.25">
      <c r="A4039" s="304">
        <v>20032</v>
      </c>
      <c r="B4039" s="304" t="s">
        <v>9588</v>
      </c>
      <c r="C4039" s="304" t="s">
        <v>5555</v>
      </c>
      <c r="D4039" s="540">
        <v>49.1</v>
      </c>
    </row>
    <row r="4040" spans="1:4" ht="15" x14ac:dyDescent="0.25">
      <c r="A4040" s="304">
        <v>11321</v>
      </c>
      <c r="B4040" s="304" t="s">
        <v>9589</v>
      </c>
      <c r="C4040" s="304" t="s">
        <v>5555</v>
      </c>
      <c r="D4040" s="540">
        <v>22.38</v>
      </c>
    </row>
    <row r="4041" spans="1:4" ht="15" x14ac:dyDescent="0.25">
      <c r="A4041" s="304">
        <v>11323</v>
      </c>
      <c r="B4041" s="304" t="s">
        <v>9590</v>
      </c>
      <c r="C4041" s="304" t="s">
        <v>5555</v>
      </c>
      <c r="D4041" s="540">
        <v>25.74</v>
      </c>
    </row>
    <row r="4042" spans="1:4" ht="15" x14ac:dyDescent="0.25">
      <c r="A4042" s="304">
        <v>20327</v>
      </c>
      <c r="B4042" s="304" t="s">
        <v>9591</v>
      </c>
      <c r="C4042" s="304" t="s">
        <v>5555</v>
      </c>
      <c r="D4042" s="540">
        <v>14.61</v>
      </c>
    </row>
    <row r="4043" spans="1:4" ht="15" x14ac:dyDescent="0.25">
      <c r="A4043" s="304">
        <v>25966</v>
      </c>
      <c r="B4043" s="304" t="s">
        <v>9592</v>
      </c>
      <c r="C4043" s="304" t="s">
        <v>5628</v>
      </c>
      <c r="D4043" s="540">
        <v>14.23</v>
      </c>
    </row>
    <row r="4044" spans="1:4" ht="15" x14ac:dyDescent="0.25">
      <c r="A4044" s="304">
        <v>13390</v>
      </c>
      <c r="B4044" s="304" t="s">
        <v>9593</v>
      </c>
      <c r="C4044" s="304" t="s">
        <v>5555</v>
      </c>
      <c r="D4044" s="540">
        <v>97.7</v>
      </c>
    </row>
    <row r="4045" spans="1:4" ht="15" x14ac:dyDescent="0.25">
      <c r="A4045" s="304">
        <v>6034</v>
      </c>
      <c r="B4045" s="304" t="s">
        <v>9594</v>
      </c>
      <c r="C4045" s="304" t="s">
        <v>5555</v>
      </c>
      <c r="D4045" s="540">
        <v>7.5</v>
      </c>
    </row>
    <row r="4046" spans="1:4" ht="15" x14ac:dyDescent="0.25">
      <c r="A4046" s="304">
        <v>6036</v>
      </c>
      <c r="B4046" s="304" t="s">
        <v>9595</v>
      </c>
      <c r="C4046" s="304" t="s">
        <v>5555</v>
      </c>
      <c r="D4046" s="540">
        <v>10.210000000000001</v>
      </c>
    </row>
    <row r="4047" spans="1:4" ht="15" x14ac:dyDescent="0.25">
      <c r="A4047" s="304">
        <v>6031</v>
      </c>
      <c r="B4047" s="304" t="s">
        <v>9596</v>
      </c>
      <c r="C4047" s="304" t="s">
        <v>5555</v>
      </c>
      <c r="D4047" s="540">
        <v>12</v>
      </c>
    </row>
    <row r="4048" spans="1:4" ht="15" x14ac:dyDescent="0.25">
      <c r="A4048" s="304">
        <v>6029</v>
      </c>
      <c r="B4048" s="304" t="s">
        <v>9597</v>
      </c>
      <c r="C4048" s="304" t="s">
        <v>5555</v>
      </c>
      <c r="D4048" s="540">
        <v>12.12</v>
      </c>
    </row>
    <row r="4049" spans="1:4" ht="15" x14ac:dyDescent="0.25">
      <c r="A4049" s="304">
        <v>6033</v>
      </c>
      <c r="B4049" s="304" t="s">
        <v>9598</v>
      </c>
      <c r="C4049" s="304" t="s">
        <v>5555</v>
      </c>
      <c r="D4049" s="540">
        <v>15.98</v>
      </c>
    </row>
    <row r="4050" spans="1:4" ht="15" x14ac:dyDescent="0.25">
      <c r="A4050" s="304">
        <v>11672</v>
      </c>
      <c r="B4050" s="304" t="s">
        <v>9599</v>
      </c>
      <c r="C4050" s="304" t="s">
        <v>5555</v>
      </c>
      <c r="D4050" s="540">
        <v>34.770000000000003</v>
      </c>
    </row>
    <row r="4051" spans="1:4" ht="15" x14ac:dyDescent="0.25">
      <c r="A4051" s="304">
        <v>11669</v>
      </c>
      <c r="B4051" s="304" t="s">
        <v>9600</v>
      </c>
      <c r="C4051" s="304" t="s">
        <v>5555</v>
      </c>
      <c r="D4051" s="540">
        <v>33.11</v>
      </c>
    </row>
    <row r="4052" spans="1:4" ht="15" x14ac:dyDescent="0.25">
      <c r="A4052" s="304">
        <v>11670</v>
      </c>
      <c r="B4052" s="304" t="s">
        <v>9601</v>
      </c>
      <c r="C4052" s="304" t="s">
        <v>5555</v>
      </c>
      <c r="D4052" s="540">
        <v>12.68</v>
      </c>
    </row>
    <row r="4053" spans="1:4" ht="15" x14ac:dyDescent="0.25">
      <c r="A4053" s="304">
        <v>20055</v>
      </c>
      <c r="B4053" s="304" t="s">
        <v>9602</v>
      </c>
      <c r="C4053" s="304" t="s">
        <v>5555</v>
      </c>
      <c r="D4053" s="540">
        <v>24.8</v>
      </c>
    </row>
    <row r="4054" spans="1:4" ht="15" x14ac:dyDescent="0.25">
      <c r="A4054" s="304">
        <v>11671</v>
      </c>
      <c r="B4054" s="304" t="s">
        <v>9603</v>
      </c>
      <c r="C4054" s="304" t="s">
        <v>5555</v>
      </c>
      <c r="D4054" s="540">
        <v>53.21</v>
      </c>
    </row>
    <row r="4055" spans="1:4" ht="15" x14ac:dyDescent="0.25">
      <c r="A4055" s="304">
        <v>6032</v>
      </c>
      <c r="B4055" s="304" t="s">
        <v>9604</v>
      </c>
      <c r="C4055" s="304" t="s">
        <v>5555</v>
      </c>
      <c r="D4055" s="540">
        <v>15.2</v>
      </c>
    </row>
    <row r="4056" spans="1:4" ht="15" x14ac:dyDescent="0.25">
      <c r="A4056" s="304">
        <v>11673</v>
      </c>
      <c r="B4056" s="304" t="s">
        <v>9605</v>
      </c>
      <c r="C4056" s="304" t="s">
        <v>5555</v>
      </c>
      <c r="D4056" s="540">
        <v>11.97</v>
      </c>
    </row>
    <row r="4057" spans="1:4" ht="15" x14ac:dyDescent="0.25">
      <c r="A4057" s="304">
        <v>11674</v>
      </c>
      <c r="B4057" s="304" t="s">
        <v>9606</v>
      </c>
      <c r="C4057" s="304" t="s">
        <v>5555</v>
      </c>
      <c r="D4057" s="540">
        <v>15.41</v>
      </c>
    </row>
    <row r="4058" spans="1:4" ht="15" x14ac:dyDescent="0.25">
      <c r="A4058" s="304">
        <v>11675</v>
      </c>
      <c r="B4058" s="304" t="s">
        <v>9607</v>
      </c>
      <c r="C4058" s="304" t="s">
        <v>5555</v>
      </c>
      <c r="D4058" s="540">
        <v>24.47</v>
      </c>
    </row>
    <row r="4059" spans="1:4" ht="15" x14ac:dyDescent="0.25">
      <c r="A4059" s="304">
        <v>11676</v>
      </c>
      <c r="B4059" s="304" t="s">
        <v>9608</v>
      </c>
      <c r="C4059" s="304" t="s">
        <v>5555</v>
      </c>
      <c r="D4059" s="540">
        <v>32.72</v>
      </c>
    </row>
    <row r="4060" spans="1:4" ht="15" x14ac:dyDescent="0.25">
      <c r="A4060" s="304">
        <v>11677</v>
      </c>
      <c r="B4060" s="304" t="s">
        <v>9609</v>
      </c>
      <c r="C4060" s="304" t="s">
        <v>5555</v>
      </c>
      <c r="D4060" s="540">
        <v>33.799999999999997</v>
      </c>
    </row>
    <row r="4061" spans="1:4" ht="15" x14ac:dyDescent="0.25">
      <c r="A4061" s="304">
        <v>11678</v>
      </c>
      <c r="B4061" s="304" t="s">
        <v>9610</v>
      </c>
      <c r="C4061" s="304" t="s">
        <v>5555</v>
      </c>
      <c r="D4061" s="540">
        <v>61.89</v>
      </c>
    </row>
    <row r="4062" spans="1:4" ht="15" x14ac:dyDescent="0.25">
      <c r="A4062" s="304">
        <v>6038</v>
      </c>
      <c r="B4062" s="304" t="s">
        <v>9611</v>
      </c>
      <c r="C4062" s="304" t="s">
        <v>5555</v>
      </c>
      <c r="D4062" s="540">
        <v>3.92</v>
      </c>
    </row>
    <row r="4063" spans="1:4" ht="15" x14ac:dyDescent="0.25">
      <c r="A4063" s="304">
        <v>11718</v>
      </c>
      <c r="B4063" s="304" t="s">
        <v>9612</v>
      </c>
      <c r="C4063" s="304" t="s">
        <v>5555</v>
      </c>
      <c r="D4063" s="540">
        <v>11.19</v>
      </c>
    </row>
    <row r="4064" spans="1:4" ht="15" x14ac:dyDescent="0.25">
      <c r="A4064" s="304">
        <v>6037</v>
      </c>
      <c r="B4064" s="304" t="s">
        <v>9613</v>
      </c>
      <c r="C4064" s="304" t="s">
        <v>5555</v>
      </c>
      <c r="D4064" s="540">
        <v>8.17</v>
      </c>
    </row>
    <row r="4065" spans="1:4" ht="15" x14ac:dyDescent="0.25">
      <c r="A4065" s="304">
        <v>11719</v>
      </c>
      <c r="B4065" s="304" t="s">
        <v>9614</v>
      </c>
      <c r="C4065" s="304" t="s">
        <v>5555</v>
      </c>
      <c r="D4065" s="540">
        <v>9.08</v>
      </c>
    </row>
    <row r="4066" spans="1:4" ht="15" x14ac:dyDescent="0.25">
      <c r="A4066" s="304">
        <v>6019</v>
      </c>
      <c r="B4066" s="304" t="s">
        <v>9615</v>
      </c>
      <c r="C4066" s="304" t="s">
        <v>5555</v>
      </c>
      <c r="D4066" s="540">
        <v>28.59</v>
      </c>
    </row>
    <row r="4067" spans="1:4" ht="15" x14ac:dyDescent="0.25">
      <c r="A4067" s="304">
        <v>6010</v>
      </c>
      <c r="B4067" s="304" t="s">
        <v>9616</v>
      </c>
      <c r="C4067" s="304" t="s">
        <v>5555</v>
      </c>
      <c r="D4067" s="540">
        <v>49.19</v>
      </c>
    </row>
    <row r="4068" spans="1:4" ht="15" x14ac:dyDescent="0.25">
      <c r="A4068" s="304">
        <v>6017</v>
      </c>
      <c r="B4068" s="304" t="s">
        <v>9617</v>
      </c>
      <c r="C4068" s="304" t="s">
        <v>5555</v>
      </c>
      <c r="D4068" s="540">
        <v>38.96</v>
      </c>
    </row>
    <row r="4069" spans="1:4" ht="15" x14ac:dyDescent="0.25">
      <c r="A4069" s="304">
        <v>6020</v>
      </c>
      <c r="B4069" s="304" t="s">
        <v>9618</v>
      </c>
      <c r="C4069" s="304" t="s">
        <v>5555</v>
      </c>
      <c r="D4069" s="540">
        <v>17.170000000000002</v>
      </c>
    </row>
    <row r="4070" spans="1:4" ht="15" x14ac:dyDescent="0.25">
      <c r="A4070" s="304">
        <v>6028</v>
      </c>
      <c r="B4070" s="304" t="s">
        <v>9619</v>
      </c>
      <c r="C4070" s="304" t="s">
        <v>5555</v>
      </c>
      <c r="D4070" s="540">
        <v>68.52</v>
      </c>
    </row>
    <row r="4071" spans="1:4" ht="15" x14ac:dyDescent="0.25">
      <c r="A4071" s="304">
        <v>6011</v>
      </c>
      <c r="B4071" s="304" t="s">
        <v>9620</v>
      </c>
      <c r="C4071" s="304" t="s">
        <v>5555</v>
      </c>
      <c r="D4071" s="540">
        <v>142.11000000000001</v>
      </c>
    </row>
    <row r="4072" spans="1:4" ht="15" x14ac:dyDescent="0.25">
      <c r="A4072" s="304">
        <v>6012</v>
      </c>
      <c r="B4072" s="304" t="s">
        <v>9621</v>
      </c>
      <c r="C4072" s="304" t="s">
        <v>5555</v>
      </c>
      <c r="D4072" s="540">
        <v>172.04</v>
      </c>
    </row>
    <row r="4073" spans="1:4" ht="15" x14ac:dyDescent="0.25">
      <c r="A4073" s="304">
        <v>6016</v>
      </c>
      <c r="B4073" s="304" t="s">
        <v>9622</v>
      </c>
      <c r="C4073" s="304" t="s">
        <v>5555</v>
      </c>
      <c r="D4073" s="540">
        <v>18.11</v>
      </c>
    </row>
    <row r="4074" spans="1:4" ht="15" x14ac:dyDescent="0.25">
      <c r="A4074" s="304">
        <v>6027</v>
      </c>
      <c r="B4074" s="304" t="s">
        <v>9623</v>
      </c>
      <c r="C4074" s="304" t="s">
        <v>5555</v>
      </c>
      <c r="D4074" s="540">
        <v>358.48</v>
      </c>
    </row>
    <row r="4075" spans="1:4" ht="15" x14ac:dyDescent="0.25">
      <c r="A4075" s="304">
        <v>6013</v>
      </c>
      <c r="B4075" s="304" t="s">
        <v>9624</v>
      </c>
      <c r="C4075" s="304" t="s">
        <v>5555</v>
      </c>
      <c r="D4075" s="540">
        <v>54.09</v>
      </c>
    </row>
    <row r="4076" spans="1:4" ht="15" x14ac:dyDescent="0.25">
      <c r="A4076" s="304">
        <v>6015</v>
      </c>
      <c r="B4076" s="304" t="s">
        <v>9625</v>
      </c>
      <c r="C4076" s="304" t="s">
        <v>5555</v>
      </c>
      <c r="D4076" s="540">
        <v>78.66</v>
      </c>
    </row>
    <row r="4077" spans="1:4" ht="15" x14ac:dyDescent="0.25">
      <c r="A4077" s="304">
        <v>6014</v>
      </c>
      <c r="B4077" s="304" t="s">
        <v>9626</v>
      </c>
      <c r="C4077" s="304" t="s">
        <v>5555</v>
      </c>
      <c r="D4077" s="540">
        <v>75.209999999999994</v>
      </c>
    </row>
    <row r="4078" spans="1:4" ht="15" x14ac:dyDescent="0.25">
      <c r="A4078" s="304">
        <v>6006</v>
      </c>
      <c r="B4078" s="304" t="s">
        <v>9627</v>
      </c>
      <c r="C4078" s="304" t="s">
        <v>5555</v>
      </c>
      <c r="D4078" s="540">
        <v>39.17</v>
      </c>
    </row>
    <row r="4079" spans="1:4" ht="15" x14ac:dyDescent="0.25">
      <c r="A4079" s="304">
        <v>6005</v>
      </c>
      <c r="B4079" s="304" t="s">
        <v>9628</v>
      </c>
      <c r="C4079" s="304" t="s">
        <v>5555</v>
      </c>
      <c r="D4079" s="540">
        <v>44.19</v>
      </c>
    </row>
    <row r="4080" spans="1:4" ht="15" x14ac:dyDescent="0.25">
      <c r="A4080" s="304">
        <v>11756</v>
      </c>
      <c r="B4080" s="304" t="s">
        <v>9629</v>
      </c>
      <c r="C4080" s="304" t="s">
        <v>5555</v>
      </c>
      <c r="D4080" s="540">
        <v>21.1</v>
      </c>
    </row>
    <row r="4081" spans="1:4" ht="15" x14ac:dyDescent="0.25">
      <c r="A4081" s="304">
        <v>10904</v>
      </c>
      <c r="B4081" s="304" t="s">
        <v>9630</v>
      </c>
      <c r="C4081" s="304" t="s">
        <v>5555</v>
      </c>
      <c r="D4081" s="540">
        <v>122.42</v>
      </c>
    </row>
    <row r="4082" spans="1:4" ht="15" x14ac:dyDescent="0.25">
      <c r="A4082" s="304">
        <v>11752</v>
      </c>
      <c r="B4082" s="304" t="s">
        <v>9631</v>
      </c>
      <c r="C4082" s="304" t="s">
        <v>5555</v>
      </c>
      <c r="D4082" s="540">
        <v>12.17</v>
      </c>
    </row>
    <row r="4083" spans="1:4" ht="15" x14ac:dyDescent="0.25">
      <c r="A4083" s="304">
        <v>11753</v>
      </c>
      <c r="B4083" s="304" t="s">
        <v>9632</v>
      </c>
      <c r="C4083" s="304" t="s">
        <v>5555</v>
      </c>
      <c r="D4083" s="540">
        <v>14.53</v>
      </c>
    </row>
    <row r="4084" spans="1:4" ht="15" x14ac:dyDescent="0.25">
      <c r="A4084" s="304">
        <v>6021</v>
      </c>
      <c r="B4084" s="304" t="s">
        <v>9633</v>
      </c>
      <c r="C4084" s="304" t="s">
        <v>5555</v>
      </c>
      <c r="D4084" s="540">
        <v>40.32</v>
      </c>
    </row>
    <row r="4085" spans="1:4" ht="15" x14ac:dyDescent="0.25">
      <c r="A4085" s="304">
        <v>6024</v>
      </c>
      <c r="B4085" s="304" t="s">
        <v>9634</v>
      </c>
      <c r="C4085" s="304" t="s">
        <v>5555</v>
      </c>
      <c r="D4085" s="540">
        <v>41.68</v>
      </c>
    </row>
    <row r="4086" spans="1:4" ht="15" x14ac:dyDescent="0.25">
      <c r="A4086" s="304">
        <v>38379</v>
      </c>
      <c r="B4086" s="304" t="s">
        <v>9635</v>
      </c>
      <c r="C4086" s="304" t="s">
        <v>5575</v>
      </c>
      <c r="D4086" s="540">
        <v>33.43</v>
      </c>
    </row>
    <row r="4087" spans="1:4" ht="15" x14ac:dyDescent="0.25">
      <c r="A4087" s="304">
        <v>13897</v>
      </c>
      <c r="B4087" s="304" t="s">
        <v>9636</v>
      </c>
      <c r="C4087" s="304" t="s">
        <v>5555</v>
      </c>
      <c r="D4087" s="541">
        <v>4278.1400000000003</v>
      </c>
    </row>
    <row r="4088" spans="1:4" ht="15" x14ac:dyDescent="0.25">
      <c r="A4088" s="304">
        <v>10640</v>
      </c>
      <c r="B4088" s="304" t="s">
        <v>9637</v>
      </c>
      <c r="C4088" s="304" t="s">
        <v>5555</v>
      </c>
      <c r="D4088" s="541">
        <v>9265.56</v>
      </c>
    </row>
    <row r="4089" spans="1:4" ht="15" x14ac:dyDescent="0.25">
      <c r="A4089" s="304">
        <v>11086</v>
      </c>
      <c r="B4089" s="304" t="s">
        <v>9638</v>
      </c>
      <c r="C4089" s="304" t="s">
        <v>5751</v>
      </c>
      <c r="D4089" s="540">
        <v>76.42</v>
      </c>
    </row>
    <row r="4090" spans="1:4" ht="15" x14ac:dyDescent="0.25">
      <c r="A4090" s="304">
        <v>34356</v>
      </c>
      <c r="B4090" s="304" t="s">
        <v>9639</v>
      </c>
      <c r="C4090" s="304" t="s">
        <v>5626</v>
      </c>
      <c r="D4090" s="540">
        <v>3.43</v>
      </c>
    </row>
    <row r="4091" spans="1:4" ht="15" x14ac:dyDescent="0.25">
      <c r="A4091" s="304">
        <v>34357</v>
      </c>
      <c r="B4091" s="304" t="s">
        <v>9640</v>
      </c>
      <c r="C4091" s="304" t="s">
        <v>5626</v>
      </c>
      <c r="D4091" s="540">
        <v>3.82</v>
      </c>
    </row>
    <row r="4092" spans="1:4" ht="15" x14ac:dyDescent="0.25">
      <c r="A4092" s="304">
        <v>37329</v>
      </c>
      <c r="B4092" s="304" t="s">
        <v>9641</v>
      </c>
      <c r="C4092" s="304" t="s">
        <v>5626</v>
      </c>
      <c r="D4092" s="540">
        <v>53.16</v>
      </c>
    </row>
    <row r="4093" spans="1:4" ht="15" x14ac:dyDescent="0.25">
      <c r="A4093" s="304">
        <v>37398</v>
      </c>
      <c r="B4093" s="304" t="s">
        <v>9642</v>
      </c>
      <c r="C4093" s="304" t="s">
        <v>5626</v>
      </c>
      <c r="D4093" s="540">
        <v>68.040000000000006</v>
      </c>
    </row>
    <row r="4094" spans="1:4" ht="15" x14ac:dyDescent="0.25">
      <c r="A4094" s="304">
        <v>2510</v>
      </c>
      <c r="B4094" s="304" t="s">
        <v>9643</v>
      </c>
      <c r="C4094" s="304" t="s">
        <v>5555</v>
      </c>
      <c r="D4094" s="540">
        <v>24.47</v>
      </c>
    </row>
    <row r="4095" spans="1:4" ht="15" x14ac:dyDescent="0.25">
      <c r="A4095" s="304">
        <v>12359</v>
      </c>
      <c r="B4095" s="304" t="s">
        <v>9644</v>
      </c>
      <c r="C4095" s="304" t="s">
        <v>5555</v>
      </c>
      <c r="D4095" s="540">
        <v>104.85</v>
      </c>
    </row>
    <row r="4096" spans="1:4" ht="15" x14ac:dyDescent="0.25">
      <c r="A4096" s="304">
        <v>5320</v>
      </c>
      <c r="B4096" s="304" t="s">
        <v>9645</v>
      </c>
      <c r="C4096" s="304" t="s">
        <v>5628</v>
      </c>
      <c r="D4096" s="540">
        <v>28.47</v>
      </c>
    </row>
    <row r="4097" spans="1:4" ht="15" x14ac:dyDescent="0.25">
      <c r="A4097" s="304">
        <v>7353</v>
      </c>
      <c r="B4097" s="304" t="s">
        <v>9646</v>
      </c>
      <c r="C4097" s="304" t="s">
        <v>5628</v>
      </c>
      <c r="D4097" s="540">
        <v>25.16</v>
      </c>
    </row>
    <row r="4098" spans="1:4" ht="15" x14ac:dyDescent="0.25">
      <c r="A4098" s="304">
        <v>36144</v>
      </c>
      <c r="B4098" s="304" t="s">
        <v>9647</v>
      </c>
      <c r="C4098" s="304" t="s">
        <v>5555</v>
      </c>
      <c r="D4098" s="540">
        <v>1.34</v>
      </c>
    </row>
    <row r="4099" spans="1:4" ht="15" x14ac:dyDescent="0.25">
      <c r="A4099" s="304">
        <v>10518</v>
      </c>
      <c r="B4099" s="304" t="s">
        <v>9648</v>
      </c>
      <c r="C4099" s="304" t="s">
        <v>5555</v>
      </c>
      <c r="D4099" s="540">
        <v>57.99</v>
      </c>
    </row>
    <row r="4100" spans="1:4" ht="15" x14ac:dyDescent="0.25">
      <c r="A4100" s="304">
        <v>36530</v>
      </c>
      <c r="B4100" s="304" t="s">
        <v>9649</v>
      </c>
      <c r="C4100" s="304" t="s">
        <v>5555</v>
      </c>
      <c r="D4100" s="541">
        <v>216658.53</v>
      </c>
    </row>
    <row r="4101" spans="1:4" ht="15" x14ac:dyDescent="0.25">
      <c r="A4101" s="304">
        <v>6046</v>
      </c>
      <c r="B4101" s="304" t="s">
        <v>9650</v>
      </c>
      <c r="C4101" s="304" t="s">
        <v>5555</v>
      </c>
      <c r="D4101" s="541">
        <v>235000</v>
      </c>
    </row>
    <row r="4102" spans="1:4" ht="15" x14ac:dyDescent="0.25">
      <c r="A4102" s="304">
        <v>36531</v>
      </c>
      <c r="B4102" s="304" t="s">
        <v>9651</v>
      </c>
      <c r="C4102" s="304" t="s">
        <v>5555</v>
      </c>
      <c r="D4102" s="541">
        <v>243597.54</v>
      </c>
    </row>
    <row r="4103" spans="1:4" ht="15" x14ac:dyDescent="0.25">
      <c r="A4103" s="304">
        <v>34684</v>
      </c>
      <c r="B4103" s="304" t="s">
        <v>9652</v>
      </c>
      <c r="C4103" s="304" t="s">
        <v>5564</v>
      </c>
      <c r="D4103" s="540">
        <v>191.58</v>
      </c>
    </row>
    <row r="4104" spans="1:4" ht="15" x14ac:dyDescent="0.25">
      <c r="A4104" s="304">
        <v>34683</v>
      </c>
      <c r="B4104" s="304" t="s">
        <v>9653</v>
      </c>
      <c r="C4104" s="304" t="s">
        <v>5564</v>
      </c>
      <c r="D4104" s="540">
        <v>119.73</v>
      </c>
    </row>
    <row r="4105" spans="1:4" ht="15" x14ac:dyDescent="0.25">
      <c r="A4105" s="304">
        <v>533</v>
      </c>
      <c r="B4105" s="304" t="s">
        <v>9654</v>
      </c>
      <c r="C4105" s="304" t="s">
        <v>5564</v>
      </c>
      <c r="D4105" s="540">
        <v>13.71</v>
      </c>
    </row>
    <row r="4106" spans="1:4" ht="15" x14ac:dyDescent="0.25">
      <c r="A4106" s="304">
        <v>10515</v>
      </c>
      <c r="B4106" s="304" t="s">
        <v>9655</v>
      </c>
      <c r="C4106" s="304" t="s">
        <v>5564</v>
      </c>
      <c r="D4106" s="540">
        <v>35.35</v>
      </c>
    </row>
    <row r="4107" spans="1:4" ht="15" x14ac:dyDescent="0.25">
      <c r="A4107" s="304">
        <v>536</v>
      </c>
      <c r="B4107" s="304" t="s">
        <v>9656</v>
      </c>
      <c r="C4107" s="304" t="s">
        <v>5564</v>
      </c>
      <c r="D4107" s="540">
        <v>23.23</v>
      </c>
    </row>
    <row r="4108" spans="1:4" ht="15" x14ac:dyDescent="0.25">
      <c r="A4108" s="304">
        <v>153</v>
      </c>
      <c r="B4108" s="304" t="s">
        <v>9657</v>
      </c>
      <c r="C4108" s="304" t="s">
        <v>5628</v>
      </c>
      <c r="D4108" s="540">
        <v>107.93</v>
      </c>
    </row>
    <row r="4109" spans="1:4" ht="15" x14ac:dyDescent="0.25">
      <c r="A4109" s="304">
        <v>34682</v>
      </c>
      <c r="B4109" s="304" t="s">
        <v>9658</v>
      </c>
      <c r="C4109" s="304" t="s">
        <v>5564</v>
      </c>
      <c r="D4109" s="540">
        <v>91.56</v>
      </c>
    </row>
    <row r="4110" spans="1:4" ht="15" x14ac:dyDescent="0.25">
      <c r="A4110" s="304">
        <v>20205</v>
      </c>
      <c r="B4110" s="304" t="s">
        <v>9659</v>
      </c>
      <c r="C4110" s="304" t="s">
        <v>5575</v>
      </c>
      <c r="D4110" s="540">
        <v>1.61</v>
      </c>
    </row>
    <row r="4111" spans="1:4" ht="15" x14ac:dyDescent="0.25">
      <c r="A4111" s="304">
        <v>4412</v>
      </c>
      <c r="B4111" s="304" t="s">
        <v>9660</v>
      </c>
      <c r="C4111" s="304" t="s">
        <v>5575</v>
      </c>
      <c r="D4111" s="540">
        <v>1.01</v>
      </c>
    </row>
    <row r="4112" spans="1:4" ht="15" x14ac:dyDescent="0.25">
      <c r="A4112" s="304">
        <v>4408</v>
      </c>
      <c r="B4112" s="304" t="s">
        <v>9661</v>
      </c>
      <c r="C4112" s="304" t="s">
        <v>5575</v>
      </c>
      <c r="D4112" s="540">
        <v>1.38</v>
      </c>
    </row>
    <row r="4113" spans="1:4" ht="15" x14ac:dyDescent="0.25">
      <c r="A4113" s="304">
        <v>4505</v>
      </c>
      <c r="B4113" s="304" t="s">
        <v>9662</v>
      </c>
      <c r="C4113" s="304" t="s">
        <v>5575</v>
      </c>
      <c r="D4113" s="540">
        <v>1.32</v>
      </c>
    </row>
    <row r="4114" spans="1:4" ht="15" x14ac:dyDescent="0.25">
      <c r="A4114" s="304">
        <v>10559</v>
      </c>
      <c r="B4114" s="304" t="s">
        <v>9663</v>
      </c>
      <c r="C4114" s="304" t="s">
        <v>5555</v>
      </c>
      <c r="D4114" s="541">
        <v>2349</v>
      </c>
    </row>
    <row r="4115" spans="1:4" ht="15" x14ac:dyDescent="0.25">
      <c r="A4115" s="304">
        <v>10664</v>
      </c>
      <c r="B4115" s="304" t="s">
        <v>9664</v>
      </c>
      <c r="C4115" s="304" t="s">
        <v>5555</v>
      </c>
      <c r="D4115" s="541">
        <v>6384.08</v>
      </c>
    </row>
    <row r="4116" spans="1:4" ht="15" x14ac:dyDescent="0.25">
      <c r="A4116" s="304">
        <v>36250</v>
      </c>
      <c r="B4116" s="304" t="s">
        <v>9665</v>
      </c>
      <c r="C4116" s="304" t="s">
        <v>5575</v>
      </c>
      <c r="D4116" s="540">
        <v>2.66</v>
      </c>
    </row>
    <row r="4117" spans="1:4" ht="15" x14ac:dyDescent="0.25">
      <c r="A4117" s="304">
        <v>10857</v>
      </c>
      <c r="B4117" s="304" t="s">
        <v>9666</v>
      </c>
      <c r="C4117" s="304" t="s">
        <v>5575</v>
      </c>
      <c r="D4117" s="540">
        <v>9.82</v>
      </c>
    </row>
    <row r="4118" spans="1:4" ht="15" x14ac:dyDescent="0.25">
      <c r="A4118" s="304">
        <v>4803</v>
      </c>
      <c r="B4118" s="304" t="s">
        <v>9667</v>
      </c>
      <c r="C4118" s="304" t="s">
        <v>5575</v>
      </c>
      <c r="D4118" s="540">
        <v>21.34</v>
      </c>
    </row>
    <row r="4119" spans="1:4" ht="15" x14ac:dyDescent="0.25">
      <c r="A4119" s="304">
        <v>6186</v>
      </c>
      <c r="B4119" s="304" t="s">
        <v>9668</v>
      </c>
      <c r="C4119" s="304" t="s">
        <v>5575</v>
      </c>
      <c r="D4119" s="540">
        <v>4.16</v>
      </c>
    </row>
    <row r="4120" spans="1:4" ht="15" x14ac:dyDescent="0.25">
      <c r="A4120" s="304">
        <v>4829</v>
      </c>
      <c r="B4120" s="304" t="s">
        <v>9669</v>
      </c>
      <c r="C4120" s="304" t="s">
        <v>5575</v>
      </c>
      <c r="D4120" s="540">
        <v>39.28</v>
      </c>
    </row>
    <row r="4121" spans="1:4" ht="15" x14ac:dyDescent="0.25">
      <c r="A4121" s="304">
        <v>39829</v>
      </c>
      <c r="B4121" s="304" t="s">
        <v>9670</v>
      </c>
      <c r="C4121" s="304" t="s">
        <v>5575</v>
      </c>
      <c r="D4121" s="540">
        <v>21.18</v>
      </c>
    </row>
    <row r="4122" spans="1:4" ht="15" x14ac:dyDescent="0.25">
      <c r="A4122" s="304">
        <v>20231</v>
      </c>
      <c r="B4122" s="304" t="s">
        <v>9671</v>
      </c>
      <c r="C4122" s="304" t="s">
        <v>5575</v>
      </c>
      <c r="D4122" s="540">
        <v>42.42</v>
      </c>
    </row>
    <row r="4123" spans="1:4" ht="15" x14ac:dyDescent="0.25">
      <c r="A4123" s="304">
        <v>4804</v>
      </c>
      <c r="B4123" s="304" t="s">
        <v>9672</v>
      </c>
      <c r="C4123" s="304" t="s">
        <v>5575</v>
      </c>
      <c r="D4123" s="540">
        <v>16.39</v>
      </c>
    </row>
    <row r="4124" spans="1:4" ht="15" x14ac:dyDescent="0.25">
      <c r="A4124" s="304">
        <v>34680</v>
      </c>
      <c r="B4124" s="304" t="s">
        <v>9673</v>
      </c>
      <c r="C4124" s="304" t="s">
        <v>5575</v>
      </c>
      <c r="D4124" s="540">
        <v>28.17</v>
      </c>
    </row>
    <row r="4125" spans="1:4" ht="15" x14ac:dyDescent="0.25">
      <c r="A4125" s="304">
        <v>11573</v>
      </c>
      <c r="B4125" s="304" t="s">
        <v>9674</v>
      </c>
      <c r="C4125" s="304" t="s">
        <v>5555</v>
      </c>
      <c r="D4125" s="540">
        <v>6.17</v>
      </c>
    </row>
    <row r="4126" spans="1:4" ht="15" x14ac:dyDescent="0.25">
      <c r="A4126" s="304">
        <v>38401</v>
      </c>
      <c r="B4126" s="304" t="s">
        <v>9675</v>
      </c>
      <c r="C4126" s="304" t="s">
        <v>5555</v>
      </c>
      <c r="D4126" s="540">
        <v>6.91</v>
      </c>
    </row>
    <row r="4127" spans="1:4" ht="15" x14ac:dyDescent="0.25">
      <c r="A4127" s="304">
        <v>38179</v>
      </c>
      <c r="B4127" s="304" t="s">
        <v>9676</v>
      </c>
      <c r="C4127" s="304" t="s">
        <v>5555</v>
      </c>
      <c r="D4127" s="540">
        <v>27.06</v>
      </c>
    </row>
    <row r="4128" spans="1:4" ht="15" x14ac:dyDescent="0.25">
      <c r="A4128" s="304">
        <v>11575</v>
      </c>
      <c r="B4128" s="304" t="s">
        <v>9677</v>
      </c>
      <c r="C4128" s="304" t="s">
        <v>5555</v>
      </c>
      <c r="D4128" s="540">
        <v>29.2</v>
      </c>
    </row>
    <row r="4129" spans="1:4" ht="15" x14ac:dyDescent="0.25">
      <c r="A4129" s="304">
        <v>20256</v>
      </c>
      <c r="B4129" s="304" t="s">
        <v>9678</v>
      </c>
      <c r="C4129" s="304" t="s">
        <v>5555</v>
      </c>
      <c r="D4129" s="540">
        <v>0.27</v>
      </c>
    </row>
    <row r="4130" spans="1:4" ht="15" x14ac:dyDescent="0.25">
      <c r="A4130" s="304">
        <v>14511</v>
      </c>
      <c r="B4130" s="304" t="s">
        <v>9679</v>
      </c>
      <c r="C4130" s="304" t="s">
        <v>5555</v>
      </c>
      <c r="D4130" s="541">
        <v>460698.11</v>
      </c>
    </row>
    <row r="4131" spans="1:4" ht="15" x14ac:dyDescent="0.25">
      <c r="A4131" s="304">
        <v>10642</v>
      </c>
      <c r="B4131" s="304" t="s">
        <v>9680</v>
      </c>
      <c r="C4131" s="304" t="s">
        <v>5555</v>
      </c>
      <c r="D4131" s="541">
        <v>434000</v>
      </c>
    </row>
    <row r="4132" spans="1:4" ht="15" x14ac:dyDescent="0.25">
      <c r="A4132" s="304">
        <v>14489</v>
      </c>
      <c r="B4132" s="304" t="s">
        <v>9681</v>
      </c>
      <c r="C4132" s="304" t="s">
        <v>5555</v>
      </c>
      <c r="D4132" s="541">
        <v>384949.92</v>
      </c>
    </row>
    <row r="4133" spans="1:4" ht="15" x14ac:dyDescent="0.25">
      <c r="A4133" s="304">
        <v>14513</v>
      </c>
      <c r="B4133" s="304" t="s">
        <v>9682</v>
      </c>
      <c r="C4133" s="304" t="s">
        <v>5555</v>
      </c>
      <c r="D4133" s="541">
        <v>288721.58</v>
      </c>
    </row>
    <row r="4134" spans="1:4" ht="15" x14ac:dyDescent="0.25">
      <c r="A4134" s="304">
        <v>13600</v>
      </c>
      <c r="B4134" s="304" t="s">
        <v>9683</v>
      </c>
      <c r="C4134" s="304" t="s">
        <v>5555</v>
      </c>
      <c r="D4134" s="541">
        <v>372532.14</v>
      </c>
    </row>
    <row r="4135" spans="1:4" ht="15" x14ac:dyDescent="0.25">
      <c r="A4135" s="304">
        <v>10646</v>
      </c>
      <c r="B4135" s="304" t="s">
        <v>9684</v>
      </c>
      <c r="C4135" s="304" t="s">
        <v>5555</v>
      </c>
      <c r="D4135" s="541">
        <v>277697.89</v>
      </c>
    </row>
    <row r="4136" spans="1:4" ht="15" x14ac:dyDescent="0.25">
      <c r="A4136" s="304">
        <v>6070</v>
      </c>
      <c r="B4136" s="304" t="s">
        <v>9685</v>
      </c>
      <c r="C4136" s="304" t="s">
        <v>5555</v>
      </c>
      <c r="D4136" s="541">
        <v>379439.99</v>
      </c>
    </row>
    <row r="4137" spans="1:4" ht="15" x14ac:dyDescent="0.25">
      <c r="A4137" s="304">
        <v>6069</v>
      </c>
      <c r="B4137" s="304" t="s">
        <v>9686</v>
      </c>
      <c r="C4137" s="304" t="s">
        <v>5555</v>
      </c>
      <c r="D4137" s="541">
        <v>83824.009999999995</v>
      </c>
    </row>
    <row r="4138" spans="1:4" ht="15" x14ac:dyDescent="0.25">
      <c r="A4138" s="304">
        <v>14626</v>
      </c>
      <c r="B4138" s="304" t="s">
        <v>9687</v>
      </c>
      <c r="C4138" s="304" t="s">
        <v>5555</v>
      </c>
      <c r="D4138" s="541">
        <v>415400.01</v>
      </c>
    </row>
    <row r="4139" spans="1:4" ht="15" x14ac:dyDescent="0.25">
      <c r="A4139" s="304">
        <v>6067</v>
      </c>
      <c r="B4139" s="304" t="s">
        <v>9688</v>
      </c>
      <c r="C4139" s="304" t="s">
        <v>5555</v>
      </c>
      <c r="D4139" s="541">
        <v>341000</v>
      </c>
    </row>
    <row r="4140" spans="1:4" ht="15" x14ac:dyDescent="0.25">
      <c r="A4140" s="304">
        <v>38393</v>
      </c>
      <c r="B4140" s="304" t="s">
        <v>9689</v>
      </c>
      <c r="C4140" s="304" t="s">
        <v>5555</v>
      </c>
      <c r="D4140" s="540">
        <v>12.18</v>
      </c>
    </row>
    <row r="4141" spans="1:4" ht="15" x14ac:dyDescent="0.25">
      <c r="A4141" s="304">
        <v>38390</v>
      </c>
      <c r="B4141" s="304" t="s">
        <v>9690</v>
      </c>
      <c r="C4141" s="304" t="s">
        <v>5555</v>
      </c>
      <c r="D4141" s="540">
        <v>27.01</v>
      </c>
    </row>
    <row r="4142" spans="1:4" ht="15" x14ac:dyDescent="0.25">
      <c r="A4142" s="304">
        <v>36532</v>
      </c>
      <c r="B4142" s="304" t="s">
        <v>9691</v>
      </c>
      <c r="C4142" s="304" t="s">
        <v>5555</v>
      </c>
      <c r="D4142" s="541">
        <v>15156.26</v>
      </c>
    </row>
    <row r="4143" spans="1:4" ht="15" x14ac:dyDescent="0.25">
      <c r="A4143" s="304">
        <v>11578</v>
      </c>
      <c r="B4143" s="304" t="s">
        <v>9692</v>
      </c>
      <c r="C4143" s="304" t="s">
        <v>5555</v>
      </c>
      <c r="D4143" s="540">
        <v>9.3800000000000008</v>
      </c>
    </row>
    <row r="4144" spans="1:4" ht="15" x14ac:dyDescent="0.25">
      <c r="A4144" s="304">
        <v>11577</v>
      </c>
      <c r="B4144" s="304" t="s">
        <v>9693</v>
      </c>
      <c r="C4144" s="304" t="s">
        <v>5555</v>
      </c>
      <c r="D4144" s="540">
        <v>8.9499999999999993</v>
      </c>
    </row>
    <row r="4145" spans="1:4" ht="15" x14ac:dyDescent="0.25">
      <c r="A4145" s="304">
        <v>42432</v>
      </c>
      <c r="B4145" s="304" t="s">
        <v>9694</v>
      </c>
      <c r="C4145" s="304" t="s">
        <v>5555</v>
      </c>
      <c r="D4145" s="541">
        <v>1377.27</v>
      </c>
    </row>
    <row r="4146" spans="1:4" ht="15" x14ac:dyDescent="0.25">
      <c r="A4146" s="304">
        <v>42437</v>
      </c>
      <c r="B4146" s="304" t="s">
        <v>9695</v>
      </c>
      <c r="C4146" s="304" t="s">
        <v>5555</v>
      </c>
      <c r="D4146" s="541">
        <v>1047.0899999999999</v>
      </c>
    </row>
    <row r="4147" spans="1:4" ht="15" x14ac:dyDescent="0.25">
      <c r="A4147" s="304">
        <v>1116</v>
      </c>
      <c r="B4147" s="304" t="s">
        <v>9696</v>
      </c>
      <c r="C4147" s="304" t="s">
        <v>5575</v>
      </c>
      <c r="D4147" s="540">
        <v>16.93</v>
      </c>
    </row>
    <row r="4148" spans="1:4" ht="15" x14ac:dyDescent="0.25">
      <c r="A4148" s="304">
        <v>1115</v>
      </c>
      <c r="B4148" s="304" t="s">
        <v>9697</v>
      </c>
      <c r="C4148" s="304" t="s">
        <v>5575</v>
      </c>
      <c r="D4148" s="540">
        <v>20.58</v>
      </c>
    </row>
    <row r="4149" spans="1:4" ht="15" x14ac:dyDescent="0.25">
      <c r="A4149" s="304">
        <v>1113</v>
      </c>
      <c r="B4149" s="304" t="s">
        <v>9698</v>
      </c>
      <c r="C4149" s="304" t="s">
        <v>5575</v>
      </c>
      <c r="D4149" s="540">
        <v>22.58</v>
      </c>
    </row>
    <row r="4150" spans="1:4" ht="15" x14ac:dyDescent="0.25">
      <c r="A4150" s="304">
        <v>1114</v>
      </c>
      <c r="B4150" s="304" t="s">
        <v>9699</v>
      </c>
      <c r="C4150" s="304" t="s">
        <v>5575</v>
      </c>
      <c r="D4150" s="540">
        <v>33.869999999999997</v>
      </c>
    </row>
    <row r="4151" spans="1:4" ht="15" x14ac:dyDescent="0.25">
      <c r="A4151" s="304">
        <v>40872</v>
      </c>
      <c r="B4151" s="304" t="s">
        <v>9700</v>
      </c>
      <c r="C4151" s="304" t="s">
        <v>5575</v>
      </c>
      <c r="D4151" s="540">
        <v>19.3</v>
      </c>
    </row>
    <row r="4152" spans="1:4" ht="15" x14ac:dyDescent="0.25">
      <c r="A4152" s="304">
        <v>20214</v>
      </c>
      <c r="B4152" s="304" t="s">
        <v>9701</v>
      </c>
      <c r="C4152" s="304" t="s">
        <v>5555</v>
      </c>
      <c r="D4152" s="540">
        <v>32.97</v>
      </c>
    </row>
    <row r="4153" spans="1:4" ht="15" x14ac:dyDescent="0.25">
      <c r="A4153" s="304">
        <v>11064</v>
      </c>
      <c r="B4153" s="304" t="s">
        <v>9702</v>
      </c>
      <c r="C4153" s="304" t="s">
        <v>5555</v>
      </c>
      <c r="D4153" s="540">
        <v>13.98</v>
      </c>
    </row>
    <row r="4154" spans="1:4" ht="15" x14ac:dyDescent="0.25">
      <c r="A4154" s="304">
        <v>7237</v>
      </c>
      <c r="B4154" s="304" t="s">
        <v>9703</v>
      </c>
      <c r="C4154" s="304" t="s">
        <v>5555</v>
      </c>
      <c r="D4154" s="540">
        <v>19.07</v>
      </c>
    </row>
    <row r="4155" spans="1:4" ht="15" x14ac:dyDescent="0.25">
      <c r="A4155" s="304">
        <v>16</v>
      </c>
      <c r="B4155" s="304" t="s">
        <v>9704</v>
      </c>
      <c r="C4155" s="304" t="s">
        <v>5626</v>
      </c>
      <c r="D4155" s="540">
        <v>5.93</v>
      </c>
    </row>
    <row r="4156" spans="1:4" ht="15" x14ac:dyDescent="0.25">
      <c r="A4156" s="304">
        <v>11757</v>
      </c>
      <c r="B4156" s="304" t="s">
        <v>9705</v>
      </c>
      <c r="C4156" s="304" t="s">
        <v>5555</v>
      </c>
      <c r="D4156" s="540">
        <v>26</v>
      </c>
    </row>
    <row r="4157" spans="1:4" ht="15" x14ac:dyDescent="0.25">
      <c r="A4157" s="304">
        <v>11758</v>
      </c>
      <c r="B4157" s="304" t="s">
        <v>9706</v>
      </c>
      <c r="C4157" s="304" t="s">
        <v>5555</v>
      </c>
      <c r="D4157" s="540">
        <v>63</v>
      </c>
    </row>
    <row r="4158" spans="1:4" ht="15" x14ac:dyDescent="0.25">
      <c r="A4158" s="304">
        <v>37526</v>
      </c>
      <c r="B4158" s="304" t="s">
        <v>9707</v>
      </c>
      <c r="C4158" s="304" t="s">
        <v>5555</v>
      </c>
      <c r="D4158" s="540">
        <v>2.66</v>
      </c>
    </row>
    <row r="4159" spans="1:4" ht="15" x14ac:dyDescent="0.25">
      <c r="A4159" s="304">
        <v>6076</v>
      </c>
      <c r="B4159" s="304" t="s">
        <v>9708</v>
      </c>
      <c r="C4159" s="304" t="s">
        <v>5751</v>
      </c>
      <c r="D4159" s="540">
        <v>87.5</v>
      </c>
    </row>
    <row r="4160" spans="1:4" ht="15" x14ac:dyDescent="0.25">
      <c r="A4160" s="304">
        <v>13109</v>
      </c>
      <c r="B4160" s="304" t="s">
        <v>9709</v>
      </c>
      <c r="C4160" s="304" t="s">
        <v>5555</v>
      </c>
      <c r="D4160" s="540">
        <v>176.02</v>
      </c>
    </row>
    <row r="4161" spans="1:4" ht="15" x14ac:dyDescent="0.25">
      <c r="A4161" s="304">
        <v>13110</v>
      </c>
      <c r="B4161" s="304" t="s">
        <v>9710</v>
      </c>
      <c r="C4161" s="304" t="s">
        <v>5555</v>
      </c>
      <c r="D4161" s="540">
        <v>231.65</v>
      </c>
    </row>
    <row r="4162" spans="1:4" ht="15" x14ac:dyDescent="0.25">
      <c r="A4162" s="304">
        <v>7581</v>
      </c>
      <c r="B4162" s="304" t="s">
        <v>9711</v>
      </c>
      <c r="C4162" s="304" t="s">
        <v>5555</v>
      </c>
      <c r="D4162" s="540">
        <v>3.32</v>
      </c>
    </row>
    <row r="4163" spans="1:4" ht="15" x14ac:dyDescent="0.25">
      <c r="A4163" s="304">
        <v>20206</v>
      </c>
      <c r="B4163" s="304" t="s">
        <v>9712</v>
      </c>
      <c r="C4163" s="304" t="s">
        <v>5575</v>
      </c>
      <c r="D4163" s="540">
        <v>4.76</v>
      </c>
    </row>
    <row r="4164" spans="1:4" ht="15" x14ac:dyDescent="0.25">
      <c r="A4164" s="304">
        <v>4460</v>
      </c>
      <c r="B4164" s="304" t="s">
        <v>9713</v>
      </c>
      <c r="C4164" s="304" t="s">
        <v>5575</v>
      </c>
      <c r="D4164" s="540">
        <v>5.72</v>
      </c>
    </row>
    <row r="4165" spans="1:4" ht="15" x14ac:dyDescent="0.25">
      <c r="A4165" s="304">
        <v>6204</v>
      </c>
      <c r="B4165" s="304" t="s">
        <v>9714</v>
      </c>
      <c r="C4165" s="304" t="s">
        <v>5575</v>
      </c>
      <c r="D4165" s="540">
        <v>8.5500000000000007</v>
      </c>
    </row>
    <row r="4166" spans="1:4" ht="15" x14ac:dyDescent="0.25">
      <c r="A4166" s="304">
        <v>4417</v>
      </c>
      <c r="B4166" s="304" t="s">
        <v>9715</v>
      </c>
      <c r="C4166" s="304" t="s">
        <v>5575</v>
      </c>
      <c r="D4166" s="540">
        <v>3.28</v>
      </c>
    </row>
    <row r="4167" spans="1:4" ht="15" x14ac:dyDescent="0.25">
      <c r="A4167" s="304">
        <v>4517</v>
      </c>
      <c r="B4167" s="304" t="s">
        <v>9716</v>
      </c>
      <c r="C4167" s="304" t="s">
        <v>5575</v>
      </c>
      <c r="D4167" s="540">
        <v>1.06</v>
      </c>
    </row>
    <row r="4168" spans="1:4" ht="15" x14ac:dyDescent="0.25">
      <c r="A4168" s="304">
        <v>4512</v>
      </c>
      <c r="B4168" s="304" t="s">
        <v>9717</v>
      </c>
      <c r="C4168" s="304" t="s">
        <v>5575</v>
      </c>
      <c r="D4168" s="540">
        <v>0.77</v>
      </c>
    </row>
    <row r="4169" spans="1:4" ht="15" x14ac:dyDescent="0.25">
      <c r="A4169" s="304">
        <v>4415</v>
      </c>
      <c r="B4169" s="304" t="s">
        <v>9718</v>
      </c>
      <c r="C4169" s="304" t="s">
        <v>5575</v>
      </c>
      <c r="D4169" s="540">
        <v>2.76</v>
      </c>
    </row>
    <row r="4170" spans="1:4" ht="15" x14ac:dyDescent="0.25">
      <c r="A4170" s="304">
        <v>37373</v>
      </c>
      <c r="B4170" s="304" t="s">
        <v>9719</v>
      </c>
      <c r="C4170" s="304" t="s">
        <v>5566</v>
      </c>
      <c r="D4170" s="540">
        <v>7.0000000000000007E-2</v>
      </c>
    </row>
    <row r="4171" spans="1:4" ht="15" x14ac:dyDescent="0.25">
      <c r="A4171" s="304">
        <v>40864</v>
      </c>
      <c r="B4171" s="304" t="s">
        <v>9720</v>
      </c>
      <c r="C4171" s="304" t="s">
        <v>5755</v>
      </c>
      <c r="D4171" s="540">
        <v>13.07</v>
      </c>
    </row>
    <row r="4172" spans="1:4" ht="15" x14ac:dyDescent="0.25">
      <c r="A4172" s="304">
        <v>4734</v>
      </c>
      <c r="B4172" s="304" t="s">
        <v>9721</v>
      </c>
      <c r="C4172" s="304" t="s">
        <v>5751</v>
      </c>
      <c r="D4172" s="540">
        <v>108.75</v>
      </c>
    </row>
    <row r="4173" spans="1:4" ht="15" x14ac:dyDescent="0.25">
      <c r="A4173" s="304">
        <v>6085</v>
      </c>
      <c r="B4173" s="304" t="s">
        <v>9722</v>
      </c>
      <c r="C4173" s="304" t="s">
        <v>5628</v>
      </c>
      <c r="D4173" s="540">
        <v>5.0999999999999996</v>
      </c>
    </row>
    <row r="4174" spans="1:4" ht="15" x14ac:dyDescent="0.25">
      <c r="A4174" s="304">
        <v>38396</v>
      </c>
      <c r="B4174" s="304" t="s">
        <v>9723</v>
      </c>
      <c r="C4174" s="304" t="s">
        <v>5555</v>
      </c>
      <c r="D4174" s="540">
        <v>465.54</v>
      </c>
    </row>
    <row r="4175" spans="1:4" ht="15" x14ac:dyDescent="0.25">
      <c r="A4175" s="304">
        <v>6090</v>
      </c>
      <c r="B4175" s="304" t="s">
        <v>9724</v>
      </c>
      <c r="C4175" s="304" t="s">
        <v>5628</v>
      </c>
      <c r="D4175" s="540">
        <v>9.69</v>
      </c>
    </row>
    <row r="4176" spans="1:4" ht="15" x14ac:dyDescent="0.25">
      <c r="A4176" s="304">
        <v>11622</v>
      </c>
      <c r="B4176" s="304" t="s">
        <v>9725</v>
      </c>
      <c r="C4176" s="304" t="s">
        <v>5626</v>
      </c>
      <c r="D4176" s="540">
        <v>69.81</v>
      </c>
    </row>
    <row r="4177" spans="1:4" ht="15" x14ac:dyDescent="0.25">
      <c r="A4177" s="304">
        <v>6094</v>
      </c>
      <c r="B4177" s="304" t="s">
        <v>9726</v>
      </c>
      <c r="C4177" s="304" t="s">
        <v>5626</v>
      </c>
      <c r="D4177" s="540">
        <v>16.38</v>
      </c>
    </row>
    <row r="4178" spans="1:4" ht="15" x14ac:dyDescent="0.25">
      <c r="A4178" s="304">
        <v>7317</v>
      </c>
      <c r="B4178" s="304" t="s">
        <v>9727</v>
      </c>
      <c r="C4178" s="304" t="s">
        <v>5626</v>
      </c>
      <c r="D4178" s="540">
        <v>23.96</v>
      </c>
    </row>
    <row r="4179" spans="1:4" ht="15" x14ac:dyDescent="0.25">
      <c r="A4179" s="304">
        <v>142</v>
      </c>
      <c r="B4179" s="304" t="s">
        <v>9728</v>
      </c>
      <c r="C4179" s="304" t="s">
        <v>9729</v>
      </c>
      <c r="D4179" s="540">
        <v>36.65</v>
      </c>
    </row>
    <row r="4180" spans="1:4" ht="15" x14ac:dyDescent="0.25">
      <c r="A4180" s="304">
        <v>38123</v>
      </c>
      <c r="B4180" s="304" t="s">
        <v>9730</v>
      </c>
      <c r="C4180" s="304" t="s">
        <v>5626</v>
      </c>
      <c r="D4180" s="540">
        <v>63.16</v>
      </c>
    </row>
    <row r="4181" spans="1:4" ht="15" x14ac:dyDescent="0.25">
      <c r="A4181" s="304">
        <v>42701</v>
      </c>
      <c r="B4181" s="304" t="s">
        <v>9731</v>
      </c>
      <c r="C4181" s="304" t="s">
        <v>5555</v>
      </c>
      <c r="D4181" s="540">
        <v>28.95</v>
      </c>
    </row>
    <row r="4182" spans="1:4" ht="15" x14ac:dyDescent="0.25">
      <c r="A4182" s="304">
        <v>42702</v>
      </c>
      <c r="B4182" s="304" t="s">
        <v>9732</v>
      </c>
      <c r="C4182" s="304" t="s">
        <v>5555</v>
      </c>
      <c r="D4182" s="540">
        <v>51.44</v>
      </c>
    </row>
    <row r="4183" spans="1:4" ht="15" x14ac:dyDescent="0.25">
      <c r="A4183" s="304">
        <v>37955</v>
      </c>
      <c r="B4183" s="304" t="s">
        <v>9733</v>
      </c>
      <c r="C4183" s="304" t="s">
        <v>5555</v>
      </c>
      <c r="D4183" s="540">
        <v>66.67</v>
      </c>
    </row>
    <row r="4184" spans="1:4" ht="15" x14ac:dyDescent="0.25">
      <c r="A4184" s="304">
        <v>42699</v>
      </c>
      <c r="B4184" s="304" t="s">
        <v>9734</v>
      </c>
      <c r="C4184" s="304" t="s">
        <v>5555</v>
      </c>
      <c r="D4184" s="540">
        <v>17.68</v>
      </c>
    </row>
    <row r="4185" spans="1:4" ht="15" x14ac:dyDescent="0.25">
      <c r="A4185" s="304">
        <v>42700</v>
      </c>
      <c r="B4185" s="304" t="s">
        <v>9735</v>
      </c>
      <c r="C4185" s="304" t="s">
        <v>5555</v>
      </c>
      <c r="D4185" s="540">
        <v>50.42</v>
      </c>
    </row>
    <row r="4186" spans="1:4" ht="15" x14ac:dyDescent="0.25">
      <c r="A4186" s="304">
        <v>37743</v>
      </c>
      <c r="B4186" s="304" t="s">
        <v>9736</v>
      </c>
      <c r="C4186" s="304" t="s">
        <v>5555</v>
      </c>
      <c r="D4186" s="541">
        <v>118650.34</v>
      </c>
    </row>
    <row r="4187" spans="1:4" ht="15" x14ac:dyDescent="0.25">
      <c r="A4187" s="304">
        <v>37744</v>
      </c>
      <c r="B4187" s="304" t="s">
        <v>9737</v>
      </c>
      <c r="C4187" s="304" t="s">
        <v>5555</v>
      </c>
      <c r="D4187" s="541">
        <v>139510.48000000001</v>
      </c>
    </row>
    <row r="4188" spans="1:4" ht="15" x14ac:dyDescent="0.25">
      <c r="A4188" s="304">
        <v>37741</v>
      </c>
      <c r="B4188" s="304" t="s">
        <v>9738</v>
      </c>
      <c r="C4188" s="304" t="s">
        <v>5555</v>
      </c>
      <c r="D4188" s="541">
        <v>107888.11</v>
      </c>
    </row>
    <row r="4189" spans="1:4" ht="15" x14ac:dyDescent="0.25">
      <c r="A4189" s="304">
        <v>39396</v>
      </c>
      <c r="B4189" s="304" t="s">
        <v>9739</v>
      </c>
      <c r="C4189" s="304" t="s">
        <v>5555</v>
      </c>
      <c r="D4189" s="540">
        <v>47.91</v>
      </c>
    </row>
    <row r="4190" spans="1:4" ht="15" x14ac:dyDescent="0.25">
      <c r="A4190" s="304">
        <v>39392</v>
      </c>
      <c r="B4190" s="304" t="s">
        <v>9740</v>
      </c>
      <c r="C4190" s="304" t="s">
        <v>5555</v>
      </c>
      <c r="D4190" s="540">
        <v>54.05</v>
      </c>
    </row>
    <row r="4191" spans="1:4" ht="15" x14ac:dyDescent="0.25">
      <c r="A4191" s="304">
        <v>39393</v>
      </c>
      <c r="B4191" s="304" t="s">
        <v>9741</v>
      </c>
      <c r="C4191" s="304" t="s">
        <v>5555</v>
      </c>
      <c r="D4191" s="540">
        <v>33.42</v>
      </c>
    </row>
    <row r="4192" spans="1:4" ht="15" x14ac:dyDescent="0.25">
      <c r="A4192" s="304">
        <v>39394</v>
      </c>
      <c r="B4192" s="304" t="s">
        <v>9742</v>
      </c>
      <c r="C4192" s="304" t="s">
        <v>5555</v>
      </c>
      <c r="D4192" s="540">
        <v>37.619999999999997</v>
      </c>
    </row>
    <row r="4193" spans="1:4" ht="15" x14ac:dyDescent="0.25">
      <c r="A4193" s="304">
        <v>39395</v>
      </c>
      <c r="B4193" s="304" t="s">
        <v>9743</v>
      </c>
      <c r="C4193" s="304" t="s">
        <v>5555</v>
      </c>
      <c r="D4193" s="540">
        <v>34.979999999999997</v>
      </c>
    </row>
    <row r="4194" spans="1:4" ht="15" x14ac:dyDescent="0.25">
      <c r="A4194" s="304">
        <v>14618</v>
      </c>
      <c r="B4194" s="304" t="s">
        <v>9744</v>
      </c>
      <c r="C4194" s="304" t="s">
        <v>5555</v>
      </c>
      <c r="D4194" s="541">
        <v>1023.21</v>
      </c>
    </row>
    <row r="4195" spans="1:4" ht="15" x14ac:dyDescent="0.25">
      <c r="A4195" s="304">
        <v>40269</v>
      </c>
      <c r="B4195" s="304" t="s">
        <v>9745</v>
      </c>
      <c r="C4195" s="304" t="s">
        <v>5555</v>
      </c>
      <c r="D4195" s="541">
        <v>4122.45</v>
      </c>
    </row>
    <row r="4196" spans="1:4" ht="15" x14ac:dyDescent="0.25">
      <c r="A4196" s="304">
        <v>6110</v>
      </c>
      <c r="B4196" s="304" t="s">
        <v>9746</v>
      </c>
      <c r="C4196" s="304" t="s">
        <v>5566</v>
      </c>
      <c r="D4196" s="540">
        <v>15.39</v>
      </c>
    </row>
    <row r="4197" spans="1:4" ht="15" x14ac:dyDescent="0.25">
      <c r="A4197" s="304">
        <v>40910</v>
      </c>
      <c r="B4197" s="304" t="s">
        <v>9747</v>
      </c>
      <c r="C4197" s="304" t="s">
        <v>5755</v>
      </c>
      <c r="D4197" s="541">
        <v>2694.35</v>
      </c>
    </row>
    <row r="4198" spans="1:4" ht="15" x14ac:dyDescent="0.25">
      <c r="A4198" s="304">
        <v>6111</v>
      </c>
      <c r="B4198" s="304" t="s">
        <v>9748</v>
      </c>
      <c r="C4198" s="304" t="s">
        <v>5566</v>
      </c>
      <c r="D4198" s="540">
        <v>12.02</v>
      </c>
    </row>
    <row r="4199" spans="1:4" ht="15" x14ac:dyDescent="0.25">
      <c r="A4199" s="304">
        <v>41084</v>
      </c>
      <c r="B4199" s="304" t="s">
        <v>9749</v>
      </c>
      <c r="C4199" s="304" t="s">
        <v>5755</v>
      </c>
      <c r="D4199" s="541">
        <v>2104.37</v>
      </c>
    </row>
    <row r="4200" spans="1:4" ht="15" x14ac:dyDescent="0.25">
      <c r="A4200" s="304">
        <v>25950</v>
      </c>
      <c r="B4200" s="304" t="s">
        <v>9750</v>
      </c>
      <c r="C4200" s="304" t="s">
        <v>5751</v>
      </c>
      <c r="D4200" s="540">
        <v>43.68</v>
      </c>
    </row>
    <row r="4201" spans="1:4" ht="15" x14ac:dyDescent="0.25">
      <c r="A4201" s="304">
        <v>38637</v>
      </c>
      <c r="B4201" s="304" t="s">
        <v>9751</v>
      </c>
      <c r="C4201" s="304" t="s">
        <v>5555</v>
      </c>
      <c r="D4201" s="540">
        <v>119.39</v>
      </c>
    </row>
    <row r="4202" spans="1:4" ht="15" x14ac:dyDescent="0.25">
      <c r="A4202" s="304">
        <v>6150</v>
      </c>
      <c r="B4202" s="304" t="s">
        <v>9752</v>
      </c>
      <c r="C4202" s="304" t="s">
        <v>5555</v>
      </c>
      <c r="D4202" s="540">
        <v>120.85</v>
      </c>
    </row>
    <row r="4203" spans="1:4" ht="15" x14ac:dyDescent="0.25">
      <c r="A4203" s="304">
        <v>6136</v>
      </c>
      <c r="B4203" s="304" t="s">
        <v>9753</v>
      </c>
      <c r="C4203" s="304" t="s">
        <v>5555</v>
      </c>
      <c r="D4203" s="540">
        <v>95</v>
      </c>
    </row>
    <row r="4204" spans="1:4" ht="15" x14ac:dyDescent="0.25">
      <c r="A4204" s="304">
        <v>38638</v>
      </c>
      <c r="B4204" s="304" t="s">
        <v>9754</v>
      </c>
      <c r="C4204" s="304" t="s">
        <v>5555</v>
      </c>
      <c r="D4204" s="540">
        <v>100.61</v>
      </c>
    </row>
    <row r="4205" spans="1:4" ht="15" x14ac:dyDescent="0.25">
      <c r="A4205" s="304">
        <v>20262</v>
      </c>
      <c r="B4205" s="304" t="s">
        <v>9755</v>
      </c>
      <c r="C4205" s="304" t="s">
        <v>5555</v>
      </c>
      <c r="D4205" s="540">
        <v>13.45</v>
      </c>
    </row>
    <row r="4206" spans="1:4" ht="15" x14ac:dyDescent="0.25">
      <c r="A4206" s="304">
        <v>6148</v>
      </c>
      <c r="B4206" s="304" t="s">
        <v>9756</v>
      </c>
      <c r="C4206" s="304" t="s">
        <v>5555</v>
      </c>
      <c r="D4206" s="540">
        <v>7</v>
      </c>
    </row>
    <row r="4207" spans="1:4" ht="15" x14ac:dyDescent="0.25">
      <c r="A4207" s="304">
        <v>6145</v>
      </c>
      <c r="B4207" s="304" t="s">
        <v>9757</v>
      </c>
      <c r="C4207" s="304" t="s">
        <v>5555</v>
      </c>
      <c r="D4207" s="540">
        <v>12.56</v>
      </c>
    </row>
    <row r="4208" spans="1:4" ht="15" x14ac:dyDescent="0.25">
      <c r="A4208" s="304">
        <v>6149</v>
      </c>
      <c r="B4208" s="304" t="s">
        <v>9758</v>
      </c>
      <c r="C4208" s="304" t="s">
        <v>5555</v>
      </c>
      <c r="D4208" s="540">
        <v>11.85</v>
      </c>
    </row>
    <row r="4209" spans="1:4" ht="15" x14ac:dyDescent="0.25">
      <c r="A4209" s="304">
        <v>6146</v>
      </c>
      <c r="B4209" s="304" t="s">
        <v>9759</v>
      </c>
      <c r="C4209" s="304" t="s">
        <v>5555</v>
      </c>
      <c r="D4209" s="540">
        <v>12.57</v>
      </c>
    </row>
    <row r="4210" spans="1:4" ht="15" x14ac:dyDescent="0.25">
      <c r="A4210" s="304">
        <v>26026</v>
      </c>
      <c r="B4210" s="304" t="s">
        <v>9760</v>
      </c>
      <c r="C4210" s="304" t="s">
        <v>5626</v>
      </c>
      <c r="D4210" s="540">
        <v>2.99</v>
      </c>
    </row>
    <row r="4211" spans="1:4" ht="15" x14ac:dyDescent="0.25">
      <c r="A4211" s="304">
        <v>39961</v>
      </c>
      <c r="B4211" s="304" t="s">
        <v>9761</v>
      </c>
      <c r="C4211" s="304" t="s">
        <v>5555</v>
      </c>
      <c r="D4211" s="540">
        <v>13.12</v>
      </c>
    </row>
    <row r="4212" spans="1:4" ht="15" x14ac:dyDescent="0.25">
      <c r="A4212" s="304">
        <v>42433</v>
      </c>
      <c r="B4212" s="304" t="s">
        <v>9762</v>
      </c>
      <c r="C4212" s="304" t="s">
        <v>5555</v>
      </c>
      <c r="D4212" s="541">
        <v>2720.4</v>
      </c>
    </row>
    <row r="4213" spans="1:4" ht="15" x14ac:dyDescent="0.25">
      <c r="A4213" s="304">
        <v>42434</v>
      </c>
      <c r="B4213" s="304" t="s">
        <v>9763</v>
      </c>
      <c r="C4213" s="304" t="s">
        <v>5555</v>
      </c>
      <c r="D4213" s="541">
        <v>2939.79</v>
      </c>
    </row>
    <row r="4214" spans="1:4" ht="15" x14ac:dyDescent="0.25">
      <c r="A4214" s="304">
        <v>42435</v>
      </c>
      <c r="B4214" s="304" t="s">
        <v>9764</v>
      </c>
      <c r="C4214" s="304" t="s">
        <v>5555</v>
      </c>
      <c r="D4214" s="541">
        <v>1465.96</v>
      </c>
    </row>
    <row r="4215" spans="1:4" ht="15" x14ac:dyDescent="0.25">
      <c r="A4215" s="304">
        <v>38061</v>
      </c>
      <c r="B4215" s="304" t="s">
        <v>9765</v>
      </c>
      <c r="C4215" s="304" t="s">
        <v>5555</v>
      </c>
      <c r="D4215" s="540">
        <v>32.42</v>
      </c>
    </row>
    <row r="4216" spans="1:4" ht="15" x14ac:dyDescent="0.25">
      <c r="A4216" s="304">
        <v>20250</v>
      </c>
      <c r="B4216" s="304" t="s">
        <v>9766</v>
      </c>
      <c r="C4216" s="304" t="s">
        <v>5626</v>
      </c>
      <c r="D4216" s="540">
        <v>12</v>
      </c>
    </row>
    <row r="4217" spans="1:4" ht="15" x14ac:dyDescent="0.25">
      <c r="A4217" s="304">
        <v>39965</v>
      </c>
      <c r="B4217" s="304" t="s">
        <v>9767</v>
      </c>
      <c r="C4217" s="304" t="s">
        <v>5564</v>
      </c>
      <c r="D4217" s="541">
        <v>1325.85</v>
      </c>
    </row>
    <row r="4218" spans="1:4" ht="15" x14ac:dyDescent="0.25">
      <c r="A4218" s="304">
        <v>39964</v>
      </c>
      <c r="B4218" s="304" t="s">
        <v>9768</v>
      </c>
      <c r="C4218" s="304" t="s">
        <v>5564</v>
      </c>
      <c r="D4218" s="541">
        <v>1126.1600000000001</v>
      </c>
    </row>
    <row r="4219" spans="1:4" ht="15" x14ac:dyDescent="0.25">
      <c r="A4219" s="304">
        <v>7</v>
      </c>
      <c r="B4219" s="304" t="s">
        <v>9769</v>
      </c>
      <c r="C4219" s="304" t="s">
        <v>5626</v>
      </c>
      <c r="D4219" s="540">
        <v>9.86</v>
      </c>
    </row>
    <row r="4220" spans="1:4" ht="15" x14ac:dyDescent="0.25">
      <c r="A4220" s="304">
        <v>13388</v>
      </c>
      <c r="B4220" s="304" t="s">
        <v>9770</v>
      </c>
      <c r="C4220" s="304" t="s">
        <v>5626</v>
      </c>
      <c r="D4220" s="540">
        <v>77.86</v>
      </c>
    </row>
    <row r="4221" spans="1:4" ht="15" x14ac:dyDescent="0.25">
      <c r="A4221" s="304">
        <v>39914</v>
      </c>
      <c r="B4221" s="304" t="s">
        <v>9771</v>
      </c>
      <c r="C4221" s="304" t="s">
        <v>5626</v>
      </c>
      <c r="D4221" s="540">
        <v>143.38999999999999</v>
      </c>
    </row>
    <row r="4222" spans="1:4" ht="15" x14ac:dyDescent="0.25">
      <c r="A4222" s="304">
        <v>12732</v>
      </c>
      <c r="B4222" s="304" t="s">
        <v>9772</v>
      </c>
      <c r="C4222" s="304" t="s">
        <v>5555</v>
      </c>
      <c r="D4222" s="540">
        <v>165.45</v>
      </c>
    </row>
    <row r="4223" spans="1:4" ht="15" x14ac:dyDescent="0.25">
      <c r="A4223" s="304">
        <v>6160</v>
      </c>
      <c r="B4223" s="304" t="s">
        <v>9773</v>
      </c>
      <c r="C4223" s="304" t="s">
        <v>5566</v>
      </c>
      <c r="D4223" s="540">
        <v>15.87</v>
      </c>
    </row>
    <row r="4224" spans="1:4" ht="15" x14ac:dyDescent="0.25">
      <c r="A4224" s="304">
        <v>41087</v>
      </c>
      <c r="B4224" s="304" t="s">
        <v>9774</v>
      </c>
      <c r="C4224" s="304" t="s">
        <v>5755</v>
      </c>
      <c r="D4224" s="541">
        <v>2777.02</v>
      </c>
    </row>
    <row r="4225" spans="1:4" ht="15" x14ac:dyDescent="0.25">
      <c r="A4225" s="304">
        <v>6166</v>
      </c>
      <c r="B4225" s="304" t="s">
        <v>9775</v>
      </c>
      <c r="C4225" s="304" t="s">
        <v>5566</v>
      </c>
      <c r="D4225" s="540">
        <v>18.010000000000002</v>
      </c>
    </row>
    <row r="4226" spans="1:4" ht="15" x14ac:dyDescent="0.25">
      <c r="A4226" s="304">
        <v>41088</v>
      </c>
      <c r="B4226" s="304" t="s">
        <v>9776</v>
      </c>
      <c r="C4226" s="304" t="s">
        <v>5755</v>
      </c>
      <c r="D4226" s="541">
        <v>3153.2</v>
      </c>
    </row>
    <row r="4227" spans="1:4" ht="15" x14ac:dyDescent="0.25">
      <c r="A4227" s="304">
        <v>20232</v>
      </c>
      <c r="B4227" s="304" t="s">
        <v>9777</v>
      </c>
      <c r="C4227" s="304" t="s">
        <v>5575</v>
      </c>
      <c r="D4227" s="540">
        <v>60.04</v>
      </c>
    </row>
    <row r="4228" spans="1:4" ht="15" x14ac:dyDescent="0.25">
      <c r="A4228" s="304">
        <v>10856</v>
      </c>
      <c r="B4228" s="304" t="s">
        <v>9778</v>
      </c>
      <c r="C4228" s="304" t="s">
        <v>5575</v>
      </c>
      <c r="D4228" s="540">
        <v>77.47</v>
      </c>
    </row>
    <row r="4229" spans="1:4" ht="15" x14ac:dyDescent="0.25">
      <c r="A4229" s="304">
        <v>4828</v>
      </c>
      <c r="B4229" s="304" t="s">
        <v>9779</v>
      </c>
      <c r="C4229" s="304" t="s">
        <v>5575</v>
      </c>
      <c r="D4229" s="540">
        <v>58.64</v>
      </c>
    </row>
    <row r="4230" spans="1:4" ht="15" x14ac:dyDescent="0.25">
      <c r="A4230" s="304">
        <v>20249</v>
      </c>
      <c r="B4230" s="304" t="s">
        <v>9780</v>
      </c>
      <c r="C4230" s="304" t="s">
        <v>5575</v>
      </c>
      <c r="D4230" s="540">
        <v>32.11</v>
      </c>
    </row>
    <row r="4231" spans="1:4" ht="15" x14ac:dyDescent="0.25">
      <c r="A4231" s="304">
        <v>11609</v>
      </c>
      <c r="B4231" s="304" t="s">
        <v>9781</v>
      </c>
      <c r="C4231" s="304" t="s">
        <v>5628</v>
      </c>
      <c r="D4231" s="540">
        <v>12.1</v>
      </c>
    </row>
    <row r="4232" spans="1:4" ht="15" x14ac:dyDescent="0.25">
      <c r="A4232" s="304">
        <v>20083</v>
      </c>
      <c r="B4232" s="304" t="s">
        <v>9782</v>
      </c>
      <c r="C4232" s="304" t="s">
        <v>5555</v>
      </c>
      <c r="D4232" s="540">
        <v>45.42</v>
      </c>
    </row>
    <row r="4233" spans="1:4" ht="15" x14ac:dyDescent="0.25">
      <c r="A4233" s="304">
        <v>20082</v>
      </c>
      <c r="B4233" s="304" t="s">
        <v>9783</v>
      </c>
      <c r="C4233" s="304" t="s">
        <v>5555</v>
      </c>
      <c r="D4233" s="540">
        <v>17.690000000000001</v>
      </c>
    </row>
    <row r="4234" spans="1:4" ht="15" x14ac:dyDescent="0.25">
      <c r="A4234" s="304">
        <v>5318</v>
      </c>
      <c r="B4234" s="304" t="s">
        <v>9784</v>
      </c>
      <c r="C4234" s="304" t="s">
        <v>5628</v>
      </c>
      <c r="D4234" s="540">
        <v>10.59</v>
      </c>
    </row>
    <row r="4235" spans="1:4" ht="15" x14ac:dyDescent="0.25">
      <c r="A4235" s="304">
        <v>10691</v>
      </c>
      <c r="B4235" s="304" t="s">
        <v>9785</v>
      </c>
      <c r="C4235" s="304" t="s">
        <v>5628</v>
      </c>
      <c r="D4235" s="540">
        <v>38.26</v>
      </c>
    </row>
    <row r="4236" spans="1:4" ht="15" x14ac:dyDescent="0.25">
      <c r="A4236" s="304">
        <v>12295</v>
      </c>
      <c r="B4236" s="304" t="s">
        <v>9786</v>
      </c>
      <c r="C4236" s="304" t="s">
        <v>5555</v>
      </c>
      <c r="D4236" s="540">
        <v>2.3199999999999998</v>
      </c>
    </row>
    <row r="4237" spans="1:4" ht="15" x14ac:dyDescent="0.25">
      <c r="A4237" s="304">
        <v>12296</v>
      </c>
      <c r="B4237" s="304" t="s">
        <v>9787</v>
      </c>
      <c r="C4237" s="304" t="s">
        <v>5555</v>
      </c>
      <c r="D4237" s="540">
        <v>3.01</v>
      </c>
    </row>
    <row r="4238" spans="1:4" ht="15" x14ac:dyDescent="0.25">
      <c r="A4238" s="304">
        <v>12294</v>
      </c>
      <c r="B4238" s="304" t="s">
        <v>9788</v>
      </c>
      <c r="C4238" s="304" t="s">
        <v>5555</v>
      </c>
      <c r="D4238" s="540">
        <v>7.23</v>
      </c>
    </row>
    <row r="4239" spans="1:4" ht="15" x14ac:dyDescent="0.25">
      <c r="A4239" s="304">
        <v>14543</v>
      </c>
      <c r="B4239" s="304" t="s">
        <v>9789</v>
      </c>
      <c r="C4239" s="304" t="s">
        <v>5555</v>
      </c>
      <c r="D4239" s="540">
        <v>5.16</v>
      </c>
    </row>
    <row r="4240" spans="1:4" ht="15" x14ac:dyDescent="0.25">
      <c r="A4240" s="304">
        <v>13329</v>
      </c>
      <c r="B4240" s="304" t="s">
        <v>9790</v>
      </c>
      <c r="C4240" s="304" t="s">
        <v>5555</v>
      </c>
      <c r="D4240" s="540">
        <v>3.03</v>
      </c>
    </row>
    <row r="4241" spans="1:4" ht="15" x14ac:dyDescent="0.25">
      <c r="A4241" s="304">
        <v>21044</v>
      </c>
      <c r="B4241" s="304" t="s">
        <v>9791</v>
      </c>
      <c r="C4241" s="304" t="s">
        <v>5555</v>
      </c>
      <c r="D4241" s="540">
        <v>16.62</v>
      </c>
    </row>
    <row r="4242" spans="1:4" ht="15" x14ac:dyDescent="0.25">
      <c r="A4242" s="304">
        <v>21045</v>
      </c>
      <c r="B4242" s="304" t="s">
        <v>9792</v>
      </c>
      <c r="C4242" s="304" t="s">
        <v>5555</v>
      </c>
      <c r="D4242" s="540">
        <v>22.77</v>
      </c>
    </row>
    <row r="4243" spans="1:4" ht="15" x14ac:dyDescent="0.25">
      <c r="A4243" s="304">
        <v>21040</v>
      </c>
      <c r="B4243" s="304" t="s">
        <v>9793</v>
      </c>
      <c r="C4243" s="304" t="s">
        <v>5555</v>
      </c>
      <c r="D4243" s="540">
        <v>16.27</v>
      </c>
    </row>
    <row r="4244" spans="1:4" ht="15" x14ac:dyDescent="0.25">
      <c r="A4244" s="304">
        <v>21041</v>
      </c>
      <c r="B4244" s="304" t="s">
        <v>9794</v>
      </c>
      <c r="C4244" s="304" t="s">
        <v>5555</v>
      </c>
      <c r="D4244" s="540">
        <v>19.64</v>
      </c>
    </row>
    <row r="4245" spans="1:4" ht="15" x14ac:dyDescent="0.25">
      <c r="A4245" s="304">
        <v>21047</v>
      </c>
      <c r="B4245" s="304" t="s">
        <v>9795</v>
      </c>
      <c r="C4245" s="304" t="s">
        <v>5555</v>
      </c>
      <c r="D4245" s="540">
        <v>24.51</v>
      </c>
    </row>
    <row r="4246" spans="1:4" ht="15" x14ac:dyDescent="0.25">
      <c r="A4246" s="304">
        <v>21043</v>
      </c>
      <c r="B4246" s="304" t="s">
        <v>9796</v>
      </c>
      <c r="C4246" s="304" t="s">
        <v>5555</v>
      </c>
      <c r="D4246" s="540">
        <v>23.86</v>
      </c>
    </row>
    <row r="4247" spans="1:4" ht="15" x14ac:dyDescent="0.25">
      <c r="A4247" s="304">
        <v>21042</v>
      </c>
      <c r="B4247" s="304" t="s">
        <v>9797</v>
      </c>
      <c r="C4247" s="304" t="s">
        <v>5555</v>
      </c>
      <c r="D4247" s="540">
        <v>18.89</v>
      </c>
    </row>
    <row r="4248" spans="1:4" ht="15" x14ac:dyDescent="0.25">
      <c r="A4248" s="304">
        <v>11895</v>
      </c>
      <c r="B4248" s="304" t="s">
        <v>9798</v>
      </c>
      <c r="C4248" s="304" t="s">
        <v>5555</v>
      </c>
      <c r="D4248" s="540">
        <v>997.7</v>
      </c>
    </row>
    <row r="4249" spans="1:4" ht="15" x14ac:dyDescent="0.25">
      <c r="A4249" s="304">
        <v>11896</v>
      </c>
      <c r="B4249" s="304" t="s">
        <v>9799</v>
      </c>
      <c r="C4249" s="304" t="s">
        <v>5555</v>
      </c>
      <c r="D4249" s="541">
        <v>5229.3500000000004</v>
      </c>
    </row>
    <row r="4250" spans="1:4" ht="15" x14ac:dyDescent="0.25">
      <c r="A4250" s="304">
        <v>11897</v>
      </c>
      <c r="B4250" s="304" t="s">
        <v>9800</v>
      </c>
      <c r="C4250" s="304" t="s">
        <v>5555</v>
      </c>
      <c r="D4250" s="541">
        <v>6823.39</v>
      </c>
    </row>
    <row r="4251" spans="1:4" ht="15" x14ac:dyDescent="0.25">
      <c r="A4251" s="304">
        <v>11898</v>
      </c>
      <c r="B4251" s="304" t="s">
        <v>9801</v>
      </c>
      <c r="C4251" s="304" t="s">
        <v>5555</v>
      </c>
      <c r="D4251" s="541">
        <v>7167.43</v>
      </c>
    </row>
    <row r="4252" spans="1:4" ht="15" x14ac:dyDescent="0.25">
      <c r="A4252" s="304">
        <v>3282</v>
      </c>
      <c r="B4252" s="304" t="s">
        <v>9802</v>
      </c>
      <c r="C4252" s="304" t="s">
        <v>5555</v>
      </c>
      <c r="D4252" s="540">
        <v>725.34</v>
      </c>
    </row>
    <row r="4253" spans="1:4" ht="15" x14ac:dyDescent="0.25">
      <c r="A4253" s="304">
        <v>11899</v>
      </c>
      <c r="B4253" s="304" t="s">
        <v>9803</v>
      </c>
      <c r="C4253" s="304" t="s">
        <v>5555</v>
      </c>
      <c r="D4253" s="541">
        <v>3537.84</v>
      </c>
    </row>
    <row r="4254" spans="1:4" ht="15" x14ac:dyDescent="0.25">
      <c r="A4254" s="304">
        <v>11900</v>
      </c>
      <c r="B4254" s="304" t="s">
        <v>9804</v>
      </c>
      <c r="C4254" s="304" t="s">
        <v>5555</v>
      </c>
      <c r="D4254" s="541">
        <v>4850.91</v>
      </c>
    </row>
    <row r="4255" spans="1:4" ht="15" x14ac:dyDescent="0.25">
      <c r="A4255" s="304">
        <v>14149</v>
      </c>
      <c r="B4255" s="304" t="s">
        <v>9805</v>
      </c>
      <c r="C4255" s="304" t="s">
        <v>7833</v>
      </c>
      <c r="D4255" s="540">
        <v>125.45</v>
      </c>
    </row>
    <row r="4256" spans="1:4" ht="15" x14ac:dyDescent="0.25">
      <c r="A4256" s="304">
        <v>38099</v>
      </c>
      <c r="B4256" s="304" t="s">
        <v>9806</v>
      </c>
      <c r="C4256" s="304" t="s">
        <v>5555</v>
      </c>
      <c r="D4256" s="540">
        <v>1.38</v>
      </c>
    </row>
    <row r="4257" spans="1:4" ht="15" x14ac:dyDescent="0.25">
      <c r="A4257" s="304">
        <v>38100</v>
      </c>
      <c r="B4257" s="304" t="s">
        <v>9807</v>
      </c>
      <c r="C4257" s="304" t="s">
        <v>5555</v>
      </c>
      <c r="D4257" s="540">
        <v>2.2599999999999998</v>
      </c>
    </row>
    <row r="4258" spans="1:4" ht="15" x14ac:dyDescent="0.25">
      <c r="A4258" s="304">
        <v>20061</v>
      </c>
      <c r="B4258" s="304" t="s">
        <v>9808</v>
      </c>
      <c r="C4258" s="304" t="s">
        <v>5555</v>
      </c>
      <c r="D4258" s="540">
        <v>2.94</v>
      </c>
    </row>
    <row r="4259" spans="1:4" ht="15" x14ac:dyDescent="0.25">
      <c r="A4259" s="304">
        <v>7576</v>
      </c>
      <c r="B4259" s="304" t="s">
        <v>9809</v>
      </c>
      <c r="C4259" s="304" t="s">
        <v>5555</v>
      </c>
      <c r="D4259" s="540">
        <v>136.59</v>
      </c>
    </row>
    <row r="4260" spans="1:4" ht="15" x14ac:dyDescent="0.25">
      <c r="A4260" s="304">
        <v>3384</v>
      </c>
      <c r="B4260" s="304" t="s">
        <v>9810</v>
      </c>
      <c r="C4260" s="304" t="s">
        <v>5555</v>
      </c>
      <c r="D4260" s="540">
        <v>5.84</v>
      </c>
    </row>
    <row r="4261" spans="1:4" ht="15" x14ac:dyDescent="0.25">
      <c r="A4261" s="304">
        <v>7572</v>
      </c>
      <c r="B4261" s="304" t="s">
        <v>9811</v>
      </c>
      <c r="C4261" s="304" t="s">
        <v>5555</v>
      </c>
      <c r="D4261" s="540">
        <v>5.18</v>
      </c>
    </row>
    <row r="4262" spans="1:4" ht="15" x14ac:dyDescent="0.25">
      <c r="A4262" s="304">
        <v>3396</v>
      </c>
      <c r="B4262" s="304" t="s">
        <v>9812</v>
      </c>
      <c r="C4262" s="304" t="s">
        <v>5555</v>
      </c>
      <c r="D4262" s="540">
        <v>3.67</v>
      </c>
    </row>
    <row r="4263" spans="1:4" ht="15" x14ac:dyDescent="0.25">
      <c r="A4263" s="304">
        <v>37590</v>
      </c>
      <c r="B4263" s="304" t="s">
        <v>9813</v>
      </c>
      <c r="C4263" s="304" t="s">
        <v>5555</v>
      </c>
      <c r="D4263" s="540">
        <v>26.94</v>
      </c>
    </row>
    <row r="4264" spans="1:4" ht="15" x14ac:dyDescent="0.25">
      <c r="A4264" s="304">
        <v>37591</v>
      </c>
      <c r="B4264" s="304" t="s">
        <v>9814</v>
      </c>
      <c r="C4264" s="304" t="s">
        <v>5555</v>
      </c>
      <c r="D4264" s="540">
        <v>37.49</v>
      </c>
    </row>
    <row r="4265" spans="1:4" ht="15" x14ac:dyDescent="0.25">
      <c r="A4265" s="304">
        <v>12626</v>
      </c>
      <c r="B4265" s="304" t="s">
        <v>9815</v>
      </c>
      <c r="C4265" s="304" t="s">
        <v>5555</v>
      </c>
      <c r="D4265" s="540">
        <v>14.1</v>
      </c>
    </row>
    <row r="4266" spans="1:4" ht="15" x14ac:dyDescent="0.25">
      <c r="A4266" s="304">
        <v>11033</v>
      </c>
      <c r="B4266" s="304" t="s">
        <v>9816</v>
      </c>
      <c r="C4266" s="304" t="s">
        <v>5555</v>
      </c>
      <c r="D4266" s="540">
        <v>3.87</v>
      </c>
    </row>
    <row r="4267" spans="1:4" ht="15" x14ac:dyDescent="0.25">
      <c r="A4267" s="304">
        <v>390</v>
      </c>
      <c r="B4267" s="304" t="s">
        <v>9817</v>
      </c>
      <c r="C4267" s="304" t="s">
        <v>5555</v>
      </c>
      <c r="D4267" s="540">
        <v>7.37</v>
      </c>
    </row>
    <row r="4268" spans="1:4" ht="15" x14ac:dyDescent="0.25">
      <c r="A4268" s="304">
        <v>42436</v>
      </c>
      <c r="B4268" s="304" t="s">
        <v>9818</v>
      </c>
      <c r="C4268" s="304" t="s">
        <v>5555</v>
      </c>
      <c r="D4268" s="541">
        <v>1534.45</v>
      </c>
    </row>
    <row r="4269" spans="1:4" ht="15" x14ac:dyDescent="0.25">
      <c r="A4269" s="304">
        <v>6178</v>
      </c>
      <c r="B4269" s="304" t="s">
        <v>9819</v>
      </c>
      <c r="C4269" s="304" t="s">
        <v>5564</v>
      </c>
      <c r="D4269" s="540">
        <v>69.489999999999995</v>
      </c>
    </row>
    <row r="4270" spans="1:4" ht="15" x14ac:dyDescent="0.25">
      <c r="A4270" s="304">
        <v>6180</v>
      </c>
      <c r="B4270" s="304" t="s">
        <v>9820</v>
      </c>
      <c r="C4270" s="304" t="s">
        <v>5564</v>
      </c>
      <c r="D4270" s="540">
        <v>75</v>
      </c>
    </row>
    <row r="4271" spans="1:4" ht="15" x14ac:dyDescent="0.25">
      <c r="A4271" s="304">
        <v>6182</v>
      </c>
      <c r="B4271" s="304" t="s">
        <v>9821</v>
      </c>
      <c r="C4271" s="304" t="s">
        <v>5564</v>
      </c>
      <c r="D4271" s="540">
        <v>93.09</v>
      </c>
    </row>
    <row r="4272" spans="1:4" ht="15" x14ac:dyDescent="0.25">
      <c r="A4272" s="304">
        <v>3993</v>
      </c>
      <c r="B4272" s="304" t="s">
        <v>9822</v>
      </c>
      <c r="C4272" s="304" t="s">
        <v>5564</v>
      </c>
      <c r="D4272" s="540">
        <v>61.82</v>
      </c>
    </row>
    <row r="4273" spans="1:4" ht="15" x14ac:dyDescent="0.25">
      <c r="A4273" s="304">
        <v>3990</v>
      </c>
      <c r="B4273" s="304" t="s">
        <v>9823</v>
      </c>
      <c r="C4273" s="304" t="s">
        <v>5575</v>
      </c>
      <c r="D4273" s="540">
        <v>13.66</v>
      </c>
    </row>
    <row r="4274" spans="1:4" ht="15" x14ac:dyDescent="0.25">
      <c r="A4274" s="304">
        <v>3992</v>
      </c>
      <c r="B4274" s="304" t="s">
        <v>9824</v>
      </c>
      <c r="C4274" s="304" t="s">
        <v>5575</v>
      </c>
      <c r="D4274" s="540">
        <v>16.77</v>
      </c>
    </row>
    <row r="4275" spans="1:4" ht="15" x14ac:dyDescent="0.25">
      <c r="A4275" s="304">
        <v>4509</v>
      </c>
      <c r="B4275" s="304" t="s">
        <v>9825</v>
      </c>
      <c r="C4275" s="304" t="s">
        <v>5575</v>
      </c>
      <c r="D4275" s="540">
        <v>1.62</v>
      </c>
    </row>
    <row r="4276" spans="1:4" ht="15" x14ac:dyDescent="0.25">
      <c r="A4276" s="304">
        <v>6194</v>
      </c>
      <c r="B4276" s="304" t="s">
        <v>9826</v>
      </c>
      <c r="C4276" s="304" t="s">
        <v>5575</v>
      </c>
      <c r="D4276" s="540">
        <v>2.21</v>
      </c>
    </row>
    <row r="4277" spans="1:4" ht="15" x14ac:dyDescent="0.25">
      <c r="A4277" s="304">
        <v>6193</v>
      </c>
      <c r="B4277" s="304" t="s">
        <v>9827</v>
      </c>
      <c r="C4277" s="304" t="s">
        <v>5575</v>
      </c>
      <c r="D4277" s="540">
        <v>6.51</v>
      </c>
    </row>
    <row r="4278" spans="1:4" ht="15" x14ac:dyDescent="0.25">
      <c r="A4278" s="304">
        <v>10567</v>
      </c>
      <c r="B4278" s="304" t="s">
        <v>9828</v>
      </c>
      <c r="C4278" s="304" t="s">
        <v>5575</v>
      </c>
      <c r="D4278" s="540">
        <v>3.66</v>
      </c>
    </row>
    <row r="4279" spans="1:4" ht="15" x14ac:dyDescent="0.25">
      <c r="A4279" s="304">
        <v>6188</v>
      </c>
      <c r="B4279" s="304" t="s">
        <v>9829</v>
      </c>
      <c r="C4279" s="304" t="s">
        <v>5564</v>
      </c>
      <c r="D4279" s="540">
        <v>19.989999999999998</v>
      </c>
    </row>
    <row r="4280" spans="1:4" ht="15" x14ac:dyDescent="0.25">
      <c r="A4280" s="304">
        <v>6212</v>
      </c>
      <c r="B4280" s="304" t="s">
        <v>9829</v>
      </c>
      <c r="C4280" s="304" t="s">
        <v>5575</v>
      </c>
      <c r="D4280" s="540">
        <v>6</v>
      </c>
    </row>
    <row r="4281" spans="1:4" ht="15" x14ac:dyDescent="0.25">
      <c r="A4281" s="304">
        <v>6189</v>
      </c>
      <c r="B4281" s="304" t="s">
        <v>9830</v>
      </c>
      <c r="C4281" s="304" t="s">
        <v>5575</v>
      </c>
      <c r="D4281" s="540">
        <v>9.52</v>
      </c>
    </row>
    <row r="4282" spans="1:4" ht="15" x14ac:dyDescent="0.25">
      <c r="A4282" s="304">
        <v>6214</v>
      </c>
      <c r="B4282" s="304" t="s">
        <v>9831</v>
      </c>
      <c r="C4282" s="304" t="s">
        <v>5564</v>
      </c>
      <c r="D4282" s="540">
        <v>43.53</v>
      </c>
    </row>
    <row r="4283" spans="1:4" ht="15" x14ac:dyDescent="0.25">
      <c r="A4283" s="304">
        <v>36153</v>
      </c>
      <c r="B4283" s="304" t="s">
        <v>9832</v>
      </c>
      <c r="C4283" s="304" t="s">
        <v>5555</v>
      </c>
      <c r="D4283" s="540">
        <v>161.16</v>
      </c>
    </row>
    <row r="4284" spans="1:4" ht="15" x14ac:dyDescent="0.25">
      <c r="A4284" s="304">
        <v>10740</v>
      </c>
      <c r="B4284" s="304" t="s">
        <v>9833</v>
      </c>
      <c r="C4284" s="304" t="s">
        <v>5555</v>
      </c>
      <c r="D4284" s="541">
        <v>9754.19</v>
      </c>
    </row>
    <row r="4285" spans="1:4" ht="15" x14ac:dyDescent="0.25">
      <c r="A4285" s="304">
        <v>13914</v>
      </c>
      <c r="B4285" s="304" t="s">
        <v>9834</v>
      </c>
      <c r="C4285" s="304" t="s">
        <v>5555</v>
      </c>
      <c r="D4285" s="540">
        <v>705.75</v>
      </c>
    </row>
    <row r="4286" spans="1:4" ht="15" x14ac:dyDescent="0.25">
      <c r="A4286" s="304">
        <v>10742</v>
      </c>
      <c r="B4286" s="304" t="s">
        <v>9835</v>
      </c>
      <c r="C4286" s="304" t="s">
        <v>5555</v>
      </c>
      <c r="D4286" s="541">
        <v>1029.3499999999999</v>
      </c>
    </row>
    <row r="4287" spans="1:4" ht="15" x14ac:dyDescent="0.25">
      <c r="A4287" s="304">
        <v>38465</v>
      </c>
      <c r="B4287" s="304" t="s">
        <v>9836</v>
      </c>
      <c r="C4287" s="304" t="s">
        <v>5555</v>
      </c>
      <c r="D4287" s="540">
        <v>28.11</v>
      </c>
    </row>
    <row r="4288" spans="1:4" ht="15" x14ac:dyDescent="0.25">
      <c r="A4288" s="304">
        <v>7543</v>
      </c>
      <c r="B4288" s="304" t="s">
        <v>9837</v>
      </c>
      <c r="C4288" s="304" t="s">
        <v>5555</v>
      </c>
      <c r="D4288" s="540">
        <v>3.54</v>
      </c>
    </row>
    <row r="4289" spans="1:4" ht="15" x14ac:dyDescent="0.25">
      <c r="A4289" s="304">
        <v>13255</v>
      </c>
      <c r="B4289" s="304" t="s">
        <v>9838</v>
      </c>
      <c r="C4289" s="304" t="s">
        <v>5555</v>
      </c>
      <c r="D4289" s="540">
        <v>52.9</v>
      </c>
    </row>
    <row r="4290" spans="1:4" ht="15" x14ac:dyDescent="0.25">
      <c r="A4290" s="304">
        <v>39352</v>
      </c>
      <c r="B4290" s="304" t="s">
        <v>9839</v>
      </c>
      <c r="C4290" s="304" t="s">
        <v>5555</v>
      </c>
      <c r="D4290" s="540">
        <v>2.19</v>
      </c>
    </row>
    <row r="4291" spans="1:4" ht="15" x14ac:dyDescent="0.25">
      <c r="A4291" s="304">
        <v>39346</v>
      </c>
      <c r="B4291" s="304" t="s">
        <v>9840</v>
      </c>
      <c r="C4291" s="304" t="s">
        <v>5555</v>
      </c>
      <c r="D4291" s="540">
        <v>2.19</v>
      </c>
    </row>
    <row r="4292" spans="1:4" ht="15" x14ac:dyDescent="0.25">
      <c r="A4292" s="304">
        <v>39350</v>
      </c>
      <c r="B4292" s="304" t="s">
        <v>9841</v>
      </c>
      <c r="C4292" s="304" t="s">
        <v>5555</v>
      </c>
      <c r="D4292" s="540">
        <v>2.35</v>
      </c>
    </row>
    <row r="4293" spans="1:4" ht="15" x14ac:dyDescent="0.25">
      <c r="A4293" s="304">
        <v>39351</v>
      </c>
      <c r="B4293" s="304" t="s">
        <v>9842</v>
      </c>
      <c r="C4293" s="304" t="s">
        <v>5555</v>
      </c>
      <c r="D4293" s="540">
        <v>2.72</v>
      </c>
    </row>
    <row r="4294" spans="1:4" ht="15" x14ac:dyDescent="0.25">
      <c r="A4294" s="304">
        <v>38952</v>
      </c>
      <c r="B4294" s="304" t="s">
        <v>9843</v>
      </c>
      <c r="C4294" s="304" t="s">
        <v>5555</v>
      </c>
      <c r="D4294" s="540">
        <v>2.52</v>
      </c>
    </row>
    <row r="4295" spans="1:4" ht="15" x14ac:dyDescent="0.25">
      <c r="A4295" s="304">
        <v>38953</v>
      </c>
      <c r="B4295" s="304" t="s">
        <v>9844</v>
      </c>
      <c r="C4295" s="304" t="s">
        <v>5555</v>
      </c>
      <c r="D4295" s="540">
        <v>3.98</v>
      </c>
    </row>
    <row r="4296" spans="1:4" ht="15" x14ac:dyDescent="0.25">
      <c r="A4296" s="304">
        <v>38835</v>
      </c>
      <c r="B4296" s="304" t="s">
        <v>9845</v>
      </c>
      <c r="C4296" s="304" t="s">
        <v>5555</v>
      </c>
      <c r="D4296" s="540">
        <v>3.57</v>
      </c>
    </row>
    <row r="4297" spans="1:4" ht="15" x14ac:dyDescent="0.25">
      <c r="A4297" s="304">
        <v>38837</v>
      </c>
      <c r="B4297" s="304" t="s">
        <v>9846</v>
      </c>
      <c r="C4297" s="304" t="s">
        <v>5555</v>
      </c>
      <c r="D4297" s="540">
        <v>9.2899999999999991</v>
      </c>
    </row>
    <row r="4298" spans="1:4" ht="15" x14ac:dyDescent="0.25">
      <c r="A4298" s="304">
        <v>38836</v>
      </c>
      <c r="B4298" s="304" t="s">
        <v>9847</v>
      </c>
      <c r="C4298" s="304" t="s">
        <v>5555</v>
      </c>
      <c r="D4298" s="540">
        <v>5.14</v>
      </c>
    </row>
    <row r="4299" spans="1:4" ht="15" x14ac:dyDescent="0.25">
      <c r="A4299" s="304">
        <v>2666</v>
      </c>
      <c r="B4299" s="304" t="s">
        <v>9848</v>
      </c>
      <c r="C4299" s="304" t="s">
        <v>5555</v>
      </c>
      <c r="D4299" s="540">
        <v>5.24</v>
      </c>
    </row>
    <row r="4300" spans="1:4" ht="15" x14ac:dyDescent="0.25">
      <c r="A4300" s="304">
        <v>2668</v>
      </c>
      <c r="B4300" s="304" t="s">
        <v>9849</v>
      </c>
      <c r="C4300" s="304" t="s">
        <v>5555</v>
      </c>
      <c r="D4300" s="540">
        <v>5.98</v>
      </c>
    </row>
    <row r="4301" spans="1:4" ht="15" x14ac:dyDescent="0.25">
      <c r="A4301" s="304">
        <v>2664</v>
      </c>
      <c r="B4301" s="304" t="s">
        <v>9850</v>
      </c>
      <c r="C4301" s="304" t="s">
        <v>5555</v>
      </c>
      <c r="D4301" s="540">
        <v>8.82</v>
      </c>
    </row>
    <row r="4302" spans="1:4" ht="15" x14ac:dyDescent="0.25">
      <c r="A4302" s="304">
        <v>2662</v>
      </c>
      <c r="B4302" s="304" t="s">
        <v>9851</v>
      </c>
      <c r="C4302" s="304" t="s">
        <v>5555</v>
      </c>
      <c r="D4302" s="540">
        <v>10.82</v>
      </c>
    </row>
    <row r="4303" spans="1:4" ht="15" x14ac:dyDescent="0.25">
      <c r="A4303" s="304">
        <v>20964</v>
      </c>
      <c r="B4303" s="304" t="s">
        <v>9852</v>
      </c>
      <c r="C4303" s="304" t="s">
        <v>5555</v>
      </c>
      <c r="D4303" s="540">
        <v>47.8</v>
      </c>
    </row>
    <row r="4304" spans="1:4" ht="15" x14ac:dyDescent="0.25">
      <c r="A4304" s="304">
        <v>10905</v>
      </c>
      <c r="B4304" s="304" t="s">
        <v>9853</v>
      </c>
      <c r="C4304" s="304" t="s">
        <v>5555</v>
      </c>
      <c r="D4304" s="540">
        <v>64.12</v>
      </c>
    </row>
    <row r="4305" spans="1:4" ht="15" x14ac:dyDescent="0.25">
      <c r="A4305" s="304">
        <v>42703</v>
      </c>
      <c r="B4305" s="304" t="s">
        <v>9854</v>
      </c>
      <c r="C4305" s="304" t="s">
        <v>5555</v>
      </c>
      <c r="D4305" s="540">
        <v>56.65</v>
      </c>
    </row>
    <row r="4306" spans="1:4" ht="15" x14ac:dyDescent="0.25">
      <c r="A4306" s="304">
        <v>42704</v>
      </c>
      <c r="B4306" s="304" t="s">
        <v>9855</v>
      </c>
      <c r="C4306" s="304" t="s">
        <v>5555</v>
      </c>
      <c r="D4306" s="540">
        <v>86.97</v>
      </c>
    </row>
    <row r="4307" spans="1:4" ht="15" x14ac:dyDescent="0.25">
      <c r="A4307" s="304">
        <v>42705</v>
      </c>
      <c r="B4307" s="304" t="s">
        <v>9856</v>
      </c>
      <c r="C4307" s="304" t="s">
        <v>5555</v>
      </c>
      <c r="D4307" s="540">
        <v>110.97</v>
      </c>
    </row>
    <row r="4308" spans="1:4" ht="15" x14ac:dyDescent="0.25">
      <c r="A4308" s="304">
        <v>42706</v>
      </c>
      <c r="B4308" s="304" t="s">
        <v>9857</v>
      </c>
      <c r="C4308" s="304" t="s">
        <v>5555</v>
      </c>
      <c r="D4308" s="540">
        <v>137.43</v>
      </c>
    </row>
    <row r="4309" spans="1:4" ht="15" x14ac:dyDescent="0.25">
      <c r="A4309" s="304">
        <v>11289</v>
      </c>
      <c r="B4309" s="304" t="s">
        <v>9858</v>
      </c>
      <c r="C4309" s="304" t="s">
        <v>5555</v>
      </c>
      <c r="D4309" s="540">
        <v>50.35</v>
      </c>
    </row>
    <row r="4310" spans="1:4" ht="15" x14ac:dyDescent="0.25">
      <c r="A4310" s="304">
        <v>11241</v>
      </c>
      <c r="B4310" s="304" t="s">
        <v>9859</v>
      </c>
      <c r="C4310" s="304" t="s">
        <v>5555</v>
      </c>
      <c r="D4310" s="540">
        <v>125.89</v>
      </c>
    </row>
    <row r="4311" spans="1:4" ht="15" x14ac:dyDescent="0.25">
      <c r="A4311" s="304">
        <v>11301</v>
      </c>
      <c r="B4311" s="304" t="s">
        <v>9860</v>
      </c>
      <c r="C4311" s="304" t="s">
        <v>5555</v>
      </c>
      <c r="D4311" s="540">
        <v>319.22000000000003</v>
      </c>
    </row>
    <row r="4312" spans="1:4" ht="15" x14ac:dyDescent="0.25">
      <c r="A4312" s="304">
        <v>21090</v>
      </c>
      <c r="B4312" s="304" t="s">
        <v>9861</v>
      </c>
      <c r="C4312" s="304" t="s">
        <v>5555</v>
      </c>
      <c r="D4312" s="540">
        <v>391.16</v>
      </c>
    </row>
    <row r="4313" spans="1:4" ht="15" x14ac:dyDescent="0.25">
      <c r="A4313" s="304">
        <v>14112</v>
      </c>
      <c r="B4313" s="304" t="s">
        <v>9862</v>
      </c>
      <c r="C4313" s="304" t="s">
        <v>5555</v>
      </c>
      <c r="D4313" s="540">
        <v>163.19999999999999</v>
      </c>
    </row>
    <row r="4314" spans="1:4" ht="15" x14ac:dyDescent="0.25">
      <c r="A4314" s="304">
        <v>11315</v>
      </c>
      <c r="B4314" s="304" t="s">
        <v>9863</v>
      </c>
      <c r="C4314" s="304" t="s">
        <v>5555</v>
      </c>
      <c r="D4314" s="540">
        <v>76.430000000000007</v>
      </c>
    </row>
    <row r="4315" spans="1:4" ht="15" x14ac:dyDescent="0.25">
      <c r="A4315" s="304">
        <v>11292</v>
      </c>
      <c r="B4315" s="304" t="s">
        <v>9864</v>
      </c>
      <c r="C4315" s="304" t="s">
        <v>5555</v>
      </c>
      <c r="D4315" s="540">
        <v>178.94</v>
      </c>
    </row>
    <row r="4316" spans="1:4" ht="15" x14ac:dyDescent="0.25">
      <c r="A4316" s="304">
        <v>21071</v>
      </c>
      <c r="B4316" s="304" t="s">
        <v>9865</v>
      </c>
      <c r="C4316" s="304" t="s">
        <v>5555</v>
      </c>
      <c r="D4316" s="540">
        <v>116.89</v>
      </c>
    </row>
    <row r="4317" spans="1:4" ht="15" x14ac:dyDescent="0.25">
      <c r="A4317" s="304">
        <v>11293</v>
      </c>
      <c r="B4317" s="304" t="s">
        <v>9866</v>
      </c>
      <c r="C4317" s="304" t="s">
        <v>5555</v>
      </c>
      <c r="D4317" s="540">
        <v>197.82</v>
      </c>
    </row>
    <row r="4318" spans="1:4" ht="15" x14ac:dyDescent="0.25">
      <c r="A4318" s="304">
        <v>11316</v>
      </c>
      <c r="B4318" s="304" t="s">
        <v>9867</v>
      </c>
      <c r="C4318" s="304" t="s">
        <v>5555</v>
      </c>
      <c r="D4318" s="540">
        <v>251.78</v>
      </c>
    </row>
    <row r="4319" spans="1:4" ht="15" x14ac:dyDescent="0.25">
      <c r="A4319" s="304">
        <v>6243</v>
      </c>
      <c r="B4319" s="304" t="s">
        <v>9868</v>
      </c>
      <c r="C4319" s="304" t="s">
        <v>5555</v>
      </c>
      <c r="D4319" s="540">
        <v>290</v>
      </c>
    </row>
    <row r="4320" spans="1:4" ht="15" x14ac:dyDescent="0.25">
      <c r="A4320" s="304">
        <v>21079</v>
      </c>
      <c r="B4320" s="304" t="s">
        <v>9869</v>
      </c>
      <c r="C4320" s="304" t="s">
        <v>5555</v>
      </c>
      <c r="D4320" s="540">
        <v>345.75</v>
      </c>
    </row>
    <row r="4321" spans="1:4" ht="15" x14ac:dyDescent="0.25">
      <c r="A4321" s="304">
        <v>6240</v>
      </c>
      <c r="B4321" s="304" t="s">
        <v>9870</v>
      </c>
      <c r="C4321" s="304" t="s">
        <v>5555</v>
      </c>
      <c r="D4321" s="540">
        <v>383.96</v>
      </c>
    </row>
    <row r="4322" spans="1:4" ht="15" x14ac:dyDescent="0.25">
      <c r="A4322" s="304">
        <v>11296</v>
      </c>
      <c r="B4322" s="304" t="s">
        <v>9871</v>
      </c>
      <c r="C4322" s="304" t="s">
        <v>5555</v>
      </c>
      <c r="D4322" s="541">
        <v>1223.3900000000001</v>
      </c>
    </row>
    <row r="4323" spans="1:4" ht="15" x14ac:dyDescent="0.25">
      <c r="A4323" s="304">
        <v>11299</v>
      </c>
      <c r="B4323" s="304" t="s">
        <v>9872</v>
      </c>
      <c r="C4323" s="304" t="s">
        <v>5555</v>
      </c>
      <c r="D4323" s="540">
        <v>414.09</v>
      </c>
    </row>
    <row r="4324" spans="1:4" ht="15" x14ac:dyDescent="0.25">
      <c r="A4324" s="304">
        <v>11066</v>
      </c>
      <c r="B4324" s="304" t="s">
        <v>9873</v>
      </c>
      <c r="C4324" s="304" t="s">
        <v>5555</v>
      </c>
      <c r="D4324" s="540">
        <v>11.6</v>
      </c>
    </row>
    <row r="4325" spans="1:4" ht="15" x14ac:dyDescent="0.25">
      <c r="A4325" s="304">
        <v>11065</v>
      </c>
      <c r="B4325" s="304" t="s">
        <v>9874</v>
      </c>
      <c r="C4325" s="304" t="s">
        <v>5555</v>
      </c>
      <c r="D4325" s="540">
        <v>13.3</v>
      </c>
    </row>
    <row r="4326" spans="1:4" ht="15" x14ac:dyDescent="0.25">
      <c r="A4326" s="304">
        <v>11688</v>
      </c>
      <c r="B4326" s="304" t="s">
        <v>9875</v>
      </c>
      <c r="C4326" s="304" t="s">
        <v>5555</v>
      </c>
      <c r="D4326" s="540">
        <v>402.07</v>
      </c>
    </row>
    <row r="4327" spans="1:4" ht="15" x14ac:dyDescent="0.25">
      <c r="A4327" s="304">
        <v>37736</v>
      </c>
      <c r="B4327" s="304" t="s">
        <v>9876</v>
      </c>
      <c r="C4327" s="304" t="s">
        <v>5555</v>
      </c>
      <c r="D4327" s="541">
        <v>48000</v>
      </c>
    </row>
    <row r="4328" spans="1:4" ht="15" x14ac:dyDescent="0.25">
      <c r="A4328" s="304">
        <v>37739</v>
      </c>
      <c r="B4328" s="304" t="s">
        <v>9877</v>
      </c>
      <c r="C4328" s="304" t="s">
        <v>5555</v>
      </c>
      <c r="D4328" s="541">
        <v>59076.92</v>
      </c>
    </row>
    <row r="4329" spans="1:4" ht="15" x14ac:dyDescent="0.25">
      <c r="A4329" s="304">
        <v>37740</v>
      </c>
      <c r="B4329" s="304" t="s">
        <v>9878</v>
      </c>
      <c r="C4329" s="304" t="s">
        <v>5555</v>
      </c>
      <c r="D4329" s="541">
        <v>33712.370000000003</v>
      </c>
    </row>
    <row r="4330" spans="1:4" ht="15" x14ac:dyDescent="0.25">
      <c r="A4330" s="304">
        <v>37738</v>
      </c>
      <c r="B4330" s="304" t="s">
        <v>9879</v>
      </c>
      <c r="C4330" s="304" t="s">
        <v>5555</v>
      </c>
      <c r="D4330" s="541">
        <v>40053.51</v>
      </c>
    </row>
    <row r="4331" spans="1:4" ht="15" x14ac:dyDescent="0.25">
      <c r="A4331" s="304">
        <v>37737</v>
      </c>
      <c r="B4331" s="304" t="s">
        <v>9880</v>
      </c>
      <c r="C4331" s="304" t="s">
        <v>5555</v>
      </c>
      <c r="D4331" s="541">
        <v>31866.22</v>
      </c>
    </row>
    <row r="4332" spans="1:4" ht="15" x14ac:dyDescent="0.25">
      <c r="A4332" s="304">
        <v>25014</v>
      </c>
      <c r="B4332" s="304" t="s">
        <v>9881</v>
      </c>
      <c r="C4332" s="304" t="s">
        <v>5555</v>
      </c>
      <c r="D4332" s="541">
        <v>66742.47</v>
      </c>
    </row>
    <row r="4333" spans="1:4" ht="15" x14ac:dyDescent="0.25">
      <c r="A4333" s="304">
        <v>25013</v>
      </c>
      <c r="B4333" s="304" t="s">
        <v>9882</v>
      </c>
      <c r="C4333" s="304" t="s">
        <v>5555</v>
      </c>
      <c r="D4333" s="541">
        <v>69953.17</v>
      </c>
    </row>
    <row r="4334" spans="1:4" ht="15" x14ac:dyDescent="0.25">
      <c r="A4334" s="304">
        <v>14405</v>
      </c>
      <c r="B4334" s="304" t="s">
        <v>9883</v>
      </c>
      <c r="C4334" s="304" t="s">
        <v>5555</v>
      </c>
      <c r="D4334" s="541">
        <v>82113.710000000006</v>
      </c>
    </row>
    <row r="4335" spans="1:4" ht="15" x14ac:dyDescent="0.25">
      <c r="A4335" s="304">
        <v>36790</v>
      </c>
      <c r="B4335" s="304" t="s">
        <v>9884</v>
      </c>
      <c r="C4335" s="304" t="s">
        <v>5555</v>
      </c>
      <c r="D4335" s="540">
        <v>195.73</v>
      </c>
    </row>
    <row r="4336" spans="1:4" ht="15" x14ac:dyDescent="0.25">
      <c r="A4336" s="304">
        <v>20271</v>
      </c>
      <c r="B4336" s="304" t="s">
        <v>9885</v>
      </c>
      <c r="C4336" s="304" t="s">
        <v>5555</v>
      </c>
      <c r="D4336" s="540">
        <v>523.94000000000005</v>
      </c>
    </row>
    <row r="4337" spans="1:4" ht="15" x14ac:dyDescent="0.25">
      <c r="A4337" s="304">
        <v>10423</v>
      </c>
      <c r="B4337" s="304" t="s">
        <v>9886</v>
      </c>
      <c r="C4337" s="304" t="s">
        <v>5555</v>
      </c>
      <c r="D4337" s="540">
        <v>324.95999999999998</v>
      </c>
    </row>
    <row r="4338" spans="1:4" ht="15" x14ac:dyDescent="0.25">
      <c r="A4338" s="304">
        <v>37589</v>
      </c>
      <c r="B4338" s="304" t="s">
        <v>9887</v>
      </c>
      <c r="C4338" s="304" t="s">
        <v>5555</v>
      </c>
      <c r="D4338" s="540">
        <v>239.82</v>
      </c>
    </row>
    <row r="4339" spans="1:4" ht="15" x14ac:dyDescent="0.25">
      <c r="A4339" s="304">
        <v>11690</v>
      </c>
      <c r="B4339" s="304" t="s">
        <v>9888</v>
      </c>
      <c r="C4339" s="304" t="s">
        <v>5555</v>
      </c>
      <c r="D4339" s="540">
        <v>127.4</v>
      </c>
    </row>
    <row r="4340" spans="1:4" ht="15" x14ac:dyDescent="0.25">
      <c r="A4340" s="304">
        <v>20234</v>
      </c>
      <c r="B4340" s="304" t="s">
        <v>9889</v>
      </c>
      <c r="C4340" s="304" t="s">
        <v>5555</v>
      </c>
      <c r="D4340" s="540">
        <v>161.22</v>
      </c>
    </row>
    <row r="4341" spans="1:4" ht="15" x14ac:dyDescent="0.25">
      <c r="A4341" s="304">
        <v>4763</v>
      </c>
      <c r="B4341" s="304" t="s">
        <v>9890</v>
      </c>
      <c r="C4341" s="304" t="s">
        <v>5566</v>
      </c>
      <c r="D4341" s="540">
        <v>18.420000000000002</v>
      </c>
    </row>
    <row r="4342" spans="1:4" ht="15" x14ac:dyDescent="0.25">
      <c r="A4342" s="304">
        <v>41070</v>
      </c>
      <c r="B4342" s="304" t="s">
        <v>9891</v>
      </c>
      <c r="C4342" s="304" t="s">
        <v>5755</v>
      </c>
      <c r="D4342" s="541">
        <v>3227.95</v>
      </c>
    </row>
    <row r="4343" spans="1:4" ht="15" x14ac:dyDescent="0.25">
      <c r="A4343" s="304">
        <v>14583</v>
      </c>
      <c r="B4343" s="304" t="s">
        <v>9892</v>
      </c>
      <c r="C4343" s="304" t="s">
        <v>5751</v>
      </c>
      <c r="D4343" s="540">
        <v>12.29</v>
      </c>
    </row>
    <row r="4344" spans="1:4" ht="15" x14ac:dyDescent="0.25">
      <c r="A4344" s="304">
        <v>11457</v>
      </c>
      <c r="B4344" s="304" t="s">
        <v>9893</v>
      </c>
      <c r="C4344" s="304" t="s">
        <v>5555</v>
      </c>
      <c r="D4344" s="540">
        <v>24.95</v>
      </c>
    </row>
    <row r="4345" spans="1:4" ht="15" x14ac:dyDescent="0.25">
      <c r="A4345" s="304">
        <v>21121</v>
      </c>
      <c r="B4345" s="304" t="s">
        <v>9894</v>
      </c>
      <c r="C4345" s="304" t="s">
        <v>5555</v>
      </c>
      <c r="D4345" s="540">
        <v>2.09</v>
      </c>
    </row>
    <row r="4346" spans="1:4" ht="15" x14ac:dyDescent="0.25">
      <c r="A4346" s="304">
        <v>38010</v>
      </c>
      <c r="B4346" s="304" t="s">
        <v>9895</v>
      </c>
      <c r="C4346" s="304" t="s">
        <v>5555</v>
      </c>
      <c r="D4346" s="540">
        <v>3.43</v>
      </c>
    </row>
    <row r="4347" spans="1:4" ht="15" x14ac:dyDescent="0.25">
      <c r="A4347" s="304">
        <v>38011</v>
      </c>
      <c r="B4347" s="304" t="s">
        <v>9896</v>
      </c>
      <c r="C4347" s="304" t="s">
        <v>5555</v>
      </c>
      <c r="D4347" s="540">
        <v>6.33</v>
      </c>
    </row>
    <row r="4348" spans="1:4" ht="15" x14ac:dyDescent="0.25">
      <c r="A4348" s="304">
        <v>38012</v>
      </c>
      <c r="B4348" s="304" t="s">
        <v>9897</v>
      </c>
      <c r="C4348" s="304" t="s">
        <v>5555</v>
      </c>
      <c r="D4348" s="540">
        <v>21.63</v>
      </c>
    </row>
    <row r="4349" spans="1:4" ht="15" x14ac:dyDescent="0.25">
      <c r="A4349" s="304">
        <v>38013</v>
      </c>
      <c r="B4349" s="304" t="s">
        <v>9898</v>
      </c>
      <c r="C4349" s="304" t="s">
        <v>5555</v>
      </c>
      <c r="D4349" s="540">
        <v>28.08</v>
      </c>
    </row>
    <row r="4350" spans="1:4" ht="15" x14ac:dyDescent="0.25">
      <c r="A4350" s="304">
        <v>38014</v>
      </c>
      <c r="B4350" s="304" t="s">
        <v>9899</v>
      </c>
      <c r="C4350" s="304" t="s">
        <v>5555</v>
      </c>
      <c r="D4350" s="540">
        <v>45.69</v>
      </c>
    </row>
    <row r="4351" spans="1:4" ht="15" x14ac:dyDescent="0.25">
      <c r="A4351" s="304">
        <v>38015</v>
      </c>
      <c r="B4351" s="304" t="s">
        <v>9900</v>
      </c>
      <c r="C4351" s="304" t="s">
        <v>5555</v>
      </c>
      <c r="D4351" s="540">
        <v>110.34</v>
      </c>
    </row>
    <row r="4352" spans="1:4" ht="15" x14ac:dyDescent="0.25">
      <c r="A4352" s="304">
        <v>38016</v>
      </c>
      <c r="B4352" s="304" t="s">
        <v>9901</v>
      </c>
      <c r="C4352" s="304" t="s">
        <v>5555</v>
      </c>
      <c r="D4352" s="540">
        <v>134.26</v>
      </c>
    </row>
    <row r="4353" spans="1:4" ht="15" x14ac:dyDescent="0.25">
      <c r="A4353" s="304">
        <v>12741</v>
      </c>
      <c r="B4353" s="304" t="s">
        <v>9902</v>
      </c>
      <c r="C4353" s="304" t="s">
        <v>5555</v>
      </c>
      <c r="D4353" s="540">
        <v>794.47</v>
      </c>
    </row>
    <row r="4354" spans="1:4" ht="15" x14ac:dyDescent="0.25">
      <c r="A4354" s="304">
        <v>12733</v>
      </c>
      <c r="B4354" s="304" t="s">
        <v>9903</v>
      </c>
      <c r="C4354" s="304" t="s">
        <v>5555</v>
      </c>
      <c r="D4354" s="540">
        <v>3.99</v>
      </c>
    </row>
    <row r="4355" spans="1:4" ht="15" x14ac:dyDescent="0.25">
      <c r="A4355" s="304">
        <v>12734</v>
      </c>
      <c r="B4355" s="304" t="s">
        <v>9904</v>
      </c>
      <c r="C4355" s="304" t="s">
        <v>5555</v>
      </c>
      <c r="D4355" s="540">
        <v>8.52</v>
      </c>
    </row>
    <row r="4356" spans="1:4" ht="15" x14ac:dyDescent="0.25">
      <c r="A4356" s="304">
        <v>12735</v>
      </c>
      <c r="B4356" s="304" t="s">
        <v>9905</v>
      </c>
      <c r="C4356" s="304" t="s">
        <v>5555</v>
      </c>
      <c r="D4356" s="540">
        <v>14.01</v>
      </c>
    </row>
    <row r="4357" spans="1:4" ht="15" x14ac:dyDescent="0.25">
      <c r="A4357" s="304">
        <v>12736</v>
      </c>
      <c r="B4357" s="304" t="s">
        <v>9906</v>
      </c>
      <c r="C4357" s="304" t="s">
        <v>5555</v>
      </c>
      <c r="D4357" s="540">
        <v>32.04</v>
      </c>
    </row>
    <row r="4358" spans="1:4" ht="15" x14ac:dyDescent="0.25">
      <c r="A4358" s="304">
        <v>12737</v>
      </c>
      <c r="B4358" s="304" t="s">
        <v>9907</v>
      </c>
      <c r="C4358" s="304" t="s">
        <v>5555</v>
      </c>
      <c r="D4358" s="540">
        <v>41.28</v>
      </c>
    </row>
    <row r="4359" spans="1:4" ht="15" x14ac:dyDescent="0.25">
      <c r="A4359" s="304">
        <v>12738</v>
      </c>
      <c r="B4359" s="304" t="s">
        <v>9908</v>
      </c>
      <c r="C4359" s="304" t="s">
        <v>5555</v>
      </c>
      <c r="D4359" s="540">
        <v>81.58</v>
      </c>
    </row>
    <row r="4360" spans="1:4" ht="15" x14ac:dyDescent="0.25">
      <c r="A4360" s="304">
        <v>12739</v>
      </c>
      <c r="B4360" s="304" t="s">
        <v>9909</v>
      </c>
      <c r="C4360" s="304" t="s">
        <v>5555</v>
      </c>
      <c r="D4360" s="540">
        <v>232.24</v>
      </c>
    </row>
    <row r="4361" spans="1:4" ht="15" x14ac:dyDescent="0.25">
      <c r="A4361" s="304">
        <v>12740</v>
      </c>
      <c r="B4361" s="304" t="s">
        <v>9910</v>
      </c>
      <c r="C4361" s="304" t="s">
        <v>5555</v>
      </c>
      <c r="D4361" s="540">
        <v>363.36</v>
      </c>
    </row>
    <row r="4362" spans="1:4" ht="15" x14ac:dyDescent="0.25">
      <c r="A4362" s="304">
        <v>6297</v>
      </c>
      <c r="B4362" s="304" t="s">
        <v>9911</v>
      </c>
      <c r="C4362" s="304" t="s">
        <v>5555</v>
      </c>
      <c r="D4362" s="540">
        <v>22.43</v>
      </c>
    </row>
    <row r="4363" spans="1:4" ht="15" x14ac:dyDescent="0.25">
      <c r="A4363" s="304">
        <v>6296</v>
      </c>
      <c r="B4363" s="304" t="s">
        <v>9912</v>
      </c>
      <c r="C4363" s="304" t="s">
        <v>5555</v>
      </c>
      <c r="D4363" s="540">
        <v>17.71</v>
      </c>
    </row>
    <row r="4364" spans="1:4" ht="15" x14ac:dyDescent="0.25">
      <c r="A4364" s="304">
        <v>6294</v>
      </c>
      <c r="B4364" s="304" t="s">
        <v>9913</v>
      </c>
      <c r="C4364" s="304" t="s">
        <v>5555</v>
      </c>
      <c r="D4364" s="540">
        <v>5.05</v>
      </c>
    </row>
    <row r="4365" spans="1:4" ht="15" x14ac:dyDescent="0.25">
      <c r="A4365" s="304">
        <v>6323</v>
      </c>
      <c r="B4365" s="304" t="s">
        <v>9914</v>
      </c>
      <c r="C4365" s="304" t="s">
        <v>5555</v>
      </c>
      <c r="D4365" s="540">
        <v>11.57</v>
      </c>
    </row>
    <row r="4366" spans="1:4" ht="15" x14ac:dyDescent="0.25">
      <c r="A4366" s="304">
        <v>6299</v>
      </c>
      <c r="B4366" s="304" t="s">
        <v>9915</v>
      </c>
      <c r="C4366" s="304" t="s">
        <v>5555</v>
      </c>
      <c r="D4366" s="540">
        <v>67.47</v>
      </c>
    </row>
    <row r="4367" spans="1:4" ht="15" x14ac:dyDescent="0.25">
      <c r="A4367" s="304">
        <v>6298</v>
      </c>
      <c r="B4367" s="304" t="s">
        <v>9916</v>
      </c>
      <c r="C4367" s="304" t="s">
        <v>5555</v>
      </c>
      <c r="D4367" s="540">
        <v>35.53</v>
      </c>
    </row>
    <row r="4368" spans="1:4" ht="15" x14ac:dyDescent="0.25">
      <c r="A4368" s="304">
        <v>6295</v>
      </c>
      <c r="B4368" s="304" t="s">
        <v>9917</v>
      </c>
      <c r="C4368" s="304" t="s">
        <v>5555</v>
      </c>
      <c r="D4368" s="540">
        <v>7.19</v>
      </c>
    </row>
    <row r="4369" spans="1:4" ht="15" x14ac:dyDescent="0.25">
      <c r="A4369" s="304">
        <v>6322</v>
      </c>
      <c r="B4369" s="304" t="s">
        <v>9918</v>
      </c>
      <c r="C4369" s="304" t="s">
        <v>5555</v>
      </c>
      <c r="D4369" s="540">
        <v>90.37</v>
      </c>
    </row>
    <row r="4370" spans="1:4" ht="15" x14ac:dyDescent="0.25">
      <c r="A4370" s="304">
        <v>6300</v>
      </c>
      <c r="B4370" s="304" t="s">
        <v>9919</v>
      </c>
      <c r="C4370" s="304" t="s">
        <v>5555</v>
      </c>
      <c r="D4370" s="540">
        <v>166.62</v>
      </c>
    </row>
    <row r="4371" spans="1:4" ht="15" x14ac:dyDescent="0.25">
      <c r="A4371" s="304">
        <v>6321</v>
      </c>
      <c r="B4371" s="304" t="s">
        <v>9920</v>
      </c>
      <c r="C4371" s="304" t="s">
        <v>5555</v>
      </c>
      <c r="D4371" s="540">
        <v>238</v>
      </c>
    </row>
    <row r="4372" spans="1:4" ht="15" x14ac:dyDescent="0.25">
      <c r="A4372" s="304">
        <v>6301</v>
      </c>
      <c r="B4372" s="304" t="s">
        <v>9921</v>
      </c>
      <c r="C4372" s="304" t="s">
        <v>5555</v>
      </c>
      <c r="D4372" s="540">
        <v>557.85</v>
      </c>
    </row>
    <row r="4373" spans="1:4" ht="15" x14ac:dyDescent="0.25">
      <c r="A4373" s="304">
        <v>7105</v>
      </c>
      <c r="B4373" s="304" t="s">
        <v>9922</v>
      </c>
      <c r="C4373" s="304" t="s">
        <v>5555</v>
      </c>
      <c r="D4373" s="540">
        <v>24.61</v>
      </c>
    </row>
    <row r="4374" spans="1:4" ht="15" x14ac:dyDescent="0.25">
      <c r="A4374" s="304">
        <v>20183</v>
      </c>
      <c r="B4374" s="304" t="s">
        <v>9923</v>
      </c>
      <c r="C4374" s="304" t="s">
        <v>5555</v>
      </c>
      <c r="D4374" s="540">
        <v>32.4</v>
      </c>
    </row>
    <row r="4375" spans="1:4" ht="15" x14ac:dyDescent="0.25">
      <c r="A4375" s="304">
        <v>38448</v>
      </c>
      <c r="B4375" s="304" t="s">
        <v>9924</v>
      </c>
      <c r="C4375" s="304" t="s">
        <v>5555</v>
      </c>
      <c r="D4375" s="540">
        <v>152.22999999999999</v>
      </c>
    </row>
    <row r="4376" spans="1:4" ht="15" x14ac:dyDescent="0.25">
      <c r="A4376" s="304">
        <v>20182</v>
      </c>
      <c r="B4376" s="304" t="s">
        <v>9925</v>
      </c>
      <c r="C4376" s="304" t="s">
        <v>5555</v>
      </c>
      <c r="D4376" s="540">
        <v>18.489999999999998</v>
      </c>
    </row>
    <row r="4377" spans="1:4" ht="15" x14ac:dyDescent="0.25">
      <c r="A4377" s="304">
        <v>7119</v>
      </c>
      <c r="B4377" s="304" t="s">
        <v>9926</v>
      </c>
      <c r="C4377" s="304" t="s">
        <v>5555</v>
      </c>
      <c r="D4377" s="540">
        <v>7.77</v>
      </c>
    </row>
    <row r="4378" spans="1:4" ht="15" x14ac:dyDescent="0.25">
      <c r="A4378" s="304">
        <v>7120</v>
      </c>
      <c r="B4378" s="304" t="s">
        <v>9927</v>
      </c>
      <c r="C4378" s="304" t="s">
        <v>5555</v>
      </c>
      <c r="D4378" s="540">
        <v>5.33</v>
      </c>
    </row>
    <row r="4379" spans="1:4" ht="15" x14ac:dyDescent="0.25">
      <c r="A4379" s="304">
        <v>6319</v>
      </c>
      <c r="B4379" s="304" t="s">
        <v>9928</v>
      </c>
      <c r="C4379" s="304" t="s">
        <v>5555</v>
      </c>
      <c r="D4379" s="540">
        <v>26.35</v>
      </c>
    </row>
    <row r="4380" spans="1:4" ht="15" x14ac:dyDescent="0.25">
      <c r="A4380" s="304">
        <v>6304</v>
      </c>
      <c r="B4380" s="304" t="s">
        <v>9929</v>
      </c>
      <c r="C4380" s="304" t="s">
        <v>5555</v>
      </c>
      <c r="D4380" s="540">
        <v>26.35</v>
      </c>
    </row>
    <row r="4381" spans="1:4" ht="15" x14ac:dyDescent="0.25">
      <c r="A4381" s="304">
        <v>21116</v>
      </c>
      <c r="B4381" s="304" t="s">
        <v>9930</v>
      </c>
      <c r="C4381" s="304" t="s">
        <v>5555</v>
      </c>
      <c r="D4381" s="540">
        <v>19.96</v>
      </c>
    </row>
    <row r="4382" spans="1:4" ht="15" x14ac:dyDescent="0.25">
      <c r="A4382" s="304">
        <v>6320</v>
      </c>
      <c r="B4382" s="304" t="s">
        <v>9931</v>
      </c>
      <c r="C4382" s="304" t="s">
        <v>5555</v>
      </c>
      <c r="D4382" s="540">
        <v>13.57</v>
      </c>
    </row>
    <row r="4383" spans="1:4" ht="15" x14ac:dyDescent="0.25">
      <c r="A4383" s="304">
        <v>6303</v>
      </c>
      <c r="B4383" s="304" t="s">
        <v>9932</v>
      </c>
      <c r="C4383" s="304" t="s">
        <v>5555</v>
      </c>
      <c r="D4383" s="540">
        <v>13.57</v>
      </c>
    </row>
    <row r="4384" spans="1:4" ht="15" x14ac:dyDescent="0.25">
      <c r="A4384" s="304">
        <v>6308</v>
      </c>
      <c r="B4384" s="304" t="s">
        <v>9933</v>
      </c>
      <c r="C4384" s="304" t="s">
        <v>5555</v>
      </c>
      <c r="D4384" s="540">
        <v>72.930000000000007</v>
      </c>
    </row>
    <row r="4385" spans="1:4" ht="15" x14ac:dyDescent="0.25">
      <c r="A4385" s="304">
        <v>6317</v>
      </c>
      <c r="B4385" s="304" t="s">
        <v>9934</v>
      </c>
      <c r="C4385" s="304" t="s">
        <v>5555</v>
      </c>
      <c r="D4385" s="540">
        <v>72.930000000000007</v>
      </c>
    </row>
    <row r="4386" spans="1:4" ht="15" x14ac:dyDescent="0.25">
      <c r="A4386" s="304">
        <v>6307</v>
      </c>
      <c r="B4386" s="304" t="s">
        <v>9935</v>
      </c>
      <c r="C4386" s="304" t="s">
        <v>5555</v>
      </c>
      <c r="D4386" s="540">
        <v>72.930000000000007</v>
      </c>
    </row>
    <row r="4387" spans="1:4" ht="15" x14ac:dyDescent="0.25">
      <c r="A4387" s="304">
        <v>6309</v>
      </c>
      <c r="B4387" s="304" t="s">
        <v>9936</v>
      </c>
      <c r="C4387" s="304" t="s">
        <v>5555</v>
      </c>
      <c r="D4387" s="540">
        <v>75.05</v>
      </c>
    </row>
    <row r="4388" spans="1:4" ht="15" x14ac:dyDescent="0.25">
      <c r="A4388" s="304">
        <v>6318</v>
      </c>
      <c r="B4388" s="304" t="s">
        <v>9937</v>
      </c>
      <c r="C4388" s="304" t="s">
        <v>5555</v>
      </c>
      <c r="D4388" s="540">
        <v>39.340000000000003</v>
      </c>
    </row>
    <row r="4389" spans="1:4" ht="15" x14ac:dyDescent="0.25">
      <c r="A4389" s="304">
        <v>6306</v>
      </c>
      <c r="B4389" s="304" t="s">
        <v>9938</v>
      </c>
      <c r="C4389" s="304" t="s">
        <v>5555</v>
      </c>
      <c r="D4389" s="540">
        <v>39.340000000000003</v>
      </c>
    </row>
    <row r="4390" spans="1:4" ht="15" x14ac:dyDescent="0.25">
      <c r="A4390" s="304">
        <v>6305</v>
      </c>
      <c r="B4390" s="304" t="s">
        <v>9939</v>
      </c>
      <c r="C4390" s="304" t="s">
        <v>5555</v>
      </c>
      <c r="D4390" s="540">
        <v>39.340000000000003</v>
      </c>
    </row>
    <row r="4391" spans="1:4" ht="15" x14ac:dyDescent="0.25">
      <c r="A4391" s="304">
        <v>6302</v>
      </c>
      <c r="B4391" s="304" t="s">
        <v>9940</v>
      </c>
      <c r="C4391" s="304" t="s">
        <v>5555</v>
      </c>
      <c r="D4391" s="540">
        <v>8.34</v>
      </c>
    </row>
    <row r="4392" spans="1:4" ht="15" x14ac:dyDescent="0.25">
      <c r="A4392" s="304">
        <v>6312</v>
      </c>
      <c r="B4392" s="304" t="s">
        <v>9941</v>
      </c>
      <c r="C4392" s="304" t="s">
        <v>5555</v>
      </c>
      <c r="D4392" s="540">
        <v>104.9</v>
      </c>
    </row>
    <row r="4393" spans="1:4" ht="15" x14ac:dyDescent="0.25">
      <c r="A4393" s="304">
        <v>6311</v>
      </c>
      <c r="B4393" s="304" t="s">
        <v>9942</v>
      </c>
      <c r="C4393" s="304" t="s">
        <v>5555</v>
      </c>
      <c r="D4393" s="540">
        <v>104.9</v>
      </c>
    </row>
    <row r="4394" spans="1:4" ht="15" x14ac:dyDescent="0.25">
      <c r="A4394" s="304">
        <v>6310</v>
      </c>
      <c r="B4394" s="304" t="s">
        <v>9943</v>
      </c>
      <c r="C4394" s="304" t="s">
        <v>5555</v>
      </c>
      <c r="D4394" s="540">
        <v>104.9</v>
      </c>
    </row>
    <row r="4395" spans="1:4" ht="15" x14ac:dyDescent="0.25">
      <c r="A4395" s="304">
        <v>6314</v>
      </c>
      <c r="B4395" s="304" t="s">
        <v>9944</v>
      </c>
      <c r="C4395" s="304" t="s">
        <v>5555</v>
      </c>
      <c r="D4395" s="540">
        <v>104.9</v>
      </c>
    </row>
    <row r="4396" spans="1:4" ht="15" x14ac:dyDescent="0.25">
      <c r="A4396" s="304">
        <v>6313</v>
      </c>
      <c r="B4396" s="304" t="s">
        <v>9945</v>
      </c>
      <c r="C4396" s="304" t="s">
        <v>5555</v>
      </c>
      <c r="D4396" s="540">
        <v>104.9</v>
      </c>
    </row>
    <row r="4397" spans="1:4" ht="15" x14ac:dyDescent="0.25">
      <c r="A4397" s="304">
        <v>6315</v>
      </c>
      <c r="B4397" s="304" t="s">
        <v>9946</v>
      </c>
      <c r="C4397" s="304" t="s">
        <v>5555</v>
      </c>
      <c r="D4397" s="540">
        <v>198.63</v>
      </c>
    </row>
    <row r="4398" spans="1:4" ht="15" x14ac:dyDescent="0.25">
      <c r="A4398" s="304">
        <v>6316</v>
      </c>
      <c r="B4398" s="304" t="s">
        <v>9947</v>
      </c>
      <c r="C4398" s="304" t="s">
        <v>5555</v>
      </c>
      <c r="D4398" s="540">
        <v>198.63</v>
      </c>
    </row>
    <row r="4399" spans="1:4" ht="15" x14ac:dyDescent="0.25">
      <c r="A4399" s="304">
        <v>38878</v>
      </c>
      <c r="B4399" s="304" t="s">
        <v>9948</v>
      </c>
      <c r="C4399" s="304" t="s">
        <v>5555</v>
      </c>
      <c r="D4399" s="540">
        <v>13.07</v>
      </c>
    </row>
    <row r="4400" spans="1:4" ht="15" x14ac:dyDescent="0.25">
      <c r="A4400" s="304">
        <v>38879</v>
      </c>
      <c r="B4400" s="304" t="s">
        <v>9949</v>
      </c>
      <c r="C4400" s="304" t="s">
        <v>5555</v>
      </c>
      <c r="D4400" s="540">
        <v>24.51</v>
      </c>
    </row>
    <row r="4401" spans="1:4" ht="15" x14ac:dyDescent="0.25">
      <c r="A4401" s="304">
        <v>38881</v>
      </c>
      <c r="B4401" s="304" t="s">
        <v>9950</v>
      </c>
      <c r="C4401" s="304" t="s">
        <v>5555</v>
      </c>
      <c r="D4401" s="540">
        <v>12.82</v>
      </c>
    </row>
    <row r="4402" spans="1:4" ht="15" x14ac:dyDescent="0.25">
      <c r="A4402" s="304">
        <v>38880</v>
      </c>
      <c r="B4402" s="304" t="s">
        <v>9951</v>
      </c>
      <c r="C4402" s="304" t="s">
        <v>5555</v>
      </c>
      <c r="D4402" s="540">
        <v>13.44</v>
      </c>
    </row>
    <row r="4403" spans="1:4" ht="15" x14ac:dyDescent="0.25">
      <c r="A4403" s="304">
        <v>38882</v>
      </c>
      <c r="B4403" s="304" t="s">
        <v>9952</v>
      </c>
      <c r="C4403" s="304" t="s">
        <v>5555</v>
      </c>
      <c r="D4403" s="540">
        <v>13.92</v>
      </c>
    </row>
    <row r="4404" spans="1:4" ht="15" x14ac:dyDescent="0.25">
      <c r="A4404" s="304">
        <v>38883</v>
      </c>
      <c r="B4404" s="304" t="s">
        <v>9953</v>
      </c>
      <c r="C4404" s="304" t="s">
        <v>5555</v>
      </c>
      <c r="D4404" s="540">
        <v>20.58</v>
      </c>
    </row>
    <row r="4405" spans="1:4" ht="15" x14ac:dyDescent="0.25">
      <c r="A4405" s="304">
        <v>38884</v>
      </c>
      <c r="B4405" s="304" t="s">
        <v>9954</v>
      </c>
      <c r="C4405" s="304" t="s">
        <v>5555</v>
      </c>
      <c r="D4405" s="540">
        <v>22.35</v>
      </c>
    </row>
    <row r="4406" spans="1:4" ht="15" x14ac:dyDescent="0.25">
      <c r="A4406" s="304">
        <v>38885</v>
      </c>
      <c r="B4406" s="304" t="s">
        <v>9955</v>
      </c>
      <c r="C4406" s="304" t="s">
        <v>5555</v>
      </c>
      <c r="D4406" s="540">
        <v>21.62</v>
      </c>
    </row>
    <row r="4407" spans="1:4" ht="15" x14ac:dyDescent="0.25">
      <c r="A4407" s="304">
        <v>38886</v>
      </c>
      <c r="B4407" s="304" t="s">
        <v>9956</v>
      </c>
      <c r="C4407" s="304" t="s">
        <v>5555</v>
      </c>
      <c r="D4407" s="540">
        <v>23.33</v>
      </c>
    </row>
    <row r="4408" spans="1:4" ht="15" x14ac:dyDescent="0.25">
      <c r="A4408" s="304">
        <v>38887</v>
      </c>
      <c r="B4408" s="304" t="s">
        <v>9957</v>
      </c>
      <c r="C4408" s="304" t="s">
        <v>5555</v>
      </c>
      <c r="D4408" s="540">
        <v>20.95</v>
      </c>
    </row>
    <row r="4409" spans="1:4" ht="15" x14ac:dyDescent="0.25">
      <c r="A4409" s="304">
        <v>38888</v>
      </c>
      <c r="B4409" s="304" t="s">
        <v>9958</v>
      </c>
      <c r="C4409" s="304" t="s">
        <v>5555</v>
      </c>
      <c r="D4409" s="540">
        <v>24.91</v>
      </c>
    </row>
    <row r="4410" spans="1:4" ht="15" x14ac:dyDescent="0.25">
      <c r="A4410" s="304">
        <v>38890</v>
      </c>
      <c r="B4410" s="304" t="s">
        <v>9959</v>
      </c>
      <c r="C4410" s="304" t="s">
        <v>5555</v>
      </c>
      <c r="D4410" s="540">
        <v>37.03</v>
      </c>
    </row>
    <row r="4411" spans="1:4" ht="15" x14ac:dyDescent="0.25">
      <c r="A4411" s="304">
        <v>38893</v>
      </c>
      <c r="B4411" s="304" t="s">
        <v>9960</v>
      </c>
      <c r="C4411" s="304" t="s">
        <v>5555</v>
      </c>
      <c r="D4411" s="540">
        <v>29.78</v>
      </c>
    </row>
    <row r="4412" spans="1:4" ht="15" x14ac:dyDescent="0.25">
      <c r="A4412" s="304">
        <v>38894</v>
      </c>
      <c r="B4412" s="304" t="s">
        <v>9961</v>
      </c>
      <c r="C4412" s="304" t="s">
        <v>5555</v>
      </c>
      <c r="D4412" s="540">
        <v>37.82</v>
      </c>
    </row>
    <row r="4413" spans="1:4" ht="15" x14ac:dyDescent="0.25">
      <c r="A4413" s="304">
        <v>38896</v>
      </c>
      <c r="B4413" s="304" t="s">
        <v>9962</v>
      </c>
      <c r="C4413" s="304" t="s">
        <v>5555</v>
      </c>
      <c r="D4413" s="540">
        <v>38.56</v>
      </c>
    </row>
    <row r="4414" spans="1:4" ht="15" x14ac:dyDescent="0.25">
      <c r="A4414" s="304">
        <v>39324</v>
      </c>
      <c r="B4414" s="304" t="s">
        <v>9963</v>
      </c>
      <c r="C4414" s="304" t="s">
        <v>5555</v>
      </c>
      <c r="D4414" s="540">
        <v>4.6500000000000004</v>
      </c>
    </row>
    <row r="4415" spans="1:4" ht="15" x14ac:dyDescent="0.25">
      <c r="A4415" s="304">
        <v>39325</v>
      </c>
      <c r="B4415" s="304" t="s">
        <v>9964</v>
      </c>
      <c r="C4415" s="304" t="s">
        <v>5555</v>
      </c>
      <c r="D4415" s="540">
        <v>7.04</v>
      </c>
    </row>
    <row r="4416" spans="1:4" ht="15" x14ac:dyDescent="0.25">
      <c r="A4416" s="304">
        <v>39326</v>
      </c>
      <c r="B4416" s="304" t="s">
        <v>9965</v>
      </c>
      <c r="C4416" s="304" t="s">
        <v>5555</v>
      </c>
      <c r="D4416" s="540">
        <v>18.12</v>
      </c>
    </row>
    <row r="4417" spans="1:4" ht="15" x14ac:dyDescent="0.25">
      <c r="A4417" s="304">
        <v>39327</v>
      </c>
      <c r="B4417" s="304" t="s">
        <v>9966</v>
      </c>
      <c r="C4417" s="304" t="s">
        <v>5555</v>
      </c>
      <c r="D4417" s="540">
        <v>27.46</v>
      </c>
    </row>
    <row r="4418" spans="1:4" ht="15" x14ac:dyDescent="0.25">
      <c r="A4418" s="304">
        <v>20176</v>
      </c>
      <c r="B4418" s="304" t="s">
        <v>9967</v>
      </c>
      <c r="C4418" s="304" t="s">
        <v>5555</v>
      </c>
      <c r="D4418" s="540">
        <v>27.92</v>
      </c>
    </row>
    <row r="4419" spans="1:4" ht="15" x14ac:dyDescent="0.25">
      <c r="A4419" s="304">
        <v>11378</v>
      </c>
      <c r="B4419" s="304" t="s">
        <v>9968</v>
      </c>
      <c r="C4419" s="304" t="s">
        <v>5555</v>
      </c>
      <c r="D4419" s="540">
        <v>70.02</v>
      </c>
    </row>
    <row r="4420" spans="1:4" ht="15" x14ac:dyDescent="0.25">
      <c r="A4420" s="304">
        <v>11379</v>
      </c>
      <c r="B4420" s="304" t="s">
        <v>9969</v>
      </c>
      <c r="C4420" s="304" t="s">
        <v>5555</v>
      </c>
      <c r="D4420" s="540">
        <v>59.17</v>
      </c>
    </row>
    <row r="4421" spans="1:4" ht="15" x14ac:dyDescent="0.25">
      <c r="A4421" s="304">
        <v>11493</v>
      </c>
      <c r="B4421" s="304" t="s">
        <v>9970</v>
      </c>
      <c r="C4421" s="304" t="s">
        <v>5555</v>
      </c>
      <c r="D4421" s="540">
        <v>34.130000000000003</v>
      </c>
    </row>
    <row r="4422" spans="1:4" ht="15" x14ac:dyDescent="0.25">
      <c r="A4422" s="304">
        <v>42717</v>
      </c>
      <c r="B4422" s="304" t="s">
        <v>9971</v>
      </c>
      <c r="C4422" s="304" t="s">
        <v>5555</v>
      </c>
      <c r="D4422" s="540">
        <v>337.17</v>
      </c>
    </row>
    <row r="4423" spans="1:4" ht="15" x14ac:dyDescent="0.25">
      <c r="A4423" s="304">
        <v>42718</v>
      </c>
      <c r="B4423" s="304" t="s">
        <v>9972</v>
      </c>
      <c r="C4423" s="304" t="s">
        <v>5555</v>
      </c>
      <c r="D4423" s="540">
        <v>374.32</v>
      </c>
    </row>
    <row r="4424" spans="1:4" ht="15" x14ac:dyDescent="0.25">
      <c r="A4424" s="304">
        <v>7106</v>
      </c>
      <c r="B4424" s="304" t="s">
        <v>9973</v>
      </c>
      <c r="C4424" s="304" t="s">
        <v>5555</v>
      </c>
      <c r="D4424" s="540">
        <v>126.38</v>
      </c>
    </row>
    <row r="4425" spans="1:4" ht="15" x14ac:dyDescent="0.25">
      <c r="A4425" s="304">
        <v>7104</v>
      </c>
      <c r="B4425" s="304" t="s">
        <v>9974</v>
      </c>
      <c r="C4425" s="304" t="s">
        <v>5555</v>
      </c>
      <c r="D4425" s="540">
        <v>2.63</v>
      </c>
    </row>
    <row r="4426" spans="1:4" ht="15" x14ac:dyDescent="0.25">
      <c r="A4426" s="304">
        <v>7136</v>
      </c>
      <c r="B4426" s="304" t="s">
        <v>9975</v>
      </c>
      <c r="C4426" s="304" t="s">
        <v>5555</v>
      </c>
      <c r="D4426" s="540">
        <v>4.95</v>
      </c>
    </row>
    <row r="4427" spans="1:4" ht="15" x14ac:dyDescent="0.25">
      <c r="A4427" s="304">
        <v>7128</v>
      </c>
      <c r="B4427" s="304" t="s">
        <v>9976</v>
      </c>
      <c r="C4427" s="304" t="s">
        <v>5555</v>
      </c>
      <c r="D4427" s="540">
        <v>8.11</v>
      </c>
    </row>
    <row r="4428" spans="1:4" ht="15" x14ac:dyDescent="0.25">
      <c r="A4428" s="304">
        <v>7108</v>
      </c>
      <c r="B4428" s="304" t="s">
        <v>9977</v>
      </c>
      <c r="C4428" s="304" t="s">
        <v>5555</v>
      </c>
      <c r="D4428" s="540">
        <v>8.68</v>
      </c>
    </row>
    <row r="4429" spans="1:4" ht="15" x14ac:dyDescent="0.25">
      <c r="A4429" s="304">
        <v>7129</v>
      </c>
      <c r="B4429" s="304" t="s">
        <v>9978</v>
      </c>
      <c r="C4429" s="304" t="s">
        <v>5555</v>
      </c>
      <c r="D4429" s="540">
        <v>7.22</v>
      </c>
    </row>
    <row r="4430" spans="1:4" ht="15" x14ac:dyDescent="0.25">
      <c r="A4430" s="304">
        <v>7130</v>
      </c>
      <c r="B4430" s="304" t="s">
        <v>9979</v>
      </c>
      <c r="C4430" s="304" t="s">
        <v>5555</v>
      </c>
      <c r="D4430" s="540">
        <v>11.77</v>
      </c>
    </row>
    <row r="4431" spans="1:4" ht="15" x14ac:dyDescent="0.25">
      <c r="A4431" s="304">
        <v>7131</v>
      </c>
      <c r="B4431" s="304" t="s">
        <v>9980</v>
      </c>
      <c r="C4431" s="304" t="s">
        <v>5555</v>
      </c>
      <c r="D4431" s="540">
        <v>14.44</v>
      </c>
    </row>
    <row r="4432" spans="1:4" ht="15" x14ac:dyDescent="0.25">
      <c r="A4432" s="304">
        <v>7132</v>
      </c>
      <c r="B4432" s="304" t="s">
        <v>9981</v>
      </c>
      <c r="C4432" s="304" t="s">
        <v>5555</v>
      </c>
      <c r="D4432" s="540">
        <v>40.1</v>
      </c>
    </row>
    <row r="4433" spans="1:4" ht="15" x14ac:dyDescent="0.25">
      <c r="A4433" s="304">
        <v>7133</v>
      </c>
      <c r="B4433" s="304" t="s">
        <v>9982</v>
      </c>
      <c r="C4433" s="304" t="s">
        <v>5555</v>
      </c>
      <c r="D4433" s="540">
        <v>62.29</v>
      </c>
    </row>
    <row r="4434" spans="1:4" ht="15" x14ac:dyDescent="0.25">
      <c r="A4434" s="304">
        <v>37420</v>
      </c>
      <c r="B4434" s="304" t="s">
        <v>9983</v>
      </c>
      <c r="C4434" s="304" t="s">
        <v>5555</v>
      </c>
      <c r="D4434" s="540">
        <v>30.73</v>
      </c>
    </row>
    <row r="4435" spans="1:4" ht="15" x14ac:dyDescent="0.25">
      <c r="A4435" s="304">
        <v>37421</v>
      </c>
      <c r="B4435" s="304" t="s">
        <v>9984</v>
      </c>
      <c r="C4435" s="304" t="s">
        <v>5555</v>
      </c>
      <c r="D4435" s="540">
        <v>42</v>
      </c>
    </row>
    <row r="4436" spans="1:4" ht="15" x14ac:dyDescent="0.25">
      <c r="A4436" s="304">
        <v>37422</v>
      </c>
      <c r="B4436" s="304" t="s">
        <v>9985</v>
      </c>
      <c r="C4436" s="304" t="s">
        <v>5555</v>
      </c>
      <c r="D4436" s="540">
        <v>39.31</v>
      </c>
    </row>
    <row r="4437" spans="1:4" ht="15" x14ac:dyDescent="0.25">
      <c r="A4437" s="304">
        <v>37443</v>
      </c>
      <c r="B4437" s="304" t="s">
        <v>9986</v>
      </c>
      <c r="C4437" s="304" t="s">
        <v>5555</v>
      </c>
      <c r="D4437" s="540">
        <v>122.94</v>
      </c>
    </row>
    <row r="4438" spans="1:4" ht="15" x14ac:dyDescent="0.25">
      <c r="A4438" s="304">
        <v>37444</v>
      </c>
      <c r="B4438" s="304" t="s">
        <v>9987</v>
      </c>
      <c r="C4438" s="304" t="s">
        <v>5555</v>
      </c>
      <c r="D4438" s="540">
        <v>125.03</v>
      </c>
    </row>
    <row r="4439" spans="1:4" ht="15" x14ac:dyDescent="0.25">
      <c r="A4439" s="304">
        <v>37445</v>
      </c>
      <c r="B4439" s="304" t="s">
        <v>9988</v>
      </c>
      <c r="C4439" s="304" t="s">
        <v>5555</v>
      </c>
      <c r="D4439" s="540">
        <v>189.51</v>
      </c>
    </row>
    <row r="4440" spans="1:4" ht="15" x14ac:dyDescent="0.25">
      <c r="A4440" s="304">
        <v>37446</v>
      </c>
      <c r="B4440" s="304" t="s">
        <v>9989</v>
      </c>
      <c r="C4440" s="304" t="s">
        <v>5555</v>
      </c>
      <c r="D4440" s="540">
        <v>206.59</v>
      </c>
    </row>
    <row r="4441" spans="1:4" ht="15" x14ac:dyDescent="0.25">
      <c r="A4441" s="304">
        <v>37447</v>
      </c>
      <c r="B4441" s="304" t="s">
        <v>9990</v>
      </c>
      <c r="C4441" s="304" t="s">
        <v>5555</v>
      </c>
      <c r="D4441" s="540">
        <v>209.83</v>
      </c>
    </row>
    <row r="4442" spans="1:4" ht="15" x14ac:dyDescent="0.25">
      <c r="A4442" s="304">
        <v>37448</v>
      </c>
      <c r="B4442" s="304" t="s">
        <v>9991</v>
      </c>
      <c r="C4442" s="304" t="s">
        <v>5555</v>
      </c>
      <c r="D4442" s="540">
        <v>287.81</v>
      </c>
    </row>
    <row r="4443" spans="1:4" ht="15" x14ac:dyDescent="0.25">
      <c r="A4443" s="304">
        <v>37440</v>
      </c>
      <c r="B4443" s="304" t="s">
        <v>9992</v>
      </c>
      <c r="C4443" s="304" t="s">
        <v>5555</v>
      </c>
      <c r="D4443" s="540">
        <v>97.58</v>
      </c>
    </row>
    <row r="4444" spans="1:4" ht="15" x14ac:dyDescent="0.25">
      <c r="A4444" s="304">
        <v>37441</v>
      </c>
      <c r="B4444" s="304" t="s">
        <v>9993</v>
      </c>
      <c r="C4444" s="304" t="s">
        <v>5555</v>
      </c>
      <c r="D4444" s="540">
        <v>97.58</v>
      </c>
    </row>
    <row r="4445" spans="1:4" ht="15" x14ac:dyDescent="0.25">
      <c r="A4445" s="304">
        <v>37442</v>
      </c>
      <c r="B4445" s="304" t="s">
        <v>9994</v>
      </c>
      <c r="C4445" s="304" t="s">
        <v>5555</v>
      </c>
      <c r="D4445" s="540">
        <v>117.53</v>
      </c>
    </row>
    <row r="4446" spans="1:4" ht="15" x14ac:dyDescent="0.25">
      <c r="A4446" s="304">
        <v>38017</v>
      </c>
      <c r="B4446" s="304" t="s">
        <v>9995</v>
      </c>
      <c r="C4446" s="304" t="s">
        <v>5555</v>
      </c>
      <c r="D4446" s="540">
        <v>6.61</v>
      </c>
    </row>
    <row r="4447" spans="1:4" ht="15" x14ac:dyDescent="0.25">
      <c r="A4447" s="304">
        <v>38018</v>
      </c>
      <c r="B4447" s="304" t="s">
        <v>9996</v>
      </c>
      <c r="C4447" s="304" t="s">
        <v>5555</v>
      </c>
      <c r="D4447" s="540">
        <v>7.29</v>
      </c>
    </row>
    <row r="4448" spans="1:4" ht="15" x14ac:dyDescent="0.25">
      <c r="A4448" s="304">
        <v>39895</v>
      </c>
      <c r="B4448" s="304" t="s">
        <v>9997</v>
      </c>
      <c r="C4448" s="304" t="s">
        <v>5555</v>
      </c>
      <c r="D4448" s="540">
        <v>28.86</v>
      </c>
    </row>
    <row r="4449" spans="1:4" ht="15" x14ac:dyDescent="0.25">
      <c r="A4449" s="304">
        <v>39896</v>
      </c>
      <c r="B4449" s="304" t="s">
        <v>9998</v>
      </c>
      <c r="C4449" s="304" t="s">
        <v>5555</v>
      </c>
      <c r="D4449" s="540">
        <v>42.3</v>
      </c>
    </row>
    <row r="4450" spans="1:4" ht="15" x14ac:dyDescent="0.25">
      <c r="A4450" s="304">
        <v>38873</v>
      </c>
      <c r="B4450" s="304" t="s">
        <v>9999</v>
      </c>
      <c r="C4450" s="304" t="s">
        <v>5555</v>
      </c>
      <c r="D4450" s="540">
        <v>11.6</v>
      </c>
    </row>
    <row r="4451" spans="1:4" ht="15" x14ac:dyDescent="0.25">
      <c r="A4451" s="304">
        <v>38874</v>
      </c>
      <c r="B4451" s="304" t="s">
        <v>10000</v>
      </c>
      <c r="C4451" s="304" t="s">
        <v>5555</v>
      </c>
      <c r="D4451" s="540">
        <v>14.1</v>
      </c>
    </row>
    <row r="4452" spans="1:4" ht="15" x14ac:dyDescent="0.25">
      <c r="A4452" s="304">
        <v>38875</v>
      </c>
      <c r="B4452" s="304" t="s">
        <v>10001</v>
      </c>
      <c r="C4452" s="304" t="s">
        <v>5555</v>
      </c>
      <c r="D4452" s="540">
        <v>24.92</v>
      </c>
    </row>
    <row r="4453" spans="1:4" ht="15" x14ac:dyDescent="0.25">
      <c r="A4453" s="304">
        <v>38876</v>
      </c>
      <c r="B4453" s="304" t="s">
        <v>10002</v>
      </c>
      <c r="C4453" s="304" t="s">
        <v>5555</v>
      </c>
      <c r="D4453" s="540">
        <v>33.53</v>
      </c>
    </row>
    <row r="4454" spans="1:4" ht="15" x14ac:dyDescent="0.25">
      <c r="A4454" s="304">
        <v>39000</v>
      </c>
      <c r="B4454" s="304" t="s">
        <v>10003</v>
      </c>
      <c r="C4454" s="304" t="s">
        <v>5555</v>
      </c>
      <c r="D4454" s="540">
        <v>22.9</v>
      </c>
    </row>
    <row r="4455" spans="1:4" ht="15" x14ac:dyDescent="0.25">
      <c r="A4455" s="304">
        <v>38674</v>
      </c>
      <c r="B4455" s="304" t="s">
        <v>10004</v>
      </c>
      <c r="C4455" s="304" t="s">
        <v>5555</v>
      </c>
      <c r="D4455" s="540">
        <v>22.99</v>
      </c>
    </row>
    <row r="4456" spans="1:4" ht="15" x14ac:dyDescent="0.25">
      <c r="A4456" s="304">
        <v>38911</v>
      </c>
      <c r="B4456" s="304" t="s">
        <v>10005</v>
      </c>
      <c r="C4456" s="304" t="s">
        <v>5555</v>
      </c>
      <c r="D4456" s="540">
        <v>41.58</v>
      </c>
    </row>
    <row r="4457" spans="1:4" ht="15" x14ac:dyDescent="0.25">
      <c r="A4457" s="304">
        <v>38912</v>
      </c>
      <c r="B4457" s="304" t="s">
        <v>10006</v>
      </c>
      <c r="C4457" s="304" t="s">
        <v>5555</v>
      </c>
      <c r="D4457" s="540">
        <v>52.85</v>
      </c>
    </row>
    <row r="4458" spans="1:4" ht="15" x14ac:dyDescent="0.25">
      <c r="A4458" s="304">
        <v>38019</v>
      </c>
      <c r="B4458" s="304" t="s">
        <v>10007</v>
      </c>
      <c r="C4458" s="304" t="s">
        <v>5555</v>
      </c>
      <c r="D4458" s="540">
        <v>5.76</v>
      </c>
    </row>
    <row r="4459" spans="1:4" ht="15" x14ac:dyDescent="0.25">
      <c r="A4459" s="304">
        <v>38020</v>
      </c>
      <c r="B4459" s="304" t="s">
        <v>10008</v>
      </c>
      <c r="C4459" s="304" t="s">
        <v>5555</v>
      </c>
      <c r="D4459" s="540">
        <v>7.29</v>
      </c>
    </row>
    <row r="4460" spans="1:4" ht="15" x14ac:dyDescent="0.25">
      <c r="A4460" s="304">
        <v>38454</v>
      </c>
      <c r="B4460" s="304" t="s">
        <v>10009</v>
      </c>
      <c r="C4460" s="304" t="s">
        <v>5555</v>
      </c>
      <c r="D4460" s="540">
        <v>4.18</v>
      </c>
    </row>
    <row r="4461" spans="1:4" ht="15" x14ac:dyDescent="0.25">
      <c r="A4461" s="304">
        <v>38455</v>
      </c>
      <c r="B4461" s="304" t="s">
        <v>10010</v>
      </c>
      <c r="C4461" s="304" t="s">
        <v>5555</v>
      </c>
      <c r="D4461" s="540">
        <v>3.82</v>
      </c>
    </row>
    <row r="4462" spans="1:4" ht="15" x14ac:dyDescent="0.25">
      <c r="A4462" s="304">
        <v>38462</v>
      </c>
      <c r="B4462" s="304" t="s">
        <v>10011</v>
      </c>
      <c r="C4462" s="304" t="s">
        <v>5555</v>
      </c>
      <c r="D4462" s="540">
        <v>107.98</v>
      </c>
    </row>
    <row r="4463" spans="1:4" ht="15" x14ac:dyDescent="0.25">
      <c r="A4463" s="304">
        <v>36362</v>
      </c>
      <c r="B4463" s="304" t="s">
        <v>10012</v>
      </c>
      <c r="C4463" s="304" t="s">
        <v>5555</v>
      </c>
      <c r="D4463" s="540">
        <v>1.64</v>
      </c>
    </row>
    <row r="4464" spans="1:4" ht="15" x14ac:dyDescent="0.25">
      <c r="A4464" s="304">
        <v>36298</v>
      </c>
      <c r="B4464" s="304" t="s">
        <v>10013</v>
      </c>
      <c r="C4464" s="304" t="s">
        <v>5555</v>
      </c>
      <c r="D4464" s="540">
        <v>2.4300000000000002</v>
      </c>
    </row>
    <row r="4465" spans="1:4" ht="15" x14ac:dyDescent="0.25">
      <c r="A4465" s="304">
        <v>38456</v>
      </c>
      <c r="B4465" s="304" t="s">
        <v>10014</v>
      </c>
      <c r="C4465" s="304" t="s">
        <v>5555</v>
      </c>
      <c r="D4465" s="540">
        <v>3.97</v>
      </c>
    </row>
    <row r="4466" spans="1:4" ht="15" x14ac:dyDescent="0.25">
      <c r="A4466" s="304">
        <v>38457</v>
      </c>
      <c r="B4466" s="304" t="s">
        <v>10015</v>
      </c>
      <c r="C4466" s="304" t="s">
        <v>5555</v>
      </c>
      <c r="D4466" s="540">
        <v>8.9499999999999993</v>
      </c>
    </row>
    <row r="4467" spans="1:4" ht="15" x14ac:dyDescent="0.25">
      <c r="A4467" s="304">
        <v>38458</v>
      </c>
      <c r="B4467" s="304" t="s">
        <v>10016</v>
      </c>
      <c r="C4467" s="304" t="s">
        <v>5555</v>
      </c>
      <c r="D4467" s="540">
        <v>12</v>
      </c>
    </row>
    <row r="4468" spans="1:4" ht="15" x14ac:dyDescent="0.25">
      <c r="A4468" s="304">
        <v>38459</v>
      </c>
      <c r="B4468" s="304" t="s">
        <v>10017</v>
      </c>
      <c r="C4468" s="304" t="s">
        <v>5555</v>
      </c>
      <c r="D4468" s="540">
        <v>21.18</v>
      </c>
    </row>
    <row r="4469" spans="1:4" ht="15" x14ac:dyDescent="0.25">
      <c r="A4469" s="304">
        <v>38460</v>
      </c>
      <c r="B4469" s="304" t="s">
        <v>10018</v>
      </c>
      <c r="C4469" s="304" t="s">
        <v>5555</v>
      </c>
      <c r="D4469" s="540">
        <v>44.23</v>
      </c>
    </row>
    <row r="4470" spans="1:4" ht="15" x14ac:dyDescent="0.25">
      <c r="A4470" s="304">
        <v>38461</v>
      </c>
      <c r="B4470" s="304" t="s">
        <v>10019</v>
      </c>
      <c r="C4470" s="304" t="s">
        <v>5555</v>
      </c>
      <c r="D4470" s="540">
        <v>67.47</v>
      </c>
    </row>
    <row r="4471" spans="1:4" ht="15" x14ac:dyDescent="0.25">
      <c r="A4471" s="304">
        <v>7094</v>
      </c>
      <c r="B4471" s="304" t="s">
        <v>10020</v>
      </c>
      <c r="C4471" s="304" t="s">
        <v>5555</v>
      </c>
      <c r="D4471" s="540">
        <v>9.1</v>
      </c>
    </row>
    <row r="4472" spans="1:4" ht="15" x14ac:dyDescent="0.25">
      <c r="A4472" s="304">
        <v>7116</v>
      </c>
      <c r="B4472" s="304" t="s">
        <v>10021</v>
      </c>
      <c r="C4472" s="304" t="s">
        <v>5555</v>
      </c>
      <c r="D4472" s="540">
        <v>2.08</v>
      </c>
    </row>
    <row r="4473" spans="1:4" ht="15" x14ac:dyDescent="0.25">
      <c r="A4473" s="304">
        <v>7118</v>
      </c>
      <c r="B4473" s="304" t="s">
        <v>10022</v>
      </c>
      <c r="C4473" s="304" t="s">
        <v>5555</v>
      </c>
      <c r="D4473" s="540">
        <v>20.09</v>
      </c>
    </row>
    <row r="4474" spans="1:4" ht="15" x14ac:dyDescent="0.25">
      <c r="A4474" s="304">
        <v>7117</v>
      </c>
      <c r="B4474" s="304" t="s">
        <v>10023</v>
      </c>
      <c r="C4474" s="304" t="s">
        <v>5555</v>
      </c>
      <c r="D4474" s="540">
        <v>17.86</v>
      </c>
    </row>
    <row r="4475" spans="1:4" ht="15" x14ac:dyDescent="0.25">
      <c r="A4475" s="304">
        <v>7098</v>
      </c>
      <c r="B4475" s="304" t="s">
        <v>10024</v>
      </c>
      <c r="C4475" s="304" t="s">
        <v>5555</v>
      </c>
      <c r="D4475" s="540">
        <v>2.4900000000000002</v>
      </c>
    </row>
    <row r="4476" spans="1:4" ht="15" x14ac:dyDescent="0.25">
      <c r="A4476" s="304">
        <v>7110</v>
      </c>
      <c r="B4476" s="304" t="s">
        <v>10025</v>
      </c>
      <c r="C4476" s="304" t="s">
        <v>5555</v>
      </c>
      <c r="D4476" s="540">
        <v>43.7</v>
      </c>
    </row>
    <row r="4477" spans="1:4" ht="15" x14ac:dyDescent="0.25">
      <c r="A4477" s="304">
        <v>7123</v>
      </c>
      <c r="B4477" s="304" t="s">
        <v>10026</v>
      </c>
      <c r="C4477" s="304" t="s">
        <v>5555</v>
      </c>
      <c r="D4477" s="540">
        <v>3.2</v>
      </c>
    </row>
    <row r="4478" spans="1:4" ht="15" x14ac:dyDescent="0.25">
      <c r="A4478" s="304">
        <v>7121</v>
      </c>
      <c r="B4478" s="304" t="s">
        <v>10027</v>
      </c>
      <c r="C4478" s="304" t="s">
        <v>5555</v>
      </c>
      <c r="D4478" s="540">
        <v>7.89</v>
      </c>
    </row>
    <row r="4479" spans="1:4" ht="15" x14ac:dyDescent="0.25">
      <c r="A4479" s="304">
        <v>7137</v>
      </c>
      <c r="B4479" s="304" t="s">
        <v>10028</v>
      </c>
      <c r="C4479" s="304" t="s">
        <v>5555</v>
      </c>
      <c r="D4479" s="540">
        <v>7.11</v>
      </c>
    </row>
    <row r="4480" spans="1:4" ht="15" x14ac:dyDescent="0.25">
      <c r="A4480" s="304">
        <v>7122</v>
      </c>
      <c r="B4480" s="304" t="s">
        <v>10029</v>
      </c>
      <c r="C4480" s="304" t="s">
        <v>5555</v>
      </c>
      <c r="D4480" s="540">
        <v>8.8800000000000008</v>
      </c>
    </row>
    <row r="4481" spans="1:4" ht="15" x14ac:dyDescent="0.25">
      <c r="A4481" s="304">
        <v>7114</v>
      </c>
      <c r="B4481" s="304" t="s">
        <v>10030</v>
      </c>
      <c r="C4481" s="304" t="s">
        <v>5555</v>
      </c>
      <c r="D4481" s="540">
        <v>13.69</v>
      </c>
    </row>
    <row r="4482" spans="1:4" ht="15" x14ac:dyDescent="0.25">
      <c r="A4482" s="304">
        <v>7109</v>
      </c>
      <c r="B4482" s="304" t="s">
        <v>10031</v>
      </c>
      <c r="C4482" s="304" t="s">
        <v>5555</v>
      </c>
      <c r="D4482" s="540">
        <v>2.4</v>
      </c>
    </row>
    <row r="4483" spans="1:4" ht="15" x14ac:dyDescent="0.25">
      <c r="A4483" s="304">
        <v>7135</v>
      </c>
      <c r="B4483" s="304" t="s">
        <v>10032</v>
      </c>
      <c r="C4483" s="304" t="s">
        <v>5555</v>
      </c>
      <c r="D4483" s="540">
        <v>3.74</v>
      </c>
    </row>
    <row r="4484" spans="1:4" ht="15" x14ac:dyDescent="0.25">
      <c r="A4484" s="304">
        <v>37947</v>
      </c>
      <c r="B4484" s="304" t="s">
        <v>10033</v>
      </c>
      <c r="C4484" s="304" t="s">
        <v>5555</v>
      </c>
      <c r="D4484" s="540">
        <v>3.79</v>
      </c>
    </row>
    <row r="4485" spans="1:4" ht="15" x14ac:dyDescent="0.25">
      <c r="A4485" s="304">
        <v>7103</v>
      </c>
      <c r="B4485" s="304" t="s">
        <v>10034</v>
      </c>
      <c r="C4485" s="304" t="s">
        <v>5555</v>
      </c>
      <c r="D4485" s="540">
        <v>8.69</v>
      </c>
    </row>
    <row r="4486" spans="1:4" ht="15" x14ac:dyDescent="0.25">
      <c r="A4486" s="304">
        <v>40419</v>
      </c>
      <c r="B4486" s="304" t="s">
        <v>10035</v>
      </c>
      <c r="C4486" s="304" t="s">
        <v>5555</v>
      </c>
      <c r="D4486" s="540">
        <v>21.15</v>
      </c>
    </row>
    <row r="4487" spans="1:4" ht="15" x14ac:dyDescent="0.25">
      <c r="A4487" s="304">
        <v>40420</v>
      </c>
      <c r="B4487" s="304" t="s">
        <v>10036</v>
      </c>
      <c r="C4487" s="304" t="s">
        <v>5555</v>
      </c>
      <c r="D4487" s="540">
        <v>30.86</v>
      </c>
    </row>
    <row r="4488" spans="1:4" ht="15" x14ac:dyDescent="0.25">
      <c r="A4488" s="304">
        <v>40421</v>
      </c>
      <c r="B4488" s="304" t="s">
        <v>10037</v>
      </c>
      <c r="C4488" s="304" t="s">
        <v>5555</v>
      </c>
      <c r="D4488" s="540">
        <v>32.85</v>
      </c>
    </row>
    <row r="4489" spans="1:4" ht="15" x14ac:dyDescent="0.25">
      <c r="A4489" s="304">
        <v>7126</v>
      </c>
      <c r="B4489" s="304" t="s">
        <v>10038</v>
      </c>
      <c r="C4489" s="304" t="s">
        <v>5555</v>
      </c>
      <c r="D4489" s="540">
        <v>18.23</v>
      </c>
    </row>
    <row r="4490" spans="1:4" ht="15" x14ac:dyDescent="0.25">
      <c r="A4490" s="304">
        <v>38905</v>
      </c>
      <c r="B4490" s="304" t="s">
        <v>10039</v>
      </c>
      <c r="C4490" s="304" t="s">
        <v>5555</v>
      </c>
      <c r="D4490" s="540">
        <v>13.03</v>
      </c>
    </row>
    <row r="4491" spans="1:4" ht="15" x14ac:dyDescent="0.25">
      <c r="A4491" s="304">
        <v>38907</v>
      </c>
      <c r="B4491" s="304" t="s">
        <v>10040</v>
      </c>
      <c r="C4491" s="304" t="s">
        <v>5555</v>
      </c>
      <c r="D4491" s="540">
        <v>13.86</v>
      </c>
    </row>
    <row r="4492" spans="1:4" ht="15" x14ac:dyDescent="0.25">
      <c r="A4492" s="304">
        <v>38908</v>
      </c>
      <c r="B4492" s="304" t="s">
        <v>10041</v>
      </c>
      <c r="C4492" s="304" t="s">
        <v>5555</v>
      </c>
      <c r="D4492" s="540">
        <v>15.6</v>
      </c>
    </row>
    <row r="4493" spans="1:4" ht="15" x14ac:dyDescent="0.25">
      <c r="A4493" s="304">
        <v>38909</v>
      </c>
      <c r="B4493" s="304" t="s">
        <v>10042</v>
      </c>
      <c r="C4493" s="304" t="s">
        <v>5555</v>
      </c>
      <c r="D4493" s="540">
        <v>22.43</v>
      </c>
    </row>
    <row r="4494" spans="1:4" ht="15" x14ac:dyDescent="0.25">
      <c r="A4494" s="304">
        <v>38910</v>
      </c>
      <c r="B4494" s="304" t="s">
        <v>10043</v>
      </c>
      <c r="C4494" s="304" t="s">
        <v>5555</v>
      </c>
      <c r="D4494" s="540">
        <v>24.22</v>
      </c>
    </row>
    <row r="4495" spans="1:4" ht="15" x14ac:dyDescent="0.25">
      <c r="A4495" s="304">
        <v>38897</v>
      </c>
      <c r="B4495" s="304" t="s">
        <v>10044</v>
      </c>
      <c r="C4495" s="304" t="s">
        <v>5555</v>
      </c>
      <c r="D4495" s="540">
        <v>13.08</v>
      </c>
    </row>
    <row r="4496" spans="1:4" ht="15" x14ac:dyDescent="0.25">
      <c r="A4496" s="304">
        <v>38899</v>
      </c>
      <c r="B4496" s="304" t="s">
        <v>10045</v>
      </c>
      <c r="C4496" s="304" t="s">
        <v>5555</v>
      </c>
      <c r="D4496" s="540">
        <v>14.72</v>
      </c>
    </row>
    <row r="4497" spans="1:4" ht="15" x14ac:dyDescent="0.25">
      <c r="A4497" s="304">
        <v>38900</v>
      </c>
      <c r="B4497" s="304" t="s">
        <v>10046</v>
      </c>
      <c r="C4497" s="304" t="s">
        <v>5555</v>
      </c>
      <c r="D4497" s="540">
        <v>15.34</v>
      </c>
    </row>
    <row r="4498" spans="1:4" ht="15" x14ac:dyDescent="0.25">
      <c r="A4498" s="304">
        <v>38901</v>
      </c>
      <c r="B4498" s="304" t="s">
        <v>10047</v>
      </c>
      <c r="C4498" s="304" t="s">
        <v>5555</v>
      </c>
      <c r="D4498" s="540">
        <v>25.1</v>
      </c>
    </row>
    <row r="4499" spans="1:4" ht="15" x14ac:dyDescent="0.25">
      <c r="A4499" s="304">
        <v>38904</v>
      </c>
      <c r="B4499" s="304" t="s">
        <v>10048</v>
      </c>
      <c r="C4499" s="304" t="s">
        <v>5555</v>
      </c>
      <c r="D4499" s="540">
        <v>40.78</v>
      </c>
    </row>
    <row r="4500" spans="1:4" ht="15" x14ac:dyDescent="0.25">
      <c r="A4500" s="304">
        <v>38903</v>
      </c>
      <c r="B4500" s="304" t="s">
        <v>10049</v>
      </c>
      <c r="C4500" s="304" t="s">
        <v>5555</v>
      </c>
      <c r="D4500" s="540">
        <v>40.53</v>
      </c>
    </row>
    <row r="4501" spans="1:4" ht="15" x14ac:dyDescent="0.25">
      <c r="A4501" s="304">
        <v>7091</v>
      </c>
      <c r="B4501" s="304" t="s">
        <v>10050</v>
      </c>
      <c r="C4501" s="304" t="s">
        <v>5555</v>
      </c>
      <c r="D4501" s="540">
        <v>9.82</v>
      </c>
    </row>
    <row r="4502" spans="1:4" ht="15" x14ac:dyDescent="0.25">
      <c r="A4502" s="304">
        <v>11655</v>
      </c>
      <c r="B4502" s="304" t="s">
        <v>10051</v>
      </c>
      <c r="C4502" s="304" t="s">
        <v>5555</v>
      </c>
      <c r="D4502" s="540">
        <v>9.3800000000000008</v>
      </c>
    </row>
    <row r="4503" spans="1:4" ht="15" x14ac:dyDescent="0.25">
      <c r="A4503" s="304">
        <v>11656</v>
      </c>
      <c r="B4503" s="304" t="s">
        <v>10052</v>
      </c>
      <c r="C4503" s="304" t="s">
        <v>5555</v>
      </c>
      <c r="D4503" s="540">
        <v>9.82</v>
      </c>
    </row>
    <row r="4504" spans="1:4" ht="15" x14ac:dyDescent="0.25">
      <c r="A4504" s="304">
        <v>37948</v>
      </c>
      <c r="B4504" s="304" t="s">
        <v>10053</v>
      </c>
      <c r="C4504" s="304" t="s">
        <v>5555</v>
      </c>
      <c r="D4504" s="540">
        <v>1.99</v>
      </c>
    </row>
    <row r="4505" spans="1:4" ht="15" x14ac:dyDescent="0.25">
      <c r="A4505" s="304">
        <v>7097</v>
      </c>
      <c r="B4505" s="304" t="s">
        <v>10054</v>
      </c>
      <c r="C4505" s="304" t="s">
        <v>5555</v>
      </c>
      <c r="D4505" s="540">
        <v>4.3600000000000003</v>
      </c>
    </row>
    <row r="4506" spans="1:4" ht="15" x14ac:dyDescent="0.25">
      <c r="A4506" s="304">
        <v>11657</v>
      </c>
      <c r="B4506" s="304" t="s">
        <v>10055</v>
      </c>
      <c r="C4506" s="304" t="s">
        <v>5555</v>
      </c>
      <c r="D4506" s="540">
        <v>8.56</v>
      </c>
    </row>
    <row r="4507" spans="1:4" ht="15" x14ac:dyDescent="0.25">
      <c r="A4507" s="304">
        <v>11658</v>
      </c>
      <c r="B4507" s="304" t="s">
        <v>10056</v>
      </c>
      <c r="C4507" s="304" t="s">
        <v>5555</v>
      </c>
      <c r="D4507" s="540">
        <v>8.7100000000000009</v>
      </c>
    </row>
    <row r="4508" spans="1:4" ht="15" x14ac:dyDescent="0.25">
      <c r="A4508" s="304">
        <v>7146</v>
      </c>
      <c r="B4508" s="304" t="s">
        <v>10057</v>
      </c>
      <c r="C4508" s="304" t="s">
        <v>5555</v>
      </c>
      <c r="D4508" s="540">
        <v>135.33000000000001</v>
      </c>
    </row>
    <row r="4509" spans="1:4" ht="15" x14ac:dyDescent="0.25">
      <c r="A4509" s="304">
        <v>7138</v>
      </c>
      <c r="B4509" s="304" t="s">
        <v>10058</v>
      </c>
      <c r="C4509" s="304" t="s">
        <v>5555</v>
      </c>
      <c r="D4509" s="540">
        <v>0.76</v>
      </c>
    </row>
    <row r="4510" spans="1:4" ht="15" x14ac:dyDescent="0.25">
      <c r="A4510" s="304">
        <v>7139</v>
      </c>
      <c r="B4510" s="304" t="s">
        <v>10059</v>
      </c>
      <c r="C4510" s="304" t="s">
        <v>5555</v>
      </c>
      <c r="D4510" s="540">
        <v>1</v>
      </c>
    </row>
    <row r="4511" spans="1:4" ht="15" x14ac:dyDescent="0.25">
      <c r="A4511" s="304">
        <v>7140</v>
      </c>
      <c r="B4511" s="304" t="s">
        <v>10060</v>
      </c>
      <c r="C4511" s="304" t="s">
        <v>5555</v>
      </c>
      <c r="D4511" s="540">
        <v>3.34</v>
      </c>
    </row>
    <row r="4512" spans="1:4" ht="15" x14ac:dyDescent="0.25">
      <c r="A4512" s="304">
        <v>7141</v>
      </c>
      <c r="B4512" s="304" t="s">
        <v>10061</v>
      </c>
      <c r="C4512" s="304" t="s">
        <v>5555</v>
      </c>
      <c r="D4512" s="540">
        <v>7.3</v>
      </c>
    </row>
    <row r="4513" spans="1:4" ht="15" x14ac:dyDescent="0.25">
      <c r="A4513" s="304">
        <v>7143</v>
      </c>
      <c r="B4513" s="304" t="s">
        <v>10062</v>
      </c>
      <c r="C4513" s="304" t="s">
        <v>5555</v>
      </c>
      <c r="D4513" s="540">
        <v>24.32</v>
      </c>
    </row>
    <row r="4514" spans="1:4" ht="15" x14ac:dyDescent="0.25">
      <c r="A4514" s="304">
        <v>7144</v>
      </c>
      <c r="B4514" s="304" t="s">
        <v>10063</v>
      </c>
      <c r="C4514" s="304" t="s">
        <v>5555</v>
      </c>
      <c r="D4514" s="540">
        <v>48.66</v>
      </c>
    </row>
    <row r="4515" spans="1:4" ht="15" x14ac:dyDescent="0.25">
      <c r="A4515" s="304">
        <v>7145</v>
      </c>
      <c r="B4515" s="304" t="s">
        <v>10064</v>
      </c>
      <c r="C4515" s="304" t="s">
        <v>5555</v>
      </c>
      <c r="D4515" s="540">
        <v>79.8</v>
      </c>
    </row>
    <row r="4516" spans="1:4" ht="15" x14ac:dyDescent="0.25">
      <c r="A4516" s="304">
        <v>7142</v>
      </c>
      <c r="B4516" s="304" t="s">
        <v>10065</v>
      </c>
      <c r="C4516" s="304" t="s">
        <v>5555</v>
      </c>
      <c r="D4516" s="540">
        <v>8.16</v>
      </c>
    </row>
    <row r="4517" spans="1:4" ht="15" x14ac:dyDescent="0.25">
      <c r="A4517" s="304">
        <v>3593</v>
      </c>
      <c r="B4517" s="304" t="s">
        <v>10066</v>
      </c>
      <c r="C4517" s="304" t="s">
        <v>5555</v>
      </c>
      <c r="D4517" s="540">
        <v>48.69</v>
      </c>
    </row>
    <row r="4518" spans="1:4" ht="15" x14ac:dyDescent="0.25">
      <c r="A4518" s="304">
        <v>3588</v>
      </c>
      <c r="B4518" s="304" t="s">
        <v>10067</v>
      </c>
      <c r="C4518" s="304" t="s">
        <v>5555</v>
      </c>
      <c r="D4518" s="540">
        <v>37.53</v>
      </c>
    </row>
    <row r="4519" spans="1:4" ht="15" x14ac:dyDescent="0.25">
      <c r="A4519" s="304">
        <v>3585</v>
      </c>
      <c r="B4519" s="304" t="s">
        <v>10068</v>
      </c>
      <c r="C4519" s="304" t="s">
        <v>5555</v>
      </c>
      <c r="D4519" s="540">
        <v>11.59</v>
      </c>
    </row>
    <row r="4520" spans="1:4" ht="15" x14ac:dyDescent="0.25">
      <c r="A4520" s="304">
        <v>3587</v>
      </c>
      <c r="B4520" s="304" t="s">
        <v>10069</v>
      </c>
      <c r="C4520" s="304" t="s">
        <v>5555</v>
      </c>
      <c r="D4520" s="540">
        <v>23.29</v>
      </c>
    </row>
    <row r="4521" spans="1:4" ht="15" x14ac:dyDescent="0.25">
      <c r="A4521" s="304">
        <v>3590</v>
      </c>
      <c r="B4521" s="304" t="s">
        <v>10070</v>
      </c>
      <c r="C4521" s="304" t="s">
        <v>5555</v>
      </c>
      <c r="D4521" s="540">
        <v>138.25</v>
      </c>
    </row>
    <row r="4522" spans="1:4" ht="15" x14ac:dyDescent="0.25">
      <c r="A4522" s="304">
        <v>3589</v>
      </c>
      <c r="B4522" s="304" t="s">
        <v>10071</v>
      </c>
      <c r="C4522" s="304" t="s">
        <v>5555</v>
      </c>
      <c r="D4522" s="540">
        <v>74.2</v>
      </c>
    </row>
    <row r="4523" spans="1:4" ht="15" x14ac:dyDescent="0.25">
      <c r="A4523" s="304">
        <v>3586</v>
      </c>
      <c r="B4523" s="304" t="s">
        <v>10072</v>
      </c>
      <c r="C4523" s="304" t="s">
        <v>5555</v>
      </c>
      <c r="D4523" s="540">
        <v>15.18</v>
      </c>
    </row>
    <row r="4524" spans="1:4" ht="15" x14ac:dyDescent="0.25">
      <c r="A4524" s="304">
        <v>3592</v>
      </c>
      <c r="B4524" s="304" t="s">
        <v>10073</v>
      </c>
      <c r="C4524" s="304" t="s">
        <v>5555</v>
      </c>
      <c r="D4524" s="540">
        <v>218.53</v>
      </c>
    </row>
    <row r="4525" spans="1:4" ht="15" x14ac:dyDescent="0.25">
      <c r="A4525" s="304">
        <v>3591</v>
      </c>
      <c r="B4525" s="304" t="s">
        <v>10074</v>
      </c>
      <c r="C4525" s="304" t="s">
        <v>5555</v>
      </c>
      <c r="D4525" s="540">
        <v>350.31</v>
      </c>
    </row>
    <row r="4526" spans="1:4" ht="15" x14ac:dyDescent="0.25">
      <c r="A4526" s="304">
        <v>40396</v>
      </c>
      <c r="B4526" s="304" t="s">
        <v>10075</v>
      </c>
      <c r="C4526" s="304" t="s">
        <v>5555</v>
      </c>
      <c r="D4526" s="540">
        <v>61.08</v>
      </c>
    </row>
    <row r="4527" spans="1:4" ht="15" x14ac:dyDescent="0.25">
      <c r="A4527" s="304">
        <v>40395</v>
      </c>
      <c r="B4527" s="304" t="s">
        <v>10076</v>
      </c>
      <c r="C4527" s="304" t="s">
        <v>5555</v>
      </c>
      <c r="D4527" s="540">
        <v>46.88</v>
      </c>
    </row>
    <row r="4528" spans="1:4" ht="15" x14ac:dyDescent="0.25">
      <c r="A4528" s="304">
        <v>40392</v>
      </c>
      <c r="B4528" s="304" t="s">
        <v>10077</v>
      </c>
      <c r="C4528" s="304" t="s">
        <v>5555</v>
      </c>
      <c r="D4528" s="540">
        <v>15.08</v>
      </c>
    </row>
    <row r="4529" spans="1:4" ht="15" x14ac:dyDescent="0.25">
      <c r="A4529" s="304">
        <v>40394</v>
      </c>
      <c r="B4529" s="304" t="s">
        <v>10078</v>
      </c>
      <c r="C4529" s="304" t="s">
        <v>5555</v>
      </c>
      <c r="D4529" s="540">
        <v>30.52</v>
      </c>
    </row>
    <row r="4530" spans="1:4" ht="15" x14ac:dyDescent="0.25">
      <c r="A4530" s="304">
        <v>40398</v>
      </c>
      <c r="B4530" s="304" t="s">
        <v>10079</v>
      </c>
      <c r="C4530" s="304" t="s">
        <v>5555</v>
      </c>
      <c r="D4530" s="540">
        <v>195.97</v>
      </c>
    </row>
    <row r="4531" spans="1:4" ht="15" x14ac:dyDescent="0.25">
      <c r="A4531" s="304">
        <v>40397</v>
      </c>
      <c r="B4531" s="304" t="s">
        <v>10080</v>
      </c>
      <c r="C4531" s="304" t="s">
        <v>5555</v>
      </c>
      <c r="D4531" s="540">
        <v>100.36</v>
      </c>
    </row>
    <row r="4532" spans="1:4" ht="15" x14ac:dyDescent="0.25">
      <c r="A4532" s="304">
        <v>40393</v>
      </c>
      <c r="B4532" s="304" t="s">
        <v>10081</v>
      </c>
      <c r="C4532" s="304" t="s">
        <v>5555</v>
      </c>
      <c r="D4532" s="540">
        <v>19.43</v>
      </c>
    </row>
    <row r="4533" spans="1:4" ht="15" x14ac:dyDescent="0.25">
      <c r="A4533" s="304">
        <v>40399</v>
      </c>
      <c r="B4533" s="304" t="s">
        <v>10082</v>
      </c>
      <c r="C4533" s="304" t="s">
        <v>5555</v>
      </c>
      <c r="D4533" s="540">
        <v>320.61</v>
      </c>
    </row>
    <row r="4534" spans="1:4" ht="15" x14ac:dyDescent="0.25">
      <c r="A4534" s="304">
        <v>39322</v>
      </c>
      <c r="B4534" s="304" t="s">
        <v>10083</v>
      </c>
      <c r="C4534" s="304" t="s">
        <v>5555</v>
      </c>
      <c r="D4534" s="540">
        <v>15.81</v>
      </c>
    </row>
    <row r="4535" spans="1:4" ht="15" x14ac:dyDescent="0.25">
      <c r="A4535" s="304">
        <v>39289</v>
      </c>
      <c r="B4535" s="304" t="s">
        <v>10084</v>
      </c>
      <c r="C4535" s="304" t="s">
        <v>5555</v>
      </c>
      <c r="D4535" s="540">
        <v>18.940000000000001</v>
      </c>
    </row>
    <row r="4536" spans="1:4" ht="15" x14ac:dyDescent="0.25">
      <c r="A4536" s="304">
        <v>39290</v>
      </c>
      <c r="B4536" s="304" t="s">
        <v>10085</v>
      </c>
      <c r="C4536" s="304" t="s">
        <v>5555</v>
      </c>
      <c r="D4536" s="540">
        <v>32.14</v>
      </c>
    </row>
    <row r="4537" spans="1:4" ht="15" x14ac:dyDescent="0.25">
      <c r="A4537" s="304">
        <v>39291</v>
      </c>
      <c r="B4537" s="304" t="s">
        <v>10086</v>
      </c>
      <c r="C4537" s="304" t="s">
        <v>5555</v>
      </c>
      <c r="D4537" s="540">
        <v>48.12</v>
      </c>
    </row>
    <row r="4538" spans="1:4" ht="15" x14ac:dyDescent="0.25">
      <c r="A4538" s="304">
        <v>20174</v>
      </c>
      <c r="B4538" s="304" t="s">
        <v>10087</v>
      </c>
      <c r="C4538" s="304" t="s">
        <v>5555</v>
      </c>
      <c r="D4538" s="540">
        <v>23.94</v>
      </c>
    </row>
    <row r="4539" spans="1:4" ht="15" x14ac:dyDescent="0.25">
      <c r="A4539" s="304">
        <v>41892</v>
      </c>
      <c r="B4539" s="304" t="s">
        <v>10088</v>
      </c>
      <c r="C4539" s="304" t="s">
        <v>5555</v>
      </c>
      <c r="D4539" s="540">
        <v>88.12</v>
      </c>
    </row>
    <row r="4540" spans="1:4" ht="15" x14ac:dyDescent="0.25">
      <c r="A4540" s="304">
        <v>7048</v>
      </c>
      <c r="B4540" s="304" t="s">
        <v>10089</v>
      </c>
      <c r="C4540" s="304" t="s">
        <v>5555</v>
      </c>
      <c r="D4540" s="540">
        <v>19.02</v>
      </c>
    </row>
    <row r="4541" spans="1:4" ht="15" x14ac:dyDescent="0.25">
      <c r="A4541" s="304">
        <v>7088</v>
      </c>
      <c r="B4541" s="304" t="s">
        <v>10090</v>
      </c>
      <c r="C4541" s="304" t="s">
        <v>5555</v>
      </c>
      <c r="D4541" s="540">
        <v>41.59</v>
      </c>
    </row>
    <row r="4542" spans="1:4" ht="15" x14ac:dyDescent="0.25">
      <c r="A4542" s="304">
        <v>20179</v>
      </c>
      <c r="B4542" s="304" t="s">
        <v>10091</v>
      </c>
      <c r="C4542" s="304" t="s">
        <v>5555</v>
      </c>
      <c r="D4542" s="540">
        <v>32.229999999999997</v>
      </c>
    </row>
    <row r="4543" spans="1:4" ht="15" x14ac:dyDescent="0.25">
      <c r="A4543" s="304">
        <v>20178</v>
      </c>
      <c r="B4543" s="304" t="s">
        <v>10092</v>
      </c>
      <c r="C4543" s="304" t="s">
        <v>5555</v>
      </c>
      <c r="D4543" s="540">
        <v>28.49</v>
      </c>
    </row>
    <row r="4544" spans="1:4" ht="15" x14ac:dyDescent="0.25">
      <c r="A4544" s="304">
        <v>20180</v>
      </c>
      <c r="B4544" s="304" t="s">
        <v>10093</v>
      </c>
      <c r="C4544" s="304" t="s">
        <v>5555</v>
      </c>
      <c r="D4544" s="540">
        <v>52.35</v>
      </c>
    </row>
    <row r="4545" spans="1:4" ht="15" x14ac:dyDescent="0.25">
      <c r="A4545" s="304">
        <v>20181</v>
      </c>
      <c r="B4545" s="304" t="s">
        <v>10094</v>
      </c>
      <c r="C4545" s="304" t="s">
        <v>5555</v>
      </c>
      <c r="D4545" s="540">
        <v>77.66</v>
      </c>
    </row>
    <row r="4546" spans="1:4" ht="15" x14ac:dyDescent="0.25">
      <c r="A4546" s="304">
        <v>20177</v>
      </c>
      <c r="B4546" s="304" t="s">
        <v>10095</v>
      </c>
      <c r="C4546" s="304" t="s">
        <v>5555</v>
      </c>
      <c r="D4546" s="540">
        <v>18.670000000000002</v>
      </c>
    </row>
    <row r="4547" spans="1:4" ht="15" x14ac:dyDescent="0.25">
      <c r="A4547" s="304">
        <v>7082</v>
      </c>
      <c r="B4547" s="304" t="s">
        <v>10096</v>
      </c>
      <c r="C4547" s="304" t="s">
        <v>5555</v>
      </c>
      <c r="D4547" s="540">
        <v>36.32</v>
      </c>
    </row>
    <row r="4548" spans="1:4" ht="15" x14ac:dyDescent="0.25">
      <c r="A4548" s="304">
        <v>42707</v>
      </c>
      <c r="B4548" s="304" t="s">
        <v>10097</v>
      </c>
      <c r="C4548" s="304" t="s">
        <v>5555</v>
      </c>
      <c r="D4548" s="540">
        <v>98.63</v>
      </c>
    </row>
    <row r="4549" spans="1:4" ht="15" x14ac:dyDescent="0.25">
      <c r="A4549" s="304">
        <v>7069</v>
      </c>
      <c r="B4549" s="304" t="s">
        <v>10098</v>
      </c>
      <c r="C4549" s="304" t="s">
        <v>5555</v>
      </c>
      <c r="D4549" s="540">
        <v>80.61</v>
      </c>
    </row>
    <row r="4550" spans="1:4" ht="15" x14ac:dyDescent="0.25">
      <c r="A4550" s="304">
        <v>42708</v>
      </c>
      <c r="B4550" s="304" t="s">
        <v>10099</v>
      </c>
      <c r="C4550" s="304" t="s">
        <v>5555</v>
      </c>
      <c r="D4550" s="540">
        <v>258.89</v>
      </c>
    </row>
    <row r="4551" spans="1:4" ht="15" x14ac:dyDescent="0.25">
      <c r="A4551" s="304">
        <v>7070</v>
      </c>
      <c r="B4551" s="304" t="s">
        <v>10100</v>
      </c>
      <c r="C4551" s="304" t="s">
        <v>5555</v>
      </c>
      <c r="D4551" s="540">
        <v>115.43</v>
      </c>
    </row>
    <row r="4552" spans="1:4" ht="15" x14ac:dyDescent="0.25">
      <c r="A4552" s="304">
        <v>42709</v>
      </c>
      <c r="B4552" s="304" t="s">
        <v>10101</v>
      </c>
      <c r="C4552" s="304" t="s">
        <v>5555</v>
      </c>
      <c r="D4552" s="540">
        <v>387.18</v>
      </c>
    </row>
    <row r="4553" spans="1:4" ht="15" x14ac:dyDescent="0.25">
      <c r="A4553" s="304">
        <v>42710</v>
      </c>
      <c r="B4553" s="304" t="s">
        <v>10102</v>
      </c>
      <c r="C4553" s="304" t="s">
        <v>5555</v>
      </c>
      <c r="D4553" s="541">
        <v>1112.97</v>
      </c>
    </row>
    <row r="4554" spans="1:4" ht="15" x14ac:dyDescent="0.25">
      <c r="A4554" s="304">
        <v>42716</v>
      </c>
      <c r="B4554" s="304" t="s">
        <v>10103</v>
      </c>
      <c r="C4554" s="304" t="s">
        <v>5555</v>
      </c>
      <c r="D4554" s="541">
        <v>1385.28</v>
      </c>
    </row>
    <row r="4555" spans="1:4" ht="15" x14ac:dyDescent="0.25">
      <c r="A4555" s="304">
        <v>20172</v>
      </c>
      <c r="B4555" s="304" t="s">
        <v>10104</v>
      </c>
      <c r="C4555" s="304" t="s">
        <v>5555</v>
      </c>
      <c r="D4555" s="540">
        <v>26.64</v>
      </c>
    </row>
    <row r="4556" spans="1:4" ht="15" x14ac:dyDescent="0.25">
      <c r="A4556" s="304">
        <v>40945</v>
      </c>
      <c r="B4556" s="304" t="s">
        <v>10105</v>
      </c>
      <c r="C4556" s="304" t="s">
        <v>5566</v>
      </c>
      <c r="D4556" s="540">
        <v>57.77</v>
      </c>
    </row>
    <row r="4557" spans="1:4" ht="15" x14ac:dyDescent="0.25">
      <c r="A4557" s="304">
        <v>40946</v>
      </c>
      <c r="B4557" s="304" t="s">
        <v>10106</v>
      </c>
      <c r="C4557" s="304" t="s">
        <v>5755</v>
      </c>
      <c r="D4557" s="541">
        <v>10112.08</v>
      </c>
    </row>
    <row r="4558" spans="1:4" ht="15" x14ac:dyDescent="0.25">
      <c r="A4558" s="304">
        <v>7153</v>
      </c>
      <c r="B4558" s="304" t="s">
        <v>10107</v>
      </c>
      <c r="C4558" s="304" t="s">
        <v>5566</v>
      </c>
      <c r="D4558" s="540">
        <v>24.2</v>
      </c>
    </row>
    <row r="4559" spans="1:4" ht="15" x14ac:dyDescent="0.25">
      <c r="A4559" s="304">
        <v>41089</v>
      </c>
      <c r="B4559" s="304" t="s">
        <v>10108</v>
      </c>
      <c r="C4559" s="304" t="s">
        <v>5755</v>
      </c>
      <c r="D4559" s="541">
        <v>4236.49</v>
      </c>
    </row>
    <row r="4560" spans="1:4" ht="15" x14ac:dyDescent="0.25">
      <c r="A4560" s="304">
        <v>40943</v>
      </c>
      <c r="B4560" s="304" t="s">
        <v>10109</v>
      </c>
      <c r="C4560" s="304" t="s">
        <v>5566</v>
      </c>
      <c r="D4560" s="540">
        <v>20.93</v>
      </c>
    </row>
    <row r="4561" spans="1:4" ht="15" x14ac:dyDescent="0.25">
      <c r="A4561" s="304">
        <v>40944</v>
      </c>
      <c r="B4561" s="304" t="s">
        <v>10110</v>
      </c>
      <c r="C4561" s="304" t="s">
        <v>5755</v>
      </c>
      <c r="D4561" s="541">
        <v>3665.03</v>
      </c>
    </row>
    <row r="4562" spans="1:4" ht="15" x14ac:dyDescent="0.25">
      <c r="A4562" s="304">
        <v>6175</v>
      </c>
      <c r="B4562" s="304" t="s">
        <v>10111</v>
      </c>
      <c r="C4562" s="304" t="s">
        <v>5566</v>
      </c>
      <c r="D4562" s="540">
        <v>19.649999999999999</v>
      </c>
    </row>
    <row r="4563" spans="1:4" ht="15" x14ac:dyDescent="0.25">
      <c r="A4563" s="304">
        <v>41092</v>
      </c>
      <c r="B4563" s="304" t="s">
        <v>10112</v>
      </c>
      <c r="C4563" s="304" t="s">
        <v>5755</v>
      </c>
      <c r="D4563" s="541">
        <v>3441.15</v>
      </c>
    </row>
    <row r="4564" spans="1:4" ht="15" x14ac:dyDescent="0.25">
      <c r="A4564" s="304">
        <v>37712</v>
      </c>
      <c r="B4564" s="304" t="s">
        <v>10113</v>
      </c>
      <c r="C4564" s="304" t="s">
        <v>5564</v>
      </c>
      <c r="D4564" s="540">
        <v>61.49</v>
      </c>
    </row>
    <row r="4565" spans="1:4" ht="15" x14ac:dyDescent="0.25">
      <c r="A4565" s="304">
        <v>34547</v>
      </c>
      <c r="B4565" s="304" t="s">
        <v>10114</v>
      </c>
      <c r="C4565" s="304" t="s">
        <v>5575</v>
      </c>
      <c r="D4565" s="540">
        <v>2.72</v>
      </c>
    </row>
    <row r="4566" spans="1:4" ht="15" x14ac:dyDescent="0.25">
      <c r="A4566" s="304">
        <v>34548</v>
      </c>
      <c r="B4566" s="304" t="s">
        <v>10115</v>
      </c>
      <c r="C4566" s="304" t="s">
        <v>5575</v>
      </c>
      <c r="D4566" s="540">
        <v>2.65</v>
      </c>
    </row>
    <row r="4567" spans="1:4" ht="15" x14ac:dyDescent="0.25">
      <c r="A4567" s="304">
        <v>37411</v>
      </c>
      <c r="B4567" s="304" t="s">
        <v>10116</v>
      </c>
      <c r="C4567" s="304" t="s">
        <v>5564</v>
      </c>
      <c r="D4567" s="540">
        <v>13.32</v>
      </c>
    </row>
    <row r="4568" spans="1:4" ht="15" x14ac:dyDescent="0.25">
      <c r="A4568" s="304">
        <v>34558</v>
      </c>
      <c r="B4568" s="304" t="s">
        <v>10117</v>
      </c>
      <c r="C4568" s="304" t="s">
        <v>5575</v>
      </c>
      <c r="D4568" s="540">
        <v>1.78</v>
      </c>
    </row>
    <row r="4569" spans="1:4" ht="15" x14ac:dyDescent="0.25">
      <c r="A4569" s="304">
        <v>34550</v>
      </c>
      <c r="B4569" s="304" t="s">
        <v>10118</v>
      </c>
      <c r="C4569" s="304" t="s">
        <v>5575</v>
      </c>
      <c r="D4569" s="540">
        <v>0.94</v>
      </c>
    </row>
    <row r="4570" spans="1:4" ht="15" x14ac:dyDescent="0.25">
      <c r="A4570" s="304">
        <v>34557</v>
      </c>
      <c r="B4570" s="304" t="s">
        <v>10119</v>
      </c>
      <c r="C4570" s="304" t="s">
        <v>5575</v>
      </c>
      <c r="D4570" s="540">
        <v>1.66</v>
      </c>
    </row>
    <row r="4571" spans="1:4" ht="15" x14ac:dyDescent="0.25">
      <c r="A4571" s="304">
        <v>7155</v>
      </c>
      <c r="B4571" s="304" t="s">
        <v>10120</v>
      </c>
      <c r="C4571" s="304" t="s">
        <v>5564</v>
      </c>
      <c r="D4571" s="540">
        <v>15.35</v>
      </c>
    </row>
    <row r="4572" spans="1:4" ht="15" x14ac:dyDescent="0.25">
      <c r="A4572" s="304">
        <v>7154</v>
      </c>
      <c r="B4572" s="304" t="s">
        <v>10121</v>
      </c>
      <c r="C4572" s="304" t="s">
        <v>5626</v>
      </c>
      <c r="D4572" s="540">
        <v>6.91</v>
      </c>
    </row>
    <row r="4573" spans="1:4" ht="15" x14ac:dyDescent="0.25">
      <c r="A4573" s="304">
        <v>10915</v>
      </c>
      <c r="B4573" s="304" t="s">
        <v>10122</v>
      </c>
      <c r="C4573" s="304" t="s">
        <v>5626</v>
      </c>
      <c r="D4573" s="540">
        <v>7.17</v>
      </c>
    </row>
    <row r="4574" spans="1:4" ht="15" x14ac:dyDescent="0.25">
      <c r="A4574" s="304">
        <v>10917</v>
      </c>
      <c r="B4574" s="304" t="s">
        <v>10123</v>
      </c>
      <c r="C4574" s="304" t="s">
        <v>5564</v>
      </c>
      <c r="D4574" s="540">
        <v>6.96</v>
      </c>
    </row>
    <row r="4575" spans="1:4" ht="15" x14ac:dyDescent="0.25">
      <c r="A4575" s="304">
        <v>21141</v>
      </c>
      <c r="B4575" s="304" t="s">
        <v>10124</v>
      </c>
      <c r="C4575" s="304" t="s">
        <v>5564</v>
      </c>
      <c r="D4575" s="540">
        <v>10.32</v>
      </c>
    </row>
    <row r="4576" spans="1:4" ht="15" x14ac:dyDescent="0.25">
      <c r="A4576" s="304">
        <v>10916</v>
      </c>
      <c r="B4576" s="304" t="s">
        <v>10125</v>
      </c>
      <c r="C4576" s="304" t="s">
        <v>5626</v>
      </c>
      <c r="D4576" s="540">
        <v>6.97</v>
      </c>
    </row>
    <row r="4577" spans="1:4" ht="15" x14ac:dyDescent="0.25">
      <c r="A4577" s="304">
        <v>39508</v>
      </c>
      <c r="B4577" s="304" t="s">
        <v>10126</v>
      </c>
      <c r="C4577" s="304" t="s">
        <v>5564</v>
      </c>
      <c r="D4577" s="540">
        <v>12.26</v>
      </c>
    </row>
    <row r="4578" spans="1:4" ht="15" x14ac:dyDescent="0.25">
      <c r="A4578" s="304">
        <v>39507</v>
      </c>
      <c r="B4578" s="304" t="s">
        <v>10127</v>
      </c>
      <c r="C4578" s="304" t="s">
        <v>5564</v>
      </c>
      <c r="D4578" s="540">
        <v>12</v>
      </c>
    </row>
    <row r="4579" spans="1:4" ht="15" x14ac:dyDescent="0.25">
      <c r="A4579" s="304">
        <v>7156</v>
      </c>
      <c r="B4579" s="304" t="s">
        <v>10128</v>
      </c>
      <c r="C4579" s="304" t="s">
        <v>5564</v>
      </c>
      <c r="D4579" s="540">
        <v>20.75</v>
      </c>
    </row>
    <row r="4580" spans="1:4" ht="15" x14ac:dyDescent="0.25">
      <c r="A4580" s="304">
        <v>39509</v>
      </c>
      <c r="B4580" s="304" t="s">
        <v>10129</v>
      </c>
      <c r="C4580" s="304" t="s">
        <v>5564</v>
      </c>
      <c r="D4580" s="540">
        <v>9.66</v>
      </c>
    </row>
    <row r="4581" spans="1:4" ht="15" x14ac:dyDescent="0.25">
      <c r="A4581" s="304">
        <v>25988</v>
      </c>
      <c r="B4581" s="304" t="s">
        <v>10130</v>
      </c>
      <c r="C4581" s="304" t="s">
        <v>5564</v>
      </c>
      <c r="D4581" s="540">
        <v>10.77</v>
      </c>
    </row>
    <row r="4582" spans="1:4" ht="15" x14ac:dyDescent="0.25">
      <c r="A4582" s="304">
        <v>10928</v>
      </c>
      <c r="B4582" s="304" t="s">
        <v>10131</v>
      </c>
      <c r="C4582" s="304" t="s">
        <v>5564</v>
      </c>
      <c r="D4582" s="540">
        <v>11.66</v>
      </c>
    </row>
    <row r="4583" spans="1:4" ht="15" x14ac:dyDescent="0.25">
      <c r="A4583" s="304">
        <v>7167</v>
      </c>
      <c r="B4583" s="304" t="s">
        <v>10132</v>
      </c>
      <c r="C4583" s="304" t="s">
        <v>5564</v>
      </c>
      <c r="D4583" s="540">
        <v>15.93</v>
      </c>
    </row>
    <row r="4584" spans="1:4" ht="15" x14ac:dyDescent="0.25">
      <c r="A4584" s="304">
        <v>10933</v>
      </c>
      <c r="B4584" s="304" t="s">
        <v>10133</v>
      </c>
      <c r="C4584" s="304" t="s">
        <v>5564</v>
      </c>
      <c r="D4584" s="540">
        <v>14.24</v>
      </c>
    </row>
    <row r="4585" spans="1:4" ht="15" x14ac:dyDescent="0.25">
      <c r="A4585" s="304">
        <v>10927</v>
      </c>
      <c r="B4585" s="304" t="s">
        <v>10134</v>
      </c>
      <c r="C4585" s="304" t="s">
        <v>5564</v>
      </c>
      <c r="D4585" s="540">
        <v>17.2</v>
      </c>
    </row>
    <row r="4586" spans="1:4" ht="15" x14ac:dyDescent="0.25">
      <c r="A4586" s="304">
        <v>7158</v>
      </c>
      <c r="B4586" s="304" t="s">
        <v>10135</v>
      </c>
      <c r="C4586" s="304" t="s">
        <v>5564</v>
      </c>
      <c r="D4586" s="540">
        <v>24</v>
      </c>
    </row>
    <row r="4587" spans="1:4" ht="15" x14ac:dyDescent="0.25">
      <c r="A4587" s="304">
        <v>7162</v>
      </c>
      <c r="B4587" s="304" t="s">
        <v>10136</v>
      </c>
      <c r="C4587" s="304" t="s">
        <v>5564</v>
      </c>
      <c r="D4587" s="540">
        <v>36.08</v>
      </c>
    </row>
    <row r="4588" spans="1:4" ht="15" x14ac:dyDescent="0.25">
      <c r="A4588" s="304">
        <v>10932</v>
      </c>
      <c r="B4588" s="304" t="s">
        <v>10137</v>
      </c>
      <c r="C4588" s="304" t="s">
        <v>5564</v>
      </c>
      <c r="D4588" s="540">
        <v>63.9</v>
      </c>
    </row>
    <row r="4589" spans="1:4" ht="15" x14ac:dyDescent="0.25">
      <c r="A4589" s="304">
        <v>40706</v>
      </c>
      <c r="B4589" s="304" t="s">
        <v>10138</v>
      </c>
      <c r="C4589" s="304" t="s">
        <v>5564</v>
      </c>
      <c r="D4589" s="540">
        <v>38.31</v>
      </c>
    </row>
    <row r="4590" spans="1:4" ht="15" x14ac:dyDescent="0.25">
      <c r="A4590" s="304">
        <v>10937</v>
      </c>
      <c r="B4590" s="304" t="s">
        <v>10139</v>
      </c>
      <c r="C4590" s="304" t="s">
        <v>5564</v>
      </c>
      <c r="D4590" s="540">
        <v>25.11</v>
      </c>
    </row>
    <row r="4591" spans="1:4" ht="15" x14ac:dyDescent="0.25">
      <c r="A4591" s="304">
        <v>10935</v>
      </c>
      <c r="B4591" s="304" t="s">
        <v>10140</v>
      </c>
      <c r="C4591" s="304" t="s">
        <v>5564</v>
      </c>
      <c r="D4591" s="540">
        <v>33.07</v>
      </c>
    </row>
    <row r="4592" spans="1:4" ht="15" x14ac:dyDescent="0.25">
      <c r="A4592" s="304">
        <v>40707</v>
      </c>
      <c r="B4592" s="304" t="s">
        <v>10141</v>
      </c>
      <c r="C4592" s="304" t="s">
        <v>5564</v>
      </c>
      <c r="D4592" s="540">
        <v>76.150000000000006</v>
      </c>
    </row>
    <row r="4593" spans="1:4" ht="15" x14ac:dyDescent="0.25">
      <c r="A4593" s="304">
        <v>10931</v>
      </c>
      <c r="B4593" s="304" t="s">
        <v>10142</v>
      </c>
      <c r="C4593" s="304" t="s">
        <v>5564</v>
      </c>
      <c r="D4593" s="540">
        <v>10.65</v>
      </c>
    </row>
    <row r="4594" spans="1:4" ht="15" x14ac:dyDescent="0.25">
      <c r="A4594" s="304">
        <v>7164</v>
      </c>
      <c r="B4594" s="304" t="s">
        <v>10143</v>
      </c>
      <c r="C4594" s="304" t="s">
        <v>5564</v>
      </c>
      <c r="D4594" s="540">
        <v>29.82</v>
      </c>
    </row>
    <row r="4595" spans="1:4" ht="15" x14ac:dyDescent="0.25">
      <c r="A4595" s="304">
        <v>36887</v>
      </c>
      <c r="B4595" s="304" t="s">
        <v>10144</v>
      </c>
      <c r="C4595" s="304" t="s">
        <v>5564</v>
      </c>
      <c r="D4595" s="540">
        <v>13.36</v>
      </c>
    </row>
    <row r="4596" spans="1:4" ht="15" x14ac:dyDescent="0.25">
      <c r="A4596" s="304">
        <v>34630</v>
      </c>
      <c r="B4596" s="304" t="s">
        <v>10145</v>
      </c>
      <c r="C4596" s="304" t="s">
        <v>5555</v>
      </c>
      <c r="D4596" s="540">
        <v>999.44</v>
      </c>
    </row>
    <row r="4597" spans="1:4" ht="15" x14ac:dyDescent="0.25">
      <c r="A4597" s="304">
        <v>7161</v>
      </c>
      <c r="B4597" s="304" t="s">
        <v>10146</v>
      </c>
      <c r="C4597" s="304" t="s">
        <v>5564</v>
      </c>
      <c r="D4597" s="540">
        <v>4.5199999999999996</v>
      </c>
    </row>
    <row r="4598" spans="1:4" ht="15" x14ac:dyDescent="0.25">
      <c r="A4598" s="304">
        <v>7170</v>
      </c>
      <c r="B4598" s="304" t="s">
        <v>10147</v>
      </c>
      <c r="C4598" s="304" t="s">
        <v>5564</v>
      </c>
      <c r="D4598" s="540">
        <v>1.9</v>
      </c>
    </row>
    <row r="4599" spans="1:4" ht="15" x14ac:dyDescent="0.25">
      <c r="A4599" s="304">
        <v>37524</v>
      </c>
      <c r="B4599" s="304" t="s">
        <v>10148</v>
      </c>
      <c r="C4599" s="304" t="s">
        <v>5575</v>
      </c>
      <c r="D4599" s="540">
        <v>1.81</v>
      </c>
    </row>
    <row r="4600" spans="1:4" ht="15" x14ac:dyDescent="0.25">
      <c r="A4600" s="304">
        <v>37525</v>
      </c>
      <c r="B4600" s="304" t="s">
        <v>10149</v>
      </c>
      <c r="C4600" s="304" t="s">
        <v>5575</v>
      </c>
      <c r="D4600" s="540">
        <v>2.17</v>
      </c>
    </row>
    <row r="4601" spans="1:4" ht="15" x14ac:dyDescent="0.25">
      <c r="A4601" s="304">
        <v>10920</v>
      </c>
      <c r="B4601" s="304" t="s">
        <v>10150</v>
      </c>
      <c r="C4601" s="304" t="s">
        <v>5564</v>
      </c>
      <c r="D4601" s="540">
        <v>13.83</v>
      </c>
    </row>
    <row r="4602" spans="1:4" ht="15" x14ac:dyDescent="0.25">
      <c r="A4602" s="304">
        <v>7238</v>
      </c>
      <c r="B4602" s="304" t="s">
        <v>10151</v>
      </c>
      <c r="C4602" s="304" t="s">
        <v>5564</v>
      </c>
      <c r="D4602" s="540">
        <v>40.6</v>
      </c>
    </row>
    <row r="4603" spans="1:4" ht="15" x14ac:dyDescent="0.25">
      <c r="A4603" s="304">
        <v>7239</v>
      </c>
      <c r="B4603" s="304" t="s">
        <v>10152</v>
      </c>
      <c r="C4603" s="304" t="s">
        <v>5564</v>
      </c>
      <c r="D4603" s="540">
        <v>50.48</v>
      </c>
    </row>
    <row r="4604" spans="1:4" ht="15" x14ac:dyDescent="0.25">
      <c r="A4604" s="304">
        <v>7240</v>
      </c>
      <c r="B4604" s="304" t="s">
        <v>10153</v>
      </c>
      <c r="C4604" s="304" t="s">
        <v>5564</v>
      </c>
      <c r="D4604" s="540">
        <v>57.96</v>
      </c>
    </row>
    <row r="4605" spans="1:4" ht="15" x14ac:dyDescent="0.25">
      <c r="A4605" s="304">
        <v>36789</v>
      </c>
      <c r="B4605" s="304" t="s">
        <v>10154</v>
      </c>
      <c r="C4605" s="304" t="s">
        <v>5555</v>
      </c>
      <c r="D4605" s="540">
        <v>2.78</v>
      </c>
    </row>
    <row r="4606" spans="1:4" ht="15" x14ac:dyDescent="0.25">
      <c r="A4606" s="304">
        <v>25007</v>
      </c>
      <c r="B4606" s="304" t="s">
        <v>10155</v>
      </c>
      <c r="C4606" s="304" t="s">
        <v>5564</v>
      </c>
      <c r="D4606" s="540">
        <v>33.11</v>
      </c>
    </row>
    <row r="4607" spans="1:4" ht="15" x14ac:dyDescent="0.25">
      <c r="A4607" s="304">
        <v>14171</v>
      </c>
      <c r="B4607" s="304" t="s">
        <v>10156</v>
      </c>
      <c r="C4607" s="304" t="s">
        <v>5564</v>
      </c>
      <c r="D4607" s="540">
        <v>88.52</v>
      </c>
    </row>
    <row r="4608" spans="1:4" ht="15" x14ac:dyDescent="0.25">
      <c r="A4608" s="304">
        <v>14170</v>
      </c>
      <c r="B4608" s="304" t="s">
        <v>10157</v>
      </c>
      <c r="C4608" s="304" t="s">
        <v>5564</v>
      </c>
      <c r="D4608" s="540">
        <v>78.22</v>
      </c>
    </row>
    <row r="4609" spans="1:4" ht="15" x14ac:dyDescent="0.25">
      <c r="A4609" s="304">
        <v>14173</v>
      </c>
      <c r="B4609" s="304" t="s">
        <v>10158</v>
      </c>
      <c r="C4609" s="304" t="s">
        <v>5564</v>
      </c>
      <c r="D4609" s="540">
        <v>103.13</v>
      </c>
    </row>
    <row r="4610" spans="1:4" ht="15" x14ac:dyDescent="0.25">
      <c r="A4610" s="304">
        <v>14172</v>
      </c>
      <c r="B4610" s="304" t="s">
        <v>10159</v>
      </c>
      <c r="C4610" s="304" t="s">
        <v>5564</v>
      </c>
      <c r="D4610" s="540">
        <v>83.48</v>
      </c>
    </row>
    <row r="4611" spans="1:4" ht="15" x14ac:dyDescent="0.25">
      <c r="A4611" s="304">
        <v>7243</v>
      </c>
      <c r="B4611" s="304" t="s">
        <v>10160</v>
      </c>
      <c r="C4611" s="304" t="s">
        <v>5564</v>
      </c>
      <c r="D4611" s="540">
        <v>32.75</v>
      </c>
    </row>
    <row r="4612" spans="1:4" ht="15" x14ac:dyDescent="0.25">
      <c r="A4612" s="304">
        <v>11067</v>
      </c>
      <c r="B4612" s="304" t="s">
        <v>10161</v>
      </c>
      <c r="C4612" s="304" t="s">
        <v>5555</v>
      </c>
      <c r="D4612" s="540">
        <v>201.94</v>
      </c>
    </row>
    <row r="4613" spans="1:4" ht="15" x14ac:dyDescent="0.25">
      <c r="A4613" s="304">
        <v>11068</v>
      </c>
      <c r="B4613" s="304" t="s">
        <v>10162</v>
      </c>
      <c r="C4613" s="304" t="s">
        <v>5555</v>
      </c>
      <c r="D4613" s="540">
        <v>285.20999999999998</v>
      </c>
    </row>
    <row r="4614" spans="1:4" ht="15" x14ac:dyDescent="0.25">
      <c r="A4614" s="304">
        <v>7173</v>
      </c>
      <c r="B4614" s="304" t="s">
        <v>10163</v>
      </c>
      <c r="C4614" s="304" t="s">
        <v>6074</v>
      </c>
      <c r="D4614" s="541">
        <v>1800</v>
      </c>
    </row>
    <row r="4615" spans="1:4" ht="15" x14ac:dyDescent="0.25">
      <c r="A4615" s="304">
        <v>7175</v>
      </c>
      <c r="B4615" s="304" t="s">
        <v>10164</v>
      </c>
      <c r="C4615" s="304" t="s">
        <v>5555</v>
      </c>
      <c r="D4615" s="540">
        <v>2.0299999999999998</v>
      </c>
    </row>
    <row r="4616" spans="1:4" ht="15" x14ac:dyDescent="0.25">
      <c r="A4616" s="304">
        <v>40865</v>
      </c>
      <c r="B4616" s="304" t="s">
        <v>10165</v>
      </c>
      <c r="C4616" s="304" t="s">
        <v>5555</v>
      </c>
      <c r="D4616" s="540">
        <v>2.68</v>
      </c>
    </row>
    <row r="4617" spans="1:4" ht="15" x14ac:dyDescent="0.25">
      <c r="A4617" s="304">
        <v>7184</v>
      </c>
      <c r="B4617" s="304" t="s">
        <v>10166</v>
      </c>
      <c r="C4617" s="304" t="s">
        <v>5564</v>
      </c>
      <c r="D4617" s="540">
        <v>26.3</v>
      </c>
    </row>
    <row r="4618" spans="1:4" ht="15" x14ac:dyDescent="0.25">
      <c r="A4618" s="304">
        <v>34458</v>
      </c>
      <c r="B4618" s="304" t="s">
        <v>10167</v>
      </c>
      <c r="C4618" s="304" t="s">
        <v>5555</v>
      </c>
      <c r="D4618" s="540">
        <v>112</v>
      </c>
    </row>
    <row r="4619" spans="1:4" ht="15" x14ac:dyDescent="0.25">
      <c r="A4619" s="304">
        <v>34464</v>
      </c>
      <c r="B4619" s="304" t="s">
        <v>10168</v>
      </c>
      <c r="C4619" s="304" t="s">
        <v>5555</v>
      </c>
      <c r="D4619" s="540">
        <v>150.26</v>
      </c>
    </row>
    <row r="4620" spans="1:4" ht="15" x14ac:dyDescent="0.25">
      <c r="A4620" s="304">
        <v>34468</v>
      </c>
      <c r="B4620" s="304" t="s">
        <v>10169</v>
      </c>
      <c r="C4620" s="304" t="s">
        <v>5555</v>
      </c>
      <c r="D4620" s="540">
        <v>173.41</v>
      </c>
    </row>
    <row r="4621" spans="1:4" ht="15" x14ac:dyDescent="0.25">
      <c r="A4621" s="304">
        <v>34473</v>
      </c>
      <c r="B4621" s="304" t="s">
        <v>10170</v>
      </c>
      <c r="C4621" s="304" t="s">
        <v>5555</v>
      </c>
      <c r="D4621" s="540">
        <v>141.83000000000001</v>
      </c>
    </row>
    <row r="4622" spans="1:4" ht="15" x14ac:dyDescent="0.25">
      <c r="A4622" s="304">
        <v>34480</v>
      </c>
      <c r="B4622" s="304" t="s">
        <v>10171</v>
      </c>
      <c r="C4622" s="304" t="s">
        <v>5555</v>
      </c>
      <c r="D4622" s="540">
        <v>193.4</v>
      </c>
    </row>
    <row r="4623" spans="1:4" ht="15" x14ac:dyDescent="0.25">
      <c r="A4623" s="304">
        <v>34486</v>
      </c>
      <c r="B4623" s="304" t="s">
        <v>10172</v>
      </c>
      <c r="C4623" s="304" t="s">
        <v>5555</v>
      </c>
      <c r="D4623" s="540">
        <v>216.61</v>
      </c>
    </row>
    <row r="4624" spans="1:4" ht="15" x14ac:dyDescent="0.25">
      <c r="A4624" s="304">
        <v>7202</v>
      </c>
      <c r="B4624" s="304" t="s">
        <v>10173</v>
      </c>
      <c r="C4624" s="304" t="s">
        <v>5564</v>
      </c>
      <c r="D4624" s="540">
        <v>44.39</v>
      </c>
    </row>
    <row r="4625" spans="1:4" ht="15" x14ac:dyDescent="0.25">
      <c r="A4625" s="304">
        <v>7190</v>
      </c>
      <c r="B4625" s="304" t="s">
        <v>10174</v>
      </c>
      <c r="C4625" s="304" t="s">
        <v>5555</v>
      </c>
      <c r="D4625" s="540">
        <v>7.61</v>
      </c>
    </row>
    <row r="4626" spans="1:4" ht="15" x14ac:dyDescent="0.25">
      <c r="A4626" s="304">
        <v>34417</v>
      </c>
      <c r="B4626" s="304" t="s">
        <v>10175</v>
      </c>
      <c r="C4626" s="304" t="s">
        <v>5555</v>
      </c>
      <c r="D4626" s="540">
        <v>13.23</v>
      </c>
    </row>
    <row r="4627" spans="1:4" ht="15" x14ac:dyDescent="0.25">
      <c r="A4627" s="304">
        <v>7191</v>
      </c>
      <c r="B4627" s="304" t="s">
        <v>10176</v>
      </c>
      <c r="C4627" s="304" t="s">
        <v>5555</v>
      </c>
      <c r="D4627" s="540">
        <v>15.34</v>
      </c>
    </row>
    <row r="4628" spans="1:4" ht="15" x14ac:dyDescent="0.25">
      <c r="A4628" s="304">
        <v>7213</v>
      </c>
      <c r="B4628" s="304" t="s">
        <v>10176</v>
      </c>
      <c r="C4628" s="304" t="s">
        <v>5564</v>
      </c>
      <c r="D4628" s="540">
        <v>12.57</v>
      </c>
    </row>
    <row r="4629" spans="1:4" ht="15" x14ac:dyDescent="0.25">
      <c r="A4629" s="304">
        <v>7195</v>
      </c>
      <c r="B4629" s="304" t="s">
        <v>10177</v>
      </c>
      <c r="C4629" s="304" t="s">
        <v>5555</v>
      </c>
      <c r="D4629" s="540">
        <v>36.549999999999997</v>
      </c>
    </row>
    <row r="4630" spans="1:4" ht="15" x14ac:dyDescent="0.25">
      <c r="A4630" s="304">
        <v>7186</v>
      </c>
      <c r="B4630" s="304" t="s">
        <v>10178</v>
      </c>
      <c r="C4630" s="304" t="s">
        <v>5555</v>
      </c>
      <c r="D4630" s="540">
        <v>43.73</v>
      </c>
    </row>
    <row r="4631" spans="1:4" ht="15" x14ac:dyDescent="0.25">
      <c r="A4631" s="304">
        <v>7194</v>
      </c>
      <c r="B4631" s="304" t="s">
        <v>10179</v>
      </c>
      <c r="C4631" s="304" t="s">
        <v>5564</v>
      </c>
      <c r="D4631" s="540">
        <v>21.68</v>
      </c>
    </row>
    <row r="4632" spans="1:4" ht="15" x14ac:dyDescent="0.25">
      <c r="A4632" s="304">
        <v>7207</v>
      </c>
      <c r="B4632" s="304" t="s">
        <v>10179</v>
      </c>
      <c r="C4632" s="304" t="s">
        <v>5555</v>
      </c>
      <c r="D4632" s="540">
        <v>58.2</v>
      </c>
    </row>
    <row r="4633" spans="1:4" ht="15" x14ac:dyDescent="0.25">
      <c r="A4633" s="304">
        <v>7197</v>
      </c>
      <c r="B4633" s="304" t="s">
        <v>10180</v>
      </c>
      <c r="C4633" s="304" t="s">
        <v>5555</v>
      </c>
      <c r="D4633" s="540">
        <v>87.44</v>
      </c>
    </row>
    <row r="4634" spans="1:4" ht="15" x14ac:dyDescent="0.25">
      <c r="A4634" s="304">
        <v>7192</v>
      </c>
      <c r="B4634" s="304" t="s">
        <v>10181</v>
      </c>
      <c r="C4634" s="304" t="s">
        <v>5555</v>
      </c>
      <c r="D4634" s="540">
        <v>48.09</v>
      </c>
    </row>
    <row r="4635" spans="1:4" ht="15" x14ac:dyDescent="0.25">
      <c r="A4635" s="304">
        <v>7193</v>
      </c>
      <c r="B4635" s="304" t="s">
        <v>10182</v>
      </c>
      <c r="C4635" s="304" t="s">
        <v>5555</v>
      </c>
      <c r="D4635" s="540">
        <v>57.41</v>
      </c>
    </row>
    <row r="4636" spans="1:4" ht="15" x14ac:dyDescent="0.25">
      <c r="A4636" s="304">
        <v>7189</v>
      </c>
      <c r="B4636" s="304" t="s">
        <v>10183</v>
      </c>
      <c r="C4636" s="304" t="s">
        <v>5555</v>
      </c>
      <c r="D4636" s="540">
        <v>80.63</v>
      </c>
    </row>
    <row r="4637" spans="1:4" ht="15" x14ac:dyDescent="0.25">
      <c r="A4637" s="304">
        <v>7198</v>
      </c>
      <c r="B4637" s="304" t="s">
        <v>10184</v>
      </c>
      <c r="C4637" s="304" t="s">
        <v>5564</v>
      </c>
      <c r="D4637" s="540">
        <v>30.02</v>
      </c>
    </row>
    <row r="4638" spans="1:4" ht="15" x14ac:dyDescent="0.25">
      <c r="A4638" s="304">
        <v>34402</v>
      </c>
      <c r="B4638" s="304" t="s">
        <v>10184</v>
      </c>
      <c r="C4638" s="304" t="s">
        <v>5555</v>
      </c>
      <c r="D4638" s="540">
        <v>120.86</v>
      </c>
    </row>
    <row r="4639" spans="1:4" ht="15" x14ac:dyDescent="0.25">
      <c r="A4639" s="304">
        <v>7245</v>
      </c>
      <c r="B4639" s="304" t="s">
        <v>10185</v>
      </c>
      <c r="C4639" s="304" t="s">
        <v>5555</v>
      </c>
      <c r="D4639" s="540">
        <v>48.71</v>
      </c>
    </row>
    <row r="4640" spans="1:4" ht="15" x14ac:dyDescent="0.25">
      <c r="A4640" s="304">
        <v>34425</v>
      </c>
      <c r="B4640" s="304" t="s">
        <v>10186</v>
      </c>
      <c r="C4640" s="304" t="s">
        <v>5555</v>
      </c>
      <c r="D4640" s="540">
        <v>74.739999999999995</v>
      </c>
    </row>
    <row r="4641" spans="1:4" ht="15" x14ac:dyDescent="0.25">
      <c r="A4641" s="304">
        <v>7223</v>
      </c>
      <c r="B4641" s="304" t="s">
        <v>10187</v>
      </c>
      <c r="C4641" s="304" t="s">
        <v>5555</v>
      </c>
      <c r="D4641" s="540">
        <v>87.1</v>
      </c>
    </row>
    <row r="4642" spans="1:4" ht="15" x14ac:dyDescent="0.25">
      <c r="A4642" s="304">
        <v>7234</v>
      </c>
      <c r="B4642" s="304" t="s">
        <v>10188</v>
      </c>
      <c r="C4642" s="304" t="s">
        <v>5555</v>
      </c>
      <c r="D4642" s="540">
        <v>125.63</v>
      </c>
    </row>
    <row r="4643" spans="1:4" ht="15" x14ac:dyDescent="0.25">
      <c r="A4643" s="304">
        <v>7224</v>
      </c>
      <c r="B4643" s="304" t="s">
        <v>10189</v>
      </c>
      <c r="C4643" s="304" t="s">
        <v>5555</v>
      </c>
      <c r="D4643" s="540">
        <v>138.77000000000001</v>
      </c>
    </row>
    <row r="4644" spans="1:4" ht="15" x14ac:dyDescent="0.25">
      <c r="A4644" s="304">
        <v>7221</v>
      </c>
      <c r="B4644" s="304" t="s">
        <v>10190</v>
      </c>
      <c r="C4644" s="304" t="s">
        <v>5564</v>
      </c>
      <c r="D4644" s="540">
        <v>67.47</v>
      </c>
    </row>
    <row r="4645" spans="1:4" ht="15" x14ac:dyDescent="0.25">
      <c r="A4645" s="304">
        <v>7210</v>
      </c>
      <c r="B4645" s="304" t="s">
        <v>10190</v>
      </c>
      <c r="C4645" s="304" t="s">
        <v>5555</v>
      </c>
      <c r="D4645" s="540">
        <v>157.88999999999999</v>
      </c>
    </row>
    <row r="4646" spans="1:4" ht="15" x14ac:dyDescent="0.25">
      <c r="A4646" s="304">
        <v>7225</v>
      </c>
      <c r="B4646" s="304" t="s">
        <v>10191</v>
      </c>
      <c r="C4646" s="304" t="s">
        <v>5555</v>
      </c>
      <c r="D4646" s="540">
        <v>175.45</v>
      </c>
    </row>
    <row r="4647" spans="1:4" ht="15" x14ac:dyDescent="0.25">
      <c r="A4647" s="304">
        <v>7226</v>
      </c>
      <c r="B4647" s="304" t="s">
        <v>10192</v>
      </c>
      <c r="C4647" s="304" t="s">
        <v>5555</v>
      </c>
      <c r="D4647" s="540">
        <v>193.07</v>
      </c>
    </row>
    <row r="4648" spans="1:4" ht="15" x14ac:dyDescent="0.25">
      <c r="A4648" s="304">
        <v>7236</v>
      </c>
      <c r="B4648" s="304" t="s">
        <v>10193</v>
      </c>
      <c r="C4648" s="304" t="s">
        <v>5555</v>
      </c>
      <c r="D4648" s="540">
        <v>210.57</v>
      </c>
    </row>
    <row r="4649" spans="1:4" ht="15" x14ac:dyDescent="0.25">
      <c r="A4649" s="304">
        <v>7227</v>
      </c>
      <c r="B4649" s="304" t="s">
        <v>10194</v>
      </c>
      <c r="C4649" s="304" t="s">
        <v>5555</v>
      </c>
      <c r="D4649" s="540">
        <v>228.12</v>
      </c>
    </row>
    <row r="4650" spans="1:4" ht="15" x14ac:dyDescent="0.25">
      <c r="A4650" s="304">
        <v>7212</v>
      </c>
      <c r="B4650" s="304" t="s">
        <v>10195</v>
      </c>
      <c r="C4650" s="304" t="s">
        <v>5555</v>
      </c>
      <c r="D4650" s="540">
        <v>252.58</v>
      </c>
    </row>
    <row r="4651" spans="1:4" ht="15" x14ac:dyDescent="0.25">
      <c r="A4651" s="304">
        <v>7229</v>
      </c>
      <c r="B4651" s="304" t="s">
        <v>10196</v>
      </c>
      <c r="C4651" s="304" t="s">
        <v>5555</v>
      </c>
      <c r="D4651" s="540">
        <v>167.03</v>
      </c>
    </row>
    <row r="4652" spans="1:4" ht="15" x14ac:dyDescent="0.25">
      <c r="A4652" s="304">
        <v>7230</v>
      </c>
      <c r="B4652" s="304" t="s">
        <v>10197</v>
      </c>
      <c r="C4652" s="304" t="s">
        <v>5555</v>
      </c>
      <c r="D4652" s="540">
        <v>266.18</v>
      </c>
    </row>
    <row r="4653" spans="1:4" ht="15" x14ac:dyDescent="0.25">
      <c r="A4653" s="304">
        <v>7231</v>
      </c>
      <c r="B4653" s="304" t="s">
        <v>10198</v>
      </c>
      <c r="C4653" s="304" t="s">
        <v>5555</v>
      </c>
      <c r="D4653" s="540">
        <v>349.57</v>
      </c>
    </row>
    <row r="4654" spans="1:4" ht="15" x14ac:dyDescent="0.25">
      <c r="A4654" s="304">
        <v>7220</v>
      </c>
      <c r="B4654" s="304" t="s">
        <v>10199</v>
      </c>
      <c r="C4654" s="304" t="s">
        <v>5555</v>
      </c>
      <c r="D4654" s="540">
        <v>429.77</v>
      </c>
    </row>
    <row r="4655" spans="1:4" ht="15" x14ac:dyDescent="0.25">
      <c r="A4655" s="304">
        <v>34447</v>
      </c>
      <c r="B4655" s="304" t="s">
        <v>10200</v>
      </c>
      <c r="C4655" s="304" t="s">
        <v>5555</v>
      </c>
      <c r="D4655" s="540">
        <v>478.34</v>
      </c>
    </row>
    <row r="4656" spans="1:4" ht="15" x14ac:dyDescent="0.25">
      <c r="A4656" s="304">
        <v>7233</v>
      </c>
      <c r="B4656" s="304" t="s">
        <v>10201</v>
      </c>
      <c r="C4656" s="304" t="s">
        <v>5555</v>
      </c>
      <c r="D4656" s="540">
        <v>535.52</v>
      </c>
    </row>
    <row r="4657" spans="1:4" ht="15" x14ac:dyDescent="0.25">
      <c r="A4657" s="304">
        <v>42172</v>
      </c>
      <c r="B4657" s="304" t="s">
        <v>10202</v>
      </c>
      <c r="C4657" s="304" t="s">
        <v>5564</v>
      </c>
      <c r="D4657" s="540">
        <v>140.5</v>
      </c>
    </row>
    <row r="4658" spans="1:4" ht="15" x14ac:dyDescent="0.25">
      <c r="A4658" s="304">
        <v>39520</v>
      </c>
      <c r="B4658" s="304" t="s">
        <v>10203</v>
      </c>
      <c r="C4658" s="304" t="s">
        <v>5564</v>
      </c>
      <c r="D4658" s="540">
        <v>132.18</v>
      </c>
    </row>
    <row r="4659" spans="1:4" ht="15" x14ac:dyDescent="0.25">
      <c r="A4659" s="304">
        <v>39521</v>
      </c>
      <c r="B4659" s="304" t="s">
        <v>10204</v>
      </c>
      <c r="C4659" s="304" t="s">
        <v>5564</v>
      </c>
      <c r="D4659" s="540">
        <v>141.57</v>
      </c>
    </row>
    <row r="4660" spans="1:4" ht="15" x14ac:dyDescent="0.25">
      <c r="A4660" s="304">
        <v>39522</v>
      </c>
      <c r="B4660" s="304" t="s">
        <v>10205</v>
      </c>
      <c r="C4660" s="304" t="s">
        <v>5564</v>
      </c>
      <c r="D4660" s="540">
        <v>113.2</v>
      </c>
    </row>
    <row r="4661" spans="1:4" ht="15" x14ac:dyDescent="0.25">
      <c r="A4661" s="304">
        <v>7246</v>
      </c>
      <c r="B4661" s="304" t="s">
        <v>10206</v>
      </c>
      <c r="C4661" s="304" t="s">
        <v>5555</v>
      </c>
      <c r="D4661" s="540">
        <v>45.32</v>
      </c>
    </row>
    <row r="4662" spans="1:4" ht="15" x14ac:dyDescent="0.25">
      <c r="A4662" s="304">
        <v>12869</v>
      </c>
      <c r="B4662" s="304" t="s">
        <v>10207</v>
      </c>
      <c r="C4662" s="304" t="s">
        <v>5566</v>
      </c>
      <c r="D4662" s="540">
        <v>15.01</v>
      </c>
    </row>
    <row r="4663" spans="1:4" ht="15" x14ac:dyDescent="0.25">
      <c r="A4663" s="304">
        <v>41097</v>
      </c>
      <c r="B4663" s="304" t="s">
        <v>10208</v>
      </c>
      <c r="C4663" s="304" t="s">
        <v>5755</v>
      </c>
      <c r="D4663" s="541">
        <v>2629.46</v>
      </c>
    </row>
    <row r="4664" spans="1:4" ht="15" x14ac:dyDescent="0.25">
      <c r="A4664" s="304">
        <v>1574</v>
      </c>
      <c r="B4664" s="304" t="s">
        <v>10209</v>
      </c>
      <c r="C4664" s="304" t="s">
        <v>5555</v>
      </c>
      <c r="D4664" s="540">
        <v>0.97</v>
      </c>
    </row>
    <row r="4665" spans="1:4" ht="15" x14ac:dyDescent="0.25">
      <c r="A4665" s="304">
        <v>1581</v>
      </c>
      <c r="B4665" s="304" t="s">
        <v>10210</v>
      </c>
      <c r="C4665" s="304" t="s">
        <v>5555</v>
      </c>
      <c r="D4665" s="540">
        <v>6.76</v>
      </c>
    </row>
    <row r="4666" spans="1:4" ht="15" x14ac:dyDescent="0.25">
      <c r="A4666" s="304">
        <v>1575</v>
      </c>
      <c r="B4666" s="304" t="s">
        <v>10211</v>
      </c>
      <c r="C4666" s="304" t="s">
        <v>5555</v>
      </c>
      <c r="D4666" s="540">
        <v>1.1499999999999999</v>
      </c>
    </row>
    <row r="4667" spans="1:4" ht="15" x14ac:dyDescent="0.25">
      <c r="A4667" s="304">
        <v>1570</v>
      </c>
      <c r="B4667" s="304" t="s">
        <v>10212</v>
      </c>
      <c r="C4667" s="304" t="s">
        <v>5555</v>
      </c>
      <c r="D4667" s="540">
        <v>0.57999999999999996</v>
      </c>
    </row>
    <row r="4668" spans="1:4" ht="15" x14ac:dyDescent="0.25">
      <c r="A4668" s="304">
        <v>1576</v>
      </c>
      <c r="B4668" s="304" t="s">
        <v>10213</v>
      </c>
      <c r="C4668" s="304" t="s">
        <v>5555</v>
      </c>
      <c r="D4668" s="540">
        <v>1.6</v>
      </c>
    </row>
    <row r="4669" spans="1:4" ht="15" x14ac:dyDescent="0.25">
      <c r="A4669" s="304">
        <v>1577</v>
      </c>
      <c r="B4669" s="304" t="s">
        <v>10214</v>
      </c>
      <c r="C4669" s="304" t="s">
        <v>5555</v>
      </c>
      <c r="D4669" s="540">
        <v>1.8</v>
      </c>
    </row>
    <row r="4670" spans="1:4" ht="15" x14ac:dyDescent="0.25">
      <c r="A4670" s="304">
        <v>1571</v>
      </c>
      <c r="B4670" s="304" t="s">
        <v>10215</v>
      </c>
      <c r="C4670" s="304" t="s">
        <v>5555</v>
      </c>
      <c r="D4670" s="540">
        <v>0.75</v>
      </c>
    </row>
    <row r="4671" spans="1:4" ht="15" x14ac:dyDescent="0.25">
      <c r="A4671" s="304">
        <v>1578</v>
      </c>
      <c r="B4671" s="304" t="s">
        <v>10216</v>
      </c>
      <c r="C4671" s="304" t="s">
        <v>5555</v>
      </c>
      <c r="D4671" s="540">
        <v>3.13</v>
      </c>
    </row>
    <row r="4672" spans="1:4" ht="15" x14ac:dyDescent="0.25">
      <c r="A4672" s="304">
        <v>1573</v>
      </c>
      <c r="B4672" s="304" t="s">
        <v>10217</v>
      </c>
      <c r="C4672" s="304" t="s">
        <v>5555</v>
      </c>
      <c r="D4672" s="540">
        <v>0.9</v>
      </c>
    </row>
    <row r="4673" spans="1:4" ht="15" x14ac:dyDescent="0.25">
      <c r="A4673" s="304">
        <v>1579</v>
      </c>
      <c r="B4673" s="304" t="s">
        <v>10218</v>
      </c>
      <c r="C4673" s="304" t="s">
        <v>5555</v>
      </c>
      <c r="D4673" s="540">
        <v>3.9</v>
      </c>
    </row>
    <row r="4674" spans="1:4" ht="15" x14ac:dyDescent="0.25">
      <c r="A4674" s="304">
        <v>1580</v>
      </c>
      <c r="B4674" s="304" t="s">
        <v>10219</v>
      </c>
      <c r="C4674" s="304" t="s">
        <v>5555</v>
      </c>
      <c r="D4674" s="540">
        <v>4.8099999999999996</v>
      </c>
    </row>
    <row r="4675" spans="1:4" ht="15" x14ac:dyDescent="0.25">
      <c r="A4675" s="304">
        <v>7571</v>
      </c>
      <c r="B4675" s="304" t="s">
        <v>10220</v>
      </c>
      <c r="C4675" s="304" t="s">
        <v>5555</v>
      </c>
      <c r="D4675" s="540">
        <v>6.32</v>
      </c>
    </row>
    <row r="4676" spans="1:4" ht="15" x14ac:dyDescent="0.25">
      <c r="A4676" s="304">
        <v>39321</v>
      </c>
      <c r="B4676" s="304" t="s">
        <v>10221</v>
      </c>
      <c r="C4676" s="304" t="s">
        <v>5555</v>
      </c>
      <c r="D4676" s="540">
        <v>10.82</v>
      </c>
    </row>
    <row r="4677" spans="1:4" ht="15" x14ac:dyDescent="0.25">
      <c r="A4677" s="304">
        <v>39319</v>
      </c>
      <c r="B4677" s="304" t="s">
        <v>10222</v>
      </c>
      <c r="C4677" s="304" t="s">
        <v>5555</v>
      </c>
      <c r="D4677" s="540">
        <v>4.22</v>
      </c>
    </row>
    <row r="4678" spans="1:4" ht="15" x14ac:dyDescent="0.25">
      <c r="A4678" s="304">
        <v>39320</v>
      </c>
      <c r="B4678" s="304" t="s">
        <v>10223</v>
      </c>
      <c r="C4678" s="304" t="s">
        <v>5555</v>
      </c>
      <c r="D4678" s="540">
        <v>7.02</v>
      </c>
    </row>
    <row r="4679" spans="1:4" ht="15" x14ac:dyDescent="0.25">
      <c r="A4679" s="304">
        <v>1591</v>
      </c>
      <c r="B4679" s="304" t="s">
        <v>10224</v>
      </c>
      <c r="C4679" s="304" t="s">
        <v>5555</v>
      </c>
      <c r="D4679" s="540">
        <v>14.91</v>
      </c>
    </row>
    <row r="4680" spans="1:4" ht="15" x14ac:dyDescent="0.25">
      <c r="A4680" s="304">
        <v>1547</v>
      </c>
      <c r="B4680" s="304" t="s">
        <v>10225</v>
      </c>
      <c r="C4680" s="304" t="s">
        <v>5555</v>
      </c>
      <c r="D4680" s="540">
        <v>78.14</v>
      </c>
    </row>
    <row r="4681" spans="1:4" ht="15" x14ac:dyDescent="0.25">
      <c r="A4681" s="304">
        <v>38196</v>
      </c>
      <c r="B4681" s="304" t="s">
        <v>10226</v>
      </c>
      <c r="C4681" s="304" t="s">
        <v>5555</v>
      </c>
      <c r="D4681" s="540">
        <v>15.22</v>
      </c>
    </row>
    <row r="4682" spans="1:4" ht="15" x14ac:dyDescent="0.25">
      <c r="A4682" s="304">
        <v>1543</v>
      </c>
      <c r="B4682" s="304" t="s">
        <v>10227</v>
      </c>
      <c r="C4682" s="304" t="s">
        <v>5555</v>
      </c>
      <c r="D4682" s="540">
        <v>16.170000000000002</v>
      </c>
    </row>
    <row r="4683" spans="1:4" ht="15" x14ac:dyDescent="0.25">
      <c r="A4683" s="304">
        <v>1585</v>
      </c>
      <c r="B4683" s="304" t="s">
        <v>10228</v>
      </c>
      <c r="C4683" s="304" t="s">
        <v>5555</v>
      </c>
      <c r="D4683" s="540">
        <v>3.13</v>
      </c>
    </row>
    <row r="4684" spans="1:4" ht="15" x14ac:dyDescent="0.25">
      <c r="A4684" s="304">
        <v>1593</v>
      </c>
      <c r="B4684" s="304" t="s">
        <v>10229</v>
      </c>
      <c r="C4684" s="304" t="s">
        <v>5555</v>
      </c>
      <c r="D4684" s="540">
        <v>16.63</v>
      </c>
    </row>
    <row r="4685" spans="1:4" ht="15" x14ac:dyDescent="0.25">
      <c r="A4685" s="304">
        <v>11838</v>
      </c>
      <c r="B4685" s="304" t="s">
        <v>10230</v>
      </c>
      <c r="C4685" s="304" t="s">
        <v>5555</v>
      </c>
      <c r="D4685" s="540">
        <v>21.95</v>
      </c>
    </row>
    <row r="4686" spans="1:4" ht="15" x14ac:dyDescent="0.25">
      <c r="A4686" s="304">
        <v>1594</v>
      </c>
      <c r="B4686" s="304" t="s">
        <v>10231</v>
      </c>
      <c r="C4686" s="304" t="s">
        <v>5555</v>
      </c>
      <c r="D4686" s="540">
        <v>22.19</v>
      </c>
    </row>
    <row r="4687" spans="1:4" ht="15" x14ac:dyDescent="0.25">
      <c r="A4687" s="304">
        <v>1586</v>
      </c>
      <c r="B4687" s="304" t="s">
        <v>10232</v>
      </c>
      <c r="C4687" s="304" t="s">
        <v>5555</v>
      </c>
      <c r="D4687" s="540">
        <v>3.96</v>
      </c>
    </row>
    <row r="4688" spans="1:4" ht="15" x14ac:dyDescent="0.25">
      <c r="A4688" s="304">
        <v>11839</v>
      </c>
      <c r="B4688" s="304" t="s">
        <v>10233</v>
      </c>
      <c r="C4688" s="304" t="s">
        <v>5555</v>
      </c>
      <c r="D4688" s="540">
        <v>31.93</v>
      </c>
    </row>
    <row r="4689" spans="1:4" ht="15" x14ac:dyDescent="0.25">
      <c r="A4689" s="304">
        <v>1587</v>
      </c>
      <c r="B4689" s="304" t="s">
        <v>10234</v>
      </c>
      <c r="C4689" s="304" t="s">
        <v>5555</v>
      </c>
      <c r="D4689" s="540">
        <v>4.03</v>
      </c>
    </row>
    <row r="4690" spans="1:4" ht="15" x14ac:dyDescent="0.25">
      <c r="A4690" s="304">
        <v>1545</v>
      </c>
      <c r="B4690" s="304" t="s">
        <v>10235</v>
      </c>
      <c r="C4690" s="304" t="s">
        <v>5555</v>
      </c>
      <c r="D4690" s="540">
        <v>38.32</v>
      </c>
    </row>
    <row r="4691" spans="1:4" ht="15" x14ac:dyDescent="0.25">
      <c r="A4691" s="304">
        <v>1588</v>
      </c>
      <c r="B4691" s="304" t="s">
        <v>10236</v>
      </c>
      <c r="C4691" s="304" t="s">
        <v>5555</v>
      </c>
      <c r="D4691" s="540">
        <v>5.54</v>
      </c>
    </row>
    <row r="4692" spans="1:4" ht="15" x14ac:dyDescent="0.25">
      <c r="A4692" s="304">
        <v>1535</v>
      </c>
      <c r="B4692" s="304" t="s">
        <v>10237</v>
      </c>
      <c r="C4692" s="304" t="s">
        <v>5555</v>
      </c>
      <c r="D4692" s="540">
        <v>3.19</v>
      </c>
    </row>
    <row r="4693" spans="1:4" ht="15" x14ac:dyDescent="0.25">
      <c r="A4693" s="304">
        <v>1589</v>
      </c>
      <c r="B4693" s="304" t="s">
        <v>10238</v>
      </c>
      <c r="C4693" s="304" t="s">
        <v>5555</v>
      </c>
      <c r="D4693" s="540">
        <v>5.71</v>
      </c>
    </row>
    <row r="4694" spans="1:4" ht="15" x14ac:dyDescent="0.25">
      <c r="A4694" s="304">
        <v>1546</v>
      </c>
      <c r="B4694" s="304" t="s">
        <v>10239</v>
      </c>
      <c r="C4694" s="304" t="s">
        <v>5555</v>
      </c>
      <c r="D4694" s="540">
        <v>64.67</v>
      </c>
    </row>
    <row r="4695" spans="1:4" ht="15" x14ac:dyDescent="0.25">
      <c r="A4695" s="304">
        <v>1590</v>
      </c>
      <c r="B4695" s="304" t="s">
        <v>10240</v>
      </c>
      <c r="C4695" s="304" t="s">
        <v>5555</v>
      </c>
      <c r="D4695" s="540">
        <v>10.06</v>
      </c>
    </row>
    <row r="4696" spans="1:4" ht="15" x14ac:dyDescent="0.25">
      <c r="A4696" s="304">
        <v>1542</v>
      </c>
      <c r="B4696" s="304" t="s">
        <v>10241</v>
      </c>
      <c r="C4696" s="304" t="s">
        <v>5555</v>
      </c>
      <c r="D4696" s="540">
        <v>13.32</v>
      </c>
    </row>
    <row r="4697" spans="1:4" ht="15" x14ac:dyDescent="0.25">
      <c r="A4697" s="304">
        <v>38415</v>
      </c>
      <c r="B4697" s="304" t="s">
        <v>10242</v>
      </c>
      <c r="C4697" s="304" t="s">
        <v>5555</v>
      </c>
      <c r="D4697" s="540">
        <v>758.76</v>
      </c>
    </row>
    <row r="4698" spans="1:4" ht="15" x14ac:dyDescent="0.25">
      <c r="A4698" s="304">
        <v>38414</v>
      </c>
      <c r="B4698" s="304" t="s">
        <v>10243</v>
      </c>
      <c r="C4698" s="304" t="s">
        <v>5555</v>
      </c>
      <c r="D4698" s="541">
        <v>1064.92</v>
      </c>
    </row>
    <row r="4699" spans="1:4" ht="15" x14ac:dyDescent="0.25">
      <c r="A4699" s="304">
        <v>38128</v>
      </c>
      <c r="B4699" s="304" t="s">
        <v>10244</v>
      </c>
      <c r="C4699" s="304" t="s">
        <v>5626</v>
      </c>
      <c r="D4699" s="540">
        <v>0.95</v>
      </c>
    </row>
    <row r="4700" spans="1:4" ht="15" x14ac:dyDescent="0.25">
      <c r="A4700" s="304">
        <v>7253</v>
      </c>
      <c r="B4700" s="304" t="s">
        <v>10245</v>
      </c>
      <c r="C4700" s="304" t="s">
        <v>5751</v>
      </c>
      <c r="D4700" s="540">
        <v>203.57</v>
      </c>
    </row>
    <row r="4701" spans="1:4" ht="15" x14ac:dyDescent="0.25">
      <c r="A4701" s="304">
        <v>4806</v>
      </c>
      <c r="B4701" s="304" t="s">
        <v>10246</v>
      </c>
      <c r="C4701" s="304" t="s">
        <v>5575</v>
      </c>
      <c r="D4701" s="540">
        <v>12.39</v>
      </c>
    </row>
    <row r="4702" spans="1:4" ht="15" x14ac:dyDescent="0.25">
      <c r="A4702" s="304">
        <v>34401</v>
      </c>
      <c r="B4702" s="304" t="s">
        <v>10247</v>
      </c>
      <c r="C4702" s="304" t="s">
        <v>5555</v>
      </c>
      <c r="D4702" s="540">
        <v>0.9</v>
      </c>
    </row>
    <row r="4703" spans="1:4" ht="15" x14ac:dyDescent="0.25">
      <c r="A4703" s="304">
        <v>7258</v>
      </c>
      <c r="B4703" s="304" t="s">
        <v>10248</v>
      </c>
      <c r="C4703" s="304" t="s">
        <v>5555</v>
      </c>
      <c r="D4703" s="540">
        <v>0.28000000000000003</v>
      </c>
    </row>
    <row r="4704" spans="1:4" ht="15" x14ac:dyDescent="0.25">
      <c r="A4704" s="304">
        <v>7260</v>
      </c>
      <c r="B4704" s="304" t="s">
        <v>10249</v>
      </c>
      <c r="C4704" s="304" t="s">
        <v>5555</v>
      </c>
      <c r="D4704" s="540">
        <v>0.87</v>
      </c>
    </row>
    <row r="4705" spans="1:4" ht="15" x14ac:dyDescent="0.25">
      <c r="A4705" s="304">
        <v>7256</v>
      </c>
      <c r="B4705" s="304" t="s">
        <v>10250</v>
      </c>
      <c r="C4705" s="304" t="s">
        <v>5555</v>
      </c>
      <c r="D4705" s="540">
        <v>0.51</v>
      </c>
    </row>
    <row r="4706" spans="1:4" ht="15" x14ac:dyDescent="0.25">
      <c r="A4706" s="304">
        <v>34400</v>
      </c>
      <c r="B4706" s="304" t="s">
        <v>10251</v>
      </c>
      <c r="C4706" s="304" t="s">
        <v>5555</v>
      </c>
      <c r="D4706" s="540">
        <v>2.19</v>
      </c>
    </row>
    <row r="4707" spans="1:4" ht="15" x14ac:dyDescent="0.25">
      <c r="A4707" s="304">
        <v>10617</v>
      </c>
      <c r="B4707" s="304" t="s">
        <v>10252</v>
      </c>
      <c r="C4707" s="304" t="s">
        <v>5555</v>
      </c>
      <c r="D4707" s="540">
        <v>3.06</v>
      </c>
    </row>
    <row r="4708" spans="1:4" ht="15" x14ac:dyDescent="0.25">
      <c r="A4708" s="304">
        <v>7274</v>
      </c>
      <c r="B4708" s="304" t="s">
        <v>10253</v>
      </c>
      <c r="C4708" s="304" t="s">
        <v>5555</v>
      </c>
      <c r="D4708" s="540">
        <v>32.049999999999997</v>
      </c>
    </row>
    <row r="4709" spans="1:4" ht="15" x14ac:dyDescent="0.25">
      <c r="A4709" s="304">
        <v>11663</v>
      </c>
      <c r="B4709" s="304" t="s">
        <v>10254</v>
      </c>
      <c r="C4709" s="304" t="s">
        <v>5555</v>
      </c>
      <c r="D4709" s="540">
        <v>263.66000000000003</v>
      </c>
    </row>
    <row r="4710" spans="1:4" ht="15" x14ac:dyDescent="0.25">
      <c r="A4710" s="304">
        <v>38121</v>
      </c>
      <c r="B4710" s="304" t="s">
        <v>10255</v>
      </c>
      <c r="C4710" s="304" t="s">
        <v>5628</v>
      </c>
      <c r="D4710" s="540">
        <v>9.2100000000000009</v>
      </c>
    </row>
    <row r="4711" spans="1:4" ht="15" x14ac:dyDescent="0.25">
      <c r="A4711" s="304">
        <v>7343</v>
      </c>
      <c r="B4711" s="304" t="s">
        <v>10256</v>
      </c>
      <c r="C4711" s="304" t="s">
        <v>5628</v>
      </c>
      <c r="D4711" s="540">
        <v>9.33</v>
      </c>
    </row>
    <row r="4712" spans="1:4" ht="15" x14ac:dyDescent="0.25">
      <c r="A4712" s="304">
        <v>7287</v>
      </c>
      <c r="B4712" s="304" t="s">
        <v>10257</v>
      </c>
      <c r="C4712" s="304" t="s">
        <v>7915</v>
      </c>
      <c r="D4712" s="540">
        <v>62.76</v>
      </c>
    </row>
    <row r="4713" spans="1:4" ht="15" x14ac:dyDescent="0.25">
      <c r="A4713" s="304">
        <v>7350</v>
      </c>
      <c r="B4713" s="304" t="s">
        <v>10258</v>
      </c>
      <c r="C4713" s="304" t="s">
        <v>5628</v>
      </c>
      <c r="D4713" s="540">
        <v>25.84</v>
      </c>
    </row>
    <row r="4714" spans="1:4" ht="15" x14ac:dyDescent="0.25">
      <c r="A4714" s="304">
        <v>7348</v>
      </c>
      <c r="B4714" s="304" t="s">
        <v>10259</v>
      </c>
      <c r="C4714" s="304" t="s">
        <v>5628</v>
      </c>
      <c r="D4714" s="540">
        <v>14.49</v>
      </c>
    </row>
    <row r="4715" spans="1:4" ht="15" x14ac:dyDescent="0.25">
      <c r="A4715" s="304">
        <v>7347</v>
      </c>
      <c r="B4715" s="304" t="s">
        <v>10259</v>
      </c>
      <c r="C4715" s="304" t="s">
        <v>7915</v>
      </c>
      <c r="D4715" s="540">
        <v>52.18</v>
      </c>
    </row>
    <row r="4716" spans="1:4" ht="15" x14ac:dyDescent="0.25">
      <c r="A4716" s="304">
        <v>7355</v>
      </c>
      <c r="B4716" s="304" t="s">
        <v>10260</v>
      </c>
      <c r="C4716" s="304" t="s">
        <v>7915</v>
      </c>
      <c r="D4716" s="540">
        <v>78.2</v>
      </c>
    </row>
    <row r="4717" spans="1:4" ht="15" x14ac:dyDescent="0.25">
      <c r="A4717" s="304">
        <v>7356</v>
      </c>
      <c r="B4717" s="304" t="s">
        <v>10261</v>
      </c>
      <c r="C4717" s="304" t="s">
        <v>5628</v>
      </c>
      <c r="D4717" s="540">
        <v>21.72</v>
      </c>
    </row>
    <row r="4718" spans="1:4" ht="15" x14ac:dyDescent="0.25">
      <c r="A4718" s="304">
        <v>7313</v>
      </c>
      <c r="B4718" s="304" t="s">
        <v>10262</v>
      </c>
      <c r="C4718" s="304" t="s">
        <v>5628</v>
      </c>
      <c r="D4718" s="540">
        <v>12.65</v>
      </c>
    </row>
    <row r="4719" spans="1:4" ht="15" x14ac:dyDescent="0.25">
      <c r="A4719" s="304">
        <v>7319</v>
      </c>
      <c r="B4719" s="304" t="s">
        <v>10263</v>
      </c>
      <c r="C4719" s="304" t="s">
        <v>5628</v>
      </c>
      <c r="D4719" s="540">
        <v>7.24</v>
      </c>
    </row>
    <row r="4720" spans="1:4" ht="15" x14ac:dyDescent="0.25">
      <c r="A4720" s="304">
        <v>38119</v>
      </c>
      <c r="B4720" s="304" t="s">
        <v>10264</v>
      </c>
      <c r="C4720" s="304" t="s">
        <v>5628</v>
      </c>
      <c r="D4720" s="540">
        <v>91.66</v>
      </c>
    </row>
    <row r="4721" spans="1:4" ht="15" x14ac:dyDescent="0.25">
      <c r="A4721" s="304">
        <v>7314</v>
      </c>
      <c r="B4721" s="304" t="s">
        <v>10265</v>
      </c>
      <c r="C4721" s="304" t="s">
        <v>5628</v>
      </c>
      <c r="D4721" s="540">
        <v>98.79</v>
      </c>
    </row>
    <row r="4722" spans="1:4" ht="15" x14ac:dyDescent="0.25">
      <c r="A4722" s="304">
        <v>38131</v>
      </c>
      <c r="B4722" s="304" t="s">
        <v>10266</v>
      </c>
      <c r="C4722" s="304" t="s">
        <v>5628</v>
      </c>
      <c r="D4722" s="540">
        <v>92.48</v>
      </c>
    </row>
    <row r="4723" spans="1:4" ht="15" x14ac:dyDescent="0.25">
      <c r="A4723" s="304">
        <v>7304</v>
      </c>
      <c r="B4723" s="304" t="s">
        <v>10267</v>
      </c>
      <c r="C4723" s="304" t="s">
        <v>5628</v>
      </c>
      <c r="D4723" s="540">
        <v>46.83</v>
      </c>
    </row>
    <row r="4724" spans="1:4" ht="15" x14ac:dyDescent="0.25">
      <c r="A4724" s="304">
        <v>7293</v>
      </c>
      <c r="B4724" s="304" t="s">
        <v>10268</v>
      </c>
      <c r="C4724" s="304" t="s">
        <v>5628</v>
      </c>
      <c r="D4724" s="540">
        <v>21</v>
      </c>
    </row>
    <row r="4725" spans="1:4" ht="15" x14ac:dyDescent="0.25">
      <c r="A4725" s="304">
        <v>7311</v>
      </c>
      <c r="B4725" s="304" t="s">
        <v>10269</v>
      </c>
      <c r="C4725" s="304" t="s">
        <v>5628</v>
      </c>
      <c r="D4725" s="540">
        <v>20.309999999999999</v>
      </c>
    </row>
    <row r="4726" spans="1:4" ht="15" x14ac:dyDescent="0.25">
      <c r="A4726" s="304">
        <v>7292</v>
      </c>
      <c r="B4726" s="304" t="s">
        <v>10270</v>
      </c>
      <c r="C4726" s="304" t="s">
        <v>5628</v>
      </c>
      <c r="D4726" s="540">
        <v>19.72</v>
      </c>
    </row>
    <row r="4727" spans="1:4" ht="15" x14ac:dyDescent="0.25">
      <c r="A4727" s="304">
        <v>7288</v>
      </c>
      <c r="B4727" s="304" t="s">
        <v>10271</v>
      </c>
      <c r="C4727" s="304" t="s">
        <v>5628</v>
      </c>
      <c r="D4727" s="540">
        <v>22.35</v>
      </c>
    </row>
    <row r="4728" spans="1:4" ht="15" x14ac:dyDescent="0.25">
      <c r="A4728" s="304">
        <v>35693</v>
      </c>
      <c r="B4728" s="304" t="s">
        <v>10272</v>
      </c>
      <c r="C4728" s="304" t="s">
        <v>5628</v>
      </c>
      <c r="D4728" s="540">
        <v>9.9600000000000009</v>
      </c>
    </row>
    <row r="4729" spans="1:4" ht="15" x14ac:dyDescent="0.25">
      <c r="A4729" s="304">
        <v>35692</v>
      </c>
      <c r="B4729" s="304" t="s">
        <v>10273</v>
      </c>
      <c r="C4729" s="304" t="s">
        <v>5628</v>
      </c>
      <c r="D4729" s="540">
        <v>53.42</v>
      </c>
    </row>
    <row r="4730" spans="1:4" ht="15" x14ac:dyDescent="0.25">
      <c r="A4730" s="304">
        <v>7344</v>
      </c>
      <c r="B4730" s="304" t="s">
        <v>10274</v>
      </c>
      <c r="C4730" s="304" t="s">
        <v>7915</v>
      </c>
      <c r="D4730" s="540">
        <v>67.599999999999994</v>
      </c>
    </row>
    <row r="4731" spans="1:4" ht="15" x14ac:dyDescent="0.25">
      <c r="A4731" s="304">
        <v>7345</v>
      </c>
      <c r="B4731" s="304" t="s">
        <v>10275</v>
      </c>
      <c r="C4731" s="304" t="s">
        <v>5628</v>
      </c>
      <c r="D4731" s="540">
        <v>18.77</v>
      </c>
    </row>
    <row r="4732" spans="1:4" ht="15" x14ac:dyDescent="0.25">
      <c r="A4732" s="304">
        <v>35691</v>
      </c>
      <c r="B4732" s="304" t="s">
        <v>10276</v>
      </c>
      <c r="C4732" s="304" t="s">
        <v>5628</v>
      </c>
      <c r="D4732" s="540">
        <v>14.84</v>
      </c>
    </row>
    <row r="4733" spans="1:4" ht="15" x14ac:dyDescent="0.25">
      <c r="A4733" s="304">
        <v>7342</v>
      </c>
      <c r="B4733" s="304" t="s">
        <v>10277</v>
      </c>
      <c r="C4733" s="304" t="s">
        <v>5626</v>
      </c>
      <c r="D4733" s="540">
        <v>1.38</v>
      </c>
    </row>
    <row r="4734" spans="1:4" ht="15" x14ac:dyDescent="0.25">
      <c r="A4734" s="304">
        <v>7306</v>
      </c>
      <c r="B4734" s="304" t="s">
        <v>10278</v>
      </c>
      <c r="C4734" s="304" t="s">
        <v>5628</v>
      </c>
      <c r="D4734" s="540">
        <v>24.07</v>
      </c>
    </row>
    <row r="4735" spans="1:4" ht="15" x14ac:dyDescent="0.25">
      <c r="A4735" s="304">
        <v>154</v>
      </c>
      <c r="B4735" s="304" t="s">
        <v>10279</v>
      </c>
      <c r="C4735" s="304" t="s">
        <v>5628</v>
      </c>
      <c r="D4735" s="540">
        <v>49.37</v>
      </c>
    </row>
    <row r="4736" spans="1:4" ht="15" x14ac:dyDescent="0.25">
      <c r="A4736" s="304">
        <v>39574</v>
      </c>
      <c r="B4736" s="304" t="s">
        <v>10280</v>
      </c>
      <c r="C4736" s="304" t="s">
        <v>5555</v>
      </c>
      <c r="D4736" s="540">
        <v>2.52</v>
      </c>
    </row>
    <row r="4737" spans="1:4" ht="15" x14ac:dyDescent="0.25">
      <c r="A4737" s="304">
        <v>11060</v>
      </c>
      <c r="B4737" s="304" t="s">
        <v>10281</v>
      </c>
      <c r="C4737" s="304" t="s">
        <v>5555</v>
      </c>
      <c r="D4737" s="540">
        <v>22.96</v>
      </c>
    </row>
    <row r="4738" spans="1:4" ht="15" x14ac:dyDescent="0.25">
      <c r="A4738" s="304">
        <v>37401</v>
      </c>
      <c r="B4738" s="304" t="s">
        <v>10282</v>
      </c>
      <c r="C4738" s="304" t="s">
        <v>5555</v>
      </c>
      <c r="D4738" s="540">
        <v>65.59</v>
      </c>
    </row>
    <row r="4739" spans="1:4" ht="15" x14ac:dyDescent="0.25">
      <c r="A4739" s="304">
        <v>7525</v>
      </c>
      <c r="B4739" s="304" t="s">
        <v>10283</v>
      </c>
      <c r="C4739" s="304" t="s">
        <v>5555</v>
      </c>
      <c r="D4739" s="540">
        <v>41.31</v>
      </c>
    </row>
    <row r="4740" spans="1:4" ht="15" x14ac:dyDescent="0.25">
      <c r="A4740" s="304">
        <v>7524</v>
      </c>
      <c r="B4740" s="304" t="s">
        <v>10284</v>
      </c>
      <c r="C4740" s="304" t="s">
        <v>5555</v>
      </c>
      <c r="D4740" s="540">
        <v>38.93</v>
      </c>
    </row>
    <row r="4741" spans="1:4" ht="15" x14ac:dyDescent="0.25">
      <c r="A4741" s="304">
        <v>38105</v>
      </c>
      <c r="B4741" s="304" t="s">
        <v>10285</v>
      </c>
      <c r="C4741" s="304" t="s">
        <v>5555</v>
      </c>
      <c r="D4741" s="540">
        <v>10</v>
      </c>
    </row>
    <row r="4742" spans="1:4" ht="15" x14ac:dyDescent="0.25">
      <c r="A4742" s="304">
        <v>38084</v>
      </c>
      <c r="B4742" s="304" t="s">
        <v>10286</v>
      </c>
      <c r="C4742" s="304" t="s">
        <v>5555</v>
      </c>
      <c r="D4742" s="540">
        <v>14.2</v>
      </c>
    </row>
    <row r="4743" spans="1:4" ht="15" x14ac:dyDescent="0.25">
      <c r="A4743" s="304">
        <v>38103</v>
      </c>
      <c r="B4743" s="304" t="s">
        <v>10287</v>
      </c>
      <c r="C4743" s="304" t="s">
        <v>5555</v>
      </c>
      <c r="D4743" s="540">
        <v>15.01</v>
      </c>
    </row>
    <row r="4744" spans="1:4" ht="15" x14ac:dyDescent="0.25">
      <c r="A4744" s="304">
        <v>38082</v>
      </c>
      <c r="B4744" s="304" t="s">
        <v>10288</v>
      </c>
      <c r="C4744" s="304" t="s">
        <v>5555</v>
      </c>
      <c r="D4744" s="540">
        <v>18.489999999999998</v>
      </c>
    </row>
    <row r="4745" spans="1:4" ht="15" x14ac:dyDescent="0.25">
      <c r="A4745" s="304">
        <v>38104</v>
      </c>
      <c r="B4745" s="304" t="s">
        <v>10289</v>
      </c>
      <c r="C4745" s="304" t="s">
        <v>5555</v>
      </c>
      <c r="D4745" s="540">
        <v>29.39</v>
      </c>
    </row>
    <row r="4746" spans="1:4" ht="15" x14ac:dyDescent="0.25">
      <c r="A4746" s="304">
        <v>38083</v>
      </c>
      <c r="B4746" s="304" t="s">
        <v>10290</v>
      </c>
      <c r="C4746" s="304" t="s">
        <v>5555</v>
      </c>
      <c r="D4746" s="540">
        <v>32.630000000000003</v>
      </c>
    </row>
    <row r="4747" spans="1:4" ht="15" x14ac:dyDescent="0.25">
      <c r="A4747" s="304">
        <v>38101</v>
      </c>
      <c r="B4747" s="304" t="s">
        <v>10291</v>
      </c>
      <c r="C4747" s="304" t="s">
        <v>5555</v>
      </c>
      <c r="D4747" s="540">
        <v>7.14</v>
      </c>
    </row>
    <row r="4748" spans="1:4" ht="15" x14ac:dyDescent="0.25">
      <c r="A4748" s="304">
        <v>7528</v>
      </c>
      <c r="B4748" s="304" t="s">
        <v>10292</v>
      </c>
      <c r="C4748" s="304" t="s">
        <v>5555</v>
      </c>
      <c r="D4748" s="540">
        <v>8.39</v>
      </c>
    </row>
    <row r="4749" spans="1:4" ht="15" x14ac:dyDescent="0.25">
      <c r="A4749" s="304">
        <v>12147</v>
      </c>
      <c r="B4749" s="304" t="s">
        <v>10293</v>
      </c>
      <c r="C4749" s="304" t="s">
        <v>5555</v>
      </c>
      <c r="D4749" s="540">
        <v>12.79</v>
      </c>
    </row>
    <row r="4750" spans="1:4" ht="15" x14ac:dyDescent="0.25">
      <c r="A4750" s="304">
        <v>38075</v>
      </c>
      <c r="B4750" s="304" t="s">
        <v>10294</v>
      </c>
      <c r="C4750" s="304" t="s">
        <v>5555</v>
      </c>
      <c r="D4750" s="540">
        <v>14.53</v>
      </c>
    </row>
    <row r="4751" spans="1:4" ht="15" x14ac:dyDescent="0.25">
      <c r="A4751" s="304">
        <v>38102</v>
      </c>
      <c r="B4751" s="304" t="s">
        <v>10295</v>
      </c>
      <c r="C4751" s="304" t="s">
        <v>5555</v>
      </c>
      <c r="D4751" s="540">
        <v>9.1300000000000008</v>
      </c>
    </row>
    <row r="4752" spans="1:4" ht="15" x14ac:dyDescent="0.25">
      <c r="A4752" s="304">
        <v>38076</v>
      </c>
      <c r="B4752" s="304" t="s">
        <v>10296</v>
      </c>
      <c r="C4752" s="304" t="s">
        <v>5555</v>
      </c>
      <c r="D4752" s="540">
        <v>16.29</v>
      </c>
    </row>
    <row r="4753" spans="1:4" ht="15" x14ac:dyDescent="0.25">
      <c r="A4753" s="304">
        <v>7592</v>
      </c>
      <c r="B4753" s="304" t="s">
        <v>10297</v>
      </c>
      <c r="C4753" s="304" t="s">
        <v>5566</v>
      </c>
      <c r="D4753" s="540">
        <v>32.42</v>
      </c>
    </row>
    <row r="4754" spans="1:4" ht="15" x14ac:dyDescent="0.25">
      <c r="A4754" s="304">
        <v>40820</v>
      </c>
      <c r="B4754" s="304" t="s">
        <v>10298</v>
      </c>
      <c r="C4754" s="304" t="s">
        <v>5755</v>
      </c>
      <c r="D4754" s="541">
        <v>5674.3</v>
      </c>
    </row>
    <row r="4755" spans="1:4" ht="15" x14ac:dyDescent="0.25">
      <c r="A4755" s="304">
        <v>11762</v>
      </c>
      <c r="B4755" s="304" t="s">
        <v>10299</v>
      </c>
      <c r="C4755" s="304" t="s">
        <v>5555</v>
      </c>
      <c r="D4755" s="540">
        <v>51.68</v>
      </c>
    </row>
    <row r="4756" spans="1:4" ht="15" x14ac:dyDescent="0.25">
      <c r="A4756" s="304">
        <v>13418</v>
      </c>
      <c r="B4756" s="304" t="s">
        <v>10300</v>
      </c>
      <c r="C4756" s="304" t="s">
        <v>5555</v>
      </c>
      <c r="D4756" s="540">
        <v>14.44</v>
      </c>
    </row>
    <row r="4757" spans="1:4" ht="15" x14ac:dyDescent="0.25">
      <c r="A4757" s="304">
        <v>13984</v>
      </c>
      <c r="B4757" s="304" t="s">
        <v>10301</v>
      </c>
      <c r="C4757" s="304" t="s">
        <v>5555</v>
      </c>
      <c r="D4757" s="540">
        <v>36.11</v>
      </c>
    </row>
    <row r="4758" spans="1:4" ht="15" x14ac:dyDescent="0.25">
      <c r="A4758" s="304">
        <v>11772</v>
      </c>
      <c r="B4758" s="304" t="s">
        <v>10302</v>
      </c>
      <c r="C4758" s="304" t="s">
        <v>5555</v>
      </c>
      <c r="D4758" s="540">
        <v>87.71</v>
      </c>
    </row>
    <row r="4759" spans="1:4" ht="15" x14ac:dyDescent="0.25">
      <c r="A4759" s="304">
        <v>36795</v>
      </c>
      <c r="B4759" s="304" t="s">
        <v>10303</v>
      </c>
      <c r="C4759" s="304" t="s">
        <v>5555</v>
      </c>
      <c r="D4759" s="540">
        <v>564.13</v>
      </c>
    </row>
    <row r="4760" spans="1:4" ht="15" x14ac:dyDescent="0.25">
      <c r="A4760" s="304">
        <v>36796</v>
      </c>
      <c r="B4760" s="304" t="s">
        <v>10304</v>
      </c>
      <c r="C4760" s="304" t="s">
        <v>5555</v>
      </c>
      <c r="D4760" s="540">
        <v>145.24</v>
      </c>
    </row>
    <row r="4761" spans="1:4" ht="15" x14ac:dyDescent="0.25">
      <c r="A4761" s="304">
        <v>36791</v>
      </c>
      <c r="B4761" s="304" t="s">
        <v>10305</v>
      </c>
      <c r="C4761" s="304" t="s">
        <v>5555</v>
      </c>
      <c r="D4761" s="540">
        <v>74.83</v>
      </c>
    </row>
    <row r="4762" spans="1:4" ht="15" x14ac:dyDescent="0.25">
      <c r="A4762" s="304">
        <v>13415</v>
      </c>
      <c r="B4762" s="304" t="s">
        <v>10306</v>
      </c>
      <c r="C4762" s="304" t="s">
        <v>5555</v>
      </c>
      <c r="D4762" s="540">
        <v>43.5</v>
      </c>
    </row>
    <row r="4763" spans="1:4" ht="15" x14ac:dyDescent="0.25">
      <c r="A4763" s="304">
        <v>36792</v>
      </c>
      <c r="B4763" s="304" t="s">
        <v>10307</v>
      </c>
      <c r="C4763" s="304" t="s">
        <v>5555</v>
      </c>
      <c r="D4763" s="540">
        <v>143.05000000000001</v>
      </c>
    </row>
    <row r="4764" spans="1:4" ht="15" x14ac:dyDescent="0.25">
      <c r="A4764" s="304">
        <v>11773</v>
      </c>
      <c r="B4764" s="304" t="s">
        <v>10308</v>
      </c>
      <c r="C4764" s="304" t="s">
        <v>5555</v>
      </c>
      <c r="D4764" s="540">
        <v>83.73</v>
      </c>
    </row>
    <row r="4765" spans="1:4" ht="15" x14ac:dyDescent="0.25">
      <c r="A4765" s="304">
        <v>11775</v>
      </c>
      <c r="B4765" s="304" t="s">
        <v>10309</v>
      </c>
      <c r="C4765" s="304" t="s">
        <v>5555</v>
      </c>
      <c r="D4765" s="540">
        <v>87.43</v>
      </c>
    </row>
    <row r="4766" spans="1:4" ht="15" x14ac:dyDescent="0.25">
      <c r="A4766" s="304">
        <v>13983</v>
      </c>
      <c r="B4766" s="304" t="s">
        <v>10310</v>
      </c>
      <c r="C4766" s="304" t="s">
        <v>5555</v>
      </c>
      <c r="D4766" s="540">
        <v>44.67</v>
      </c>
    </row>
    <row r="4767" spans="1:4" ht="15" x14ac:dyDescent="0.25">
      <c r="A4767" s="304">
        <v>13416</v>
      </c>
      <c r="B4767" s="304" t="s">
        <v>10311</v>
      </c>
      <c r="C4767" s="304" t="s">
        <v>5555</v>
      </c>
      <c r="D4767" s="540">
        <v>36.020000000000003</v>
      </c>
    </row>
    <row r="4768" spans="1:4" ht="15" x14ac:dyDescent="0.25">
      <c r="A4768" s="304">
        <v>13417</v>
      </c>
      <c r="B4768" s="304" t="s">
        <v>10312</v>
      </c>
      <c r="C4768" s="304" t="s">
        <v>5555</v>
      </c>
      <c r="D4768" s="540">
        <v>31.78</v>
      </c>
    </row>
    <row r="4769" spans="1:4" ht="15" x14ac:dyDescent="0.25">
      <c r="A4769" s="304">
        <v>7604</v>
      </c>
      <c r="B4769" s="304" t="s">
        <v>10313</v>
      </c>
      <c r="C4769" s="304" t="s">
        <v>5555</v>
      </c>
      <c r="D4769" s="540">
        <v>13.76</v>
      </c>
    </row>
    <row r="4770" spans="1:4" ht="15" x14ac:dyDescent="0.25">
      <c r="A4770" s="304">
        <v>11763</v>
      </c>
      <c r="B4770" s="304" t="s">
        <v>10314</v>
      </c>
      <c r="C4770" s="304" t="s">
        <v>5555</v>
      </c>
      <c r="D4770" s="540">
        <v>51.24</v>
      </c>
    </row>
    <row r="4771" spans="1:4" ht="15" x14ac:dyDescent="0.25">
      <c r="A4771" s="304">
        <v>11764</v>
      </c>
      <c r="B4771" s="304" t="s">
        <v>10315</v>
      </c>
      <c r="C4771" s="304" t="s">
        <v>5555</v>
      </c>
      <c r="D4771" s="540">
        <v>54.73</v>
      </c>
    </row>
    <row r="4772" spans="1:4" ht="15" x14ac:dyDescent="0.25">
      <c r="A4772" s="304">
        <v>11829</v>
      </c>
      <c r="B4772" s="304" t="s">
        <v>10316</v>
      </c>
      <c r="C4772" s="304" t="s">
        <v>5555</v>
      </c>
      <c r="D4772" s="540">
        <v>13.11</v>
      </c>
    </row>
    <row r="4773" spans="1:4" ht="15" x14ac:dyDescent="0.25">
      <c r="A4773" s="304">
        <v>11825</v>
      </c>
      <c r="B4773" s="304" t="s">
        <v>10317</v>
      </c>
      <c r="C4773" s="304" t="s">
        <v>5555</v>
      </c>
      <c r="D4773" s="540">
        <v>22.49</v>
      </c>
    </row>
    <row r="4774" spans="1:4" ht="15" x14ac:dyDescent="0.25">
      <c r="A4774" s="304">
        <v>11767</v>
      </c>
      <c r="B4774" s="304" t="s">
        <v>10318</v>
      </c>
      <c r="C4774" s="304" t="s">
        <v>5555</v>
      </c>
      <c r="D4774" s="540">
        <v>90.84</v>
      </c>
    </row>
    <row r="4775" spans="1:4" ht="15" x14ac:dyDescent="0.25">
      <c r="A4775" s="304">
        <v>11830</v>
      </c>
      <c r="B4775" s="304" t="s">
        <v>10319</v>
      </c>
      <c r="C4775" s="304" t="s">
        <v>5555</v>
      </c>
      <c r="D4775" s="540">
        <v>14.17</v>
      </c>
    </row>
    <row r="4776" spans="1:4" ht="15" x14ac:dyDescent="0.25">
      <c r="A4776" s="304">
        <v>11766</v>
      </c>
      <c r="B4776" s="304" t="s">
        <v>10320</v>
      </c>
      <c r="C4776" s="304" t="s">
        <v>5555</v>
      </c>
      <c r="D4776" s="540">
        <v>25.19</v>
      </c>
    </row>
    <row r="4777" spans="1:4" ht="15" x14ac:dyDescent="0.25">
      <c r="A4777" s="304">
        <v>11765</v>
      </c>
      <c r="B4777" s="304" t="s">
        <v>10321</v>
      </c>
      <c r="C4777" s="304" t="s">
        <v>5555</v>
      </c>
      <c r="D4777" s="540">
        <v>34.31</v>
      </c>
    </row>
    <row r="4778" spans="1:4" ht="15" x14ac:dyDescent="0.25">
      <c r="A4778" s="304">
        <v>11824</v>
      </c>
      <c r="B4778" s="304" t="s">
        <v>10322</v>
      </c>
      <c r="C4778" s="304" t="s">
        <v>5555</v>
      </c>
      <c r="D4778" s="540">
        <v>25.99</v>
      </c>
    </row>
    <row r="4779" spans="1:4" ht="15" x14ac:dyDescent="0.25">
      <c r="A4779" s="304">
        <v>11777</v>
      </c>
      <c r="B4779" s="304" t="s">
        <v>10323</v>
      </c>
      <c r="C4779" s="304" t="s">
        <v>5555</v>
      </c>
      <c r="D4779" s="540">
        <v>127.93</v>
      </c>
    </row>
    <row r="4780" spans="1:4" ht="15" x14ac:dyDescent="0.25">
      <c r="A4780" s="304">
        <v>7602</v>
      </c>
      <c r="B4780" s="304" t="s">
        <v>10324</v>
      </c>
      <c r="C4780" s="304" t="s">
        <v>5555</v>
      </c>
      <c r="D4780" s="540">
        <v>13.64</v>
      </c>
    </row>
    <row r="4781" spans="1:4" ht="15" x14ac:dyDescent="0.25">
      <c r="A4781" s="304">
        <v>7603</v>
      </c>
      <c r="B4781" s="304" t="s">
        <v>10325</v>
      </c>
      <c r="C4781" s="304" t="s">
        <v>5555</v>
      </c>
      <c r="D4781" s="540">
        <v>13.23</v>
      </c>
    </row>
    <row r="4782" spans="1:4" ht="15" x14ac:dyDescent="0.25">
      <c r="A4782" s="304">
        <v>11826</v>
      </c>
      <c r="B4782" s="304" t="s">
        <v>10326</v>
      </c>
      <c r="C4782" s="304" t="s">
        <v>5555</v>
      </c>
      <c r="D4782" s="540">
        <v>21.82</v>
      </c>
    </row>
    <row r="4783" spans="1:4" ht="15" x14ac:dyDescent="0.25">
      <c r="A4783" s="304">
        <v>7606</v>
      </c>
      <c r="B4783" s="304" t="s">
        <v>10327</v>
      </c>
      <c r="C4783" s="304" t="s">
        <v>5555</v>
      </c>
      <c r="D4783" s="540">
        <v>22.74</v>
      </c>
    </row>
    <row r="4784" spans="1:4" ht="15" x14ac:dyDescent="0.25">
      <c r="A4784" s="304">
        <v>40329</v>
      </c>
      <c r="B4784" s="304" t="s">
        <v>10328</v>
      </c>
      <c r="C4784" s="304" t="s">
        <v>5555</v>
      </c>
      <c r="D4784" s="540">
        <v>11</v>
      </c>
    </row>
    <row r="4785" spans="1:4" ht="15" x14ac:dyDescent="0.25">
      <c r="A4785" s="304">
        <v>11823</v>
      </c>
      <c r="B4785" s="304" t="s">
        <v>10329</v>
      </c>
      <c r="C4785" s="304" t="s">
        <v>5555</v>
      </c>
      <c r="D4785" s="540">
        <v>4.75</v>
      </c>
    </row>
    <row r="4786" spans="1:4" ht="15" x14ac:dyDescent="0.25">
      <c r="A4786" s="304">
        <v>11822</v>
      </c>
      <c r="B4786" s="304" t="s">
        <v>10330</v>
      </c>
      <c r="C4786" s="304" t="s">
        <v>5555</v>
      </c>
      <c r="D4786" s="540">
        <v>36.51</v>
      </c>
    </row>
    <row r="4787" spans="1:4" ht="15" x14ac:dyDescent="0.25">
      <c r="A4787" s="304">
        <v>11831</v>
      </c>
      <c r="B4787" s="304" t="s">
        <v>10331</v>
      </c>
      <c r="C4787" s="304" t="s">
        <v>5555</v>
      </c>
      <c r="D4787" s="540">
        <v>27.72</v>
      </c>
    </row>
    <row r="4788" spans="1:4" ht="15" x14ac:dyDescent="0.25">
      <c r="A4788" s="304">
        <v>7613</v>
      </c>
      <c r="B4788" s="304" t="s">
        <v>10332</v>
      </c>
      <c r="C4788" s="304" t="s">
        <v>5555</v>
      </c>
      <c r="D4788" s="541">
        <v>52005.85</v>
      </c>
    </row>
    <row r="4789" spans="1:4" ht="15" x14ac:dyDescent="0.25">
      <c r="A4789" s="304">
        <v>7619</v>
      </c>
      <c r="B4789" s="304" t="s">
        <v>10333</v>
      </c>
      <c r="C4789" s="304" t="s">
        <v>5555</v>
      </c>
      <c r="D4789" s="541">
        <v>8038.99</v>
      </c>
    </row>
    <row r="4790" spans="1:4" ht="15" x14ac:dyDescent="0.25">
      <c r="A4790" s="304">
        <v>12076</v>
      </c>
      <c r="B4790" s="304" t="s">
        <v>10334</v>
      </c>
      <c r="C4790" s="304" t="s">
        <v>5555</v>
      </c>
      <c r="D4790" s="541">
        <v>3687.61</v>
      </c>
    </row>
    <row r="4791" spans="1:4" ht="15" x14ac:dyDescent="0.25">
      <c r="A4791" s="304">
        <v>7614</v>
      </c>
      <c r="B4791" s="304" t="s">
        <v>10335</v>
      </c>
      <c r="C4791" s="304" t="s">
        <v>5555</v>
      </c>
      <c r="D4791" s="541">
        <v>10139.08</v>
      </c>
    </row>
    <row r="4792" spans="1:4" ht="15" x14ac:dyDescent="0.25">
      <c r="A4792" s="304">
        <v>7618</v>
      </c>
      <c r="B4792" s="304" t="s">
        <v>10336</v>
      </c>
      <c r="C4792" s="304" t="s">
        <v>5555</v>
      </c>
      <c r="D4792" s="541">
        <v>65759.59</v>
      </c>
    </row>
    <row r="4793" spans="1:4" ht="15" x14ac:dyDescent="0.25">
      <c r="A4793" s="304">
        <v>7620</v>
      </c>
      <c r="B4793" s="304" t="s">
        <v>10337</v>
      </c>
      <c r="C4793" s="304" t="s">
        <v>5555</v>
      </c>
      <c r="D4793" s="541">
        <v>14223.64</v>
      </c>
    </row>
    <row r="4794" spans="1:4" ht="15" x14ac:dyDescent="0.25">
      <c r="A4794" s="304">
        <v>7610</v>
      </c>
      <c r="B4794" s="304" t="s">
        <v>10338</v>
      </c>
      <c r="C4794" s="304" t="s">
        <v>5555</v>
      </c>
      <c r="D4794" s="541">
        <v>4504.1499999999996</v>
      </c>
    </row>
    <row r="4795" spans="1:4" ht="15" x14ac:dyDescent="0.25">
      <c r="A4795" s="304">
        <v>7615</v>
      </c>
      <c r="B4795" s="304" t="s">
        <v>10339</v>
      </c>
      <c r="C4795" s="304" t="s">
        <v>5555</v>
      </c>
      <c r="D4795" s="541">
        <v>16594.25</v>
      </c>
    </row>
    <row r="4796" spans="1:4" ht="15" x14ac:dyDescent="0.25">
      <c r="A4796" s="304">
        <v>7617</v>
      </c>
      <c r="B4796" s="304" t="s">
        <v>10340</v>
      </c>
      <c r="C4796" s="304" t="s">
        <v>5555</v>
      </c>
      <c r="D4796" s="541">
        <v>5030.95</v>
      </c>
    </row>
    <row r="4797" spans="1:4" ht="15" x14ac:dyDescent="0.25">
      <c r="A4797" s="304">
        <v>7616</v>
      </c>
      <c r="B4797" s="304" t="s">
        <v>10341</v>
      </c>
      <c r="C4797" s="304" t="s">
        <v>5555</v>
      </c>
      <c r="D4797" s="541">
        <v>27079.18</v>
      </c>
    </row>
    <row r="4798" spans="1:4" ht="15" x14ac:dyDescent="0.25">
      <c r="A4798" s="304">
        <v>7611</v>
      </c>
      <c r="B4798" s="304" t="s">
        <v>10342</v>
      </c>
      <c r="C4798" s="304" t="s">
        <v>5555</v>
      </c>
      <c r="D4798" s="541">
        <v>6506</v>
      </c>
    </row>
    <row r="4799" spans="1:4" ht="15" x14ac:dyDescent="0.25">
      <c r="A4799" s="304">
        <v>7612</v>
      </c>
      <c r="B4799" s="304" t="s">
        <v>10343</v>
      </c>
      <c r="C4799" s="304" t="s">
        <v>5555</v>
      </c>
      <c r="D4799" s="541">
        <v>37143.72</v>
      </c>
    </row>
    <row r="4800" spans="1:4" ht="15" x14ac:dyDescent="0.25">
      <c r="A4800" s="304">
        <v>37371</v>
      </c>
      <c r="B4800" s="304" t="s">
        <v>10344</v>
      </c>
      <c r="C4800" s="304" t="s">
        <v>5566</v>
      </c>
      <c r="D4800" s="540">
        <v>0.6</v>
      </c>
    </row>
    <row r="4801" spans="1:4" ht="15" x14ac:dyDescent="0.25">
      <c r="A4801" s="304">
        <v>40861</v>
      </c>
      <c r="B4801" s="304" t="s">
        <v>10345</v>
      </c>
      <c r="C4801" s="304" t="s">
        <v>5755</v>
      </c>
      <c r="D4801" s="540">
        <v>113.8</v>
      </c>
    </row>
    <row r="4802" spans="1:4" ht="15" x14ac:dyDescent="0.25">
      <c r="A4802" s="304">
        <v>36510</v>
      </c>
      <c r="B4802" s="304" t="s">
        <v>10346</v>
      </c>
      <c r="C4802" s="304" t="s">
        <v>5555</v>
      </c>
      <c r="D4802" s="541">
        <v>572477.04</v>
      </c>
    </row>
    <row r="4803" spans="1:4" ht="15" x14ac:dyDescent="0.25">
      <c r="A4803" s="304">
        <v>25020</v>
      </c>
      <c r="B4803" s="304" t="s">
        <v>10347</v>
      </c>
      <c r="C4803" s="304" t="s">
        <v>5555</v>
      </c>
      <c r="D4803" s="541">
        <v>2358403.9900000002</v>
      </c>
    </row>
    <row r="4804" spans="1:4" ht="15" x14ac:dyDescent="0.25">
      <c r="A4804" s="304">
        <v>7622</v>
      </c>
      <c r="B4804" s="304" t="s">
        <v>10348</v>
      </c>
      <c r="C4804" s="304" t="s">
        <v>5555</v>
      </c>
      <c r="D4804" s="541">
        <v>555386.4</v>
      </c>
    </row>
    <row r="4805" spans="1:4" ht="15" x14ac:dyDescent="0.25">
      <c r="A4805" s="304">
        <v>7624</v>
      </c>
      <c r="B4805" s="304" t="s">
        <v>10349</v>
      </c>
      <c r="C4805" s="304" t="s">
        <v>5555</v>
      </c>
      <c r="D4805" s="541">
        <v>720000</v>
      </c>
    </row>
    <row r="4806" spans="1:4" ht="15" x14ac:dyDescent="0.25">
      <c r="A4806" s="304">
        <v>7625</v>
      </c>
      <c r="B4806" s="304" t="s">
        <v>10350</v>
      </c>
      <c r="C4806" s="304" t="s">
        <v>5555</v>
      </c>
      <c r="D4806" s="541">
        <v>715596.26</v>
      </c>
    </row>
    <row r="4807" spans="1:4" ht="15" x14ac:dyDescent="0.25">
      <c r="A4807" s="304">
        <v>7623</v>
      </c>
      <c r="B4807" s="304" t="s">
        <v>10351</v>
      </c>
      <c r="C4807" s="304" t="s">
        <v>5555</v>
      </c>
      <c r="D4807" s="541">
        <v>2358403.9900000002</v>
      </c>
    </row>
    <row r="4808" spans="1:4" ht="15" x14ac:dyDescent="0.25">
      <c r="A4808" s="304">
        <v>36508</v>
      </c>
      <c r="B4808" s="304" t="s">
        <v>10352</v>
      </c>
      <c r="C4808" s="304" t="s">
        <v>5555</v>
      </c>
      <c r="D4808" s="541">
        <v>1060667.8500000001</v>
      </c>
    </row>
    <row r="4809" spans="1:4" ht="15" x14ac:dyDescent="0.25">
      <c r="A4809" s="304">
        <v>36509</v>
      </c>
      <c r="B4809" s="304" t="s">
        <v>10353</v>
      </c>
      <c r="C4809" s="304" t="s">
        <v>5555</v>
      </c>
      <c r="D4809" s="541">
        <v>581284.36</v>
      </c>
    </row>
    <row r="4810" spans="1:4" ht="15" x14ac:dyDescent="0.25">
      <c r="A4810" s="304">
        <v>13238</v>
      </c>
      <c r="B4810" s="304" t="s">
        <v>10354</v>
      </c>
      <c r="C4810" s="304" t="s">
        <v>5555</v>
      </c>
      <c r="D4810" s="541">
        <v>185484.93</v>
      </c>
    </row>
    <row r="4811" spans="1:4" ht="15" x14ac:dyDescent="0.25">
      <c r="A4811" s="304">
        <v>36511</v>
      </c>
      <c r="B4811" s="304" t="s">
        <v>10355</v>
      </c>
      <c r="C4811" s="304" t="s">
        <v>5555</v>
      </c>
      <c r="D4811" s="541">
        <v>214926.99</v>
      </c>
    </row>
    <row r="4812" spans="1:4" ht="15" x14ac:dyDescent="0.25">
      <c r="A4812" s="304">
        <v>36515</v>
      </c>
      <c r="B4812" s="304" t="s">
        <v>10356</v>
      </c>
      <c r="C4812" s="304" t="s">
        <v>5555</v>
      </c>
      <c r="D4812" s="541">
        <v>63300.41</v>
      </c>
    </row>
    <row r="4813" spans="1:4" ht="15" x14ac:dyDescent="0.25">
      <c r="A4813" s="304">
        <v>10598</v>
      </c>
      <c r="B4813" s="304" t="s">
        <v>10357</v>
      </c>
      <c r="C4813" s="304" t="s">
        <v>5555</v>
      </c>
      <c r="D4813" s="541">
        <v>102651.18</v>
      </c>
    </row>
    <row r="4814" spans="1:4" ht="15" x14ac:dyDescent="0.25">
      <c r="A4814" s="304">
        <v>7640</v>
      </c>
      <c r="B4814" s="304" t="s">
        <v>10358</v>
      </c>
      <c r="C4814" s="304" t="s">
        <v>5555</v>
      </c>
      <c r="D4814" s="541">
        <v>157515</v>
      </c>
    </row>
    <row r="4815" spans="1:4" ht="15" x14ac:dyDescent="0.25">
      <c r="A4815" s="304">
        <v>36513</v>
      </c>
      <c r="B4815" s="304" t="s">
        <v>10359</v>
      </c>
      <c r="C4815" s="304" t="s">
        <v>5555</v>
      </c>
      <c r="D4815" s="541">
        <v>151736.98000000001</v>
      </c>
    </row>
    <row r="4816" spans="1:4" ht="15" x14ac:dyDescent="0.25">
      <c r="A4816" s="304">
        <v>36514</v>
      </c>
      <c r="B4816" s="304" t="s">
        <v>10360</v>
      </c>
      <c r="C4816" s="304" t="s">
        <v>5555</v>
      </c>
      <c r="D4816" s="541">
        <v>169291.81</v>
      </c>
    </row>
    <row r="4817" spans="1:4" ht="15" x14ac:dyDescent="0.25">
      <c r="A4817" s="304">
        <v>36149</v>
      </c>
      <c r="B4817" s="304" t="s">
        <v>10361</v>
      </c>
      <c r="C4817" s="304" t="s">
        <v>5555</v>
      </c>
      <c r="D4817" s="540">
        <v>141.58000000000001</v>
      </c>
    </row>
    <row r="4818" spans="1:4" ht="15" x14ac:dyDescent="0.25">
      <c r="A4818" s="304">
        <v>43066</v>
      </c>
      <c r="B4818" s="304" t="s">
        <v>10362</v>
      </c>
      <c r="C4818" s="304" t="s">
        <v>5575</v>
      </c>
      <c r="D4818" s="540">
        <v>5.69</v>
      </c>
    </row>
    <row r="4819" spans="1:4" ht="15" x14ac:dyDescent="0.25">
      <c r="A4819" s="304">
        <v>11581</v>
      </c>
      <c r="B4819" s="304" t="s">
        <v>10363</v>
      </c>
      <c r="C4819" s="304" t="s">
        <v>5575</v>
      </c>
      <c r="D4819" s="540">
        <v>23.87</v>
      </c>
    </row>
    <row r="4820" spans="1:4" ht="15" x14ac:dyDescent="0.25">
      <c r="A4820" s="304">
        <v>11580</v>
      </c>
      <c r="B4820" s="304" t="s">
        <v>10364</v>
      </c>
      <c r="C4820" s="304" t="s">
        <v>5575</v>
      </c>
      <c r="D4820" s="540">
        <v>10.87</v>
      </c>
    </row>
    <row r="4821" spans="1:4" ht="15" x14ac:dyDescent="0.25">
      <c r="A4821" s="304">
        <v>38177</v>
      </c>
      <c r="B4821" s="304" t="s">
        <v>10365</v>
      </c>
      <c r="C4821" s="304" t="s">
        <v>5555</v>
      </c>
      <c r="D4821" s="540">
        <v>7.37</v>
      </c>
    </row>
    <row r="4822" spans="1:4" ht="15" x14ac:dyDescent="0.25">
      <c r="A4822" s="304">
        <v>10743</v>
      </c>
      <c r="B4822" s="304" t="s">
        <v>10366</v>
      </c>
      <c r="C4822" s="304" t="s">
        <v>5555</v>
      </c>
      <c r="D4822" s="540">
        <v>569.85</v>
      </c>
    </row>
    <row r="4823" spans="1:4" ht="15" x14ac:dyDescent="0.25">
      <c r="A4823" s="304">
        <v>39848</v>
      </c>
      <c r="B4823" s="304" t="s">
        <v>10367</v>
      </c>
      <c r="C4823" s="304" t="s">
        <v>5575</v>
      </c>
      <c r="D4823" s="540">
        <v>1.1599999999999999</v>
      </c>
    </row>
    <row r="4824" spans="1:4" ht="15" x14ac:dyDescent="0.25">
      <c r="A4824" s="304">
        <v>20999</v>
      </c>
      <c r="B4824" s="304" t="s">
        <v>10368</v>
      </c>
      <c r="C4824" s="304" t="s">
        <v>5575</v>
      </c>
      <c r="D4824" s="540">
        <v>7.57</v>
      </c>
    </row>
    <row r="4825" spans="1:4" ht="15" x14ac:dyDescent="0.25">
      <c r="A4825" s="304">
        <v>21001</v>
      </c>
      <c r="B4825" s="304" t="s">
        <v>10369</v>
      </c>
      <c r="C4825" s="304" t="s">
        <v>5575</v>
      </c>
      <c r="D4825" s="540">
        <v>14.14</v>
      </c>
    </row>
    <row r="4826" spans="1:4" ht="15" x14ac:dyDescent="0.25">
      <c r="A4826" s="304">
        <v>21003</v>
      </c>
      <c r="B4826" s="304" t="s">
        <v>10370</v>
      </c>
      <c r="C4826" s="304" t="s">
        <v>5575</v>
      </c>
      <c r="D4826" s="540">
        <v>23.23</v>
      </c>
    </row>
    <row r="4827" spans="1:4" ht="15" x14ac:dyDescent="0.25">
      <c r="A4827" s="304">
        <v>21006</v>
      </c>
      <c r="B4827" s="304" t="s">
        <v>10371</v>
      </c>
      <c r="C4827" s="304" t="s">
        <v>5575</v>
      </c>
      <c r="D4827" s="540">
        <v>49.31</v>
      </c>
    </row>
    <row r="4828" spans="1:4" ht="15" x14ac:dyDescent="0.25">
      <c r="A4828" s="304">
        <v>21019</v>
      </c>
      <c r="B4828" s="304" t="s">
        <v>10372</v>
      </c>
      <c r="C4828" s="304" t="s">
        <v>5575</v>
      </c>
      <c r="D4828" s="540">
        <v>17.14</v>
      </c>
    </row>
    <row r="4829" spans="1:4" ht="15" x14ac:dyDescent="0.25">
      <c r="A4829" s="304">
        <v>21021</v>
      </c>
      <c r="B4829" s="304" t="s">
        <v>10373</v>
      </c>
      <c r="C4829" s="304" t="s">
        <v>5575</v>
      </c>
      <c r="D4829" s="540">
        <v>27.09</v>
      </c>
    </row>
    <row r="4830" spans="1:4" ht="15" x14ac:dyDescent="0.25">
      <c r="A4830" s="304">
        <v>21024</v>
      </c>
      <c r="B4830" s="304" t="s">
        <v>10374</v>
      </c>
      <c r="C4830" s="304" t="s">
        <v>5575</v>
      </c>
      <c r="D4830" s="540">
        <v>58.05</v>
      </c>
    </row>
    <row r="4831" spans="1:4" ht="15" x14ac:dyDescent="0.25">
      <c r="A4831" s="304">
        <v>40624</v>
      </c>
      <c r="B4831" s="304" t="s">
        <v>10375</v>
      </c>
      <c r="C4831" s="304" t="s">
        <v>5575</v>
      </c>
      <c r="D4831" s="540">
        <v>42.97</v>
      </c>
    </row>
    <row r="4832" spans="1:4" ht="15" x14ac:dyDescent="0.25">
      <c r="A4832" s="304">
        <v>13127</v>
      </c>
      <c r="B4832" s="304" t="s">
        <v>10376</v>
      </c>
      <c r="C4832" s="304" t="s">
        <v>5575</v>
      </c>
      <c r="D4832" s="540">
        <v>19.16</v>
      </c>
    </row>
    <row r="4833" spans="1:4" ht="15" x14ac:dyDescent="0.25">
      <c r="A4833" s="304">
        <v>13137</v>
      </c>
      <c r="B4833" s="304" t="s">
        <v>10377</v>
      </c>
      <c r="C4833" s="304" t="s">
        <v>5575</v>
      </c>
      <c r="D4833" s="540">
        <v>25.43</v>
      </c>
    </row>
    <row r="4834" spans="1:4" ht="15" x14ac:dyDescent="0.25">
      <c r="A4834" s="304">
        <v>20989</v>
      </c>
      <c r="B4834" s="304" t="s">
        <v>10378</v>
      </c>
      <c r="C4834" s="304" t="s">
        <v>5575</v>
      </c>
      <c r="D4834" s="540">
        <v>911.18</v>
      </c>
    </row>
    <row r="4835" spans="1:4" ht="15" x14ac:dyDescent="0.25">
      <c r="A4835" s="304">
        <v>21147</v>
      </c>
      <c r="B4835" s="304" t="s">
        <v>10379</v>
      </c>
      <c r="C4835" s="304" t="s">
        <v>5575</v>
      </c>
      <c r="D4835" s="540">
        <v>85.43</v>
      </c>
    </row>
    <row r="4836" spans="1:4" ht="15" x14ac:dyDescent="0.25">
      <c r="A4836" s="304">
        <v>21148</v>
      </c>
      <c r="B4836" s="304" t="s">
        <v>10380</v>
      </c>
      <c r="C4836" s="304" t="s">
        <v>5575</v>
      </c>
      <c r="D4836" s="540">
        <v>52.73</v>
      </c>
    </row>
    <row r="4837" spans="1:4" ht="15" x14ac:dyDescent="0.25">
      <c r="A4837" s="304">
        <v>20984</v>
      </c>
      <c r="B4837" s="304" t="s">
        <v>10381</v>
      </c>
      <c r="C4837" s="304" t="s">
        <v>5575</v>
      </c>
      <c r="D4837" s="541">
        <v>1748.39</v>
      </c>
    </row>
    <row r="4838" spans="1:4" ht="15" x14ac:dyDescent="0.25">
      <c r="A4838" s="304">
        <v>13042</v>
      </c>
      <c r="B4838" s="304" t="s">
        <v>10382</v>
      </c>
      <c r="C4838" s="304" t="s">
        <v>5575</v>
      </c>
      <c r="D4838" s="540">
        <v>968.86</v>
      </c>
    </row>
    <row r="4839" spans="1:4" ht="15" x14ac:dyDescent="0.25">
      <c r="A4839" s="304">
        <v>21150</v>
      </c>
      <c r="B4839" s="304" t="s">
        <v>10383</v>
      </c>
      <c r="C4839" s="304" t="s">
        <v>5575</v>
      </c>
      <c r="D4839" s="540">
        <v>26.14</v>
      </c>
    </row>
    <row r="4840" spans="1:4" ht="15" x14ac:dyDescent="0.25">
      <c r="A4840" s="304">
        <v>13141</v>
      </c>
      <c r="B4840" s="304" t="s">
        <v>10384</v>
      </c>
      <c r="C4840" s="304" t="s">
        <v>5575</v>
      </c>
      <c r="D4840" s="540">
        <v>32.94</v>
      </c>
    </row>
    <row r="4841" spans="1:4" ht="15" x14ac:dyDescent="0.25">
      <c r="A4841" s="304">
        <v>21151</v>
      </c>
      <c r="B4841" s="304" t="s">
        <v>10385</v>
      </c>
      <c r="C4841" s="304" t="s">
        <v>5575</v>
      </c>
      <c r="D4841" s="540">
        <v>156.5</v>
      </c>
    </row>
    <row r="4842" spans="1:4" ht="15" x14ac:dyDescent="0.25">
      <c r="A4842" s="304">
        <v>13142</v>
      </c>
      <c r="B4842" s="304" t="s">
        <v>10386</v>
      </c>
      <c r="C4842" s="304" t="s">
        <v>5575</v>
      </c>
      <c r="D4842" s="540">
        <v>223.73</v>
      </c>
    </row>
    <row r="4843" spans="1:4" ht="15" x14ac:dyDescent="0.25">
      <c r="A4843" s="304">
        <v>20994</v>
      </c>
      <c r="B4843" s="304" t="s">
        <v>10387</v>
      </c>
      <c r="C4843" s="304" t="s">
        <v>5575</v>
      </c>
      <c r="D4843" s="540">
        <v>421.83</v>
      </c>
    </row>
    <row r="4844" spans="1:4" ht="15" x14ac:dyDescent="0.25">
      <c r="A4844" s="304">
        <v>7672</v>
      </c>
      <c r="B4844" s="304" t="s">
        <v>10388</v>
      </c>
      <c r="C4844" s="304" t="s">
        <v>5575</v>
      </c>
      <c r="D4844" s="540">
        <v>276.33999999999997</v>
      </c>
    </row>
    <row r="4845" spans="1:4" ht="15" x14ac:dyDescent="0.25">
      <c r="A4845" s="304">
        <v>20995</v>
      </c>
      <c r="B4845" s="304" t="s">
        <v>10389</v>
      </c>
      <c r="C4845" s="304" t="s">
        <v>5575</v>
      </c>
      <c r="D4845" s="540">
        <v>554.36</v>
      </c>
    </row>
    <row r="4846" spans="1:4" ht="15" x14ac:dyDescent="0.25">
      <c r="A4846" s="304">
        <v>7690</v>
      </c>
      <c r="B4846" s="304" t="s">
        <v>10390</v>
      </c>
      <c r="C4846" s="304" t="s">
        <v>5575</v>
      </c>
      <c r="D4846" s="540">
        <v>320.62</v>
      </c>
    </row>
    <row r="4847" spans="1:4" ht="15" x14ac:dyDescent="0.25">
      <c r="A4847" s="304">
        <v>20980</v>
      </c>
      <c r="B4847" s="304" t="s">
        <v>10391</v>
      </c>
      <c r="C4847" s="304" t="s">
        <v>5575</v>
      </c>
      <c r="D4847" s="540">
        <v>349.77</v>
      </c>
    </row>
    <row r="4848" spans="1:4" ht="15" x14ac:dyDescent="0.25">
      <c r="A4848" s="304">
        <v>7661</v>
      </c>
      <c r="B4848" s="304" t="s">
        <v>10392</v>
      </c>
      <c r="C4848" s="304" t="s">
        <v>5575</v>
      </c>
      <c r="D4848" s="540">
        <v>416.08</v>
      </c>
    </row>
    <row r="4849" spans="1:4" ht="15" x14ac:dyDescent="0.25">
      <c r="A4849" s="304">
        <v>21016</v>
      </c>
      <c r="B4849" s="304" t="s">
        <v>10393</v>
      </c>
      <c r="C4849" s="304" t="s">
        <v>5575</v>
      </c>
      <c r="D4849" s="540">
        <v>122.8</v>
      </c>
    </row>
    <row r="4850" spans="1:4" ht="15" x14ac:dyDescent="0.25">
      <c r="A4850" s="304">
        <v>21008</v>
      </c>
      <c r="B4850" s="304" t="s">
        <v>10394</v>
      </c>
      <c r="C4850" s="304" t="s">
        <v>5575</v>
      </c>
      <c r="D4850" s="540">
        <v>14.34</v>
      </c>
    </row>
    <row r="4851" spans="1:4" ht="15" x14ac:dyDescent="0.25">
      <c r="A4851" s="304">
        <v>21009</v>
      </c>
      <c r="B4851" s="304" t="s">
        <v>10395</v>
      </c>
      <c r="C4851" s="304" t="s">
        <v>5575</v>
      </c>
      <c r="D4851" s="540">
        <v>18.68</v>
      </c>
    </row>
    <row r="4852" spans="1:4" ht="15" x14ac:dyDescent="0.25">
      <c r="A4852" s="304">
        <v>21010</v>
      </c>
      <c r="B4852" s="304" t="s">
        <v>10396</v>
      </c>
      <c r="C4852" s="304" t="s">
        <v>5575</v>
      </c>
      <c r="D4852" s="540">
        <v>25.08</v>
      </c>
    </row>
    <row r="4853" spans="1:4" ht="15" x14ac:dyDescent="0.25">
      <c r="A4853" s="304">
        <v>21011</v>
      </c>
      <c r="B4853" s="304" t="s">
        <v>10397</v>
      </c>
      <c r="C4853" s="304" t="s">
        <v>5575</v>
      </c>
      <c r="D4853" s="540">
        <v>36.549999999999997</v>
      </c>
    </row>
    <row r="4854" spans="1:4" ht="15" x14ac:dyDescent="0.25">
      <c r="A4854" s="304">
        <v>21012</v>
      </c>
      <c r="B4854" s="304" t="s">
        <v>10398</v>
      </c>
      <c r="C4854" s="304" t="s">
        <v>5575</v>
      </c>
      <c r="D4854" s="540">
        <v>40.39</v>
      </c>
    </row>
    <row r="4855" spans="1:4" ht="15" x14ac:dyDescent="0.25">
      <c r="A4855" s="304">
        <v>21013</v>
      </c>
      <c r="B4855" s="304" t="s">
        <v>10399</v>
      </c>
      <c r="C4855" s="304" t="s">
        <v>5575</v>
      </c>
      <c r="D4855" s="540">
        <v>52.71</v>
      </c>
    </row>
    <row r="4856" spans="1:4" ht="15" x14ac:dyDescent="0.25">
      <c r="A4856" s="304">
        <v>21014</v>
      </c>
      <c r="B4856" s="304" t="s">
        <v>10400</v>
      </c>
      <c r="C4856" s="304" t="s">
        <v>5575</v>
      </c>
      <c r="D4856" s="540">
        <v>73.75</v>
      </c>
    </row>
    <row r="4857" spans="1:4" ht="15" x14ac:dyDescent="0.25">
      <c r="A4857" s="304">
        <v>21015</v>
      </c>
      <c r="B4857" s="304" t="s">
        <v>10401</v>
      </c>
      <c r="C4857" s="304" t="s">
        <v>5575</v>
      </c>
      <c r="D4857" s="540">
        <v>84.73</v>
      </c>
    </row>
    <row r="4858" spans="1:4" ht="15" x14ac:dyDescent="0.25">
      <c r="A4858" s="304">
        <v>7697</v>
      </c>
      <c r="B4858" s="304" t="s">
        <v>10402</v>
      </c>
      <c r="C4858" s="304" t="s">
        <v>5575</v>
      </c>
      <c r="D4858" s="540">
        <v>40.43</v>
      </c>
    </row>
    <row r="4859" spans="1:4" ht="15" x14ac:dyDescent="0.25">
      <c r="A4859" s="304">
        <v>7698</v>
      </c>
      <c r="B4859" s="304" t="s">
        <v>10403</v>
      </c>
      <c r="C4859" s="304" t="s">
        <v>5575</v>
      </c>
      <c r="D4859" s="540">
        <v>34.799999999999997</v>
      </c>
    </row>
    <row r="4860" spans="1:4" ht="15" x14ac:dyDescent="0.25">
      <c r="A4860" s="304">
        <v>7691</v>
      </c>
      <c r="B4860" s="304" t="s">
        <v>10404</v>
      </c>
      <c r="C4860" s="304" t="s">
        <v>5575</v>
      </c>
      <c r="D4860" s="540">
        <v>14.7</v>
      </c>
    </row>
    <row r="4861" spans="1:4" ht="15" x14ac:dyDescent="0.25">
      <c r="A4861" s="304">
        <v>40626</v>
      </c>
      <c r="B4861" s="304" t="s">
        <v>10405</v>
      </c>
      <c r="C4861" s="304" t="s">
        <v>5575</v>
      </c>
      <c r="D4861" s="540">
        <v>27.6</v>
      </c>
    </row>
    <row r="4862" spans="1:4" ht="15" x14ac:dyDescent="0.25">
      <c r="A4862" s="304">
        <v>7701</v>
      </c>
      <c r="B4862" s="304" t="s">
        <v>10406</v>
      </c>
      <c r="C4862" s="304" t="s">
        <v>5575</v>
      </c>
      <c r="D4862" s="540">
        <v>72.36</v>
      </c>
    </row>
    <row r="4863" spans="1:4" ht="15" x14ac:dyDescent="0.25">
      <c r="A4863" s="304">
        <v>7696</v>
      </c>
      <c r="B4863" s="304" t="s">
        <v>10407</v>
      </c>
      <c r="C4863" s="304" t="s">
        <v>5575</v>
      </c>
      <c r="D4863" s="540">
        <v>58.31</v>
      </c>
    </row>
    <row r="4864" spans="1:4" ht="15" x14ac:dyDescent="0.25">
      <c r="A4864" s="304">
        <v>7700</v>
      </c>
      <c r="B4864" s="304" t="s">
        <v>10408</v>
      </c>
      <c r="C4864" s="304" t="s">
        <v>5575</v>
      </c>
      <c r="D4864" s="540">
        <v>18.600000000000001</v>
      </c>
    </row>
    <row r="4865" spans="1:4" ht="15" x14ac:dyDescent="0.25">
      <c r="A4865" s="304">
        <v>7694</v>
      </c>
      <c r="B4865" s="304" t="s">
        <v>10409</v>
      </c>
      <c r="C4865" s="304" t="s">
        <v>5575</v>
      </c>
      <c r="D4865" s="540">
        <v>97.37</v>
      </c>
    </row>
    <row r="4866" spans="1:4" ht="15" x14ac:dyDescent="0.25">
      <c r="A4866" s="304">
        <v>7693</v>
      </c>
      <c r="B4866" s="304" t="s">
        <v>10410</v>
      </c>
      <c r="C4866" s="304" t="s">
        <v>5575</v>
      </c>
      <c r="D4866" s="540">
        <v>134.1</v>
      </c>
    </row>
    <row r="4867" spans="1:4" ht="15" x14ac:dyDescent="0.25">
      <c r="A4867" s="304">
        <v>7692</v>
      </c>
      <c r="B4867" s="304" t="s">
        <v>10411</v>
      </c>
      <c r="C4867" s="304" t="s">
        <v>5575</v>
      </c>
      <c r="D4867" s="540">
        <v>200.78</v>
      </c>
    </row>
    <row r="4868" spans="1:4" ht="15" x14ac:dyDescent="0.25">
      <c r="A4868" s="304">
        <v>7695</v>
      </c>
      <c r="B4868" s="304" t="s">
        <v>10412</v>
      </c>
      <c r="C4868" s="304" t="s">
        <v>5575</v>
      </c>
      <c r="D4868" s="540">
        <v>217.75</v>
      </c>
    </row>
    <row r="4869" spans="1:4" ht="15" x14ac:dyDescent="0.25">
      <c r="A4869" s="304">
        <v>13356</v>
      </c>
      <c r="B4869" s="304" t="s">
        <v>10413</v>
      </c>
      <c r="C4869" s="304" t="s">
        <v>5575</v>
      </c>
      <c r="D4869" s="540">
        <v>15.79</v>
      </c>
    </row>
    <row r="4870" spans="1:4" ht="15" x14ac:dyDescent="0.25">
      <c r="A4870" s="304">
        <v>36365</v>
      </c>
      <c r="B4870" s="304" t="s">
        <v>10414</v>
      </c>
      <c r="C4870" s="304" t="s">
        <v>5575</v>
      </c>
      <c r="D4870" s="540">
        <v>19.61</v>
      </c>
    </row>
    <row r="4871" spans="1:4" ht="15" x14ac:dyDescent="0.25">
      <c r="A4871" s="304">
        <v>41930</v>
      </c>
      <c r="B4871" s="304" t="s">
        <v>10415</v>
      </c>
      <c r="C4871" s="304" t="s">
        <v>5575</v>
      </c>
      <c r="D4871" s="540">
        <v>63.48</v>
      </c>
    </row>
    <row r="4872" spans="1:4" ht="15" x14ac:dyDescent="0.25">
      <c r="A4872" s="304">
        <v>41931</v>
      </c>
      <c r="B4872" s="304" t="s">
        <v>10416</v>
      </c>
      <c r="C4872" s="304" t="s">
        <v>5575</v>
      </c>
      <c r="D4872" s="540">
        <v>108.25</v>
      </c>
    </row>
    <row r="4873" spans="1:4" ht="15" x14ac:dyDescent="0.25">
      <c r="A4873" s="304">
        <v>41932</v>
      </c>
      <c r="B4873" s="304" t="s">
        <v>10417</v>
      </c>
      <c r="C4873" s="304" t="s">
        <v>5575</v>
      </c>
      <c r="D4873" s="540">
        <v>174.84</v>
      </c>
    </row>
    <row r="4874" spans="1:4" ht="15" x14ac:dyDescent="0.25">
      <c r="A4874" s="304">
        <v>41933</v>
      </c>
      <c r="B4874" s="304" t="s">
        <v>10418</v>
      </c>
      <c r="C4874" s="304" t="s">
        <v>5575</v>
      </c>
      <c r="D4874" s="540">
        <v>216.54</v>
      </c>
    </row>
    <row r="4875" spans="1:4" ht="15" x14ac:dyDescent="0.25">
      <c r="A4875" s="304">
        <v>41934</v>
      </c>
      <c r="B4875" s="304" t="s">
        <v>10419</v>
      </c>
      <c r="C4875" s="304" t="s">
        <v>5575</v>
      </c>
      <c r="D4875" s="540">
        <v>280.47000000000003</v>
      </c>
    </row>
    <row r="4876" spans="1:4" ht="15" x14ac:dyDescent="0.25">
      <c r="A4876" s="304">
        <v>41936</v>
      </c>
      <c r="B4876" s="304" t="s">
        <v>10420</v>
      </c>
      <c r="C4876" s="304" t="s">
        <v>5575</v>
      </c>
      <c r="D4876" s="540">
        <v>42.28</v>
      </c>
    </row>
    <row r="4877" spans="1:4" ht="15" x14ac:dyDescent="0.25">
      <c r="A4877" s="304">
        <v>7720</v>
      </c>
      <c r="B4877" s="304" t="s">
        <v>10421</v>
      </c>
      <c r="C4877" s="304" t="s">
        <v>5575</v>
      </c>
      <c r="D4877" s="540">
        <v>466.74</v>
      </c>
    </row>
    <row r="4878" spans="1:4" ht="15" x14ac:dyDescent="0.25">
      <c r="A4878" s="304">
        <v>40335</v>
      </c>
      <c r="B4878" s="304" t="s">
        <v>10422</v>
      </c>
      <c r="C4878" s="304" t="s">
        <v>5575</v>
      </c>
      <c r="D4878" s="540">
        <v>95.06</v>
      </c>
    </row>
    <row r="4879" spans="1:4" ht="15" x14ac:dyDescent="0.25">
      <c r="A4879" s="304">
        <v>7740</v>
      </c>
      <c r="B4879" s="304" t="s">
        <v>10423</v>
      </c>
      <c r="C4879" s="304" t="s">
        <v>5575</v>
      </c>
      <c r="D4879" s="540">
        <v>129.69999999999999</v>
      </c>
    </row>
    <row r="4880" spans="1:4" ht="15" x14ac:dyDescent="0.25">
      <c r="A4880" s="304">
        <v>7741</v>
      </c>
      <c r="B4880" s="304" t="s">
        <v>10424</v>
      </c>
      <c r="C4880" s="304" t="s">
        <v>5575</v>
      </c>
      <c r="D4880" s="540">
        <v>163.69</v>
      </c>
    </row>
    <row r="4881" spans="1:4" ht="15" x14ac:dyDescent="0.25">
      <c r="A4881" s="304">
        <v>7774</v>
      </c>
      <c r="B4881" s="304" t="s">
        <v>10425</v>
      </c>
      <c r="C4881" s="304" t="s">
        <v>5575</v>
      </c>
      <c r="D4881" s="540">
        <v>220.35</v>
      </c>
    </row>
    <row r="4882" spans="1:4" ht="15" x14ac:dyDescent="0.25">
      <c r="A4882" s="304">
        <v>7744</v>
      </c>
      <c r="B4882" s="304" t="s">
        <v>10426</v>
      </c>
      <c r="C4882" s="304" t="s">
        <v>5575</v>
      </c>
      <c r="D4882" s="540">
        <v>254.01</v>
      </c>
    </row>
    <row r="4883" spans="1:4" ht="15" x14ac:dyDescent="0.25">
      <c r="A4883" s="304">
        <v>7773</v>
      </c>
      <c r="B4883" s="304" t="s">
        <v>10427</v>
      </c>
      <c r="C4883" s="304" t="s">
        <v>5575</v>
      </c>
      <c r="D4883" s="540">
        <v>316.33999999999997</v>
      </c>
    </row>
    <row r="4884" spans="1:4" ht="15" x14ac:dyDescent="0.25">
      <c r="A4884" s="304">
        <v>7754</v>
      </c>
      <c r="B4884" s="304" t="s">
        <v>10428</v>
      </c>
      <c r="C4884" s="304" t="s">
        <v>5575</v>
      </c>
      <c r="D4884" s="540">
        <v>429.88</v>
      </c>
    </row>
    <row r="4885" spans="1:4" ht="15" x14ac:dyDescent="0.25">
      <c r="A4885" s="304">
        <v>7735</v>
      </c>
      <c r="B4885" s="304" t="s">
        <v>10429</v>
      </c>
      <c r="C4885" s="304" t="s">
        <v>5575</v>
      </c>
      <c r="D4885" s="540">
        <v>589.20000000000005</v>
      </c>
    </row>
    <row r="4886" spans="1:4" ht="15" x14ac:dyDescent="0.25">
      <c r="A4886" s="304">
        <v>7755</v>
      </c>
      <c r="B4886" s="304" t="s">
        <v>10430</v>
      </c>
      <c r="C4886" s="304" t="s">
        <v>5575</v>
      </c>
      <c r="D4886" s="540">
        <v>158.01</v>
      </c>
    </row>
    <row r="4887" spans="1:4" ht="15" x14ac:dyDescent="0.25">
      <c r="A4887" s="304">
        <v>7776</v>
      </c>
      <c r="B4887" s="304" t="s">
        <v>10431</v>
      </c>
      <c r="C4887" s="304" t="s">
        <v>5575</v>
      </c>
      <c r="D4887" s="540">
        <v>205.65</v>
      </c>
    </row>
    <row r="4888" spans="1:4" ht="15" x14ac:dyDescent="0.25">
      <c r="A4888" s="304">
        <v>7743</v>
      </c>
      <c r="B4888" s="304" t="s">
        <v>10432</v>
      </c>
      <c r="C4888" s="304" t="s">
        <v>5575</v>
      </c>
      <c r="D4888" s="540">
        <v>271.58</v>
      </c>
    </row>
    <row r="4889" spans="1:4" ht="15" x14ac:dyDescent="0.25">
      <c r="A4889" s="304">
        <v>7733</v>
      </c>
      <c r="B4889" s="304" t="s">
        <v>10433</v>
      </c>
      <c r="C4889" s="304" t="s">
        <v>5575</v>
      </c>
      <c r="D4889" s="540">
        <v>302.83999999999997</v>
      </c>
    </row>
    <row r="4890" spans="1:4" ht="15" x14ac:dyDescent="0.25">
      <c r="A4890" s="304">
        <v>7775</v>
      </c>
      <c r="B4890" s="304" t="s">
        <v>10434</v>
      </c>
      <c r="C4890" s="304" t="s">
        <v>5575</v>
      </c>
      <c r="D4890" s="540">
        <v>372.59</v>
      </c>
    </row>
    <row r="4891" spans="1:4" ht="15" x14ac:dyDescent="0.25">
      <c r="A4891" s="304">
        <v>7734</v>
      </c>
      <c r="B4891" s="304" t="s">
        <v>10435</v>
      </c>
      <c r="C4891" s="304" t="s">
        <v>5575</v>
      </c>
      <c r="D4891" s="540">
        <v>538.65</v>
      </c>
    </row>
    <row r="4892" spans="1:4" ht="15" x14ac:dyDescent="0.25">
      <c r="A4892" s="304">
        <v>7753</v>
      </c>
      <c r="B4892" s="304" t="s">
        <v>10436</v>
      </c>
      <c r="C4892" s="304" t="s">
        <v>5575</v>
      </c>
      <c r="D4892" s="540">
        <v>273.10000000000002</v>
      </c>
    </row>
    <row r="4893" spans="1:4" ht="15" x14ac:dyDescent="0.25">
      <c r="A4893" s="304">
        <v>13256</v>
      </c>
      <c r="B4893" s="304" t="s">
        <v>10437</v>
      </c>
      <c r="C4893" s="304" t="s">
        <v>5575</v>
      </c>
      <c r="D4893" s="540">
        <v>318.8</v>
      </c>
    </row>
    <row r="4894" spans="1:4" ht="15" x14ac:dyDescent="0.25">
      <c r="A4894" s="304">
        <v>7757</v>
      </c>
      <c r="B4894" s="304" t="s">
        <v>10438</v>
      </c>
      <c r="C4894" s="304" t="s">
        <v>5575</v>
      </c>
      <c r="D4894" s="540">
        <v>387.04</v>
      </c>
    </row>
    <row r="4895" spans="1:4" ht="15" x14ac:dyDescent="0.25">
      <c r="A4895" s="304">
        <v>7758</v>
      </c>
      <c r="B4895" s="304" t="s">
        <v>10439</v>
      </c>
      <c r="C4895" s="304" t="s">
        <v>5575</v>
      </c>
      <c r="D4895" s="540">
        <v>575.67999999999995</v>
      </c>
    </row>
    <row r="4896" spans="1:4" ht="15" x14ac:dyDescent="0.25">
      <c r="A4896" s="304">
        <v>7759</v>
      </c>
      <c r="B4896" s="304" t="s">
        <v>10440</v>
      </c>
      <c r="C4896" s="304" t="s">
        <v>5575</v>
      </c>
      <c r="D4896" s="541">
        <v>1254.21</v>
      </c>
    </row>
    <row r="4897" spans="1:4" ht="15" x14ac:dyDescent="0.25">
      <c r="A4897" s="304">
        <v>40334</v>
      </c>
      <c r="B4897" s="304" t="s">
        <v>10441</v>
      </c>
      <c r="C4897" s="304" t="s">
        <v>5575</v>
      </c>
      <c r="D4897" s="540">
        <v>67.709999999999994</v>
      </c>
    </row>
    <row r="4898" spans="1:4" ht="15" x14ac:dyDescent="0.25">
      <c r="A4898" s="304">
        <v>7745</v>
      </c>
      <c r="B4898" s="304" t="s">
        <v>10442</v>
      </c>
      <c r="C4898" s="304" t="s">
        <v>5575</v>
      </c>
      <c r="D4898" s="540">
        <v>71.55</v>
      </c>
    </row>
    <row r="4899" spans="1:4" ht="15" x14ac:dyDescent="0.25">
      <c r="A4899" s="304">
        <v>7714</v>
      </c>
      <c r="B4899" s="304" t="s">
        <v>10443</v>
      </c>
      <c r="C4899" s="304" t="s">
        <v>5575</v>
      </c>
      <c r="D4899" s="540">
        <v>94.49</v>
      </c>
    </row>
    <row r="4900" spans="1:4" ht="15" x14ac:dyDescent="0.25">
      <c r="A4900" s="304">
        <v>7725</v>
      </c>
      <c r="B4900" s="304" t="s">
        <v>10444</v>
      </c>
      <c r="C4900" s="304" t="s">
        <v>5575</v>
      </c>
      <c r="D4900" s="540">
        <v>125</v>
      </c>
    </row>
    <row r="4901" spans="1:4" ht="15" x14ac:dyDescent="0.25">
      <c r="A4901" s="304">
        <v>7742</v>
      </c>
      <c r="B4901" s="304" t="s">
        <v>10445</v>
      </c>
      <c r="C4901" s="304" t="s">
        <v>5575</v>
      </c>
      <c r="D4901" s="540">
        <v>175.45</v>
      </c>
    </row>
    <row r="4902" spans="1:4" ht="15" x14ac:dyDescent="0.25">
      <c r="A4902" s="304">
        <v>7750</v>
      </c>
      <c r="B4902" s="304" t="s">
        <v>10446</v>
      </c>
      <c r="C4902" s="304" t="s">
        <v>5575</v>
      </c>
      <c r="D4902" s="540">
        <v>198.96</v>
      </c>
    </row>
    <row r="4903" spans="1:4" ht="15" x14ac:dyDescent="0.25">
      <c r="A4903" s="304">
        <v>7756</v>
      </c>
      <c r="B4903" s="304" t="s">
        <v>10447</v>
      </c>
      <c r="C4903" s="304" t="s">
        <v>5575</v>
      </c>
      <c r="D4903" s="540">
        <v>245.64</v>
      </c>
    </row>
    <row r="4904" spans="1:4" ht="15" x14ac:dyDescent="0.25">
      <c r="A4904" s="304">
        <v>7765</v>
      </c>
      <c r="B4904" s="304" t="s">
        <v>10448</v>
      </c>
      <c r="C4904" s="304" t="s">
        <v>5575</v>
      </c>
      <c r="D4904" s="540">
        <v>301.60000000000002</v>
      </c>
    </row>
    <row r="4905" spans="1:4" ht="15" x14ac:dyDescent="0.25">
      <c r="A4905" s="304">
        <v>12569</v>
      </c>
      <c r="B4905" s="304" t="s">
        <v>10449</v>
      </c>
      <c r="C4905" s="304" t="s">
        <v>5575</v>
      </c>
      <c r="D4905" s="540">
        <v>324.54000000000002</v>
      </c>
    </row>
    <row r="4906" spans="1:4" ht="15" x14ac:dyDescent="0.25">
      <c r="A4906" s="304">
        <v>7766</v>
      </c>
      <c r="B4906" s="304" t="s">
        <v>10450</v>
      </c>
      <c r="C4906" s="304" t="s">
        <v>5575</v>
      </c>
      <c r="D4906" s="540">
        <v>438.64</v>
      </c>
    </row>
    <row r="4907" spans="1:4" ht="15" x14ac:dyDescent="0.25">
      <c r="A4907" s="304">
        <v>7767</v>
      </c>
      <c r="B4907" s="304" t="s">
        <v>10451</v>
      </c>
      <c r="C4907" s="304" t="s">
        <v>5575</v>
      </c>
      <c r="D4907" s="540">
        <v>675.92</v>
      </c>
    </row>
    <row r="4908" spans="1:4" ht="15" x14ac:dyDescent="0.25">
      <c r="A4908" s="304">
        <v>7727</v>
      </c>
      <c r="B4908" s="304" t="s">
        <v>10452</v>
      </c>
      <c r="C4908" s="304" t="s">
        <v>5575</v>
      </c>
      <c r="D4908" s="541">
        <v>1467.88</v>
      </c>
    </row>
    <row r="4909" spans="1:4" ht="15" x14ac:dyDescent="0.25">
      <c r="A4909" s="304">
        <v>7760</v>
      </c>
      <c r="B4909" s="304" t="s">
        <v>10453</v>
      </c>
      <c r="C4909" s="304" t="s">
        <v>5575</v>
      </c>
      <c r="D4909" s="540">
        <v>71.209999999999994</v>
      </c>
    </row>
    <row r="4910" spans="1:4" ht="15" x14ac:dyDescent="0.25">
      <c r="A4910" s="304">
        <v>7761</v>
      </c>
      <c r="B4910" s="304" t="s">
        <v>10454</v>
      </c>
      <c r="C4910" s="304" t="s">
        <v>5575</v>
      </c>
      <c r="D4910" s="540">
        <v>75.680000000000007</v>
      </c>
    </row>
    <row r="4911" spans="1:4" ht="15" x14ac:dyDescent="0.25">
      <c r="A4911" s="304">
        <v>7752</v>
      </c>
      <c r="B4911" s="304" t="s">
        <v>10455</v>
      </c>
      <c r="C4911" s="304" t="s">
        <v>5575</v>
      </c>
      <c r="D4911" s="540">
        <v>91.68</v>
      </c>
    </row>
    <row r="4912" spans="1:4" ht="15" x14ac:dyDescent="0.25">
      <c r="A4912" s="304">
        <v>7762</v>
      </c>
      <c r="B4912" s="304" t="s">
        <v>10456</v>
      </c>
      <c r="C4912" s="304" t="s">
        <v>5575</v>
      </c>
      <c r="D4912" s="540">
        <v>119.95</v>
      </c>
    </row>
    <row r="4913" spans="1:4" ht="15" x14ac:dyDescent="0.25">
      <c r="A4913" s="304">
        <v>7722</v>
      </c>
      <c r="B4913" s="304" t="s">
        <v>10457</v>
      </c>
      <c r="C4913" s="304" t="s">
        <v>5575</v>
      </c>
      <c r="D4913" s="540">
        <v>184.97</v>
      </c>
    </row>
    <row r="4914" spans="1:4" ht="15" x14ac:dyDescent="0.25">
      <c r="A4914" s="304">
        <v>7763</v>
      </c>
      <c r="B4914" s="304" t="s">
        <v>10458</v>
      </c>
      <c r="C4914" s="304" t="s">
        <v>5575</v>
      </c>
      <c r="D4914" s="540">
        <v>206.13</v>
      </c>
    </row>
    <row r="4915" spans="1:4" ht="15" x14ac:dyDescent="0.25">
      <c r="A4915" s="304">
        <v>7764</v>
      </c>
      <c r="B4915" s="304" t="s">
        <v>10459</v>
      </c>
      <c r="C4915" s="304" t="s">
        <v>5575</v>
      </c>
      <c r="D4915" s="540">
        <v>309.63</v>
      </c>
    </row>
    <row r="4916" spans="1:4" ht="15" x14ac:dyDescent="0.25">
      <c r="A4916" s="304">
        <v>12572</v>
      </c>
      <c r="B4916" s="304" t="s">
        <v>10460</v>
      </c>
      <c r="C4916" s="304" t="s">
        <v>5575</v>
      </c>
      <c r="D4916" s="540">
        <v>405.96</v>
      </c>
    </row>
    <row r="4917" spans="1:4" ht="15" x14ac:dyDescent="0.25">
      <c r="A4917" s="304">
        <v>12573</v>
      </c>
      <c r="B4917" s="304" t="s">
        <v>10461</v>
      </c>
      <c r="C4917" s="304" t="s">
        <v>5575</v>
      </c>
      <c r="D4917" s="540">
        <v>426.6</v>
      </c>
    </row>
    <row r="4918" spans="1:4" ht="15" x14ac:dyDescent="0.25">
      <c r="A4918" s="304">
        <v>12574</v>
      </c>
      <c r="B4918" s="304" t="s">
        <v>10462</v>
      </c>
      <c r="C4918" s="304" t="s">
        <v>5575</v>
      </c>
      <c r="D4918" s="540">
        <v>554.33000000000004</v>
      </c>
    </row>
    <row r="4919" spans="1:4" ht="15" x14ac:dyDescent="0.25">
      <c r="A4919" s="304">
        <v>12575</v>
      </c>
      <c r="B4919" s="304" t="s">
        <v>10463</v>
      </c>
      <c r="C4919" s="304" t="s">
        <v>5575</v>
      </c>
      <c r="D4919" s="540">
        <v>813.64</v>
      </c>
    </row>
    <row r="4920" spans="1:4" ht="15" x14ac:dyDescent="0.25">
      <c r="A4920" s="304">
        <v>12576</v>
      </c>
      <c r="B4920" s="304" t="s">
        <v>10464</v>
      </c>
      <c r="C4920" s="304" t="s">
        <v>5575</v>
      </c>
      <c r="D4920" s="540">
        <v>86</v>
      </c>
    </row>
    <row r="4921" spans="1:4" ht="15" x14ac:dyDescent="0.25">
      <c r="A4921" s="304">
        <v>12577</v>
      </c>
      <c r="B4921" s="304" t="s">
        <v>10465</v>
      </c>
      <c r="C4921" s="304" t="s">
        <v>5575</v>
      </c>
      <c r="D4921" s="540">
        <v>111.23</v>
      </c>
    </row>
    <row r="4922" spans="1:4" ht="15" x14ac:dyDescent="0.25">
      <c r="A4922" s="304">
        <v>12578</v>
      </c>
      <c r="B4922" s="304" t="s">
        <v>10466</v>
      </c>
      <c r="C4922" s="304" t="s">
        <v>5575</v>
      </c>
      <c r="D4922" s="540">
        <v>149.19</v>
      </c>
    </row>
    <row r="4923" spans="1:4" ht="15" x14ac:dyDescent="0.25">
      <c r="A4923" s="304">
        <v>12579</v>
      </c>
      <c r="B4923" s="304" t="s">
        <v>10467</v>
      </c>
      <c r="C4923" s="304" t="s">
        <v>5575</v>
      </c>
      <c r="D4923" s="540">
        <v>218.46</v>
      </c>
    </row>
    <row r="4924" spans="1:4" ht="15" x14ac:dyDescent="0.25">
      <c r="A4924" s="304">
        <v>12580</v>
      </c>
      <c r="B4924" s="304" t="s">
        <v>10468</v>
      </c>
      <c r="C4924" s="304" t="s">
        <v>5575</v>
      </c>
      <c r="D4924" s="540">
        <v>282.02</v>
      </c>
    </row>
    <row r="4925" spans="1:4" ht="15" x14ac:dyDescent="0.25">
      <c r="A4925" s="304">
        <v>12581</v>
      </c>
      <c r="B4925" s="304" t="s">
        <v>10469</v>
      </c>
      <c r="C4925" s="304" t="s">
        <v>5575</v>
      </c>
      <c r="D4925" s="540">
        <v>385.89</v>
      </c>
    </row>
    <row r="4926" spans="1:4" ht="15" x14ac:dyDescent="0.25">
      <c r="A4926" s="304">
        <v>41785</v>
      </c>
      <c r="B4926" s="304" t="s">
        <v>10470</v>
      </c>
      <c r="C4926" s="304" t="s">
        <v>5575</v>
      </c>
      <c r="D4926" s="541">
        <v>1118.04</v>
      </c>
    </row>
    <row r="4927" spans="1:4" ht="15" x14ac:dyDescent="0.25">
      <c r="A4927" s="304">
        <v>41781</v>
      </c>
      <c r="B4927" s="304" t="s">
        <v>10471</v>
      </c>
      <c r="C4927" s="304" t="s">
        <v>5575</v>
      </c>
      <c r="D4927" s="540">
        <v>318.76</v>
      </c>
    </row>
    <row r="4928" spans="1:4" ht="15" x14ac:dyDescent="0.25">
      <c r="A4928" s="304">
        <v>41783</v>
      </c>
      <c r="B4928" s="304" t="s">
        <v>10472</v>
      </c>
      <c r="C4928" s="304" t="s">
        <v>5575</v>
      </c>
      <c r="D4928" s="540">
        <v>841.16</v>
      </c>
    </row>
    <row r="4929" spans="1:4" ht="15" x14ac:dyDescent="0.25">
      <c r="A4929" s="304">
        <v>41786</v>
      </c>
      <c r="B4929" s="304" t="s">
        <v>10473</v>
      </c>
      <c r="C4929" s="304" t="s">
        <v>5575</v>
      </c>
      <c r="D4929" s="541">
        <v>1754.76</v>
      </c>
    </row>
    <row r="4930" spans="1:4" ht="15" x14ac:dyDescent="0.25">
      <c r="A4930" s="304">
        <v>41779</v>
      </c>
      <c r="B4930" s="304" t="s">
        <v>10474</v>
      </c>
      <c r="C4930" s="304" t="s">
        <v>5575</v>
      </c>
      <c r="D4930" s="540">
        <v>122.25</v>
      </c>
    </row>
    <row r="4931" spans="1:4" ht="15" x14ac:dyDescent="0.25">
      <c r="A4931" s="304">
        <v>41780</v>
      </c>
      <c r="B4931" s="304" t="s">
        <v>10475</v>
      </c>
      <c r="C4931" s="304" t="s">
        <v>5575</v>
      </c>
      <c r="D4931" s="540">
        <v>144.59</v>
      </c>
    </row>
    <row r="4932" spans="1:4" ht="15" x14ac:dyDescent="0.25">
      <c r="A4932" s="304">
        <v>41782</v>
      </c>
      <c r="B4932" s="304" t="s">
        <v>10476</v>
      </c>
      <c r="C4932" s="304" t="s">
        <v>5575</v>
      </c>
      <c r="D4932" s="540">
        <v>596.05999999999995</v>
      </c>
    </row>
    <row r="4933" spans="1:4" ht="15" x14ac:dyDescent="0.25">
      <c r="A4933" s="304">
        <v>38130</v>
      </c>
      <c r="B4933" s="304" t="s">
        <v>10477</v>
      </c>
      <c r="C4933" s="304" t="s">
        <v>5575</v>
      </c>
      <c r="D4933" s="540">
        <v>25.26</v>
      </c>
    </row>
    <row r="4934" spans="1:4" ht="15" x14ac:dyDescent="0.25">
      <c r="A4934" s="304">
        <v>21123</v>
      </c>
      <c r="B4934" s="304" t="s">
        <v>10478</v>
      </c>
      <c r="C4934" s="304" t="s">
        <v>5575</v>
      </c>
      <c r="D4934" s="540">
        <v>7.17</v>
      </c>
    </row>
    <row r="4935" spans="1:4" ht="15" x14ac:dyDescent="0.25">
      <c r="A4935" s="304">
        <v>21124</v>
      </c>
      <c r="B4935" s="304" t="s">
        <v>10479</v>
      </c>
      <c r="C4935" s="304" t="s">
        <v>5575</v>
      </c>
      <c r="D4935" s="540">
        <v>12.71</v>
      </c>
    </row>
    <row r="4936" spans="1:4" ht="15" x14ac:dyDescent="0.25">
      <c r="A4936" s="304">
        <v>21125</v>
      </c>
      <c r="B4936" s="304" t="s">
        <v>10480</v>
      </c>
      <c r="C4936" s="304" t="s">
        <v>5575</v>
      </c>
      <c r="D4936" s="540">
        <v>20.399999999999999</v>
      </c>
    </row>
    <row r="4937" spans="1:4" ht="15" x14ac:dyDescent="0.25">
      <c r="A4937" s="304">
        <v>38028</v>
      </c>
      <c r="B4937" s="304" t="s">
        <v>10481</v>
      </c>
      <c r="C4937" s="304" t="s">
        <v>5575</v>
      </c>
      <c r="D4937" s="540">
        <v>34.619999999999997</v>
      </c>
    </row>
    <row r="4938" spans="1:4" ht="15" x14ac:dyDescent="0.25">
      <c r="A4938" s="304">
        <v>38029</v>
      </c>
      <c r="B4938" s="304" t="s">
        <v>10482</v>
      </c>
      <c r="C4938" s="304" t="s">
        <v>5575</v>
      </c>
      <c r="D4938" s="540">
        <v>52.78</v>
      </c>
    </row>
    <row r="4939" spans="1:4" ht="15" x14ac:dyDescent="0.25">
      <c r="A4939" s="304">
        <v>38030</v>
      </c>
      <c r="B4939" s="304" t="s">
        <v>10483</v>
      </c>
      <c r="C4939" s="304" t="s">
        <v>5575</v>
      </c>
      <c r="D4939" s="540">
        <v>81.069999999999993</v>
      </c>
    </row>
    <row r="4940" spans="1:4" ht="15" x14ac:dyDescent="0.25">
      <c r="A4940" s="304">
        <v>38031</v>
      </c>
      <c r="B4940" s="304" t="s">
        <v>10484</v>
      </c>
      <c r="C4940" s="304" t="s">
        <v>5575</v>
      </c>
      <c r="D4940" s="540">
        <v>128.47</v>
      </c>
    </row>
    <row r="4941" spans="1:4" ht="15" x14ac:dyDescent="0.25">
      <c r="A4941" s="304">
        <v>39735</v>
      </c>
      <c r="B4941" s="304" t="s">
        <v>10485</v>
      </c>
      <c r="C4941" s="304" t="s">
        <v>5575</v>
      </c>
      <c r="D4941" s="540">
        <v>61.83</v>
      </c>
    </row>
    <row r="4942" spans="1:4" ht="15" x14ac:dyDescent="0.25">
      <c r="A4942" s="304">
        <v>39734</v>
      </c>
      <c r="B4942" s="304" t="s">
        <v>10486</v>
      </c>
      <c r="C4942" s="304" t="s">
        <v>5575</v>
      </c>
      <c r="D4942" s="540">
        <v>73.34</v>
      </c>
    </row>
    <row r="4943" spans="1:4" ht="15" x14ac:dyDescent="0.25">
      <c r="A4943" s="304">
        <v>39736</v>
      </c>
      <c r="B4943" s="304" t="s">
        <v>10487</v>
      </c>
      <c r="C4943" s="304" t="s">
        <v>5575</v>
      </c>
      <c r="D4943" s="540">
        <v>83.7</v>
      </c>
    </row>
    <row r="4944" spans="1:4" ht="15" x14ac:dyDescent="0.25">
      <c r="A4944" s="304">
        <v>39737</v>
      </c>
      <c r="B4944" s="304" t="s">
        <v>10488</v>
      </c>
      <c r="C4944" s="304" t="s">
        <v>5575</v>
      </c>
      <c r="D4944" s="540">
        <v>11.26</v>
      </c>
    </row>
    <row r="4945" spans="1:4" ht="15" x14ac:dyDescent="0.25">
      <c r="A4945" s="304">
        <v>39738</v>
      </c>
      <c r="B4945" s="304" t="s">
        <v>10489</v>
      </c>
      <c r="C4945" s="304" t="s">
        <v>5575</v>
      </c>
      <c r="D4945" s="540">
        <v>4.07</v>
      </c>
    </row>
    <row r="4946" spans="1:4" ht="15" x14ac:dyDescent="0.25">
      <c r="A4946" s="304">
        <v>39739</v>
      </c>
      <c r="B4946" s="304" t="s">
        <v>10490</v>
      </c>
      <c r="C4946" s="304" t="s">
        <v>5575</v>
      </c>
      <c r="D4946" s="540">
        <v>57.88</v>
      </c>
    </row>
    <row r="4947" spans="1:4" ht="15" x14ac:dyDescent="0.25">
      <c r="A4947" s="304">
        <v>39733</v>
      </c>
      <c r="B4947" s="304" t="s">
        <v>10491</v>
      </c>
      <c r="C4947" s="304" t="s">
        <v>5575</v>
      </c>
      <c r="D4947" s="540">
        <v>100.16</v>
      </c>
    </row>
    <row r="4948" spans="1:4" ht="15" x14ac:dyDescent="0.25">
      <c r="A4948" s="304">
        <v>39854</v>
      </c>
      <c r="B4948" s="304" t="s">
        <v>10492</v>
      </c>
      <c r="C4948" s="304" t="s">
        <v>5575</v>
      </c>
      <c r="D4948" s="540">
        <v>101.58</v>
      </c>
    </row>
    <row r="4949" spans="1:4" ht="15" x14ac:dyDescent="0.25">
      <c r="A4949" s="304">
        <v>39740</v>
      </c>
      <c r="B4949" s="304" t="s">
        <v>10493</v>
      </c>
      <c r="C4949" s="304" t="s">
        <v>5575</v>
      </c>
      <c r="D4949" s="540">
        <v>55.58</v>
      </c>
    </row>
    <row r="4950" spans="1:4" ht="15" x14ac:dyDescent="0.25">
      <c r="A4950" s="304">
        <v>39741</v>
      </c>
      <c r="B4950" s="304" t="s">
        <v>10494</v>
      </c>
      <c r="C4950" s="304" t="s">
        <v>5575</v>
      </c>
      <c r="D4950" s="540">
        <v>10.24</v>
      </c>
    </row>
    <row r="4951" spans="1:4" ht="15" x14ac:dyDescent="0.25">
      <c r="A4951" s="304">
        <v>39853</v>
      </c>
      <c r="B4951" s="304" t="s">
        <v>10495</v>
      </c>
      <c r="C4951" s="304" t="s">
        <v>5575</v>
      </c>
      <c r="D4951" s="540">
        <v>13.45</v>
      </c>
    </row>
    <row r="4952" spans="1:4" ht="15" x14ac:dyDescent="0.25">
      <c r="A4952" s="304">
        <v>39742</v>
      </c>
      <c r="B4952" s="304" t="s">
        <v>10496</v>
      </c>
      <c r="C4952" s="304" t="s">
        <v>5575</v>
      </c>
      <c r="D4952" s="540">
        <v>44.67</v>
      </c>
    </row>
    <row r="4953" spans="1:4" ht="15" x14ac:dyDescent="0.25">
      <c r="A4953" s="304">
        <v>39749</v>
      </c>
      <c r="B4953" s="304" t="s">
        <v>10497</v>
      </c>
      <c r="C4953" s="304" t="s">
        <v>5575</v>
      </c>
      <c r="D4953" s="540">
        <v>55.77</v>
      </c>
    </row>
    <row r="4954" spans="1:4" ht="15" x14ac:dyDescent="0.25">
      <c r="A4954" s="304">
        <v>39751</v>
      </c>
      <c r="B4954" s="304" t="s">
        <v>10498</v>
      </c>
      <c r="C4954" s="304" t="s">
        <v>5575</v>
      </c>
      <c r="D4954" s="540">
        <v>101.34</v>
      </c>
    </row>
    <row r="4955" spans="1:4" ht="15" x14ac:dyDescent="0.25">
      <c r="A4955" s="304">
        <v>39750</v>
      </c>
      <c r="B4955" s="304" t="s">
        <v>10499</v>
      </c>
      <c r="C4955" s="304" t="s">
        <v>5575</v>
      </c>
      <c r="D4955" s="540">
        <v>84.23</v>
      </c>
    </row>
    <row r="4956" spans="1:4" ht="15" x14ac:dyDescent="0.25">
      <c r="A4956" s="304">
        <v>39747</v>
      </c>
      <c r="B4956" s="304" t="s">
        <v>10500</v>
      </c>
      <c r="C4956" s="304" t="s">
        <v>5575</v>
      </c>
      <c r="D4956" s="540">
        <v>27.09</v>
      </c>
    </row>
    <row r="4957" spans="1:4" ht="15" x14ac:dyDescent="0.25">
      <c r="A4957" s="304">
        <v>39753</v>
      </c>
      <c r="B4957" s="304" t="s">
        <v>10501</v>
      </c>
      <c r="C4957" s="304" t="s">
        <v>5575</v>
      </c>
      <c r="D4957" s="540">
        <v>186.54</v>
      </c>
    </row>
    <row r="4958" spans="1:4" ht="15" x14ac:dyDescent="0.25">
      <c r="A4958" s="304">
        <v>39754</v>
      </c>
      <c r="B4958" s="304" t="s">
        <v>10502</v>
      </c>
      <c r="C4958" s="304" t="s">
        <v>5575</v>
      </c>
      <c r="D4958" s="540">
        <v>274.83</v>
      </c>
    </row>
    <row r="4959" spans="1:4" ht="15" x14ac:dyDescent="0.25">
      <c r="A4959" s="304">
        <v>39748</v>
      </c>
      <c r="B4959" s="304" t="s">
        <v>10503</v>
      </c>
      <c r="C4959" s="304" t="s">
        <v>5575</v>
      </c>
      <c r="D4959" s="540">
        <v>43.84</v>
      </c>
    </row>
    <row r="4960" spans="1:4" ht="15" x14ac:dyDescent="0.25">
      <c r="A4960" s="304">
        <v>39755</v>
      </c>
      <c r="B4960" s="304" t="s">
        <v>10504</v>
      </c>
      <c r="C4960" s="304" t="s">
        <v>5575</v>
      </c>
      <c r="D4960" s="540">
        <v>416.71</v>
      </c>
    </row>
    <row r="4961" spans="1:4" ht="15" x14ac:dyDescent="0.25">
      <c r="A4961" s="304">
        <v>12742</v>
      </c>
      <c r="B4961" s="304" t="s">
        <v>10505</v>
      </c>
      <c r="C4961" s="304" t="s">
        <v>5575</v>
      </c>
      <c r="D4961" s="540">
        <v>329.96</v>
      </c>
    </row>
    <row r="4962" spans="1:4" ht="15" x14ac:dyDescent="0.25">
      <c r="A4962" s="304">
        <v>12713</v>
      </c>
      <c r="B4962" s="304" t="s">
        <v>10506</v>
      </c>
      <c r="C4962" s="304" t="s">
        <v>5575</v>
      </c>
      <c r="D4962" s="540">
        <v>17.5</v>
      </c>
    </row>
    <row r="4963" spans="1:4" ht="15" x14ac:dyDescent="0.25">
      <c r="A4963" s="304">
        <v>12743</v>
      </c>
      <c r="B4963" s="304" t="s">
        <v>10507</v>
      </c>
      <c r="C4963" s="304" t="s">
        <v>5575</v>
      </c>
      <c r="D4963" s="540">
        <v>30.1</v>
      </c>
    </row>
    <row r="4964" spans="1:4" ht="15" x14ac:dyDescent="0.25">
      <c r="A4964" s="304">
        <v>12744</v>
      </c>
      <c r="B4964" s="304" t="s">
        <v>10508</v>
      </c>
      <c r="C4964" s="304" t="s">
        <v>5575</v>
      </c>
      <c r="D4964" s="540">
        <v>38.200000000000003</v>
      </c>
    </row>
    <row r="4965" spans="1:4" ht="15" x14ac:dyDescent="0.25">
      <c r="A4965" s="304">
        <v>12745</v>
      </c>
      <c r="B4965" s="304" t="s">
        <v>10509</v>
      </c>
      <c r="C4965" s="304" t="s">
        <v>5575</v>
      </c>
      <c r="D4965" s="540">
        <v>55.48</v>
      </c>
    </row>
    <row r="4966" spans="1:4" ht="15" x14ac:dyDescent="0.25">
      <c r="A4966" s="304">
        <v>12746</v>
      </c>
      <c r="B4966" s="304" t="s">
        <v>10510</v>
      </c>
      <c r="C4966" s="304" t="s">
        <v>5575</v>
      </c>
      <c r="D4966" s="540">
        <v>74.92</v>
      </c>
    </row>
    <row r="4967" spans="1:4" ht="15" x14ac:dyDescent="0.25">
      <c r="A4967" s="304">
        <v>12747</v>
      </c>
      <c r="B4967" s="304" t="s">
        <v>10511</v>
      </c>
      <c r="C4967" s="304" t="s">
        <v>5575</v>
      </c>
      <c r="D4967" s="540">
        <v>108.65</v>
      </c>
    </row>
    <row r="4968" spans="1:4" ht="15" x14ac:dyDescent="0.25">
      <c r="A4968" s="304">
        <v>12748</v>
      </c>
      <c r="B4968" s="304" t="s">
        <v>10512</v>
      </c>
      <c r="C4968" s="304" t="s">
        <v>5575</v>
      </c>
      <c r="D4968" s="540">
        <v>153.07</v>
      </c>
    </row>
    <row r="4969" spans="1:4" ht="15" x14ac:dyDescent="0.25">
      <c r="A4969" s="304">
        <v>12749</v>
      </c>
      <c r="B4969" s="304" t="s">
        <v>10513</v>
      </c>
      <c r="C4969" s="304" t="s">
        <v>5575</v>
      </c>
      <c r="D4969" s="540">
        <v>223.77</v>
      </c>
    </row>
    <row r="4970" spans="1:4" ht="15" x14ac:dyDescent="0.25">
      <c r="A4970" s="304">
        <v>39726</v>
      </c>
      <c r="B4970" s="304" t="s">
        <v>10514</v>
      </c>
      <c r="C4970" s="304" t="s">
        <v>5575</v>
      </c>
      <c r="D4970" s="540">
        <v>73.5</v>
      </c>
    </row>
    <row r="4971" spans="1:4" ht="15" x14ac:dyDescent="0.25">
      <c r="A4971" s="304">
        <v>39728</v>
      </c>
      <c r="B4971" s="304" t="s">
        <v>10515</v>
      </c>
      <c r="C4971" s="304" t="s">
        <v>5575</v>
      </c>
      <c r="D4971" s="540">
        <v>129.16999999999999</v>
      </c>
    </row>
    <row r="4972" spans="1:4" ht="15" x14ac:dyDescent="0.25">
      <c r="A4972" s="304">
        <v>39727</v>
      </c>
      <c r="B4972" s="304" t="s">
        <v>10516</v>
      </c>
      <c r="C4972" s="304" t="s">
        <v>5575</v>
      </c>
      <c r="D4972" s="540">
        <v>106.3</v>
      </c>
    </row>
    <row r="4973" spans="1:4" ht="15" x14ac:dyDescent="0.25">
      <c r="A4973" s="304">
        <v>39724</v>
      </c>
      <c r="B4973" s="304" t="s">
        <v>10517</v>
      </c>
      <c r="C4973" s="304" t="s">
        <v>5575</v>
      </c>
      <c r="D4973" s="540">
        <v>32.54</v>
      </c>
    </row>
    <row r="4974" spans="1:4" ht="15" x14ac:dyDescent="0.25">
      <c r="A4974" s="304">
        <v>39729</v>
      </c>
      <c r="B4974" s="304" t="s">
        <v>10518</v>
      </c>
      <c r="C4974" s="304" t="s">
        <v>5575</v>
      </c>
      <c r="D4974" s="540">
        <v>178.88</v>
      </c>
    </row>
    <row r="4975" spans="1:4" ht="15" x14ac:dyDescent="0.25">
      <c r="A4975" s="304">
        <v>39730</v>
      </c>
      <c r="B4975" s="304" t="s">
        <v>10519</v>
      </c>
      <c r="C4975" s="304" t="s">
        <v>5575</v>
      </c>
      <c r="D4975" s="540">
        <v>232.09</v>
      </c>
    </row>
    <row r="4976" spans="1:4" ht="15" x14ac:dyDescent="0.25">
      <c r="A4976" s="304">
        <v>39731</v>
      </c>
      <c r="B4976" s="304" t="s">
        <v>10520</v>
      </c>
      <c r="C4976" s="304" t="s">
        <v>5575</v>
      </c>
      <c r="D4976" s="540">
        <v>343.75</v>
      </c>
    </row>
    <row r="4977" spans="1:4" ht="15" x14ac:dyDescent="0.25">
      <c r="A4977" s="304">
        <v>39725</v>
      </c>
      <c r="B4977" s="304" t="s">
        <v>10521</v>
      </c>
      <c r="C4977" s="304" t="s">
        <v>5575</v>
      </c>
      <c r="D4977" s="540">
        <v>53.05</v>
      </c>
    </row>
    <row r="4978" spans="1:4" ht="15" x14ac:dyDescent="0.25">
      <c r="A4978" s="304">
        <v>39732</v>
      </c>
      <c r="B4978" s="304" t="s">
        <v>10522</v>
      </c>
      <c r="C4978" s="304" t="s">
        <v>5575</v>
      </c>
      <c r="D4978" s="540">
        <v>505.98</v>
      </c>
    </row>
    <row r="4979" spans="1:4" ht="15" x14ac:dyDescent="0.25">
      <c r="A4979" s="304">
        <v>39660</v>
      </c>
      <c r="B4979" s="304" t="s">
        <v>10523</v>
      </c>
      <c r="C4979" s="304" t="s">
        <v>5575</v>
      </c>
      <c r="D4979" s="540">
        <v>23.05</v>
      </c>
    </row>
    <row r="4980" spans="1:4" ht="15" x14ac:dyDescent="0.25">
      <c r="A4980" s="304">
        <v>39662</v>
      </c>
      <c r="B4980" s="304" t="s">
        <v>10524</v>
      </c>
      <c r="C4980" s="304" t="s">
        <v>5575</v>
      </c>
      <c r="D4980" s="540">
        <v>11.05</v>
      </c>
    </row>
    <row r="4981" spans="1:4" ht="15" x14ac:dyDescent="0.25">
      <c r="A4981" s="304">
        <v>39661</v>
      </c>
      <c r="B4981" s="304" t="s">
        <v>10525</v>
      </c>
      <c r="C4981" s="304" t="s">
        <v>5575</v>
      </c>
      <c r="D4981" s="540">
        <v>7.53</v>
      </c>
    </row>
    <row r="4982" spans="1:4" ht="15" x14ac:dyDescent="0.25">
      <c r="A4982" s="304">
        <v>39666</v>
      </c>
      <c r="B4982" s="304" t="s">
        <v>10526</v>
      </c>
      <c r="C4982" s="304" t="s">
        <v>5575</v>
      </c>
      <c r="D4982" s="540">
        <v>34.68</v>
      </c>
    </row>
    <row r="4983" spans="1:4" ht="15" x14ac:dyDescent="0.25">
      <c r="A4983" s="304">
        <v>39664</v>
      </c>
      <c r="B4983" s="304" t="s">
        <v>10527</v>
      </c>
      <c r="C4983" s="304" t="s">
        <v>5575</v>
      </c>
      <c r="D4983" s="540">
        <v>17</v>
      </c>
    </row>
    <row r="4984" spans="1:4" ht="15" x14ac:dyDescent="0.25">
      <c r="A4984" s="304">
        <v>39663</v>
      </c>
      <c r="B4984" s="304" t="s">
        <v>10528</v>
      </c>
      <c r="C4984" s="304" t="s">
        <v>5575</v>
      </c>
      <c r="D4984" s="540">
        <v>13.59</v>
      </c>
    </row>
    <row r="4985" spans="1:4" ht="15" x14ac:dyDescent="0.25">
      <c r="A4985" s="304">
        <v>39665</v>
      </c>
      <c r="B4985" s="304" t="s">
        <v>10529</v>
      </c>
      <c r="C4985" s="304" t="s">
        <v>5575</v>
      </c>
      <c r="D4985" s="540">
        <v>28.68</v>
      </c>
    </row>
    <row r="4986" spans="1:4" ht="15" x14ac:dyDescent="0.25">
      <c r="A4986" s="304">
        <v>39752</v>
      </c>
      <c r="B4986" s="304" t="s">
        <v>10530</v>
      </c>
      <c r="C4986" s="304" t="s">
        <v>5575</v>
      </c>
      <c r="D4986" s="540">
        <v>144.19999999999999</v>
      </c>
    </row>
    <row r="4987" spans="1:4" ht="15" x14ac:dyDescent="0.25">
      <c r="A4987" s="304">
        <v>12583</v>
      </c>
      <c r="B4987" s="304" t="s">
        <v>10531</v>
      </c>
      <c r="C4987" s="304" t="s">
        <v>5575</v>
      </c>
      <c r="D4987" s="540">
        <v>24.93</v>
      </c>
    </row>
    <row r="4988" spans="1:4" ht="15" x14ac:dyDescent="0.25">
      <c r="A4988" s="304">
        <v>12584</v>
      </c>
      <c r="B4988" s="304" t="s">
        <v>10532</v>
      </c>
      <c r="C4988" s="304" t="s">
        <v>5575</v>
      </c>
      <c r="D4988" s="540">
        <v>23.99</v>
      </c>
    </row>
    <row r="4989" spans="1:4" ht="15" x14ac:dyDescent="0.25">
      <c r="A4989" s="304">
        <v>13159</v>
      </c>
      <c r="B4989" s="304" t="s">
        <v>10533</v>
      </c>
      <c r="C4989" s="304" t="s">
        <v>5575</v>
      </c>
      <c r="D4989" s="540">
        <v>72.67</v>
      </c>
    </row>
    <row r="4990" spans="1:4" ht="15" x14ac:dyDescent="0.25">
      <c r="A4990" s="304">
        <v>13168</v>
      </c>
      <c r="B4990" s="304" t="s">
        <v>10534</v>
      </c>
      <c r="C4990" s="304" t="s">
        <v>5575</v>
      </c>
      <c r="D4990" s="540">
        <v>109.28</v>
      </c>
    </row>
    <row r="4991" spans="1:4" ht="15" x14ac:dyDescent="0.25">
      <c r="A4991" s="304">
        <v>13173</v>
      </c>
      <c r="B4991" s="304" t="s">
        <v>10535</v>
      </c>
      <c r="C4991" s="304" t="s">
        <v>5575</v>
      </c>
      <c r="D4991" s="540">
        <v>134.74</v>
      </c>
    </row>
    <row r="4992" spans="1:4" ht="15" x14ac:dyDescent="0.25">
      <c r="A4992" s="304">
        <v>37449</v>
      </c>
      <c r="B4992" s="304" t="s">
        <v>10536</v>
      </c>
      <c r="C4992" s="304" t="s">
        <v>5575</v>
      </c>
      <c r="D4992" s="540">
        <v>22.28</v>
      </c>
    </row>
    <row r="4993" spans="1:4" ht="15" x14ac:dyDescent="0.25">
      <c r="A4993" s="304">
        <v>37450</v>
      </c>
      <c r="B4993" s="304" t="s">
        <v>10537</v>
      </c>
      <c r="C4993" s="304" t="s">
        <v>5575</v>
      </c>
      <c r="D4993" s="540">
        <v>27.16</v>
      </c>
    </row>
    <row r="4994" spans="1:4" ht="15" x14ac:dyDescent="0.25">
      <c r="A4994" s="304">
        <v>37451</v>
      </c>
      <c r="B4994" s="304" t="s">
        <v>10538</v>
      </c>
      <c r="C4994" s="304" t="s">
        <v>5575</v>
      </c>
      <c r="D4994" s="540">
        <v>41.59</v>
      </c>
    </row>
    <row r="4995" spans="1:4" ht="15" x14ac:dyDescent="0.25">
      <c r="A4995" s="304">
        <v>37452</v>
      </c>
      <c r="B4995" s="304" t="s">
        <v>10539</v>
      </c>
      <c r="C4995" s="304" t="s">
        <v>5575</v>
      </c>
      <c r="D4995" s="540">
        <v>55.17</v>
      </c>
    </row>
    <row r="4996" spans="1:4" ht="15" x14ac:dyDescent="0.25">
      <c r="A4996" s="304">
        <v>37453</v>
      </c>
      <c r="B4996" s="304" t="s">
        <v>10540</v>
      </c>
      <c r="C4996" s="304" t="s">
        <v>5575</v>
      </c>
      <c r="D4996" s="540">
        <v>69.23</v>
      </c>
    </row>
    <row r="4997" spans="1:4" ht="15" x14ac:dyDescent="0.25">
      <c r="A4997" s="304">
        <v>7778</v>
      </c>
      <c r="B4997" s="304" t="s">
        <v>10541</v>
      </c>
      <c r="C4997" s="304" t="s">
        <v>5575</v>
      </c>
      <c r="D4997" s="540">
        <v>25.99</v>
      </c>
    </row>
    <row r="4998" spans="1:4" ht="15" x14ac:dyDescent="0.25">
      <c r="A4998" s="304">
        <v>7796</v>
      </c>
      <c r="B4998" s="304" t="s">
        <v>10542</v>
      </c>
      <c r="C4998" s="304" t="s">
        <v>5575</v>
      </c>
      <c r="D4998" s="540">
        <v>31.3</v>
      </c>
    </row>
    <row r="4999" spans="1:4" ht="15" x14ac:dyDescent="0.25">
      <c r="A4999" s="304">
        <v>7781</v>
      </c>
      <c r="B4999" s="304" t="s">
        <v>10543</v>
      </c>
      <c r="C4999" s="304" t="s">
        <v>5575</v>
      </c>
      <c r="D4999" s="540">
        <v>41.37</v>
      </c>
    </row>
    <row r="5000" spans="1:4" ht="15" x14ac:dyDescent="0.25">
      <c r="A5000" s="304">
        <v>7795</v>
      </c>
      <c r="B5000" s="304" t="s">
        <v>10544</v>
      </c>
      <c r="C5000" s="304" t="s">
        <v>5575</v>
      </c>
      <c r="D5000" s="540">
        <v>59.94</v>
      </c>
    </row>
    <row r="5001" spans="1:4" ht="15" x14ac:dyDescent="0.25">
      <c r="A5001" s="304">
        <v>7791</v>
      </c>
      <c r="B5001" s="304" t="s">
        <v>10545</v>
      </c>
      <c r="C5001" s="304" t="s">
        <v>5575</v>
      </c>
      <c r="D5001" s="540">
        <v>76.39</v>
      </c>
    </row>
    <row r="5002" spans="1:4" ht="15" x14ac:dyDescent="0.25">
      <c r="A5002" s="304">
        <v>7783</v>
      </c>
      <c r="B5002" s="304" t="s">
        <v>10546</v>
      </c>
      <c r="C5002" s="304" t="s">
        <v>5575</v>
      </c>
      <c r="D5002" s="540">
        <v>29.17</v>
      </c>
    </row>
    <row r="5003" spans="1:4" ht="15" x14ac:dyDescent="0.25">
      <c r="A5003" s="304">
        <v>7790</v>
      </c>
      <c r="B5003" s="304" t="s">
        <v>10547</v>
      </c>
      <c r="C5003" s="304" t="s">
        <v>5575</v>
      </c>
      <c r="D5003" s="540">
        <v>33.950000000000003</v>
      </c>
    </row>
    <row r="5004" spans="1:4" ht="15" x14ac:dyDescent="0.25">
      <c r="A5004" s="304">
        <v>7785</v>
      </c>
      <c r="B5004" s="304" t="s">
        <v>10548</v>
      </c>
      <c r="C5004" s="304" t="s">
        <v>5575</v>
      </c>
      <c r="D5004" s="540">
        <v>44.56</v>
      </c>
    </row>
    <row r="5005" spans="1:4" ht="15" x14ac:dyDescent="0.25">
      <c r="A5005" s="304">
        <v>7792</v>
      </c>
      <c r="B5005" s="304" t="s">
        <v>10549</v>
      </c>
      <c r="C5005" s="304" t="s">
        <v>5575</v>
      </c>
      <c r="D5005" s="540">
        <v>64.72</v>
      </c>
    </row>
    <row r="5006" spans="1:4" ht="15" x14ac:dyDescent="0.25">
      <c r="A5006" s="304">
        <v>7793</v>
      </c>
      <c r="B5006" s="304" t="s">
        <v>10550</v>
      </c>
      <c r="C5006" s="304" t="s">
        <v>5575</v>
      </c>
      <c r="D5006" s="540">
        <v>83.52</v>
      </c>
    </row>
    <row r="5007" spans="1:4" ht="15" x14ac:dyDescent="0.25">
      <c r="A5007" s="304">
        <v>12613</v>
      </c>
      <c r="B5007" s="304" t="s">
        <v>10551</v>
      </c>
      <c r="C5007" s="304" t="s">
        <v>5555</v>
      </c>
      <c r="D5007" s="540">
        <v>12.97</v>
      </c>
    </row>
    <row r="5008" spans="1:4" ht="15" x14ac:dyDescent="0.25">
      <c r="A5008" s="304">
        <v>1031</v>
      </c>
      <c r="B5008" s="304" t="s">
        <v>10552</v>
      </c>
      <c r="C5008" s="304" t="s">
        <v>5555</v>
      </c>
      <c r="D5008" s="540">
        <v>9.6999999999999993</v>
      </c>
    </row>
    <row r="5009" spans="1:4" ht="15" x14ac:dyDescent="0.25">
      <c r="A5009" s="304">
        <v>39707</v>
      </c>
      <c r="B5009" s="304" t="s">
        <v>10553</v>
      </c>
      <c r="C5009" s="304" t="s">
        <v>5575</v>
      </c>
      <c r="D5009" s="540">
        <v>2.4700000000000002</v>
      </c>
    </row>
    <row r="5010" spans="1:4" ht="15" x14ac:dyDescent="0.25">
      <c r="A5010" s="304">
        <v>39708</v>
      </c>
      <c r="B5010" s="304" t="s">
        <v>10554</v>
      </c>
      <c r="C5010" s="304" t="s">
        <v>5575</v>
      </c>
      <c r="D5010" s="540">
        <v>2.39</v>
      </c>
    </row>
    <row r="5011" spans="1:4" ht="15" x14ac:dyDescent="0.25">
      <c r="A5011" s="304">
        <v>39710</v>
      </c>
      <c r="B5011" s="304" t="s">
        <v>10555</v>
      </c>
      <c r="C5011" s="304" t="s">
        <v>5575</v>
      </c>
      <c r="D5011" s="540">
        <v>1.68</v>
      </c>
    </row>
    <row r="5012" spans="1:4" ht="15" x14ac:dyDescent="0.25">
      <c r="A5012" s="304">
        <v>39709</v>
      </c>
      <c r="B5012" s="304" t="s">
        <v>10556</v>
      </c>
      <c r="C5012" s="304" t="s">
        <v>5575</v>
      </c>
      <c r="D5012" s="540">
        <v>2.33</v>
      </c>
    </row>
    <row r="5013" spans="1:4" ht="15" x14ac:dyDescent="0.25">
      <c r="A5013" s="304">
        <v>39711</v>
      </c>
      <c r="B5013" s="304" t="s">
        <v>10557</v>
      </c>
      <c r="C5013" s="304" t="s">
        <v>5575</v>
      </c>
      <c r="D5013" s="540">
        <v>2.62</v>
      </c>
    </row>
    <row r="5014" spans="1:4" ht="15" x14ac:dyDescent="0.25">
      <c r="A5014" s="304">
        <v>39712</v>
      </c>
      <c r="B5014" s="304" t="s">
        <v>10558</v>
      </c>
      <c r="C5014" s="304" t="s">
        <v>5575</v>
      </c>
      <c r="D5014" s="540">
        <v>0.92</v>
      </c>
    </row>
    <row r="5015" spans="1:4" ht="15" x14ac:dyDescent="0.25">
      <c r="A5015" s="304">
        <v>39713</v>
      </c>
      <c r="B5015" s="304" t="s">
        <v>10559</v>
      </c>
      <c r="C5015" s="304" t="s">
        <v>5575</v>
      </c>
      <c r="D5015" s="540">
        <v>0.72</v>
      </c>
    </row>
    <row r="5016" spans="1:4" ht="15" x14ac:dyDescent="0.25">
      <c r="A5016" s="304">
        <v>39714</v>
      </c>
      <c r="B5016" s="304" t="s">
        <v>10560</v>
      </c>
      <c r="C5016" s="304" t="s">
        <v>5575</v>
      </c>
      <c r="D5016" s="540">
        <v>1.66</v>
      </c>
    </row>
    <row r="5017" spans="1:4" ht="15" x14ac:dyDescent="0.25">
      <c r="A5017" s="304">
        <v>39715</v>
      </c>
      <c r="B5017" s="304" t="s">
        <v>10561</v>
      </c>
      <c r="C5017" s="304" t="s">
        <v>5575</v>
      </c>
      <c r="D5017" s="540">
        <v>1.18</v>
      </c>
    </row>
    <row r="5018" spans="1:4" ht="15" x14ac:dyDescent="0.25">
      <c r="A5018" s="304">
        <v>39716</v>
      </c>
      <c r="B5018" s="304" t="s">
        <v>10562</v>
      </c>
      <c r="C5018" s="304" t="s">
        <v>5575</v>
      </c>
      <c r="D5018" s="540">
        <v>0.9</v>
      </c>
    </row>
    <row r="5019" spans="1:4" ht="15" x14ac:dyDescent="0.25">
      <c r="A5019" s="304">
        <v>39718</v>
      </c>
      <c r="B5019" s="304" t="s">
        <v>10563</v>
      </c>
      <c r="C5019" s="304" t="s">
        <v>5575</v>
      </c>
      <c r="D5019" s="540">
        <v>1.53</v>
      </c>
    </row>
    <row r="5020" spans="1:4" ht="15" x14ac:dyDescent="0.25">
      <c r="A5020" s="304">
        <v>9813</v>
      </c>
      <c r="B5020" s="304" t="s">
        <v>10564</v>
      </c>
      <c r="C5020" s="304" t="s">
        <v>5575</v>
      </c>
      <c r="D5020" s="540">
        <v>3.34</v>
      </c>
    </row>
    <row r="5021" spans="1:4" ht="15" x14ac:dyDescent="0.25">
      <c r="A5021" s="304">
        <v>9815</v>
      </c>
      <c r="B5021" s="304" t="s">
        <v>10565</v>
      </c>
      <c r="C5021" s="304" t="s">
        <v>5575</v>
      </c>
      <c r="D5021" s="540">
        <v>6.59</v>
      </c>
    </row>
    <row r="5022" spans="1:4" ht="15" x14ac:dyDescent="0.25">
      <c r="A5022" s="304">
        <v>25876</v>
      </c>
      <c r="B5022" s="304" t="s">
        <v>10566</v>
      </c>
      <c r="C5022" s="304" t="s">
        <v>5575</v>
      </c>
      <c r="D5022" s="541">
        <v>3282.1</v>
      </c>
    </row>
    <row r="5023" spans="1:4" ht="15" x14ac:dyDescent="0.25">
      <c r="A5023" s="304">
        <v>25888</v>
      </c>
      <c r="B5023" s="304" t="s">
        <v>10567</v>
      </c>
      <c r="C5023" s="304" t="s">
        <v>5575</v>
      </c>
      <c r="D5023" s="540">
        <v>80.44</v>
      </c>
    </row>
    <row r="5024" spans="1:4" ht="15" x14ac:dyDescent="0.25">
      <c r="A5024" s="304">
        <v>25874</v>
      </c>
      <c r="B5024" s="304" t="s">
        <v>10568</v>
      </c>
      <c r="C5024" s="304" t="s">
        <v>5575</v>
      </c>
      <c r="D5024" s="541">
        <v>5756.32</v>
      </c>
    </row>
    <row r="5025" spans="1:4" ht="15" x14ac:dyDescent="0.25">
      <c r="A5025" s="304">
        <v>25877</v>
      </c>
      <c r="B5025" s="304" t="s">
        <v>10569</v>
      </c>
      <c r="C5025" s="304" t="s">
        <v>5575</v>
      </c>
      <c r="D5025" s="541">
        <v>7854.71</v>
      </c>
    </row>
    <row r="5026" spans="1:4" ht="15" x14ac:dyDescent="0.25">
      <c r="A5026" s="304">
        <v>25878</v>
      </c>
      <c r="B5026" s="304" t="s">
        <v>10570</v>
      </c>
      <c r="C5026" s="304" t="s">
        <v>5575</v>
      </c>
      <c r="D5026" s="540">
        <v>172.66</v>
      </c>
    </row>
    <row r="5027" spans="1:4" ht="15" x14ac:dyDescent="0.25">
      <c r="A5027" s="304">
        <v>25879</v>
      </c>
      <c r="B5027" s="304" t="s">
        <v>10571</v>
      </c>
      <c r="C5027" s="304" t="s">
        <v>5575</v>
      </c>
      <c r="D5027" s="541">
        <v>7451.13</v>
      </c>
    </row>
    <row r="5028" spans="1:4" ht="15" x14ac:dyDescent="0.25">
      <c r="A5028" s="304">
        <v>25887</v>
      </c>
      <c r="B5028" s="304" t="s">
        <v>10572</v>
      </c>
      <c r="C5028" s="304" t="s">
        <v>5575</v>
      </c>
      <c r="D5028" s="541">
        <v>2976.85</v>
      </c>
    </row>
    <row r="5029" spans="1:4" ht="15" x14ac:dyDescent="0.25">
      <c r="A5029" s="304">
        <v>25880</v>
      </c>
      <c r="B5029" s="304" t="s">
        <v>10573</v>
      </c>
      <c r="C5029" s="304" t="s">
        <v>5575</v>
      </c>
      <c r="D5029" s="540">
        <v>269.16000000000003</v>
      </c>
    </row>
    <row r="5030" spans="1:4" ht="15" x14ac:dyDescent="0.25">
      <c r="A5030" s="304">
        <v>25881</v>
      </c>
      <c r="B5030" s="304" t="s">
        <v>10574</v>
      </c>
      <c r="C5030" s="304" t="s">
        <v>5575</v>
      </c>
      <c r="D5030" s="540">
        <v>659.52</v>
      </c>
    </row>
    <row r="5031" spans="1:4" ht="15" x14ac:dyDescent="0.25">
      <c r="A5031" s="304">
        <v>25882</v>
      </c>
      <c r="B5031" s="304" t="s">
        <v>10575</v>
      </c>
      <c r="C5031" s="304" t="s">
        <v>5575</v>
      </c>
      <c r="D5031" s="541">
        <v>1062.25</v>
      </c>
    </row>
    <row r="5032" spans="1:4" ht="15" x14ac:dyDescent="0.25">
      <c r="A5032" s="304">
        <v>25883</v>
      </c>
      <c r="B5032" s="304" t="s">
        <v>10576</v>
      </c>
      <c r="C5032" s="304" t="s">
        <v>5575</v>
      </c>
      <c r="D5032" s="540">
        <v>17.13</v>
      </c>
    </row>
    <row r="5033" spans="1:4" ht="15" x14ac:dyDescent="0.25">
      <c r="A5033" s="304">
        <v>25884</v>
      </c>
      <c r="B5033" s="304" t="s">
        <v>10577</v>
      </c>
      <c r="C5033" s="304" t="s">
        <v>5575</v>
      </c>
      <c r="D5033" s="541">
        <v>1864.91</v>
      </c>
    </row>
    <row r="5034" spans="1:4" ht="15" x14ac:dyDescent="0.25">
      <c r="A5034" s="304">
        <v>25885</v>
      </c>
      <c r="B5034" s="304" t="s">
        <v>10578</v>
      </c>
      <c r="C5034" s="304" t="s">
        <v>5575</v>
      </c>
      <c r="D5034" s="541">
        <v>2773.65</v>
      </c>
    </row>
    <row r="5035" spans="1:4" ht="15" x14ac:dyDescent="0.25">
      <c r="A5035" s="304">
        <v>25889</v>
      </c>
      <c r="B5035" s="304" t="s">
        <v>10579</v>
      </c>
      <c r="C5035" s="304" t="s">
        <v>5575</v>
      </c>
      <c r="D5035" s="541">
        <v>1390.91</v>
      </c>
    </row>
    <row r="5036" spans="1:4" ht="15" x14ac:dyDescent="0.25">
      <c r="A5036" s="304">
        <v>25886</v>
      </c>
      <c r="B5036" s="304" t="s">
        <v>10580</v>
      </c>
      <c r="C5036" s="304" t="s">
        <v>5575</v>
      </c>
      <c r="D5036" s="540">
        <v>38.32</v>
      </c>
    </row>
    <row r="5037" spans="1:4" ht="15" x14ac:dyDescent="0.25">
      <c r="A5037" s="304">
        <v>25875</v>
      </c>
      <c r="B5037" s="304" t="s">
        <v>10581</v>
      </c>
      <c r="C5037" s="304" t="s">
        <v>5575</v>
      </c>
      <c r="D5037" s="541">
        <v>1814.68</v>
      </c>
    </row>
    <row r="5038" spans="1:4" ht="15" x14ac:dyDescent="0.25">
      <c r="A5038" s="304">
        <v>9876</v>
      </c>
      <c r="B5038" s="304" t="s">
        <v>10582</v>
      </c>
      <c r="C5038" s="304" t="s">
        <v>5575</v>
      </c>
      <c r="D5038" s="540">
        <v>13.8</v>
      </c>
    </row>
    <row r="5039" spans="1:4" ht="15" x14ac:dyDescent="0.25">
      <c r="A5039" s="304">
        <v>9877</v>
      </c>
      <c r="B5039" s="304" t="s">
        <v>10583</v>
      </c>
      <c r="C5039" s="304" t="s">
        <v>5575</v>
      </c>
      <c r="D5039" s="540">
        <v>48.34</v>
      </c>
    </row>
    <row r="5040" spans="1:4" ht="15" x14ac:dyDescent="0.25">
      <c r="A5040" s="304">
        <v>9878</v>
      </c>
      <c r="B5040" s="304" t="s">
        <v>10584</v>
      </c>
      <c r="C5040" s="304" t="s">
        <v>5575</v>
      </c>
      <c r="D5040" s="540">
        <v>62.97</v>
      </c>
    </row>
    <row r="5041" spans="1:4" ht="15" x14ac:dyDescent="0.25">
      <c r="A5041" s="304">
        <v>9879</v>
      </c>
      <c r="B5041" s="304" t="s">
        <v>10585</v>
      </c>
      <c r="C5041" s="304" t="s">
        <v>5575</v>
      </c>
      <c r="D5041" s="540">
        <v>150.30000000000001</v>
      </c>
    </row>
    <row r="5042" spans="1:4" ht="15" x14ac:dyDescent="0.25">
      <c r="A5042" s="304">
        <v>42001</v>
      </c>
      <c r="B5042" s="304" t="s">
        <v>10586</v>
      </c>
      <c r="C5042" s="304" t="s">
        <v>5575</v>
      </c>
      <c r="D5042" s="540">
        <v>368.23</v>
      </c>
    </row>
    <row r="5043" spans="1:4" ht="15" x14ac:dyDescent="0.25">
      <c r="A5043" s="304">
        <v>41998</v>
      </c>
      <c r="B5043" s="304" t="s">
        <v>10587</v>
      </c>
      <c r="C5043" s="304" t="s">
        <v>5575</v>
      </c>
      <c r="D5043" s="540">
        <v>907.45</v>
      </c>
    </row>
    <row r="5044" spans="1:4" ht="15" x14ac:dyDescent="0.25">
      <c r="A5044" s="304">
        <v>41999</v>
      </c>
      <c r="B5044" s="304" t="s">
        <v>10588</v>
      </c>
      <c r="C5044" s="304" t="s">
        <v>5575</v>
      </c>
      <c r="D5044" s="541">
        <v>1664.62</v>
      </c>
    </row>
    <row r="5045" spans="1:4" ht="15" x14ac:dyDescent="0.25">
      <c r="A5045" s="304">
        <v>42000</v>
      </c>
      <c r="B5045" s="304" t="s">
        <v>10589</v>
      </c>
      <c r="C5045" s="304" t="s">
        <v>5575</v>
      </c>
      <c r="D5045" s="541">
        <v>2842.65</v>
      </c>
    </row>
    <row r="5046" spans="1:4" ht="15" x14ac:dyDescent="0.25">
      <c r="A5046" s="304">
        <v>38053</v>
      </c>
      <c r="B5046" s="304" t="s">
        <v>10590</v>
      </c>
      <c r="C5046" s="304" t="s">
        <v>5575</v>
      </c>
      <c r="D5046" s="540">
        <v>10.98</v>
      </c>
    </row>
    <row r="5047" spans="1:4" ht="15" x14ac:dyDescent="0.25">
      <c r="A5047" s="304">
        <v>38054</v>
      </c>
      <c r="B5047" s="304" t="s">
        <v>10591</v>
      </c>
      <c r="C5047" s="304" t="s">
        <v>5575</v>
      </c>
      <c r="D5047" s="540">
        <v>18.88</v>
      </c>
    </row>
    <row r="5048" spans="1:4" ht="15" x14ac:dyDescent="0.25">
      <c r="A5048" s="304">
        <v>38052</v>
      </c>
      <c r="B5048" s="304" t="s">
        <v>10592</v>
      </c>
      <c r="C5048" s="304" t="s">
        <v>5575</v>
      </c>
      <c r="D5048" s="540">
        <v>5.32</v>
      </c>
    </row>
    <row r="5049" spans="1:4" ht="15" x14ac:dyDescent="0.25">
      <c r="A5049" s="304">
        <v>38051</v>
      </c>
      <c r="B5049" s="304" t="s">
        <v>10593</v>
      </c>
      <c r="C5049" s="304" t="s">
        <v>5575</v>
      </c>
      <c r="D5049" s="540">
        <v>3.31</v>
      </c>
    </row>
    <row r="5050" spans="1:4" ht="15" x14ac:dyDescent="0.25">
      <c r="A5050" s="304">
        <v>38787</v>
      </c>
      <c r="B5050" s="304" t="s">
        <v>10594</v>
      </c>
      <c r="C5050" s="304" t="s">
        <v>5575</v>
      </c>
      <c r="D5050" s="540">
        <v>4.4400000000000004</v>
      </c>
    </row>
    <row r="5051" spans="1:4" ht="15" x14ac:dyDescent="0.25">
      <c r="A5051" s="304">
        <v>38825</v>
      </c>
      <c r="B5051" s="304" t="s">
        <v>10595</v>
      </c>
      <c r="C5051" s="304" t="s">
        <v>5575</v>
      </c>
      <c r="D5051" s="540">
        <v>5.81</v>
      </c>
    </row>
    <row r="5052" spans="1:4" ht="15" x14ac:dyDescent="0.25">
      <c r="A5052" s="304">
        <v>38826</v>
      </c>
      <c r="B5052" s="304" t="s">
        <v>10596</v>
      </c>
      <c r="C5052" s="304" t="s">
        <v>5575</v>
      </c>
      <c r="D5052" s="540">
        <v>8.6199999999999992</v>
      </c>
    </row>
    <row r="5053" spans="1:4" ht="15" x14ac:dyDescent="0.25">
      <c r="A5053" s="304">
        <v>38827</v>
      </c>
      <c r="B5053" s="304" t="s">
        <v>10597</v>
      </c>
      <c r="C5053" s="304" t="s">
        <v>5575</v>
      </c>
      <c r="D5053" s="540">
        <v>13.85</v>
      </c>
    </row>
    <row r="5054" spans="1:4" ht="15" x14ac:dyDescent="0.25">
      <c r="A5054" s="304">
        <v>38830</v>
      </c>
      <c r="B5054" s="304" t="s">
        <v>10598</v>
      </c>
      <c r="C5054" s="304" t="s">
        <v>5575</v>
      </c>
      <c r="D5054" s="540">
        <v>19.39</v>
      </c>
    </row>
    <row r="5055" spans="1:4" ht="15" x14ac:dyDescent="0.25">
      <c r="A5055" s="304">
        <v>38828</v>
      </c>
      <c r="B5055" s="304" t="s">
        <v>10599</v>
      </c>
      <c r="C5055" s="304" t="s">
        <v>5575</v>
      </c>
      <c r="D5055" s="540">
        <v>8.5500000000000007</v>
      </c>
    </row>
    <row r="5056" spans="1:4" ht="15" x14ac:dyDescent="0.25">
      <c r="A5056" s="304">
        <v>38829</v>
      </c>
      <c r="B5056" s="304" t="s">
        <v>10600</v>
      </c>
      <c r="C5056" s="304" t="s">
        <v>5575</v>
      </c>
      <c r="D5056" s="540">
        <v>14</v>
      </c>
    </row>
    <row r="5057" spans="1:4" ht="15" x14ac:dyDescent="0.25">
      <c r="A5057" s="304">
        <v>38831</v>
      </c>
      <c r="B5057" s="304" t="s">
        <v>10601</v>
      </c>
      <c r="C5057" s="304" t="s">
        <v>5575</v>
      </c>
      <c r="D5057" s="540">
        <v>27.04</v>
      </c>
    </row>
    <row r="5058" spans="1:4" ht="15" x14ac:dyDescent="0.25">
      <c r="A5058" s="304">
        <v>36274</v>
      </c>
      <c r="B5058" s="304" t="s">
        <v>10602</v>
      </c>
      <c r="C5058" s="304" t="s">
        <v>5575</v>
      </c>
      <c r="D5058" s="540">
        <v>5.0999999999999996</v>
      </c>
    </row>
    <row r="5059" spans="1:4" ht="15" x14ac:dyDescent="0.25">
      <c r="A5059" s="304">
        <v>36278</v>
      </c>
      <c r="B5059" s="304" t="s">
        <v>10603</v>
      </c>
      <c r="C5059" s="304" t="s">
        <v>5575</v>
      </c>
      <c r="D5059" s="540">
        <v>6.92</v>
      </c>
    </row>
    <row r="5060" spans="1:4" ht="15" x14ac:dyDescent="0.25">
      <c r="A5060" s="304">
        <v>38977</v>
      </c>
      <c r="B5060" s="304" t="s">
        <v>10604</v>
      </c>
      <c r="C5060" s="304" t="s">
        <v>5575</v>
      </c>
      <c r="D5060" s="540">
        <v>105.28</v>
      </c>
    </row>
    <row r="5061" spans="1:4" ht="15" x14ac:dyDescent="0.25">
      <c r="A5061" s="304">
        <v>38971</v>
      </c>
      <c r="B5061" s="304" t="s">
        <v>10605</v>
      </c>
      <c r="C5061" s="304" t="s">
        <v>5575</v>
      </c>
      <c r="D5061" s="540">
        <v>8.67</v>
      </c>
    </row>
    <row r="5062" spans="1:4" ht="15" x14ac:dyDescent="0.25">
      <c r="A5062" s="304">
        <v>38972</v>
      </c>
      <c r="B5062" s="304" t="s">
        <v>10606</v>
      </c>
      <c r="C5062" s="304" t="s">
        <v>5575</v>
      </c>
      <c r="D5062" s="540">
        <v>13.21</v>
      </c>
    </row>
    <row r="5063" spans="1:4" ht="15" x14ac:dyDescent="0.25">
      <c r="A5063" s="304">
        <v>38973</v>
      </c>
      <c r="B5063" s="304" t="s">
        <v>10607</v>
      </c>
      <c r="C5063" s="304" t="s">
        <v>5575</v>
      </c>
      <c r="D5063" s="540">
        <v>17.47</v>
      </c>
    </row>
    <row r="5064" spans="1:4" ht="15" x14ac:dyDescent="0.25">
      <c r="A5064" s="304">
        <v>38974</v>
      </c>
      <c r="B5064" s="304" t="s">
        <v>10608</v>
      </c>
      <c r="C5064" s="304" t="s">
        <v>5575</v>
      </c>
      <c r="D5064" s="540">
        <v>25.48</v>
      </c>
    </row>
    <row r="5065" spans="1:4" ht="15" x14ac:dyDescent="0.25">
      <c r="A5065" s="304">
        <v>38975</v>
      </c>
      <c r="B5065" s="304" t="s">
        <v>10609</v>
      </c>
      <c r="C5065" s="304" t="s">
        <v>5575</v>
      </c>
      <c r="D5065" s="540">
        <v>42.46</v>
      </c>
    </row>
    <row r="5066" spans="1:4" ht="15" x14ac:dyDescent="0.25">
      <c r="A5066" s="304">
        <v>38976</v>
      </c>
      <c r="B5066" s="304" t="s">
        <v>10610</v>
      </c>
      <c r="C5066" s="304" t="s">
        <v>5575</v>
      </c>
      <c r="D5066" s="540">
        <v>59.56</v>
      </c>
    </row>
    <row r="5067" spans="1:4" ht="15" x14ac:dyDescent="0.25">
      <c r="A5067" s="304">
        <v>38986</v>
      </c>
      <c r="B5067" s="304" t="s">
        <v>10611</v>
      </c>
      <c r="C5067" s="304" t="s">
        <v>5575</v>
      </c>
      <c r="D5067" s="540">
        <v>119.85</v>
      </c>
    </row>
    <row r="5068" spans="1:4" ht="15" x14ac:dyDescent="0.25">
      <c r="A5068" s="304">
        <v>38978</v>
      </c>
      <c r="B5068" s="304" t="s">
        <v>10612</v>
      </c>
      <c r="C5068" s="304" t="s">
        <v>5575</v>
      </c>
      <c r="D5068" s="540">
        <v>5.0999999999999996</v>
      </c>
    </row>
    <row r="5069" spans="1:4" ht="15" x14ac:dyDescent="0.25">
      <c r="A5069" s="304">
        <v>38979</v>
      </c>
      <c r="B5069" s="304" t="s">
        <v>10613</v>
      </c>
      <c r="C5069" s="304" t="s">
        <v>5575</v>
      </c>
      <c r="D5069" s="540">
        <v>6.92</v>
      </c>
    </row>
    <row r="5070" spans="1:4" ht="15" x14ac:dyDescent="0.25">
      <c r="A5070" s="304">
        <v>38980</v>
      </c>
      <c r="B5070" s="304" t="s">
        <v>10614</v>
      </c>
      <c r="C5070" s="304" t="s">
        <v>5575</v>
      </c>
      <c r="D5070" s="540">
        <v>11.56</v>
      </c>
    </row>
    <row r="5071" spans="1:4" ht="15" x14ac:dyDescent="0.25">
      <c r="A5071" s="304">
        <v>38981</v>
      </c>
      <c r="B5071" s="304" t="s">
        <v>10615</v>
      </c>
      <c r="C5071" s="304" t="s">
        <v>5575</v>
      </c>
      <c r="D5071" s="540">
        <v>16.010000000000002</v>
      </c>
    </row>
    <row r="5072" spans="1:4" ht="15" x14ac:dyDescent="0.25">
      <c r="A5072" s="304">
        <v>38982</v>
      </c>
      <c r="B5072" s="304" t="s">
        <v>10616</v>
      </c>
      <c r="C5072" s="304" t="s">
        <v>5575</v>
      </c>
      <c r="D5072" s="540">
        <v>23.3</v>
      </c>
    </row>
    <row r="5073" spans="1:4" ht="15" x14ac:dyDescent="0.25">
      <c r="A5073" s="304">
        <v>38983</v>
      </c>
      <c r="B5073" s="304" t="s">
        <v>10617</v>
      </c>
      <c r="C5073" s="304" t="s">
        <v>5575</v>
      </c>
      <c r="D5073" s="540">
        <v>30.9</v>
      </c>
    </row>
    <row r="5074" spans="1:4" ht="15" x14ac:dyDescent="0.25">
      <c r="A5074" s="304">
        <v>38984</v>
      </c>
      <c r="B5074" s="304" t="s">
        <v>10618</v>
      </c>
      <c r="C5074" s="304" t="s">
        <v>5575</v>
      </c>
      <c r="D5074" s="540">
        <v>59.59</v>
      </c>
    </row>
    <row r="5075" spans="1:4" ht="15" x14ac:dyDescent="0.25">
      <c r="A5075" s="304">
        <v>38985</v>
      </c>
      <c r="B5075" s="304" t="s">
        <v>10619</v>
      </c>
      <c r="C5075" s="304" t="s">
        <v>5575</v>
      </c>
      <c r="D5075" s="540">
        <v>88.22</v>
      </c>
    </row>
    <row r="5076" spans="1:4" ht="15" x14ac:dyDescent="0.25">
      <c r="A5076" s="304">
        <v>9836</v>
      </c>
      <c r="B5076" s="304" t="s">
        <v>10620</v>
      </c>
      <c r="C5076" s="304" t="s">
        <v>5575</v>
      </c>
      <c r="D5076" s="540">
        <v>9</v>
      </c>
    </row>
    <row r="5077" spans="1:4" ht="15" x14ac:dyDescent="0.25">
      <c r="A5077" s="304">
        <v>20065</v>
      </c>
      <c r="B5077" s="304" t="s">
        <v>10621</v>
      </c>
      <c r="C5077" s="304" t="s">
        <v>5575</v>
      </c>
      <c r="D5077" s="540">
        <v>23.02</v>
      </c>
    </row>
    <row r="5078" spans="1:4" ht="15" x14ac:dyDescent="0.25">
      <c r="A5078" s="304">
        <v>9835</v>
      </c>
      <c r="B5078" s="304" t="s">
        <v>10622</v>
      </c>
      <c r="C5078" s="304" t="s">
        <v>5575</v>
      </c>
      <c r="D5078" s="540">
        <v>3.24</v>
      </c>
    </row>
    <row r="5079" spans="1:4" ht="15" x14ac:dyDescent="0.25">
      <c r="A5079" s="304">
        <v>38032</v>
      </c>
      <c r="B5079" s="304" t="s">
        <v>10623</v>
      </c>
      <c r="C5079" s="304" t="s">
        <v>5575</v>
      </c>
      <c r="D5079" s="540">
        <v>32.79</v>
      </c>
    </row>
    <row r="5080" spans="1:4" ht="15" x14ac:dyDescent="0.25">
      <c r="A5080" s="304">
        <v>38033</v>
      </c>
      <c r="B5080" s="304" t="s">
        <v>10624</v>
      </c>
      <c r="C5080" s="304" t="s">
        <v>5575</v>
      </c>
      <c r="D5080" s="540">
        <v>53.65</v>
      </c>
    </row>
    <row r="5081" spans="1:4" ht="15" x14ac:dyDescent="0.25">
      <c r="A5081" s="304">
        <v>38034</v>
      </c>
      <c r="B5081" s="304" t="s">
        <v>10625</v>
      </c>
      <c r="C5081" s="304" t="s">
        <v>5575</v>
      </c>
      <c r="D5081" s="540">
        <v>88.75</v>
      </c>
    </row>
    <row r="5082" spans="1:4" ht="15" x14ac:dyDescent="0.25">
      <c r="A5082" s="304">
        <v>38035</v>
      </c>
      <c r="B5082" s="304" t="s">
        <v>10626</v>
      </c>
      <c r="C5082" s="304" t="s">
        <v>5575</v>
      </c>
      <c r="D5082" s="540">
        <v>123.68</v>
      </c>
    </row>
    <row r="5083" spans="1:4" ht="15" x14ac:dyDescent="0.25">
      <c r="A5083" s="304">
        <v>38036</v>
      </c>
      <c r="B5083" s="304" t="s">
        <v>10627</v>
      </c>
      <c r="C5083" s="304" t="s">
        <v>5575</v>
      </c>
      <c r="D5083" s="540">
        <v>174.52</v>
      </c>
    </row>
    <row r="5084" spans="1:4" ht="15" x14ac:dyDescent="0.25">
      <c r="A5084" s="304">
        <v>38037</v>
      </c>
      <c r="B5084" s="304" t="s">
        <v>10628</v>
      </c>
      <c r="C5084" s="304" t="s">
        <v>5575</v>
      </c>
      <c r="D5084" s="540">
        <v>202.35</v>
      </c>
    </row>
    <row r="5085" spans="1:4" ht="15" x14ac:dyDescent="0.25">
      <c r="A5085" s="304">
        <v>9850</v>
      </c>
      <c r="B5085" s="304" t="s">
        <v>10629</v>
      </c>
      <c r="C5085" s="304" t="s">
        <v>5575</v>
      </c>
      <c r="D5085" s="540">
        <v>95.99</v>
      </c>
    </row>
    <row r="5086" spans="1:4" ht="15" x14ac:dyDescent="0.25">
      <c r="A5086" s="304">
        <v>9853</v>
      </c>
      <c r="B5086" s="304" t="s">
        <v>10630</v>
      </c>
      <c r="C5086" s="304" t="s">
        <v>5575</v>
      </c>
      <c r="D5086" s="540">
        <v>170.7</v>
      </c>
    </row>
    <row r="5087" spans="1:4" ht="15" x14ac:dyDescent="0.25">
      <c r="A5087" s="304">
        <v>9854</v>
      </c>
      <c r="B5087" s="304" t="s">
        <v>10631</v>
      </c>
      <c r="C5087" s="304" t="s">
        <v>5575</v>
      </c>
      <c r="D5087" s="540">
        <v>74.790000000000006</v>
      </c>
    </row>
    <row r="5088" spans="1:4" ht="15" x14ac:dyDescent="0.25">
      <c r="A5088" s="304">
        <v>9851</v>
      </c>
      <c r="B5088" s="304" t="s">
        <v>10632</v>
      </c>
      <c r="C5088" s="304" t="s">
        <v>5575</v>
      </c>
      <c r="D5088" s="540">
        <v>129.69</v>
      </c>
    </row>
    <row r="5089" spans="1:4" ht="15" x14ac:dyDescent="0.25">
      <c r="A5089" s="304">
        <v>9855</v>
      </c>
      <c r="B5089" s="304" t="s">
        <v>10633</v>
      </c>
      <c r="C5089" s="304" t="s">
        <v>5575</v>
      </c>
      <c r="D5089" s="540">
        <v>216.92</v>
      </c>
    </row>
    <row r="5090" spans="1:4" ht="15" x14ac:dyDescent="0.25">
      <c r="A5090" s="304">
        <v>9825</v>
      </c>
      <c r="B5090" s="304" t="s">
        <v>10634</v>
      </c>
      <c r="C5090" s="304" t="s">
        <v>5575</v>
      </c>
      <c r="D5090" s="540">
        <v>35.71</v>
      </c>
    </row>
    <row r="5091" spans="1:4" ht="15" x14ac:dyDescent="0.25">
      <c r="A5091" s="304">
        <v>9828</v>
      </c>
      <c r="B5091" s="304" t="s">
        <v>10635</v>
      </c>
      <c r="C5091" s="304" t="s">
        <v>5575</v>
      </c>
      <c r="D5091" s="540">
        <v>96.1</v>
      </c>
    </row>
    <row r="5092" spans="1:4" ht="15" x14ac:dyDescent="0.25">
      <c r="A5092" s="304">
        <v>9829</v>
      </c>
      <c r="B5092" s="304" t="s">
        <v>10636</v>
      </c>
      <c r="C5092" s="304" t="s">
        <v>5575</v>
      </c>
      <c r="D5092" s="540">
        <v>162.87</v>
      </c>
    </row>
    <row r="5093" spans="1:4" ht="15" x14ac:dyDescent="0.25">
      <c r="A5093" s="304">
        <v>9826</v>
      </c>
      <c r="B5093" s="304" t="s">
        <v>10637</v>
      </c>
      <c r="C5093" s="304" t="s">
        <v>5575</v>
      </c>
      <c r="D5093" s="540">
        <v>247.95</v>
      </c>
    </row>
    <row r="5094" spans="1:4" ht="15" x14ac:dyDescent="0.25">
      <c r="A5094" s="304">
        <v>9827</v>
      </c>
      <c r="B5094" s="304" t="s">
        <v>10638</v>
      </c>
      <c r="C5094" s="304" t="s">
        <v>5575</v>
      </c>
      <c r="D5094" s="540">
        <v>352.09</v>
      </c>
    </row>
    <row r="5095" spans="1:4" ht="15" x14ac:dyDescent="0.25">
      <c r="A5095" s="304">
        <v>36374</v>
      </c>
      <c r="B5095" s="304" t="s">
        <v>10639</v>
      </c>
      <c r="C5095" s="304" t="s">
        <v>5575</v>
      </c>
      <c r="D5095" s="540">
        <v>42.8</v>
      </c>
    </row>
    <row r="5096" spans="1:4" ht="15" x14ac:dyDescent="0.25">
      <c r="A5096" s="304">
        <v>36084</v>
      </c>
      <c r="B5096" s="304" t="s">
        <v>10640</v>
      </c>
      <c r="C5096" s="304" t="s">
        <v>5575</v>
      </c>
      <c r="D5096" s="540">
        <v>12.68</v>
      </c>
    </row>
    <row r="5097" spans="1:4" ht="15" x14ac:dyDescent="0.25">
      <c r="A5097" s="304">
        <v>36373</v>
      </c>
      <c r="B5097" s="304" t="s">
        <v>10641</v>
      </c>
      <c r="C5097" s="304" t="s">
        <v>5575</v>
      </c>
      <c r="D5097" s="540">
        <v>26.33</v>
      </c>
    </row>
    <row r="5098" spans="1:4" ht="15" x14ac:dyDescent="0.25">
      <c r="A5098" s="304">
        <v>36377</v>
      </c>
      <c r="B5098" s="304" t="s">
        <v>10642</v>
      </c>
      <c r="C5098" s="304" t="s">
        <v>5575</v>
      </c>
      <c r="D5098" s="540">
        <v>51.34</v>
      </c>
    </row>
    <row r="5099" spans="1:4" ht="15" x14ac:dyDescent="0.25">
      <c r="A5099" s="304">
        <v>36375</v>
      </c>
      <c r="B5099" s="304" t="s">
        <v>10643</v>
      </c>
      <c r="C5099" s="304" t="s">
        <v>5575</v>
      </c>
      <c r="D5099" s="540">
        <v>15.65</v>
      </c>
    </row>
    <row r="5100" spans="1:4" ht="15" x14ac:dyDescent="0.25">
      <c r="A5100" s="304">
        <v>36376</v>
      </c>
      <c r="B5100" s="304" t="s">
        <v>10644</v>
      </c>
      <c r="C5100" s="304" t="s">
        <v>5575</v>
      </c>
      <c r="D5100" s="540">
        <v>30.73</v>
      </c>
    </row>
    <row r="5101" spans="1:4" ht="15" x14ac:dyDescent="0.25">
      <c r="A5101" s="304">
        <v>36380</v>
      </c>
      <c r="B5101" s="304" t="s">
        <v>10645</v>
      </c>
      <c r="C5101" s="304" t="s">
        <v>5575</v>
      </c>
      <c r="D5101" s="540">
        <v>64.2</v>
      </c>
    </row>
    <row r="5102" spans="1:4" ht="15" x14ac:dyDescent="0.25">
      <c r="A5102" s="304">
        <v>36378</v>
      </c>
      <c r="B5102" s="304" t="s">
        <v>10646</v>
      </c>
      <c r="C5102" s="304" t="s">
        <v>5575</v>
      </c>
      <c r="D5102" s="540">
        <v>19.23</v>
      </c>
    </row>
    <row r="5103" spans="1:4" ht="15" x14ac:dyDescent="0.25">
      <c r="A5103" s="304">
        <v>36379</v>
      </c>
      <c r="B5103" s="304" t="s">
        <v>10647</v>
      </c>
      <c r="C5103" s="304" t="s">
        <v>5575</v>
      </c>
      <c r="D5103" s="540">
        <v>38.78</v>
      </c>
    </row>
    <row r="5104" spans="1:4" ht="15" x14ac:dyDescent="0.25">
      <c r="A5104" s="304">
        <v>9859</v>
      </c>
      <c r="B5104" s="304" t="s">
        <v>10648</v>
      </c>
      <c r="C5104" s="304" t="s">
        <v>5575</v>
      </c>
      <c r="D5104" s="540">
        <v>8.09</v>
      </c>
    </row>
    <row r="5105" spans="1:4" ht="15" x14ac:dyDescent="0.25">
      <c r="A5105" s="304">
        <v>9838</v>
      </c>
      <c r="B5105" s="304" t="s">
        <v>10649</v>
      </c>
      <c r="C5105" s="304" t="s">
        <v>5575</v>
      </c>
      <c r="D5105" s="540">
        <v>5.52</v>
      </c>
    </row>
    <row r="5106" spans="1:4" ht="15" x14ac:dyDescent="0.25">
      <c r="A5106" s="304">
        <v>9837</v>
      </c>
      <c r="B5106" s="304" t="s">
        <v>10650</v>
      </c>
      <c r="C5106" s="304" t="s">
        <v>5575</v>
      </c>
      <c r="D5106" s="540">
        <v>7.97</v>
      </c>
    </row>
    <row r="5107" spans="1:4" ht="15" x14ac:dyDescent="0.25">
      <c r="A5107" s="304">
        <v>9833</v>
      </c>
      <c r="B5107" s="304" t="s">
        <v>10651</v>
      </c>
      <c r="C5107" s="304" t="s">
        <v>5575</v>
      </c>
      <c r="D5107" s="540">
        <v>9.94</v>
      </c>
    </row>
    <row r="5108" spans="1:4" ht="15" x14ac:dyDescent="0.25">
      <c r="A5108" s="304">
        <v>9830</v>
      </c>
      <c r="B5108" s="304" t="s">
        <v>10652</v>
      </c>
      <c r="C5108" s="304" t="s">
        <v>5575</v>
      </c>
      <c r="D5108" s="540">
        <v>5.32</v>
      </c>
    </row>
    <row r="5109" spans="1:4" ht="15" x14ac:dyDescent="0.25">
      <c r="A5109" s="304">
        <v>9834</v>
      </c>
      <c r="B5109" s="304" t="s">
        <v>10653</v>
      </c>
      <c r="C5109" s="304" t="s">
        <v>5575</v>
      </c>
      <c r="D5109" s="540">
        <v>27.67</v>
      </c>
    </row>
    <row r="5110" spans="1:4" ht="15" x14ac:dyDescent="0.25">
      <c r="A5110" s="304">
        <v>9863</v>
      </c>
      <c r="B5110" s="304" t="s">
        <v>10654</v>
      </c>
      <c r="C5110" s="304" t="s">
        <v>5575</v>
      </c>
      <c r="D5110" s="540">
        <v>58.36</v>
      </c>
    </row>
    <row r="5111" spans="1:4" ht="15" x14ac:dyDescent="0.25">
      <c r="A5111" s="304">
        <v>9860</v>
      </c>
      <c r="B5111" s="304" t="s">
        <v>10655</v>
      </c>
      <c r="C5111" s="304" t="s">
        <v>5575</v>
      </c>
      <c r="D5111" s="540">
        <v>37.47</v>
      </c>
    </row>
    <row r="5112" spans="1:4" ht="15" x14ac:dyDescent="0.25">
      <c r="A5112" s="304">
        <v>9862</v>
      </c>
      <c r="B5112" s="304" t="s">
        <v>10656</v>
      </c>
      <c r="C5112" s="304" t="s">
        <v>5575</v>
      </c>
      <c r="D5112" s="540">
        <v>26.44</v>
      </c>
    </row>
    <row r="5113" spans="1:4" ht="15" x14ac:dyDescent="0.25">
      <c r="A5113" s="304">
        <v>9861</v>
      </c>
      <c r="B5113" s="304" t="s">
        <v>10657</v>
      </c>
      <c r="C5113" s="304" t="s">
        <v>5575</v>
      </c>
      <c r="D5113" s="540">
        <v>21.25</v>
      </c>
    </row>
    <row r="5114" spans="1:4" ht="15" x14ac:dyDescent="0.25">
      <c r="A5114" s="304">
        <v>9856</v>
      </c>
      <c r="B5114" s="304" t="s">
        <v>10658</v>
      </c>
      <c r="C5114" s="304" t="s">
        <v>5575</v>
      </c>
      <c r="D5114" s="540">
        <v>5.71</v>
      </c>
    </row>
    <row r="5115" spans="1:4" ht="15" x14ac:dyDescent="0.25">
      <c r="A5115" s="304">
        <v>9866</v>
      </c>
      <c r="B5115" s="304" t="s">
        <v>10659</v>
      </c>
      <c r="C5115" s="304" t="s">
        <v>5575</v>
      </c>
      <c r="D5115" s="540">
        <v>15.69</v>
      </c>
    </row>
    <row r="5116" spans="1:4" ht="15" x14ac:dyDescent="0.25">
      <c r="A5116" s="304">
        <v>9857</v>
      </c>
      <c r="B5116" s="304" t="s">
        <v>10660</v>
      </c>
      <c r="C5116" s="304" t="s">
        <v>5575</v>
      </c>
      <c r="D5116" s="540">
        <v>75.48</v>
      </c>
    </row>
    <row r="5117" spans="1:4" ht="15" x14ac:dyDescent="0.25">
      <c r="A5117" s="304">
        <v>9864</v>
      </c>
      <c r="B5117" s="304" t="s">
        <v>10661</v>
      </c>
      <c r="C5117" s="304" t="s">
        <v>5575</v>
      </c>
      <c r="D5117" s="540">
        <v>91.13</v>
      </c>
    </row>
    <row r="5118" spans="1:4" ht="15" x14ac:dyDescent="0.25">
      <c r="A5118" s="304">
        <v>9865</v>
      </c>
      <c r="B5118" s="304" t="s">
        <v>10662</v>
      </c>
      <c r="C5118" s="304" t="s">
        <v>5575</v>
      </c>
      <c r="D5118" s="540">
        <v>131.06</v>
      </c>
    </row>
    <row r="5119" spans="1:4" ht="15" x14ac:dyDescent="0.25">
      <c r="A5119" s="304">
        <v>9858</v>
      </c>
      <c r="B5119" s="304" t="s">
        <v>10663</v>
      </c>
      <c r="C5119" s="304" t="s">
        <v>5575</v>
      </c>
      <c r="D5119" s="540">
        <v>137.4</v>
      </c>
    </row>
    <row r="5120" spans="1:4" ht="15" x14ac:dyDescent="0.25">
      <c r="A5120" s="304">
        <v>9841</v>
      </c>
      <c r="B5120" s="304" t="s">
        <v>10664</v>
      </c>
      <c r="C5120" s="304" t="s">
        <v>5575</v>
      </c>
      <c r="D5120" s="540">
        <v>22.21</v>
      </c>
    </row>
    <row r="5121" spans="1:4" ht="15" x14ac:dyDescent="0.25">
      <c r="A5121" s="304">
        <v>9840</v>
      </c>
      <c r="B5121" s="304" t="s">
        <v>10665</v>
      </c>
      <c r="C5121" s="304" t="s">
        <v>5575</v>
      </c>
      <c r="D5121" s="540">
        <v>45.14</v>
      </c>
    </row>
    <row r="5122" spans="1:4" ht="15" x14ac:dyDescent="0.25">
      <c r="A5122" s="304">
        <v>20067</v>
      </c>
      <c r="B5122" s="304" t="s">
        <v>10666</v>
      </c>
      <c r="C5122" s="304" t="s">
        <v>5575</v>
      </c>
      <c r="D5122" s="540">
        <v>7.75</v>
      </c>
    </row>
    <row r="5123" spans="1:4" ht="15" x14ac:dyDescent="0.25">
      <c r="A5123" s="304">
        <v>20068</v>
      </c>
      <c r="B5123" s="304" t="s">
        <v>10667</v>
      </c>
      <c r="C5123" s="304" t="s">
        <v>5575</v>
      </c>
      <c r="D5123" s="540">
        <v>9.67</v>
      </c>
    </row>
    <row r="5124" spans="1:4" ht="15" x14ac:dyDescent="0.25">
      <c r="A5124" s="304">
        <v>9839</v>
      </c>
      <c r="B5124" s="304" t="s">
        <v>10668</v>
      </c>
      <c r="C5124" s="304" t="s">
        <v>5575</v>
      </c>
      <c r="D5124" s="540">
        <v>12.68</v>
      </c>
    </row>
    <row r="5125" spans="1:4" ht="15" x14ac:dyDescent="0.25">
      <c r="A5125" s="304">
        <v>9870</v>
      </c>
      <c r="B5125" s="304" t="s">
        <v>10669</v>
      </c>
      <c r="C5125" s="304" t="s">
        <v>5575</v>
      </c>
      <c r="D5125" s="540">
        <v>63.64</v>
      </c>
    </row>
    <row r="5126" spans="1:4" ht="15" x14ac:dyDescent="0.25">
      <c r="A5126" s="304">
        <v>9867</v>
      </c>
      <c r="B5126" s="304" t="s">
        <v>10670</v>
      </c>
      <c r="C5126" s="304" t="s">
        <v>5575</v>
      </c>
      <c r="D5126" s="540">
        <v>2.34</v>
      </c>
    </row>
    <row r="5127" spans="1:4" ht="15" x14ac:dyDescent="0.25">
      <c r="A5127" s="304">
        <v>9868</v>
      </c>
      <c r="B5127" s="304" t="s">
        <v>10671</v>
      </c>
      <c r="C5127" s="304" t="s">
        <v>5575</v>
      </c>
      <c r="D5127" s="540">
        <v>3</v>
      </c>
    </row>
    <row r="5128" spans="1:4" ht="15" x14ac:dyDescent="0.25">
      <c r="A5128" s="304">
        <v>9869</v>
      </c>
      <c r="B5128" s="304" t="s">
        <v>10672</v>
      </c>
      <c r="C5128" s="304" t="s">
        <v>5575</v>
      </c>
      <c r="D5128" s="540">
        <v>6.73</v>
      </c>
    </row>
    <row r="5129" spans="1:4" ht="15" x14ac:dyDescent="0.25">
      <c r="A5129" s="304">
        <v>9874</v>
      </c>
      <c r="B5129" s="304" t="s">
        <v>10673</v>
      </c>
      <c r="C5129" s="304" t="s">
        <v>5575</v>
      </c>
      <c r="D5129" s="540">
        <v>9.8000000000000007</v>
      </c>
    </row>
    <row r="5130" spans="1:4" ht="15" x14ac:dyDescent="0.25">
      <c r="A5130" s="304">
        <v>9875</v>
      </c>
      <c r="B5130" s="304" t="s">
        <v>10674</v>
      </c>
      <c r="C5130" s="304" t="s">
        <v>5575</v>
      </c>
      <c r="D5130" s="540">
        <v>11.23</v>
      </c>
    </row>
    <row r="5131" spans="1:4" ht="15" x14ac:dyDescent="0.25">
      <c r="A5131" s="304">
        <v>9873</v>
      </c>
      <c r="B5131" s="304" t="s">
        <v>10675</v>
      </c>
      <c r="C5131" s="304" t="s">
        <v>5575</v>
      </c>
      <c r="D5131" s="540">
        <v>18.95</v>
      </c>
    </row>
    <row r="5132" spans="1:4" ht="15" x14ac:dyDescent="0.25">
      <c r="A5132" s="304">
        <v>9871</v>
      </c>
      <c r="B5132" s="304" t="s">
        <v>10676</v>
      </c>
      <c r="C5132" s="304" t="s">
        <v>5575</v>
      </c>
      <c r="D5132" s="540">
        <v>31.75</v>
      </c>
    </row>
    <row r="5133" spans="1:4" ht="15" x14ac:dyDescent="0.25">
      <c r="A5133" s="304">
        <v>9872</v>
      </c>
      <c r="B5133" s="304" t="s">
        <v>10677</v>
      </c>
      <c r="C5133" s="304" t="s">
        <v>5575</v>
      </c>
      <c r="D5133" s="540">
        <v>39.67</v>
      </c>
    </row>
    <row r="5134" spans="1:4" ht="15" x14ac:dyDescent="0.25">
      <c r="A5134" s="304">
        <v>7667</v>
      </c>
      <c r="B5134" s="304" t="s">
        <v>10678</v>
      </c>
      <c r="C5134" s="304" t="s">
        <v>5575</v>
      </c>
      <c r="D5134" s="541">
        <v>1556.45</v>
      </c>
    </row>
    <row r="5135" spans="1:4" ht="15" x14ac:dyDescent="0.25">
      <c r="A5135" s="304">
        <v>7660</v>
      </c>
      <c r="B5135" s="304" t="s">
        <v>10679</v>
      </c>
      <c r="C5135" s="304" t="s">
        <v>5575</v>
      </c>
      <c r="D5135" s="541">
        <v>1984.1</v>
      </c>
    </row>
    <row r="5136" spans="1:4" ht="15" x14ac:dyDescent="0.25">
      <c r="A5136" s="304">
        <v>7676</v>
      </c>
      <c r="B5136" s="304" t="s">
        <v>10680</v>
      </c>
      <c r="C5136" s="304" t="s">
        <v>5575</v>
      </c>
      <c r="D5136" s="541">
        <v>2006.78</v>
      </c>
    </row>
    <row r="5137" spans="1:4" ht="15" x14ac:dyDescent="0.25">
      <c r="A5137" s="304">
        <v>12426</v>
      </c>
      <c r="B5137" s="304" t="s">
        <v>10681</v>
      </c>
      <c r="C5137" s="304" t="s">
        <v>5555</v>
      </c>
      <c r="D5137" s="540">
        <v>24.32</v>
      </c>
    </row>
    <row r="5138" spans="1:4" ht="15" x14ac:dyDescent="0.25">
      <c r="A5138" s="304">
        <v>12425</v>
      </c>
      <c r="B5138" s="304" t="s">
        <v>10682</v>
      </c>
      <c r="C5138" s="304" t="s">
        <v>5555</v>
      </c>
      <c r="D5138" s="540">
        <v>33.42</v>
      </c>
    </row>
    <row r="5139" spans="1:4" ht="15" x14ac:dyDescent="0.25">
      <c r="A5139" s="304">
        <v>12427</v>
      </c>
      <c r="B5139" s="304" t="s">
        <v>10683</v>
      </c>
      <c r="C5139" s="304" t="s">
        <v>5555</v>
      </c>
      <c r="D5139" s="540">
        <v>138.72999999999999</v>
      </c>
    </row>
    <row r="5140" spans="1:4" ht="15" x14ac:dyDescent="0.25">
      <c r="A5140" s="304">
        <v>12428</v>
      </c>
      <c r="B5140" s="304" t="s">
        <v>10684</v>
      </c>
      <c r="C5140" s="304" t="s">
        <v>5555</v>
      </c>
      <c r="D5140" s="540">
        <v>89.04</v>
      </c>
    </row>
    <row r="5141" spans="1:4" ht="15" x14ac:dyDescent="0.25">
      <c r="A5141" s="304">
        <v>12430</v>
      </c>
      <c r="B5141" s="304" t="s">
        <v>10685</v>
      </c>
      <c r="C5141" s="304" t="s">
        <v>5555</v>
      </c>
      <c r="D5141" s="540">
        <v>29.82</v>
      </c>
    </row>
    <row r="5142" spans="1:4" ht="15" x14ac:dyDescent="0.25">
      <c r="A5142" s="304">
        <v>12429</v>
      </c>
      <c r="B5142" s="304" t="s">
        <v>10686</v>
      </c>
      <c r="C5142" s="304" t="s">
        <v>5555</v>
      </c>
      <c r="D5142" s="540">
        <v>224.33</v>
      </c>
    </row>
    <row r="5143" spans="1:4" ht="15" x14ac:dyDescent="0.25">
      <c r="A5143" s="304">
        <v>12431</v>
      </c>
      <c r="B5143" s="304" t="s">
        <v>10687</v>
      </c>
      <c r="C5143" s="304" t="s">
        <v>5555</v>
      </c>
      <c r="D5143" s="540">
        <v>381.77</v>
      </c>
    </row>
    <row r="5144" spans="1:4" ht="15" x14ac:dyDescent="0.25">
      <c r="A5144" s="304">
        <v>12432</v>
      </c>
      <c r="B5144" s="304" t="s">
        <v>10688</v>
      </c>
      <c r="C5144" s="304" t="s">
        <v>5555</v>
      </c>
      <c r="D5144" s="540">
        <v>78.52</v>
      </c>
    </row>
    <row r="5145" spans="1:4" ht="15" x14ac:dyDescent="0.25">
      <c r="A5145" s="304">
        <v>12434</v>
      </c>
      <c r="B5145" s="304" t="s">
        <v>10689</v>
      </c>
      <c r="C5145" s="304" t="s">
        <v>5555</v>
      </c>
      <c r="D5145" s="540">
        <v>25.58</v>
      </c>
    </row>
    <row r="5146" spans="1:4" ht="15" x14ac:dyDescent="0.25">
      <c r="A5146" s="304">
        <v>12433</v>
      </c>
      <c r="B5146" s="304" t="s">
        <v>10690</v>
      </c>
      <c r="C5146" s="304" t="s">
        <v>5555</v>
      </c>
      <c r="D5146" s="540">
        <v>49.98</v>
      </c>
    </row>
    <row r="5147" spans="1:4" ht="15" x14ac:dyDescent="0.25">
      <c r="A5147" s="304">
        <v>12435</v>
      </c>
      <c r="B5147" s="304" t="s">
        <v>10691</v>
      </c>
      <c r="C5147" s="304" t="s">
        <v>5555</v>
      </c>
      <c r="D5147" s="540">
        <v>154.69</v>
      </c>
    </row>
    <row r="5148" spans="1:4" ht="15" x14ac:dyDescent="0.25">
      <c r="A5148" s="304">
        <v>12437</v>
      </c>
      <c r="B5148" s="304" t="s">
        <v>10692</v>
      </c>
      <c r="C5148" s="304" t="s">
        <v>5555</v>
      </c>
      <c r="D5148" s="540">
        <v>124.93</v>
      </c>
    </row>
    <row r="5149" spans="1:4" ht="15" x14ac:dyDescent="0.25">
      <c r="A5149" s="304">
        <v>12439</v>
      </c>
      <c r="B5149" s="304" t="s">
        <v>10693</v>
      </c>
      <c r="C5149" s="304" t="s">
        <v>5555</v>
      </c>
      <c r="D5149" s="540">
        <v>40.1</v>
      </c>
    </row>
    <row r="5150" spans="1:4" ht="15" x14ac:dyDescent="0.25">
      <c r="A5150" s="304">
        <v>12438</v>
      </c>
      <c r="B5150" s="304" t="s">
        <v>10694</v>
      </c>
      <c r="C5150" s="304" t="s">
        <v>5555</v>
      </c>
      <c r="D5150" s="540">
        <v>226.09</v>
      </c>
    </row>
    <row r="5151" spans="1:4" ht="15" x14ac:dyDescent="0.25">
      <c r="A5151" s="304">
        <v>12436</v>
      </c>
      <c r="B5151" s="304" t="s">
        <v>10695</v>
      </c>
      <c r="C5151" s="304" t="s">
        <v>5555</v>
      </c>
      <c r="D5151" s="540">
        <v>285.60000000000002</v>
      </c>
    </row>
    <row r="5152" spans="1:4" ht="15" x14ac:dyDescent="0.25">
      <c r="A5152" s="304">
        <v>36357</v>
      </c>
      <c r="B5152" s="304" t="s">
        <v>10696</v>
      </c>
      <c r="C5152" s="304" t="s">
        <v>5555</v>
      </c>
      <c r="D5152" s="540">
        <v>90.73</v>
      </c>
    </row>
    <row r="5153" spans="1:4" ht="15" x14ac:dyDescent="0.25">
      <c r="A5153" s="304">
        <v>12424</v>
      </c>
      <c r="B5153" s="304" t="s">
        <v>10697</v>
      </c>
      <c r="C5153" s="304" t="s">
        <v>5555</v>
      </c>
      <c r="D5153" s="540">
        <v>51.46</v>
      </c>
    </row>
    <row r="5154" spans="1:4" ht="15" x14ac:dyDescent="0.25">
      <c r="A5154" s="304">
        <v>12440</v>
      </c>
      <c r="B5154" s="304" t="s">
        <v>10698</v>
      </c>
      <c r="C5154" s="304" t="s">
        <v>5555</v>
      </c>
      <c r="D5154" s="540">
        <v>49.74</v>
      </c>
    </row>
    <row r="5155" spans="1:4" ht="15" x14ac:dyDescent="0.25">
      <c r="A5155" s="304">
        <v>9884</v>
      </c>
      <c r="B5155" s="304" t="s">
        <v>10699</v>
      </c>
      <c r="C5155" s="304" t="s">
        <v>5555</v>
      </c>
      <c r="D5155" s="540">
        <v>37.1</v>
      </c>
    </row>
    <row r="5156" spans="1:4" ht="15" x14ac:dyDescent="0.25">
      <c r="A5156" s="304">
        <v>9888</v>
      </c>
      <c r="B5156" s="304" t="s">
        <v>10700</v>
      </c>
      <c r="C5156" s="304" t="s">
        <v>5555</v>
      </c>
      <c r="D5156" s="540">
        <v>29.81</v>
      </c>
    </row>
    <row r="5157" spans="1:4" ht="15" x14ac:dyDescent="0.25">
      <c r="A5157" s="304">
        <v>9883</v>
      </c>
      <c r="B5157" s="304" t="s">
        <v>10701</v>
      </c>
      <c r="C5157" s="304" t="s">
        <v>5555</v>
      </c>
      <c r="D5157" s="540">
        <v>13.01</v>
      </c>
    </row>
    <row r="5158" spans="1:4" ht="15" x14ac:dyDescent="0.25">
      <c r="A5158" s="304">
        <v>9886</v>
      </c>
      <c r="B5158" s="304" t="s">
        <v>10702</v>
      </c>
      <c r="C5158" s="304" t="s">
        <v>5555</v>
      </c>
      <c r="D5158" s="540">
        <v>17.82</v>
      </c>
    </row>
    <row r="5159" spans="1:4" ht="15" x14ac:dyDescent="0.25">
      <c r="A5159" s="304">
        <v>9889</v>
      </c>
      <c r="B5159" s="304" t="s">
        <v>10703</v>
      </c>
      <c r="C5159" s="304" t="s">
        <v>5555</v>
      </c>
      <c r="D5159" s="540">
        <v>90.27</v>
      </c>
    </row>
    <row r="5160" spans="1:4" ht="15" x14ac:dyDescent="0.25">
      <c r="A5160" s="304">
        <v>9887</v>
      </c>
      <c r="B5160" s="304" t="s">
        <v>10704</v>
      </c>
      <c r="C5160" s="304" t="s">
        <v>5555</v>
      </c>
      <c r="D5160" s="540">
        <v>54.56</v>
      </c>
    </row>
    <row r="5161" spans="1:4" ht="15" x14ac:dyDescent="0.25">
      <c r="A5161" s="304">
        <v>9885</v>
      </c>
      <c r="B5161" s="304" t="s">
        <v>10705</v>
      </c>
      <c r="C5161" s="304" t="s">
        <v>5555</v>
      </c>
      <c r="D5161" s="540">
        <v>17.22</v>
      </c>
    </row>
    <row r="5162" spans="1:4" ht="15" x14ac:dyDescent="0.25">
      <c r="A5162" s="304">
        <v>9890</v>
      </c>
      <c r="B5162" s="304" t="s">
        <v>10706</v>
      </c>
      <c r="C5162" s="304" t="s">
        <v>5555</v>
      </c>
      <c r="D5162" s="540">
        <v>139.85</v>
      </c>
    </row>
    <row r="5163" spans="1:4" ht="15" x14ac:dyDescent="0.25">
      <c r="A5163" s="304">
        <v>9891</v>
      </c>
      <c r="B5163" s="304" t="s">
        <v>10707</v>
      </c>
      <c r="C5163" s="304" t="s">
        <v>5555</v>
      </c>
      <c r="D5163" s="540">
        <v>196.33</v>
      </c>
    </row>
    <row r="5164" spans="1:4" ht="15" x14ac:dyDescent="0.25">
      <c r="A5164" s="304">
        <v>39292</v>
      </c>
      <c r="B5164" s="304" t="s">
        <v>10708</v>
      </c>
      <c r="C5164" s="304" t="s">
        <v>5555</v>
      </c>
      <c r="D5164" s="540">
        <v>7.32</v>
      </c>
    </row>
    <row r="5165" spans="1:4" ht="15" x14ac:dyDescent="0.25">
      <c r="A5165" s="304">
        <v>39293</v>
      </c>
      <c r="B5165" s="304" t="s">
        <v>10709</v>
      </c>
      <c r="C5165" s="304" t="s">
        <v>5555</v>
      </c>
      <c r="D5165" s="540">
        <v>11.82</v>
      </c>
    </row>
    <row r="5166" spans="1:4" ht="15" x14ac:dyDescent="0.25">
      <c r="A5166" s="304">
        <v>39294</v>
      </c>
      <c r="B5166" s="304" t="s">
        <v>10710</v>
      </c>
      <c r="C5166" s="304" t="s">
        <v>5555</v>
      </c>
      <c r="D5166" s="540">
        <v>11.82</v>
      </c>
    </row>
    <row r="5167" spans="1:4" ht="15" x14ac:dyDescent="0.25">
      <c r="A5167" s="304">
        <v>39295</v>
      </c>
      <c r="B5167" s="304" t="s">
        <v>10711</v>
      </c>
      <c r="C5167" s="304" t="s">
        <v>5555</v>
      </c>
      <c r="D5167" s="540">
        <v>20.16</v>
      </c>
    </row>
    <row r="5168" spans="1:4" ht="15" x14ac:dyDescent="0.25">
      <c r="A5168" s="304">
        <v>36313</v>
      </c>
      <c r="B5168" s="304" t="s">
        <v>10712</v>
      </c>
      <c r="C5168" s="304" t="s">
        <v>5555</v>
      </c>
      <c r="D5168" s="540">
        <v>21.51</v>
      </c>
    </row>
    <row r="5169" spans="1:4" ht="15" x14ac:dyDescent="0.25">
      <c r="A5169" s="304">
        <v>36316</v>
      </c>
      <c r="B5169" s="304" t="s">
        <v>10713</v>
      </c>
      <c r="C5169" s="304" t="s">
        <v>5555</v>
      </c>
      <c r="D5169" s="540">
        <v>26.08</v>
      </c>
    </row>
    <row r="5170" spans="1:4" ht="15" x14ac:dyDescent="0.25">
      <c r="A5170" s="304">
        <v>64</v>
      </c>
      <c r="B5170" s="304" t="s">
        <v>10714</v>
      </c>
      <c r="C5170" s="304" t="s">
        <v>5555</v>
      </c>
      <c r="D5170" s="540">
        <v>3.65</v>
      </c>
    </row>
    <row r="5171" spans="1:4" ht="15" x14ac:dyDescent="0.25">
      <c r="A5171" s="304">
        <v>37423</v>
      </c>
      <c r="B5171" s="304" t="s">
        <v>10715</v>
      </c>
      <c r="C5171" s="304" t="s">
        <v>5555</v>
      </c>
      <c r="D5171" s="540">
        <v>9.02</v>
      </c>
    </row>
    <row r="5172" spans="1:4" ht="15" x14ac:dyDescent="0.25">
      <c r="A5172" s="304">
        <v>39296</v>
      </c>
      <c r="B5172" s="304" t="s">
        <v>10716</v>
      </c>
      <c r="C5172" s="304" t="s">
        <v>5555</v>
      </c>
      <c r="D5172" s="540">
        <v>5.66</v>
      </c>
    </row>
    <row r="5173" spans="1:4" ht="15" x14ac:dyDescent="0.25">
      <c r="A5173" s="304">
        <v>39297</v>
      </c>
      <c r="B5173" s="304" t="s">
        <v>10717</v>
      </c>
      <c r="C5173" s="304" t="s">
        <v>5555</v>
      </c>
      <c r="D5173" s="540">
        <v>8.09</v>
      </c>
    </row>
    <row r="5174" spans="1:4" ht="15" x14ac:dyDescent="0.25">
      <c r="A5174" s="304">
        <v>39298</v>
      </c>
      <c r="B5174" s="304" t="s">
        <v>10718</v>
      </c>
      <c r="C5174" s="304" t="s">
        <v>5555</v>
      </c>
      <c r="D5174" s="540">
        <v>14.25</v>
      </c>
    </row>
    <row r="5175" spans="1:4" ht="15" x14ac:dyDescent="0.25">
      <c r="A5175" s="304">
        <v>39299</v>
      </c>
      <c r="B5175" s="304" t="s">
        <v>10719</v>
      </c>
      <c r="C5175" s="304" t="s">
        <v>5555</v>
      </c>
      <c r="D5175" s="540">
        <v>24.25</v>
      </c>
    </row>
    <row r="5176" spans="1:4" ht="15" x14ac:dyDescent="0.25">
      <c r="A5176" s="304">
        <v>9892</v>
      </c>
      <c r="B5176" s="304" t="s">
        <v>10720</v>
      </c>
      <c r="C5176" s="304" t="s">
        <v>5555</v>
      </c>
      <c r="D5176" s="540">
        <v>5.0999999999999996</v>
      </c>
    </row>
    <row r="5177" spans="1:4" ht="15" x14ac:dyDescent="0.25">
      <c r="A5177" s="304">
        <v>9893</v>
      </c>
      <c r="B5177" s="304" t="s">
        <v>10721</v>
      </c>
      <c r="C5177" s="304" t="s">
        <v>5555</v>
      </c>
      <c r="D5177" s="540">
        <v>69.23</v>
      </c>
    </row>
    <row r="5178" spans="1:4" ht="15" x14ac:dyDescent="0.25">
      <c r="A5178" s="304">
        <v>9901</v>
      </c>
      <c r="B5178" s="304" t="s">
        <v>10722</v>
      </c>
      <c r="C5178" s="304" t="s">
        <v>5555</v>
      </c>
      <c r="D5178" s="540">
        <v>30.72</v>
      </c>
    </row>
    <row r="5179" spans="1:4" ht="15" x14ac:dyDescent="0.25">
      <c r="A5179" s="304">
        <v>9896</v>
      </c>
      <c r="B5179" s="304" t="s">
        <v>10723</v>
      </c>
      <c r="C5179" s="304" t="s">
        <v>5555</v>
      </c>
      <c r="D5179" s="540">
        <v>27.69</v>
      </c>
    </row>
    <row r="5180" spans="1:4" ht="15" x14ac:dyDescent="0.25">
      <c r="A5180" s="304">
        <v>9900</v>
      </c>
      <c r="B5180" s="304" t="s">
        <v>10724</v>
      </c>
      <c r="C5180" s="304" t="s">
        <v>5555</v>
      </c>
      <c r="D5180" s="540">
        <v>16.8</v>
      </c>
    </row>
    <row r="5181" spans="1:4" ht="15" x14ac:dyDescent="0.25">
      <c r="A5181" s="304">
        <v>9898</v>
      </c>
      <c r="B5181" s="304" t="s">
        <v>10725</v>
      </c>
      <c r="C5181" s="304" t="s">
        <v>5555</v>
      </c>
      <c r="D5181" s="540">
        <v>142.35</v>
      </c>
    </row>
    <row r="5182" spans="1:4" ht="15" x14ac:dyDescent="0.25">
      <c r="A5182" s="304">
        <v>9899</v>
      </c>
      <c r="B5182" s="304" t="s">
        <v>10726</v>
      </c>
      <c r="C5182" s="304" t="s">
        <v>5555</v>
      </c>
      <c r="D5182" s="540">
        <v>9.17</v>
      </c>
    </row>
    <row r="5183" spans="1:4" ht="15" x14ac:dyDescent="0.25">
      <c r="A5183" s="304">
        <v>9902</v>
      </c>
      <c r="B5183" s="304" t="s">
        <v>10727</v>
      </c>
      <c r="C5183" s="304" t="s">
        <v>5555</v>
      </c>
      <c r="D5183" s="540">
        <v>180.26</v>
      </c>
    </row>
    <row r="5184" spans="1:4" ht="15" x14ac:dyDescent="0.25">
      <c r="A5184" s="304">
        <v>9908</v>
      </c>
      <c r="B5184" s="304" t="s">
        <v>10728</v>
      </c>
      <c r="C5184" s="304" t="s">
        <v>5555</v>
      </c>
      <c r="D5184" s="540">
        <v>359.42</v>
      </c>
    </row>
    <row r="5185" spans="1:4" ht="15" x14ac:dyDescent="0.25">
      <c r="A5185" s="304">
        <v>9905</v>
      </c>
      <c r="B5185" s="304" t="s">
        <v>10729</v>
      </c>
      <c r="C5185" s="304" t="s">
        <v>5555</v>
      </c>
      <c r="D5185" s="540">
        <v>6</v>
      </c>
    </row>
    <row r="5186" spans="1:4" ht="15" x14ac:dyDescent="0.25">
      <c r="A5186" s="304">
        <v>9906</v>
      </c>
      <c r="B5186" s="304" t="s">
        <v>10730</v>
      </c>
      <c r="C5186" s="304" t="s">
        <v>5555</v>
      </c>
      <c r="D5186" s="540">
        <v>7.19</v>
      </c>
    </row>
    <row r="5187" spans="1:4" ht="15" x14ac:dyDescent="0.25">
      <c r="A5187" s="304">
        <v>9895</v>
      </c>
      <c r="B5187" s="304" t="s">
        <v>10731</v>
      </c>
      <c r="C5187" s="304" t="s">
        <v>5555</v>
      </c>
      <c r="D5187" s="540">
        <v>11.8</v>
      </c>
    </row>
    <row r="5188" spans="1:4" ht="15" x14ac:dyDescent="0.25">
      <c r="A5188" s="304">
        <v>9894</v>
      </c>
      <c r="B5188" s="304" t="s">
        <v>10732</v>
      </c>
      <c r="C5188" s="304" t="s">
        <v>5555</v>
      </c>
      <c r="D5188" s="540">
        <v>23</v>
      </c>
    </row>
    <row r="5189" spans="1:4" ht="15" x14ac:dyDescent="0.25">
      <c r="A5189" s="304">
        <v>9897</v>
      </c>
      <c r="B5189" s="304" t="s">
        <v>10733</v>
      </c>
      <c r="C5189" s="304" t="s">
        <v>5555</v>
      </c>
      <c r="D5189" s="540">
        <v>24.9</v>
      </c>
    </row>
    <row r="5190" spans="1:4" ht="15" x14ac:dyDescent="0.25">
      <c r="A5190" s="304">
        <v>9910</v>
      </c>
      <c r="B5190" s="304" t="s">
        <v>10734</v>
      </c>
      <c r="C5190" s="304" t="s">
        <v>5555</v>
      </c>
      <c r="D5190" s="540">
        <v>62.68</v>
      </c>
    </row>
    <row r="5191" spans="1:4" ht="15" x14ac:dyDescent="0.25">
      <c r="A5191" s="304">
        <v>9909</v>
      </c>
      <c r="B5191" s="304" t="s">
        <v>10735</v>
      </c>
      <c r="C5191" s="304" t="s">
        <v>5555</v>
      </c>
      <c r="D5191" s="540">
        <v>126.48</v>
      </c>
    </row>
    <row r="5192" spans="1:4" ht="15" x14ac:dyDescent="0.25">
      <c r="A5192" s="304">
        <v>9907</v>
      </c>
      <c r="B5192" s="304" t="s">
        <v>10736</v>
      </c>
      <c r="C5192" s="304" t="s">
        <v>5555</v>
      </c>
      <c r="D5192" s="540">
        <v>194.48</v>
      </c>
    </row>
    <row r="5193" spans="1:4" ht="15" x14ac:dyDescent="0.25">
      <c r="A5193" s="304">
        <v>20973</v>
      </c>
      <c r="B5193" s="304" t="s">
        <v>10737</v>
      </c>
      <c r="C5193" s="304" t="s">
        <v>5555</v>
      </c>
      <c r="D5193" s="540">
        <v>74.97</v>
      </c>
    </row>
    <row r="5194" spans="1:4" ht="15" x14ac:dyDescent="0.25">
      <c r="A5194" s="304">
        <v>20974</v>
      </c>
      <c r="B5194" s="304" t="s">
        <v>10738</v>
      </c>
      <c r="C5194" s="304" t="s">
        <v>5555</v>
      </c>
      <c r="D5194" s="540">
        <v>107.26</v>
      </c>
    </row>
    <row r="5195" spans="1:4" ht="15" x14ac:dyDescent="0.25">
      <c r="A5195" s="304">
        <v>37989</v>
      </c>
      <c r="B5195" s="304" t="s">
        <v>10739</v>
      </c>
      <c r="C5195" s="304" t="s">
        <v>5555</v>
      </c>
      <c r="D5195" s="540">
        <v>7.51</v>
      </c>
    </row>
    <row r="5196" spans="1:4" ht="15" x14ac:dyDescent="0.25">
      <c r="A5196" s="304">
        <v>37990</v>
      </c>
      <c r="B5196" s="304" t="s">
        <v>10740</v>
      </c>
      <c r="C5196" s="304" t="s">
        <v>5555</v>
      </c>
      <c r="D5196" s="540">
        <v>8.73</v>
      </c>
    </row>
    <row r="5197" spans="1:4" ht="15" x14ac:dyDescent="0.25">
      <c r="A5197" s="304">
        <v>37991</v>
      </c>
      <c r="B5197" s="304" t="s">
        <v>10741</v>
      </c>
      <c r="C5197" s="304" t="s">
        <v>5555</v>
      </c>
      <c r="D5197" s="540">
        <v>13.81</v>
      </c>
    </row>
    <row r="5198" spans="1:4" ht="15" x14ac:dyDescent="0.25">
      <c r="A5198" s="304">
        <v>37992</v>
      </c>
      <c r="B5198" s="304" t="s">
        <v>10742</v>
      </c>
      <c r="C5198" s="304" t="s">
        <v>5555</v>
      </c>
      <c r="D5198" s="540">
        <v>21.09</v>
      </c>
    </row>
    <row r="5199" spans="1:4" ht="15" x14ac:dyDescent="0.25">
      <c r="A5199" s="304">
        <v>37993</v>
      </c>
      <c r="B5199" s="304" t="s">
        <v>10743</v>
      </c>
      <c r="C5199" s="304" t="s">
        <v>5555</v>
      </c>
      <c r="D5199" s="540">
        <v>31.31</v>
      </c>
    </row>
    <row r="5200" spans="1:4" ht="15" x14ac:dyDescent="0.25">
      <c r="A5200" s="304">
        <v>37994</v>
      </c>
      <c r="B5200" s="304" t="s">
        <v>10744</v>
      </c>
      <c r="C5200" s="304" t="s">
        <v>5555</v>
      </c>
      <c r="D5200" s="540">
        <v>75.25</v>
      </c>
    </row>
    <row r="5201" spans="1:4" ht="15" x14ac:dyDescent="0.25">
      <c r="A5201" s="304">
        <v>37995</v>
      </c>
      <c r="B5201" s="304" t="s">
        <v>10745</v>
      </c>
      <c r="C5201" s="304" t="s">
        <v>5555</v>
      </c>
      <c r="D5201" s="540">
        <v>109.21</v>
      </c>
    </row>
    <row r="5202" spans="1:4" ht="15" x14ac:dyDescent="0.25">
      <c r="A5202" s="304">
        <v>37996</v>
      </c>
      <c r="B5202" s="304" t="s">
        <v>10746</v>
      </c>
      <c r="C5202" s="304" t="s">
        <v>5555</v>
      </c>
      <c r="D5202" s="540">
        <v>161.03</v>
      </c>
    </row>
    <row r="5203" spans="1:4" ht="15" x14ac:dyDescent="0.25">
      <c r="A5203" s="304">
        <v>13883</v>
      </c>
      <c r="B5203" s="304" t="s">
        <v>10747</v>
      </c>
      <c r="C5203" s="304" t="s">
        <v>5555</v>
      </c>
      <c r="D5203" s="541">
        <v>78078.77</v>
      </c>
    </row>
    <row r="5204" spans="1:4" ht="15" x14ac:dyDescent="0.25">
      <c r="A5204" s="304">
        <v>38604</v>
      </c>
      <c r="B5204" s="304" t="s">
        <v>10748</v>
      </c>
      <c r="C5204" s="304" t="s">
        <v>5555</v>
      </c>
      <c r="D5204" s="541">
        <v>97246.07</v>
      </c>
    </row>
    <row r="5205" spans="1:4" ht="15" x14ac:dyDescent="0.25">
      <c r="A5205" s="304">
        <v>10601</v>
      </c>
      <c r="B5205" s="304" t="s">
        <v>10749</v>
      </c>
      <c r="C5205" s="304" t="s">
        <v>5555</v>
      </c>
      <c r="D5205" s="541">
        <v>1891630.04</v>
      </c>
    </row>
    <row r="5206" spans="1:4" ht="15" x14ac:dyDescent="0.25">
      <c r="A5206" s="304">
        <v>26034</v>
      </c>
      <c r="B5206" s="304" t="s">
        <v>10750</v>
      </c>
      <c r="C5206" s="304" t="s">
        <v>5555</v>
      </c>
      <c r="D5206" s="541">
        <v>4980595.1500000004</v>
      </c>
    </row>
    <row r="5207" spans="1:4" ht="15" x14ac:dyDescent="0.25">
      <c r="A5207" s="304">
        <v>13894</v>
      </c>
      <c r="B5207" s="304" t="s">
        <v>10751</v>
      </c>
      <c r="C5207" s="304" t="s">
        <v>5555</v>
      </c>
      <c r="D5207" s="541">
        <v>392649.25</v>
      </c>
    </row>
    <row r="5208" spans="1:4" ht="15" x14ac:dyDescent="0.25">
      <c r="A5208" s="304">
        <v>13895</v>
      </c>
      <c r="B5208" s="304" t="s">
        <v>10752</v>
      </c>
      <c r="C5208" s="304" t="s">
        <v>5555</v>
      </c>
      <c r="D5208" s="541">
        <v>527982.35</v>
      </c>
    </row>
    <row r="5209" spans="1:4" ht="15" x14ac:dyDescent="0.25">
      <c r="A5209" s="304">
        <v>13892</v>
      </c>
      <c r="B5209" s="304" t="s">
        <v>10753</v>
      </c>
      <c r="C5209" s="304" t="s">
        <v>5555</v>
      </c>
      <c r="D5209" s="541">
        <v>647029.46</v>
      </c>
    </row>
    <row r="5210" spans="1:4" ht="15" x14ac:dyDescent="0.25">
      <c r="A5210" s="304">
        <v>9914</v>
      </c>
      <c r="B5210" s="304" t="s">
        <v>10754</v>
      </c>
      <c r="C5210" s="304" t="s">
        <v>5555</v>
      </c>
      <c r="D5210" s="541">
        <v>700000</v>
      </c>
    </row>
    <row r="5211" spans="1:4" ht="15" x14ac:dyDescent="0.25">
      <c r="A5211" s="304">
        <v>36485</v>
      </c>
      <c r="B5211" s="304" t="s">
        <v>10755</v>
      </c>
      <c r="C5211" s="304" t="s">
        <v>5555</v>
      </c>
      <c r="D5211" s="541">
        <v>424438.89</v>
      </c>
    </row>
    <row r="5212" spans="1:4" ht="15" x14ac:dyDescent="0.25">
      <c r="A5212" s="304">
        <v>9912</v>
      </c>
      <c r="B5212" s="304" t="s">
        <v>10756</v>
      </c>
      <c r="C5212" s="304" t="s">
        <v>5555</v>
      </c>
      <c r="D5212" s="541">
        <v>1540000</v>
      </c>
    </row>
    <row r="5213" spans="1:4" ht="15" x14ac:dyDescent="0.25">
      <c r="A5213" s="304">
        <v>9921</v>
      </c>
      <c r="B5213" s="304" t="s">
        <v>10757</v>
      </c>
      <c r="C5213" s="304" t="s">
        <v>5555</v>
      </c>
      <c r="D5213" s="541">
        <v>794404.84</v>
      </c>
    </row>
    <row r="5214" spans="1:4" ht="15" x14ac:dyDescent="0.25">
      <c r="A5214" s="304">
        <v>21112</v>
      </c>
      <c r="B5214" s="304" t="s">
        <v>10758</v>
      </c>
      <c r="C5214" s="304" t="s">
        <v>5555</v>
      </c>
      <c r="D5214" s="540">
        <v>104.46</v>
      </c>
    </row>
    <row r="5215" spans="1:4" ht="15" x14ac:dyDescent="0.25">
      <c r="A5215" s="304">
        <v>10228</v>
      </c>
      <c r="B5215" s="304" t="s">
        <v>10759</v>
      </c>
      <c r="C5215" s="304" t="s">
        <v>5555</v>
      </c>
      <c r="D5215" s="540">
        <v>121.36</v>
      </c>
    </row>
    <row r="5216" spans="1:4" ht="15" x14ac:dyDescent="0.25">
      <c r="A5216" s="304">
        <v>11781</v>
      </c>
      <c r="B5216" s="304" t="s">
        <v>10760</v>
      </c>
      <c r="C5216" s="304" t="s">
        <v>5555</v>
      </c>
      <c r="D5216" s="540">
        <v>98.31</v>
      </c>
    </row>
    <row r="5217" spans="1:4" ht="15" x14ac:dyDescent="0.25">
      <c r="A5217" s="304">
        <v>11746</v>
      </c>
      <c r="B5217" s="304" t="s">
        <v>10761</v>
      </c>
      <c r="C5217" s="304" t="s">
        <v>5555</v>
      </c>
      <c r="D5217" s="540">
        <v>40.11</v>
      </c>
    </row>
    <row r="5218" spans="1:4" ht="15" x14ac:dyDescent="0.25">
      <c r="A5218" s="304">
        <v>11751</v>
      </c>
      <c r="B5218" s="304" t="s">
        <v>10762</v>
      </c>
      <c r="C5218" s="304" t="s">
        <v>5555</v>
      </c>
      <c r="D5218" s="540">
        <v>72.040000000000006</v>
      </c>
    </row>
    <row r="5219" spans="1:4" ht="15" x14ac:dyDescent="0.25">
      <c r="A5219" s="304">
        <v>11750</v>
      </c>
      <c r="B5219" s="304" t="s">
        <v>10763</v>
      </c>
      <c r="C5219" s="304" t="s">
        <v>5555</v>
      </c>
      <c r="D5219" s="540">
        <v>59.79</v>
      </c>
    </row>
    <row r="5220" spans="1:4" ht="15" x14ac:dyDescent="0.25">
      <c r="A5220" s="304">
        <v>11748</v>
      </c>
      <c r="B5220" s="304" t="s">
        <v>10764</v>
      </c>
      <c r="C5220" s="304" t="s">
        <v>5555</v>
      </c>
      <c r="D5220" s="540">
        <v>25.74</v>
      </c>
    </row>
    <row r="5221" spans="1:4" ht="15" x14ac:dyDescent="0.25">
      <c r="A5221" s="304">
        <v>11747</v>
      </c>
      <c r="B5221" s="304" t="s">
        <v>10765</v>
      </c>
      <c r="C5221" s="304" t="s">
        <v>5555</v>
      </c>
      <c r="D5221" s="540">
        <v>111.09</v>
      </c>
    </row>
    <row r="5222" spans="1:4" ht="15" x14ac:dyDescent="0.25">
      <c r="A5222" s="304">
        <v>11749</v>
      </c>
      <c r="B5222" s="304" t="s">
        <v>10766</v>
      </c>
      <c r="C5222" s="304" t="s">
        <v>5555</v>
      </c>
      <c r="D5222" s="540">
        <v>29.71</v>
      </c>
    </row>
    <row r="5223" spans="1:4" ht="15" x14ac:dyDescent="0.25">
      <c r="A5223" s="304">
        <v>10236</v>
      </c>
      <c r="B5223" s="304" t="s">
        <v>10767</v>
      </c>
      <c r="C5223" s="304" t="s">
        <v>5555</v>
      </c>
      <c r="D5223" s="540">
        <v>52.45</v>
      </c>
    </row>
    <row r="5224" spans="1:4" ht="15" x14ac:dyDescent="0.25">
      <c r="A5224" s="304">
        <v>10233</v>
      </c>
      <c r="B5224" s="304" t="s">
        <v>10768</v>
      </c>
      <c r="C5224" s="304" t="s">
        <v>5555</v>
      </c>
      <c r="D5224" s="540">
        <v>49.15</v>
      </c>
    </row>
    <row r="5225" spans="1:4" ht="15" x14ac:dyDescent="0.25">
      <c r="A5225" s="304">
        <v>10234</v>
      </c>
      <c r="B5225" s="304" t="s">
        <v>10769</v>
      </c>
      <c r="C5225" s="304" t="s">
        <v>5555</v>
      </c>
      <c r="D5225" s="540">
        <v>30.96</v>
      </c>
    </row>
    <row r="5226" spans="1:4" ht="15" x14ac:dyDescent="0.25">
      <c r="A5226" s="304">
        <v>10231</v>
      </c>
      <c r="B5226" s="304" t="s">
        <v>10770</v>
      </c>
      <c r="C5226" s="304" t="s">
        <v>5555</v>
      </c>
      <c r="D5226" s="540">
        <v>141.97</v>
      </c>
    </row>
    <row r="5227" spans="1:4" ht="15" x14ac:dyDescent="0.25">
      <c r="A5227" s="304">
        <v>10232</v>
      </c>
      <c r="B5227" s="304" t="s">
        <v>10771</v>
      </c>
      <c r="C5227" s="304" t="s">
        <v>5555</v>
      </c>
      <c r="D5227" s="540">
        <v>79.44</v>
      </c>
    </row>
    <row r="5228" spans="1:4" ht="15" x14ac:dyDescent="0.25">
      <c r="A5228" s="304">
        <v>10229</v>
      </c>
      <c r="B5228" s="304" t="s">
        <v>10772</v>
      </c>
      <c r="C5228" s="304" t="s">
        <v>5555</v>
      </c>
      <c r="D5228" s="540">
        <v>28</v>
      </c>
    </row>
    <row r="5229" spans="1:4" ht="15" x14ac:dyDescent="0.25">
      <c r="A5229" s="304">
        <v>10235</v>
      </c>
      <c r="B5229" s="304" t="s">
        <v>10773</v>
      </c>
      <c r="C5229" s="304" t="s">
        <v>5555</v>
      </c>
      <c r="D5229" s="540">
        <v>194.63</v>
      </c>
    </row>
    <row r="5230" spans="1:4" ht="15" x14ac:dyDescent="0.25">
      <c r="A5230" s="304">
        <v>10230</v>
      </c>
      <c r="B5230" s="304" t="s">
        <v>10774</v>
      </c>
      <c r="C5230" s="304" t="s">
        <v>5555</v>
      </c>
      <c r="D5230" s="540">
        <v>342.53</v>
      </c>
    </row>
    <row r="5231" spans="1:4" ht="15" x14ac:dyDescent="0.25">
      <c r="A5231" s="304">
        <v>10409</v>
      </c>
      <c r="B5231" s="304" t="s">
        <v>10775</v>
      </c>
      <c r="C5231" s="304" t="s">
        <v>5555</v>
      </c>
      <c r="D5231" s="540">
        <v>101.76</v>
      </c>
    </row>
    <row r="5232" spans="1:4" ht="15" x14ac:dyDescent="0.25">
      <c r="A5232" s="304">
        <v>10411</v>
      </c>
      <c r="B5232" s="304" t="s">
        <v>10776</v>
      </c>
      <c r="C5232" s="304" t="s">
        <v>5555</v>
      </c>
      <c r="D5232" s="540">
        <v>91.06</v>
      </c>
    </row>
    <row r="5233" spans="1:4" ht="15" x14ac:dyDescent="0.25">
      <c r="A5233" s="304">
        <v>10404</v>
      </c>
      <c r="B5233" s="304" t="s">
        <v>10777</v>
      </c>
      <c r="C5233" s="304" t="s">
        <v>5555</v>
      </c>
      <c r="D5233" s="540">
        <v>36.93</v>
      </c>
    </row>
    <row r="5234" spans="1:4" ht="15" x14ac:dyDescent="0.25">
      <c r="A5234" s="304">
        <v>10410</v>
      </c>
      <c r="B5234" s="304" t="s">
        <v>10778</v>
      </c>
      <c r="C5234" s="304" t="s">
        <v>5555</v>
      </c>
      <c r="D5234" s="540">
        <v>60.82</v>
      </c>
    </row>
    <row r="5235" spans="1:4" ht="15" x14ac:dyDescent="0.25">
      <c r="A5235" s="304">
        <v>10405</v>
      </c>
      <c r="B5235" s="304" t="s">
        <v>10779</v>
      </c>
      <c r="C5235" s="304" t="s">
        <v>5555</v>
      </c>
      <c r="D5235" s="540">
        <v>203.88</v>
      </c>
    </row>
    <row r="5236" spans="1:4" ht="15" x14ac:dyDescent="0.25">
      <c r="A5236" s="304">
        <v>10408</v>
      </c>
      <c r="B5236" s="304" t="s">
        <v>10780</v>
      </c>
      <c r="C5236" s="304" t="s">
        <v>5555</v>
      </c>
      <c r="D5236" s="540">
        <v>142.57</v>
      </c>
    </row>
    <row r="5237" spans="1:4" ht="15" x14ac:dyDescent="0.25">
      <c r="A5237" s="304">
        <v>10412</v>
      </c>
      <c r="B5237" s="304" t="s">
        <v>10781</v>
      </c>
      <c r="C5237" s="304" t="s">
        <v>5555</v>
      </c>
      <c r="D5237" s="540">
        <v>44.75</v>
      </c>
    </row>
    <row r="5238" spans="1:4" ht="15" x14ac:dyDescent="0.25">
      <c r="A5238" s="304">
        <v>10406</v>
      </c>
      <c r="B5238" s="304" t="s">
        <v>10782</v>
      </c>
      <c r="C5238" s="304" t="s">
        <v>5555</v>
      </c>
      <c r="D5238" s="540">
        <v>281.60000000000002</v>
      </c>
    </row>
    <row r="5239" spans="1:4" ht="15" x14ac:dyDescent="0.25">
      <c r="A5239" s="304">
        <v>10407</v>
      </c>
      <c r="B5239" s="304" t="s">
        <v>10783</v>
      </c>
      <c r="C5239" s="304" t="s">
        <v>5555</v>
      </c>
      <c r="D5239" s="540">
        <v>436.77</v>
      </c>
    </row>
    <row r="5240" spans="1:4" ht="15" x14ac:dyDescent="0.25">
      <c r="A5240" s="304">
        <v>10416</v>
      </c>
      <c r="B5240" s="304" t="s">
        <v>10784</v>
      </c>
      <c r="C5240" s="304" t="s">
        <v>5555</v>
      </c>
      <c r="D5240" s="540">
        <v>54.17</v>
      </c>
    </row>
    <row r="5241" spans="1:4" ht="15" x14ac:dyDescent="0.25">
      <c r="A5241" s="304">
        <v>10419</v>
      </c>
      <c r="B5241" s="304" t="s">
        <v>10785</v>
      </c>
      <c r="C5241" s="304" t="s">
        <v>5555</v>
      </c>
      <c r="D5241" s="540">
        <v>47.02</v>
      </c>
    </row>
    <row r="5242" spans="1:4" ht="15" x14ac:dyDescent="0.25">
      <c r="A5242" s="304">
        <v>21092</v>
      </c>
      <c r="B5242" s="304" t="s">
        <v>10786</v>
      </c>
      <c r="C5242" s="304" t="s">
        <v>5555</v>
      </c>
      <c r="D5242" s="540">
        <v>26.88</v>
      </c>
    </row>
    <row r="5243" spans="1:4" ht="15" x14ac:dyDescent="0.25">
      <c r="A5243" s="304">
        <v>10418</v>
      </c>
      <c r="B5243" s="304" t="s">
        <v>10787</v>
      </c>
      <c r="C5243" s="304" t="s">
        <v>5555</v>
      </c>
      <c r="D5243" s="540">
        <v>31.34</v>
      </c>
    </row>
    <row r="5244" spans="1:4" ht="15" x14ac:dyDescent="0.25">
      <c r="A5244" s="304">
        <v>12657</v>
      </c>
      <c r="B5244" s="304" t="s">
        <v>10788</v>
      </c>
      <c r="C5244" s="304" t="s">
        <v>5555</v>
      </c>
      <c r="D5244" s="540">
        <v>126.49</v>
      </c>
    </row>
    <row r="5245" spans="1:4" ht="15" x14ac:dyDescent="0.25">
      <c r="A5245" s="304">
        <v>10417</v>
      </c>
      <c r="B5245" s="304" t="s">
        <v>10789</v>
      </c>
      <c r="C5245" s="304" t="s">
        <v>5555</v>
      </c>
      <c r="D5245" s="540">
        <v>78.930000000000007</v>
      </c>
    </row>
    <row r="5246" spans="1:4" ht="15" x14ac:dyDescent="0.25">
      <c r="A5246" s="304">
        <v>10413</v>
      </c>
      <c r="B5246" s="304" t="s">
        <v>10790</v>
      </c>
      <c r="C5246" s="304" t="s">
        <v>5555</v>
      </c>
      <c r="D5246" s="540">
        <v>28.69</v>
      </c>
    </row>
    <row r="5247" spans="1:4" ht="15" x14ac:dyDescent="0.25">
      <c r="A5247" s="304">
        <v>10414</v>
      </c>
      <c r="B5247" s="304" t="s">
        <v>10791</v>
      </c>
      <c r="C5247" s="304" t="s">
        <v>5555</v>
      </c>
      <c r="D5247" s="540">
        <v>172.73</v>
      </c>
    </row>
    <row r="5248" spans="1:4" ht="15" x14ac:dyDescent="0.25">
      <c r="A5248" s="304">
        <v>10415</v>
      </c>
      <c r="B5248" s="304" t="s">
        <v>10792</v>
      </c>
      <c r="C5248" s="304" t="s">
        <v>5555</v>
      </c>
      <c r="D5248" s="540">
        <v>299.77999999999997</v>
      </c>
    </row>
    <row r="5249" spans="1:4" ht="15" x14ac:dyDescent="0.25">
      <c r="A5249" s="304">
        <v>38643</v>
      </c>
      <c r="B5249" s="304" t="s">
        <v>10793</v>
      </c>
      <c r="C5249" s="304" t="s">
        <v>5555</v>
      </c>
      <c r="D5249" s="540">
        <v>23.75</v>
      </c>
    </row>
    <row r="5250" spans="1:4" ht="15" x14ac:dyDescent="0.25">
      <c r="A5250" s="304">
        <v>6157</v>
      </c>
      <c r="B5250" s="304" t="s">
        <v>10794</v>
      </c>
      <c r="C5250" s="304" t="s">
        <v>5555</v>
      </c>
      <c r="D5250" s="540">
        <v>32.44</v>
      </c>
    </row>
    <row r="5251" spans="1:4" ht="15" x14ac:dyDescent="0.25">
      <c r="A5251" s="304">
        <v>37588</v>
      </c>
      <c r="B5251" s="304" t="s">
        <v>10795</v>
      </c>
      <c r="C5251" s="304" t="s">
        <v>5555</v>
      </c>
      <c r="D5251" s="540">
        <v>19.66</v>
      </c>
    </row>
    <row r="5252" spans="1:4" ht="15" x14ac:dyDescent="0.25">
      <c r="A5252" s="304">
        <v>6152</v>
      </c>
      <c r="B5252" s="304" t="s">
        <v>10796</v>
      </c>
      <c r="C5252" s="304" t="s">
        <v>5555</v>
      </c>
      <c r="D5252" s="540">
        <v>2.69</v>
      </c>
    </row>
    <row r="5253" spans="1:4" ht="15" x14ac:dyDescent="0.25">
      <c r="A5253" s="304">
        <v>6158</v>
      </c>
      <c r="B5253" s="304" t="s">
        <v>10797</v>
      </c>
      <c r="C5253" s="304" t="s">
        <v>5555</v>
      </c>
      <c r="D5253" s="540">
        <v>3.24</v>
      </c>
    </row>
    <row r="5254" spans="1:4" ht="15" x14ac:dyDescent="0.25">
      <c r="A5254" s="304">
        <v>6153</v>
      </c>
      <c r="B5254" s="304" t="s">
        <v>10798</v>
      </c>
      <c r="C5254" s="304" t="s">
        <v>5555</v>
      </c>
      <c r="D5254" s="540">
        <v>2.52</v>
      </c>
    </row>
    <row r="5255" spans="1:4" ht="15" x14ac:dyDescent="0.25">
      <c r="A5255" s="304">
        <v>6156</v>
      </c>
      <c r="B5255" s="304" t="s">
        <v>10799</v>
      </c>
      <c r="C5255" s="304" t="s">
        <v>5555</v>
      </c>
      <c r="D5255" s="540">
        <v>3.19</v>
      </c>
    </row>
    <row r="5256" spans="1:4" ht="15" x14ac:dyDescent="0.25">
      <c r="A5256" s="304">
        <v>6154</v>
      </c>
      <c r="B5256" s="304" t="s">
        <v>10800</v>
      </c>
      <c r="C5256" s="304" t="s">
        <v>5555</v>
      </c>
      <c r="D5256" s="540">
        <v>6.02</v>
      </c>
    </row>
    <row r="5257" spans="1:4" ht="15" x14ac:dyDescent="0.25">
      <c r="A5257" s="304">
        <v>6155</v>
      </c>
      <c r="B5257" s="304" t="s">
        <v>10801</v>
      </c>
      <c r="C5257" s="304" t="s">
        <v>5555</v>
      </c>
      <c r="D5257" s="540">
        <v>12.45</v>
      </c>
    </row>
    <row r="5258" spans="1:4" ht="15" x14ac:dyDescent="0.25">
      <c r="A5258" s="304">
        <v>3115</v>
      </c>
      <c r="B5258" s="304" t="s">
        <v>10802</v>
      </c>
      <c r="C5258" s="304" t="s">
        <v>5555</v>
      </c>
      <c r="D5258" s="540">
        <v>16.100000000000001</v>
      </c>
    </row>
    <row r="5259" spans="1:4" ht="15" x14ac:dyDescent="0.25">
      <c r="A5259" s="304">
        <v>3116</v>
      </c>
      <c r="B5259" s="304" t="s">
        <v>10803</v>
      </c>
      <c r="C5259" s="304" t="s">
        <v>5555</v>
      </c>
      <c r="D5259" s="540">
        <v>16.59</v>
      </c>
    </row>
    <row r="5260" spans="1:4" ht="15" x14ac:dyDescent="0.25">
      <c r="A5260" s="304">
        <v>38166</v>
      </c>
      <c r="B5260" s="304" t="s">
        <v>10804</v>
      </c>
      <c r="C5260" s="304" t="s">
        <v>5555</v>
      </c>
      <c r="D5260" s="540">
        <v>33.950000000000003</v>
      </c>
    </row>
    <row r="5261" spans="1:4" ht="15" x14ac:dyDescent="0.25">
      <c r="A5261" s="304">
        <v>38108</v>
      </c>
      <c r="B5261" s="304" t="s">
        <v>10805</v>
      </c>
      <c r="C5261" s="304" t="s">
        <v>5555</v>
      </c>
      <c r="D5261" s="540">
        <v>43.69</v>
      </c>
    </row>
    <row r="5262" spans="1:4" ht="15" x14ac:dyDescent="0.25">
      <c r="A5262" s="304">
        <v>38087</v>
      </c>
      <c r="B5262" s="304" t="s">
        <v>10806</v>
      </c>
      <c r="C5262" s="304" t="s">
        <v>5555</v>
      </c>
      <c r="D5262" s="540">
        <v>56.2</v>
      </c>
    </row>
    <row r="5263" spans="1:4" ht="15" x14ac:dyDescent="0.25">
      <c r="A5263" s="304">
        <v>38109</v>
      </c>
      <c r="B5263" s="304" t="s">
        <v>10807</v>
      </c>
      <c r="C5263" s="304" t="s">
        <v>5555</v>
      </c>
      <c r="D5263" s="540">
        <v>69.83</v>
      </c>
    </row>
    <row r="5264" spans="1:4" ht="15" x14ac:dyDescent="0.25">
      <c r="A5264" s="304">
        <v>38088</v>
      </c>
      <c r="B5264" s="304" t="s">
        <v>10808</v>
      </c>
      <c r="C5264" s="304" t="s">
        <v>5555</v>
      </c>
      <c r="D5264" s="540">
        <v>73.430000000000007</v>
      </c>
    </row>
    <row r="5265" spans="1:4" ht="15" x14ac:dyDescent="0.25">
      <c r="A5265" s="304">
        <v>38110</v>
      </c>
      <c r="B5265" s="304" t="s">
        <v>10809</v>
      </c>
      <c r="C5265" s="304" t="s">
        <v>5555</v>
      </c>
      <c r="D5265" s="540">
        <v>26.86</v>
      </c>
    </row>
    <row r="5266" spans="1:4" ht="15" x14ac:dyDescent="0.25">
      <c r="A5266" s="304">
        <v>38089</v>
      </c>
      <c r="B5266" s="304" t="s">
        <v>10810</v>
      </c>
      <c r="C5266" s="304" t="s">
        <v>5555</v>
      </c>
      <c r="D5266" s="540">
        <v>46.81</v>
      </c>
    </row>
    <row r="5267" spans="1:4" ht="15" x14ac:dyDescent="0.25">
      <c r="A5267" s="304">
        <v>38111</v>
      </c>
      <c r="B5267" s="304" t="s">
        <v>10811</v>
      </c>
      <c r="C5267" s="304" t="s">
        <v>5555</v>
      </c>
      <c r="D5267" s="540">
        <v>30.04</v>
      </c>
    </row>
    <row r="5268" spans="1:4" ht="15" x14ac:dyDescent="0.25">
      <c r="A5268" s="304">
        <v>38090</v>
      </c>
      <c r="B5268" s="304" t="s">
        <v>10812</v>
      </c>
      <c r="C5268" s="304" t="s">
        <v>5555</v>
      </c>
      <c r="D5268" s="540">
        <v>48.38</v>
      </c>
    </row>
    <row r="5269" spans="1:4" ht="15" x14ac:dyDescent="0.25">
      <c r="A5269" s="304">
        <v>11786</v>
      </c>
      <c r="B5269" s="304" t="s">
        <v>10813</v>
      </c>
      <c r="C5269" s="304" t="s">
        <v>5555</v>
      </c>
      <c r="D5269" s="540">
        <v>270.27999999999997</v>
      </c>
    </row>
    <row r="5270" spans="1:4" ht="15" x14ac:dyDescent="0.25">
      <c r="A5270" s="304">
        <v>13726</v>
      </c>
      <c r="B5270" s="304" t="s">
        <v>10814</v>
      </c>
      <c r="C5270" s="304" t="s">
        <v>5555</v>
      </c>
      <c r="D5270" s="541">
        <v>36978.31</v>
      </c>
    </row>
    <row r="5271" spans="1:4" ht="15" x14ac:dyDescent="0.25">
      <c r="A5271" s="304">
        <v>38400</v>
      </c>
      <c r="B5271" s="304" t="s">
        <v>10815</v>
      </c>
      <c r="C5271" s="304" t="s">
        <v>5555</v>
      </c>
      <c r="D5271" s="540">
        <v>9.67</v>
      </c>
    </row>
    <row r="5272" spans="1:4" ht="15" x14ac:dyDescent="0.25">
      <c r="A5272" s="304">
        <v>12627</v>
      </c>
      <c r="B5272" s="304" t="s">
        <v>10816</v>
      </c>
      <c r="C5272" s="304" t="s">
        <v>5555</v>
      </c>
      <c r="D5272" s="540">
        <v>0.4</v>
      </c>
    </row>
    <row r="5273" spans="1:4" ht="15" x14ac:dyDescent="0.25">
      <c r="A5273" s="304">
        <v>6138</v>
      </c>
      <c r="B5273" s="304" t="s">
        <v>10817</v>
      </c>
      <c r="C5273" s="304" t="s">
        <v>5555</v>
      </c>
      <c r="D5273" s="540">
        <v>1.61</v>
      </c>
    </row>
    <row r="5274" spans="1:4" ht="15" x14ac:dyDescent="0.25">
      <c r="A5274" s="304">
        <v>39996</v>
      </c>
      <c r="B5274" s="304" t="s">
        <v>10818</v>
      </c>
      <c r="C5274" s="304" t="s">
        <v>5575</v>
      </c>
      <c r="D5274" s="540">
        <v>1.89</v>
      </c>
    </row>
    <row r="5275" spans="1:4" ht="15" x14ac:dyDescent="0.25">
      <c r="A5275" s="304">
        <v>10478</v>
      </c>
      <c r="B5275" s="304" t="s">
        <v>10819</v>
      </c>
      <c r="C5275" s="304" t="s">
        <v>5628</v>
      </c>
      <c r="D5275" s="540">
        <v>26.62</v>
      </c>
    </row>
    <row r="5276" spans="1:4" ht="15" x14ac:dyDescent="0.25">
      <c r="A5276" s="304">
        <v>40514</v>
      </c>
      <c r="B5276" s="304" t="s">
        <v>10820</v>
      </c>
      <c r="C5276" s="304" t="s">
        <v>5628</v>
      </c>
      <c r="D5276" s="540">
        <v>23.58</v>
      </c>
    </row>
    <row r="5277" spans="1:4" ht="15" x14ac:dyDescent="0.25">
      <c r="A5277" s="304">
        <v>10475</v>
      </c>
      <c r="B5277" s="304" t="s">
        <v>10821</v>
      </c>
      <c r="C5277" s="304" t="s">
        <v>5628</v>
      </c>
      <c r="D5277" s="540">
        <v>23.42</v>
      </c>
    </row>
    <row r="5278" spans="1:4" ht="15" x14ac:dyDescent="0.25">
      <c r="A5278" s="304">
        <v>10481</v>
      </c>
      <c r="B5278" s="304" t="s">
        <v>10822</v>
      </c>
      <c r="C5278" s="304" t="s">
        <v>5628</v>
      </c>
      <c r="D5278" s="540">
        <v>25.54</v>
      </c>
    </row>
    <row r="5279" spans="1:4" ht="15" x14ac:dyDescent="0.25">
      <c r="A5279" s="304">
        <v>4031</v>
      </c>
      <c r="B5279" s="304" t="s">
        <v>10823</v>
      </c>
      <c r="C5279" s="304" t="s">
        <v>5564</v>
      </c>
      <c r="D5279" s="540">
        <v>24.44</v>
      </c>
    </row>
    <row r="5280" spans="1:4" ht="15" x14ac:dyDescent="0.25">
      <c r="A5280" s="304">
        <v>4030</v>
      </c>
      <c r="B5280" s="304" t="s">
        <v>10824</v>
      </c>
      <c r="C5280" s="304" t="s">
        <v>5564</v>
      </c>
      <c r="D5280" s="540">
        <v>5.2</v>
      </c>
    </row>
    <row r="5281" spans="1:4" ht="15" x14ac:dyDescent="0.25">
      <c r="A5281" s="304">
        <v>39399</v>
      </c>
      <c r="B5281" s="304" t="s">
        <v>10825</v>
      </c>
      <c r="C5281" s="304" t="s">
        <v>5555</v>
      </c>
      <c r="D5281" s="540">
        <v>815.8</v>
      </c>
    </row>
    <row r="5282" spans="1:4" ht="15" x14ac:dyDescent="0.25">
      <c r="A5282" s="304">
        <v>39400</v>
      </c>
      <c r="B5282" s="304" t="s">
        <v>10826</v>
      </c>
      <c r="C5282" s="304" t="s">
        <v>5555</v>
      </c>
      <c r="D5282" s="540">
        <v>886.74</v>
      </c>
    </row>
    <row r="5283" spans="1:4" ht="15" x14ac:dyDescent="0.25">
      <c r="A5283" s="304">
        <v>39401</v>
      </c>
      <c r="B5283" s="304" t="s">
        <v>10827</v>
      </c>
      <c r="C5283" s="304" t="s">
        <v>5555</v>
      </c>
      <c r="D5283" s="540">
        <v>994.7</v>
      </c>
    </row>
    <row r="5284" spans="1:4" ht="15" x14ac:dyDescent="0.25">
      <c r="A5284" s="304">
        <v>11652</v>
      </c>
      <c r="B5284" s="304" t="s">
        <v>10828</v>
      </c>
      <c r="C5284" s="304" t="s">
        <v>5555</v>
      </c>
      <c r="D5284" s="541">
        <v>2140</v>
      </c>
    </row>
    <row r="5285" spans="1:4" ht="15" x14ac:dyDescent="0.25">
      <c r="A5285" s="304">
        <v>13896</v>
      </c>
      <c r="B5285" s="304" t="s">
        <v>10829</v>
      </c>
      <c r="C5285" s="304" t="s">
        <v>5555</v>
      </c>
      <c r="D5285" s="541">
        <v>1919.76</v>
      </c>
    </row>
    <row r="5286" spans="1:4" ht="15" x14ac:dyDescent="0.25">
      <c r="A5286" s="304">
        <v>13475</v>
      </c>
      <c r="B5286" s="304" t="s">
        <v>10830</v>
      </c>
      <c r="C5286" s="304" t="s">
        <v>5555</v>
      </c>
      <c r="D5286" s="541">
        <v>2338.5</v>
      </c>
    </row>
    <row r="5287" spans="1:4" ht="15" x14ac:dyDescent="0.25">
      <c r="A5287" s="304">
        <v>25971</v>
      </c>
      <c r="B5287" s="304" t="s">
        <v>10831</v>
      </c>
      <c r="C5287" s="304" t="s">
        <v>5555</v>
      </c>
      <c r="D5287" s="541">
        <v>3034252.44</v>
      </c>
    </row>
    <row r="5288" spans="1:4" ht="15" x14ac:dyDescent="0.25">
      <c r="A5288" s="304">
        <v>25970</v>
      </c>
      <c r="B5288" s="304" t="s">
        <v>10832</v>
      </c>
      <c r="C5288" s="304" t="s">
        <v>5555</v>
      </c>
      <c r="D5288" s="541">
        <v>1277385.06</v>
      </c>
    </row>
    <row r="5289" spans="1:4" ht="15" x14ac:dyDescent="0.25">
      <c r="A5289" s="304">
        <v>13476</v>
      </c>
      <c r="B5289" s="304" t="s">
        <v>10833</v>
      </c>
      <c r="C5289" s="304" t="s">
        <v>5555</v>
      </c>
      <c r="D5289" s="541">
        <v>1286641.56</v>
      </c>
    </row>
    <row r="5290" spans="1:4" ht="15" x14ac:dyDescent="0.25">
      <c r="A5290" s="304">
        <v>10488</v>
      </c>
      <c r="B5290" s="304" t="s">
        <v>10834</v>
      </c>
      <c r="C5290" s="304" t="s">
        <v>5555</v>
      </c>
      <c r="D5290" s="541">
        <v>1558780.1</v>
      </c>
    </row>
    <row r="5291" spans="1:4" ht="15" x14ac:dyDescent="0.25">
      <c r="A5291" s="304">
        <v>13606</v>
      </c>
      <c r="B5291" s="304" t="s">
        <v>10835</v>
      </c>
      <c r="C5291" s="304" t="s">
        <v>5555</v>
      </c>
      <c r="D5291" s="541">
        <v>1381056.87</v>
      </c>
    </row>
    <row r="5292" spans="1:4" ht="15" x14ac:dyDescent="0.25">
      <c r="A5292" s="304">
        <v>10489</v>
      </c>
      <c r="B5292" s="304" t="s">
        <v>10836</v>
      </c>
      <c r="C5292" s="304" t="s">
        <v>5566</v>
      </c>
      <c r="D5292" s="540">
        <v>15.61</v>
      </c>
    </row>
    <row r="5293" spans="1:4" ht="15" x14ac:dyDescent="0.25">
      <c r="A5293" s="304">
        <v>41073</v>
      </c>
      <c r="B5293" s="304" t="s">
        <v>10837</v>
      </c>
      <c r="C5293" s="304" t="s">
        <v>5755</v>
      </c>
      <c r="D5293" s="541">
        <v>2735.43</v>
      </c>
    </row>
    <row r="5294" spans="1:4" ht="15" x14ac:dyDescent="0.25">
      <c r="A5294" s="304">
        <v>34391</v>
      </c>
      <c r="B5294" s="304" t="s">
        <v>10838</v>
      </c>
      <c r="C5294" s="304" t="s">
        <v>5564</v>
      </c>
      <c r="D5294" s="540">
        <v>765.85</v>
      </c>
    </row>
    <row r="5295" spans="1:4" ht="15" x14ac:dyDescent="0.25">
      <c r="A5295" s="304">
        <v>10496</v>
      </c>
      <c r="B5295" s="304" t="s">
        <v>10839</v>
      </c>
      <c r="C5295" s="304" t="s">
        <v>5564</v>
      </c>
      <c r="D5295" s="540">
        <v>666.66</v>
      </c>
    </row>
    <row r="5296" spans="1:4" ht="15" x14ac:dyDescent="0.25">
      <c r="A5296" s="304">
        <v>10497</v>
      </c>
      <c r="B5296" s="304" t="s">
        <v>10840</v>
      </c>
      <c r="C5296" s="304" t="s">
        <v>5564</v>
      </c>
      <c r="D5296" s="541">
        <v>1733.33</v>
      </c>
    </row>
    <row r="5297" spans="1:4" ht="15" x14ac:dyDescent="0.25">
      <c r="A5297" s="304">
        <v>10504</v>
      </c>
      <c r="B5297" s="304" t="s">
        <v>10841</v>
      </c>
      <c r="C5297" s="304" t="s">
        <v>5564</v>
      </c>
      <c r="D5297" s="541">
        <v>2026.66</v>
      </c>
    </row>
    <row r="5298" spans="1:4" ht="15" x14ac:dyDescent="0.25">
      <c r="A5298" s="304">
        <v>34390</v>
      </c>
      <c r="B5298" s="304" t="s">
        <v>10842</v>
      </c>
      <c r="C5298" s="304" t="s">
        <v>5564</v>
      </c>
      <c r="D5298" s="540">
        <v>597.33000000000004</v>
      </c>
    </row>
    <row r="5299" spans="1:4" ht="15" x14ac:dyDescent="0.25">
      <c r="A5299" s="304">
        <v>34389</v>
      </c>
      <c r="B5299" s="304" t="s">
        <v>10843</v>
      </c>
      <c r="C5299" s="304" t="s">
        <v>5564</v>
      </c>
      <c r="D5299" s="540">
        <v>186.66</v>
      </c>
    </row>
    <row r="5300" spans="1:4" ht="15" x14ac:dyDescent="0.25">
      <c r="A5300" s="304">
        <v>34388</v>
      </c>
      <c r="B5300" s="304" t="s">
        <v>10844</v>
      </c>
      <c r="C5300" s="304" t="s">
        <v>5564</v>
      </c>
      <c r="D5300" s="540">
        <v>265.29000000000002</v>
      </c>
    </row>
    <row r="5301" spans="1:4" ht="15" x14ac:dyDescent="0.25">
      <c r="A5301" s="304">
        <v>34387</v>
      </c>
      <c r="B5301" s="304" t="s">
        <v>10845</v>
      </c>
      <c r="C5301" s="304" t="s">
        <v>5564</v>
      </c>
      <c r="D5301" s="540">
        <v>430.66</v>
      </c>
    </row>
    <row r="5302" spans="1:4" ht="15" x14ac:dyDescent="0.25">
      <c r="A5302" s="304">
        <v>11188</v>
      </c>
      <c r="B5302" s="304" t="s">
        <v>10846</v>
      </c>
      <c r="C5302" s="304" t="s">
        <v>5564</v>
      </c>
      <c r="D5302" s="540">
        <v>213.33</v>
      </c>
    </row>
    <row r="5303" spans="1:4" ht="15" x14ac:dyDescent="0.25">
      <c r="A5303" s="304">
        <v>11189</v>
      </c>
      <c r="B5303" s="304" t="s">
        <v>10847</v>
      </c>
      <c r="C5303" s="304" t="s">
        <v>5564</v>
      </c>
      <c r="D5303" s="540">
        <v>320</v>
      </c>
    </row>
    <row r="5304" spans="1:4" ht="15" x14ac:dyDescent="0.25">
      <c r="A5304" s="304">
        <v>21107</v>
      </c>
      <c r="B5304" s="304" t="s">
        <v>10848</v>
      </c>
      <c r="C5304" s="304" t="s">
        <v>5564</v>
      </c>
      <c r="D5304" s="540">
        <v>230.28</v>
      </c>
    </row>
    <row r="5305" spans="1:4" ht="15" x14ac:dyDescent="0.25">
      <c r="A5305" s="304">
        <v>34386</v>
      </c>
      <c r="B5305" s="304" t="s">
        <v>10849</v>
      </c>
      <c r="C5305" s="304" t="s">
        <v>5564</v>
      </c>
      <c r="D5305" s="540">
        <v>399.99</v>
      </c>
    </row>
    <row r="5306" spans="1:4" ht="15" x14ac:dyDescent="0.25">
      <c r="A5306" s="304">
        <v>10490</v>
      </c>
      <c r="B5306" s="304" t="s">
        <v>10850</v>
      </c>
      <c r="C5306" s="304" t="s">
        <v>5564</v>
      </c>
      <c r="D5306" s="540">
        <v>120</v>
      </c>
    </row>
    <row r="5307" spans="1:4" ht="15" x14ac:dyDescent="0.25">
      <c r="A5307" s="304">
        <v>10492</v>
      </c>
      <c r="B5307" s="304" t="s">
        <v>10851</v>
      </c>
      <c r="C5307" s="304" t="s">
        <v>5564</v>
      </c>
      <c r="D5307" s="540">
        <v>159.99</v>
      </c>
    </row>
    <row r="5308" spans="1:4" ht="15" x14ac:dyDescent="0.25">
      <c r="A5308" s="304">
        <v>10493</v>
      </c>
      <c r="B5308" s="304" t="s">
        <v>10852</v>
      </c>
      <c r="C5308" s="304" t="s">
        <v>5564</v>
      </c>
      <c r="D5308" s="540">
        <v>186.66</v>
      </c>
    </row>
    <row r="5309" spans="1:4" ht="15" x14ac:dyDescent="0.25">
      <c r="A5309" s="304">
        <v>10491</v>
      </c>
      <c r="B5309" s="304" t="s">
        <v>10853</v>
      </c>
      <c r="C5309" s="304" t="s">
        <v>5564</v>
      </c>
      <c r="D5309" s="540">
        <v>226.66</v>
      </c>
    </row>
    <row r="5310" spans="1:4" ht="15" x14ac:dyDescent="0.25">
      <c r="A5310" s="304">
        <v>34385</v>
      </c>
      <c r="B5310" s="304" t="s">
        <v>10854</v>
      </c>
      <c r="C5310" s="304" t="s">
        <v>5564</v>
      </c>
      <c r="D5310" s="540">
        <v>330.66</v>
      </c>
    </row>
    <row r="5311" spans="1:4" ht="15" x14ac:dyDescent="0.25">
      <c r="A5311" s="304">
        <v>10499</v>
      </c>
      <c r="B5311" s="304" t="s">
        <v>10855</v>
      </c>
      <c r="C5311" s="304" t="s">
        <v>5564</v>
      </c>
      <c r="D5311" s="540">
        <v>133.33000000000001</v>
      </c>
    </row>
    <row r="5312" spans="1:4" ht="15" x14ac:dyDescent="0.25">
      <c r="A5312" s="304">
        <v>34384</v>
      </c>
      <c r="B5312" s="304" t="s">
        <v>10856</v>
      </c>
      <c r="C5312" s="304" t="s">
        <v>5564</v>
      </c>
      <c r="D5312" s="540">
        <v>399.99</v>
      </c>
    </row>
    <row r="5313" spans="1:4" ht="15" x14ac:dyDescent="0.25">
      <c r="A5313" s="304">
        <v>11185</v>
      </c>
      <c r="B5313" s="304" t="s">
        <v>10857</v>
      </c>
      <c r="C5313" s="304" t="s">
        <v>5564</v>
      </c>
      <c r="D5313" s="540">
        <v>413.33</v>
      </c>
    </row>
    <row r="5314" spans="1:4" ht="15" x14ac:dyDescent="0.25">
      <c r="A5314" s="304">
        <v>10507</v>
      </c>
      <c r="B5314" s="304" t="s">
        <v>10858</v>
      </c>
      <c r="C5314" s="304" t="s">
        <v>5564</v>
      </c>
      <c r="D5314" s="540">
        <v>273.14999999999998</v>
      </c>
    </row>
    <row r="5315" spans="1:4" ht="15" x14ac:dyDescent="0.25">
      <c r="A5315" s="304">
        <v>10505</v>
      </c>
      <c r="B5315" s="304" t="s">
        <v>10859</v>
      </c>
      <c r="C5315" s="304" t="s">
        <v>5564</v>
      </c>
      <c r="D5315" s="540">
        <v>161.18</v>
      </c>
    </row>
    <row r="5316" spans="1:4" ht="15" x14ac:dyDescent="0.25">
      <c r="A5316" s="304">
        <v>10506</v>
      </c>
      <c r="B5316" s="304" t="s">
        <v>10860</v>
      </c>
      <c r="C5316" s="304" t="s">
        <v>5564</v>
      </c>
      <c r="D5316" s="540">
        <v>210.41</v>
      </c>
    </row>
    <row r="5317" spans="1:4" ht="15" x14ac:dyDescent="0.25">
      <c r="A5317" s="304">
        <v>5031</v>
      </c>
      <c r="B5317" s="304" t="s">
        <v>10861</v>
      </c>
      <c r="C5317" s="304" t="s">
        <v>5564</v>
      </c>
      <c r="D5317" s="540">
        <v>295.45</v>
      </c>
    </row>
    <row r="5318" spans="1:4" ht="15" x14ac:dyDescent="0.25">
      <c r="A5318" s="304">
        <v>10502</v>
      </c>
      <c r="B5318" s="304" t="s">
        <v>10862</v>
      </c>
      <c r="C5318" s="304" t="s">
        <v>5564</v>
      </c>
      <c r="D5318" s="540">
        <v>344.27</v>
      </c>
    </row>
    <row r="5319" spans="1:4" ht="15" x14ac:dyDescent="0.25">
      <c r="A5319" s="304">
        <v>10501</v>
      </c>
      <c r="B5319" s="304" t="s">
        <v>10863</v>
      </c>
      <c r="C5319" s="304" t="s">
        <v>5564</v>
      </c>
      <c r="D5319" s="540">
        <v>194.5</v>
      </c>
    </row>
    <row r="5320" spans="1:4" ht="15" x14ac:dyDescent="0.25">
      <c r="A5320" s="304">
        <v>10503</v>
      </c>
      <c r="B5320" s="304" t="s">
        <v>10864</v>
      </c>
      <c r="C5320" s="304" t="s">
        <v>5564</v>
      </c>
      <c r="D5320" s="540">
        <v>262.77</v>
      </c>
    </row>
    <row r="5321" spans="1:4" ht="15" x14ac:dyDescent="0.25">
      <c r="A5321" s="304">
        <v>40270</v>
      </c>
      <c r="B5321" s="304" t="s">
        <v>10865</v>
      </c>
      <c r="C5321" s="304" t="s">
        <v>5575</v>
      </c>
      <c r="D5321" s="540">
        <v>44.75</v>
      </c>
    </row>
    <row r="5322" spans="1:4" ht="15" x14ac:dyDescent="0.25">
      <c r="A5322" s="304">
        <v>20213</v>
      </c>
      <c r="B5322" s="304" t="s">
        <v>10866</v>
      </c>
      <c r="C5322" s="304" t="s">
        <v>5575</v>
      </c>
      <c r="D5322" s="540">
        <v>12.76</v>
      </c>
    </row>
    <row r="5323" spans="1:4" ht="15" x14ac:dyDescent="0.25">
      <c r="A5323" s="304">
        <v>20211</v>
      </c>
      <c r="B5323" s="304" t="s">
        <v>10867</v>
      </c>
      <c r="C5323" s="304" t="s">
        <v>5575</v>
      </c>
      <c r="D5323" s="540">
        <v>18.84</v>
      </c>
    </row>
    <row r="5324" spans="1:4" ht="15" x14ac:dyDescent="0.25">
      <c r="A5324" s="304">
        <v>4472</v>
      </c>
      <c r="B5324" s="304" t="s">
        <v>10868</v>
      </c>
      <c r="C5324" s="304" t="s">
        <v>5575</v>
      </c>
      <c r="D5324" s="540">
        <v>16.48</v>
      </c>
    </row>
    <row r="5325" spans="1:4" ht="15" x14ac:dyDescent="0.25">
      <c r="A5325" s="304">
        <v>35272</v>
      </c>
      <c r="B5325" s="304" t="s">
        <v>10869</v>
      </c>
      <c r="C5325" s="304" t="s">
        <v>5575</v>
      </c>
      <c r="D5325" s="540">
        <v>21.64</v>
      </c>
    </row>
    <row r="5326" spans="1:4" ht="15" x14ac:dyDescent="0.25">
      <c r="A5326" s="304">
        <v>4448</v>
      </c>
      <c r="B5326" s="304" t="s">
        <v>10870</v>
      </c>
      <c r="C5326" s="304" t="s">
        <v>5575</v>
      </c>
      <c r="D5326" s="540">
        <v>17.18</v>
      </c>
    </row>
    <row r="5327" spans="1:4" ht="15" x14ac:dyDescent="0.25">
      <c r="A5327" s="304">
        <v>4425</v>
      </c>
      <c r="B5327" s="304" t="s">
        <v>10871</v>
      </c>
      <c r="C5327" s="304" t="s">
        <v>5575</v>
      </c>
      <c r="D5327" s="540">
        <v>12.1</v>
      </c>
    </row>
    <row r="5328" spans="1:4" ht="15" x14ac:dyDescent="0.25">
      <c r="A5328" s="304">
        <v>4481</v>
      </c>
      <c r="B5328" s="304" t="s">
        <v>10872</v>
      </c>
      <c r="C5328" s="304" t="s">
        <v>5575</v>
      </c>
      <c r="D5328" s="540">
        <v>22.3</v>
      </c>
    </row>
    <row r="5329" spans="1:4" ht="15" x14ac:dyDescent="0.25">
      <c r="A5329" s="304">
        <v>34345</v>
      </c>
      <c r="B5329" s="304" t="s">
        <v>10873</v>
      </c>
      <c r="C5329" s="304" t="s">
        <v>5566</v>
      </c>
      <c r="D5329" s="540">
        <v>12.52</v>
      </c>
    </row>
    <row r="5330" spans="1:4" ht="15" x14ac:dyDescent="0.25">
      <c r="A5330" s="304">
        <v>41096</v>
      </c>
      <c r="B5330" s="304" t="s">
        <v>10874</v>
      </c>
      <c r="C5330" s="304" t="s">
        <v>5755</v>
      </c>
      <c r="D5330" s="541">
        <v>2193.91</v>
      </c>
    </row>
    <row r="5331" spans="1:4" ht="15" x14ac:dyDescent="0.25">
      <c r="A5331" s="304">
        <v>41776</v>
      </c>
      <c r="B5331" s="304" t="s">
        <v>10875</v>
      </c>
      <c r="C5331" s="304" t="s">
        <v>5566</v>
      </c>
      <c r="D5331" s="540">
        <v>17.149999999999999</v>
      </c>
    </row>
    <row r="5332" spans="1:4" ht="15" x14ac:dyDescent="0.25">
      <c r="A5332" s="304">
        <v>4487</v>
      </c>
      <c r="B5332" s="304" t="s">
        <v>10876</v>
      </c>
      <c r="C5332" s="304" t="s">
        <v>5575</v>
      </c>
      <c r="D5332" s="540">
        <v>10.82</v>
      </c>
    </row>
    <row r="5333" spans="1:4" ht="15" x14ac:dyDescent="0.25">
      <c r="A5333" s="304">
        <v>11157</v>
      </c>
      <c r="B5333" s="304" t="s">
        <v>10877</v>
      </c>
      <c r="C5333" s="304" t="s">
        <v>7915</v>
      </c>
      <c r="D5333" s="540">
        <v>121.33</v>
      </c>
    </row>
    <row r="5334" spans="1:4" x14ac:dyDescent="0.2">
      <c r="A5334" s="304" t="s">
        <v>5549</v>
      </c>
    </row>
    <row r="5335" spans="1:4" x14ac:dyDescent="0.2">
      <c r="A5335" s="304" t="s">
        <v>11868</v>
      </c>
    </row>
  </sheetData>
  <pageMargins left="0.78740157499999996" right="0.78740157499999996" top="0.984251969" bottom="0.984251969" header="0.5" footer="0.5"/>
  <pageSetup orientation="portrait" horizontalDpi="300" verticalDpi="30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5284"/>
  <sheetViews>
    <sheetView topLeftCell="A5261" workbookViewId="0">
      <selection activeCell="D5234" sqref="D5234"/>
    </sheetView>
  </sheetViews>
  <sheetFormatPr defaultRowHeight="12.75" x14ac:dyDescent="0.2"/>
  <cols>
    <col min="1" max="1" width="10.5703125" style="574" customWidth="1"/>
    <col min="2" max="2" width="78.140625" style="574" customWidth="1"/>
    <col min="3" max="3" width="21.140625" style="574" customWidth="1"/>
    <col min="4" max="4" width="22.28515625" style="574" customWidth="1"/>
    <col min="5" max="256" width="9.140625" style="574"/>
    <col min="257" max="257" width="10.5703125" style="574" customWidth="1"/>
    <col min="258" max="258" width="78.140625" style="574" customWidth="1"/>
    <col min="259" max="259" width="21.140625" style="574" customWidth="1"/>
    <col min="260" max="260" width="22.28515625" style="574" customWidth="1"/>
    <col min="261" max="512" width="9.140625" style="574"/>
    <col min="513" max="513" width="10.5703125" style="574" customWidth="1"/>
    <col min="514" max="514" width="78.140625" style="574" customWidth="1"/>
    <col min="515" max="515" width="21.140625" style="574" customWidth="1"/>
    <col min="516" max="516" width="22.28515625" style="574" customWidth="1"/>
    <col min="517" max="768" width="9.140625" style="574"/>
    <col min="769" max="769" width="10.5703125" style="574" customWidth="1"/>
    <col min="770" max="770" width="78.140625" style="574" customWidth="1"/>
    <col min="771" max="771" width="21.140625" style="574" customWidth="1"/>
    <col min="772" max="772" width="22.28515625" style="574" customWidth="1"/>
    <col min="773" max="1024" width="9.140625" style="574"/>
    <col min="1025" max="1025" width="10.5703125" style="574" customWidth="1"/>
    <col min="1026" max="1026" width="78.140625" style="574" customWidth="1"/>
    <col min="1027" max="1027" width="21.140625" style="574" customWidth="1"/>
    <col min="1028" max="1028" width="22.28515625" style="574" customWidth="1"/>
    <col min="1029" max="1280" width="9.140625" style="574"/>
    <col min="1281" max="1281" width="10.5703125" style="574" customWidth="1"/>
    <col min="1282" max="1282" width="78.140625" style="574" customWidth="1"/>
    <col min="1283" max="1283" width="21.140625" style="574" customWidth="1"/>
    <col min="1284" max="1284" width="22.28515625" style="574" customWidth="1"/>
    <col min="1285" max="1536" width="9.140625" style="574"/>
    <col min="1537" max="1537" width="10.5703125" style="574" customWidth="1"/>
    <col min="1538" max="1538" width="78.140625" style="574" customWidth="1"/>
    <col min="1539" max="1539" width="21.140625" style="574" customWidth="1"/>
    <col min="1540" max="1540" width="22.28515625" style="574" customWidth="1"/>
    <col min="1541" max="1792" width="9.140625" style="574"/>
    <col min="1793" max="1793" width="10.5703125" style="574" customWidth="1"/>
    <col min="1794" max="1794" width="78.140625" style="574" customWidth="1"/>
    <col min="1795" max="1795" width="21.140625" style="574" customWidth="1"/>
    <col min="1796" max="1796" width="22.28515625" style="574" customWidth="1"/>
    <col min="1797" max="2048" width="9.140625" style="574"/>
    <col min="2049" max="2049" width="10.5703125" style="574" customWidth="1"/>
    <col min="2050" max="2050" width="78.140625" style="574" customWidth="1"/>
    <col min="2051" max="2051" width="21.140625" style="574" customWidth="1"/>
    <col min="2052" max="2052" width="22.28515625" style="574" customWidth="1"/>
    <col min="2053" max="2304" width="9.140625" style="574"/>
    <col min="2305" max="2305" width="10.5703125" style="574" customWidth="1"/>
    <col min="2306" max="2306" width="78.140625" style="574" customWidth="1"/>
    <col min="2307" max="2307" width="21.140625" style="574" customWidth="1"/>
    <col min="2308" max="2308" width="22.28515625" style="574" customWidth="1"/>
    <col min="2309" max="2560" width="9.140625" style="574"/>
    <col min="2561" max="2561" width="10.5703125" style="574" customWidth="1"/>
    <col min="2562" max="2562" width="78.140625" style="574" customWidth="1"/>
    <col min="2563" max="2563" width="21.140625" style="574" customWidth="1"/>
    <col min="2564" max="2564" width="22.28515625" style="574" customWidth="1"/>
    <col min="2565" max="2816" width="9.140625" style="574"/>
    <col min="2817" max="2817" width="10.5703125" style="574" customWidth="1"/>
    <col min="2818" max="2818" width="78.140625" style="574" customWidth="1"/>
    <col min="2819" max="2819" width="21.140625" style="574" customWidth="1"/>
    <col min="2820" max="2820" width="22.28515625" style="574" customWidth="1"/>
    <col min="2821" max="3072" width="9.140625" style="574"/>
    <col min="3073" max="3073" width="10.5703125" style="574" customWidth="1"/>
    <col min="3074" max="3074" width="78.140625" style="574" customWidth="1"/>
    <col min="3075" max="3075" width="21.140625" style="574" customWidth="1"/>
    <col min="3076" max="3076" width="22.28515625" style="574" customWidth="1"/>
    <col min="3077" max="3328" width="9.140625" style="574"/>
    <col min="3329" max="3329" width="10.5703125" style="574" customWidth="1"/>
    <col min="3330" max="3330" width="78.140625" style="574" customWidth="1"/>
    <col min="3331" max="3331" width="21.140625" style="574" customWidth="1"/>
    <col min="3332" max="3332" width="22.28515625" style="574" customWidth="1"/>
    <col min="3333" max="3584" width="9.140625" style="574"/>
    <col min="3585" max="3585" width="10.5703125" style="574" customWidth="1"/>
    <col min="3586" max="3586" width="78.140625" style="574" customWidth="1"/>
    <col min="3587" max="3587" width="21.140625" style="574" customWidth="1"/>
    <col min="3588" max="3588" width="22.28515625" style="574" customWidth="1"/>
    <col min="3589" max="3840" width="9.140625" style="574"/>
    <col min="3841" max="3841" width="10.5703125" style="574" customWidth="1"/>
    <col min="3842" max="3842" width="78.140625" style="574" customWidth="1"/>
    <col min="3843" max="3843" width="21.140625" style="574" customWidth="1"/>
    <col min="3844" max="3844" width="22.28515625" style="574" customWidth="1"/>
    <col min="3845" max="4096" width="9.140625" style="574"/>
    <col min="4097" max="4097" width="10.5703125" style="574" customWidth="1"/>
    <col min="4098" max="4098" width="78.140625" style="574" customWidth="1"/>
    <col min="4099" max="4099" width="21.140625" style="574" customWidth="1"/>
    <col min="4100" max="4100" width="22.28515625" style="574" customWidth="1"/>
    <col min="4101" max="4352" width="9.140625" style="574"/>
    <col min="4353" max="4353" width="10.5703125" style="574" customWidth="1"/>
    <col min="4354" max="4354" width="78.140625" style="574" customWidth="1"/>
    <col min="4355" max="4355" width="21.140625" style="574" customWidth="1"/>
    <col min="4356" max="4356" width="22.28515625" style="574" customWidth="1"/>
    <col min="4357" max="4608" width="9.140625" style="574"/>
    <col min="4609" max="4609" width="10.5703125" style="574" customWidth="1"/>
    <col min="4610" max="4610" width="78.140625" style="574" customWidth="1"/>
    <col min="4611" max="4611" width="21.140625" style="574" customWidth="1"/>
    <col min="4612" max="4612" width="22.28515625" style="574" customWidth="1"/>
    <col min="4613" max="4864" width="9.140625" style="574"/>
    <col min="4865" max="4865" width="10.5703125" style="574" customWidth="1"/>
    <col min="4866" max="4866" width="78.140625" style="574" customWidth="1"/>
    <col min="4867" max="4867" width="21.140625" style="574" customWidth="1"/>
    <col min="4868" max="4868" width="22.28515625" style="574" customWidth="1"/>
    <col min="4869" max="5120" width="9.140625" style="574"/>
    <col min="5121" max="5121" width="10.5703125" style="574" customWidth="1"/>
    <col min="5122" max="5122" width="78.140625" style="574" customWidth="1"/>
    <col min="5123" max="5123" width="21.140625" style="574" customWidth="1"/>
    <col min="5124" max="5124" width="22.28515625" style="574" customWidth="1"/>
    <col min="5125" max="5376" width="9.140625" style="574"/>
    <col min="5377" max="5377" width="10.5703125" style="574" customWidth="1"/>
    <col min="5378" max="5378" width="78.140625" style="574" customWidth="1"/>
    <col min="5379" max="5379" width="21.140625" style="574" customWidth="1"/>
    <col min="5380" max="5380" width="22.28515625" style="574" customWidth="1"/>
    <col min="5381" max="5632" width="9.140625" style="574"/>
    <col min="5633" max="5633" width="10.5703125" style="574" customWidth="1"/>
    <col min="5634" max="5634" width="78.140625" style="574" customWidth="1"/>
    <col min="5635" max="5635" width="21.140625" style="574" customWidth="1"/>
    <col min="5636" max="5636" width="22.28515625" style="574" customWidth="1"/>
    <col min="5637" max="5888" width="9.140625" style="574"/>
    <col min="5889" max="5889" width="10.5703125" style="574" customWidth="1"/>
    <col min="5890" max="5890" width="78.140625" style="574" customWidth="1"/>
    <col min="5891" max="5891" width="21.140625" style="574" customWidth="1"/>
    <col min="5892" max="5892" width="22.28515625" style="574" customWidth="1"/>
    <col min="5893" max="6144" width="9.140625" style="574"/>
    <col min="6145" max="6145" width="10.5703125" style="574" customWidth="1"/>
    <col min="6146" max="6146" width="78.140625" style="574" customWidth="1"/>
    <col min="6147" max="6147" width="21.140625" style="574" customWidth="1"/>
    <col min="6148" max="6148" width="22.28515625" style="574" customWidth="1"/>
    <col min="6149" max="6400" width="9.140625" style="574"/>
    <col min="6401" max="6401" width="10.5703125" style="574" customWidth="1"/>
    <col min="6402" max="6402" width="78.140625" style="574" customWidth="1"/>
    <col min="6403" max="6403" width="21.140625" style="574" customWidth="1"/>
    <col min="6404" max="6404" width="22.28515625" style="574" customWidth="1"/>
    <col min="6405" max="6656" width="9.140625" style="574"/>
    <col min="6657" max="6657" width="10.5703125" style="574" customWidth="1"/>
    <col min="6658" max="6658" width="78.140625" style="574" customWidth="1"/>
    <col min="6659" max="6659" width="21.140625" style="574" customWidth="1"/>
    <col min="6660" max="6660" width="22.28515625" style="574" customWidth="1"/>
    <col min="6661" max="6912" width="9.140625" style="574"/>
    <col min="6913" max="6913" width="10.5703125" style="574" customWidth="1"/>
    <col min="6914" max="6914" width="78.140625" style="574" customWidth="1"/>
    <col min="6915" max="6915" width="21.140625" style="574" customWidth="1"/>
    <col min="6916" max="6916" width="22.28515625" style="574" customWidth="1"/>
    <col min="6917" max="7168" width="9.140625" style="574"/>
    <col min="7169" max="7169" width="10.5703125" style="574" customWidth="1"/>
    <col min="7170" max="7170" width="78.140625" style="574" customWidth="1"/>
    <col min="7171" max="7171" width="21.140625" style="574" customWidth="1"/>
    <col min="7172" max="7172" width="22.28515625" style="574" customWidth="1"/>
    <col min="7173" max="7424" width="9.140625" style="574"/>
    <col min="7425" max="7425" width="10.5703125" style="574" customWidth="1"/>
    <col min="7426" max="7426" width="78.140625" style="574" customWidth="1"/>
    <col min="7427" max="7427" width="21.140625" style="574" customWidth="1"/>
    <col min="7428" max="7428" width="22.28515625" style="574" customWidth="1"/>
    <col min="7429" max="7680" width="9.140625" style="574"/>
    <col min="7681" max="7681" width="10.5703125" style="574" customWidth="1"/>
    <col min="7682" max="7682" width="78.140625" style="574" customWidth="1"/>
    <col min="7683" max="7683" width="21.140625" style="574" customWidth="1"/>
    <col min="7684" max="7684" width="22.28515625" style="574" customWidth="1"/>
    <col min="7685" max="7936" width="9.140625" style="574"/>
    <col min="7937" max="7937" width="10.5703125" style="574" customWidth="1"/>
    <col min="7938" max="7938" width="78.140625" style="574" customWidth="1"/>
    <col min="7939" max="7939" width="21.140625" style="574" customWidth="1"/>
    <col min="7940" max="7940" width="22.28515625" style="574" customWidth="1"/>
    <col min="7941" max="8192" width="9.140625" style="574"/>
    <col min="8193" max="8193" width="10.5703125" style="574" customWidth="1"/>
    <col min="8194" max="8194" width="78.140625" style="574" customWidth="1"/>
    <col min="8195" max="8195" width="21.140625" style="574" customWidth="1"/>
    <col min="8196" max="8196" width="22.28515625" style="574" customWidth="1"/>
    <col min="8197" max="8448" width="9.140625" style="574"/>
    <col min="8449" max="8449" width="10.5703125" style="574" customWidth="1"/>
    <col min="8450" max="8450" width="78.140625" style="574" customWidth="1"/>
    <col min="8451" max="8451" width="21.140625" style="574" customWidth="1"/>
    <col min="8452" max="8452" width="22.28515625" style="574" customWidth="1"/>
    <col min="8453" max="8704" width="9.140625" style="574"/>
    <col min="8705" max="8705" width="10.5703125" style="574" customWidth="1"/>
    <col min="8706" max="8706" width="78.140625" style="574" customWidth="1"/>
    <col min="8707" max="8707" width="21.140625" style="574" customWidth="1"/>
    <col min="8708" max="8708" width="22.28515625" style="574" customWidth="1"/>
    <col min="8709" max="8960" width="9.140625" style="574"/>
    <col min="8961" max="8961" width="10.5703125" style="574" customWidth="1"/>
    <col min="8962" max="8962" width="78.140625" style="574" customWidth="1"/>
    <col min="8963" max="8963" width="21.140625" style="574" customWidth="1"/>
    <col min="8964" max="8964" width="22.28515625" style="574" customWidth="1"/>
    <col min="8965" max="9216" width="9.140625" style="574"/>
    <col min="9217" max="9217" width="10.5703125" style="574" customWidth="1"/>
    <col min="9218" max="9218" width="78.140625" style="574" customWidth="1"/>
    <col min="9219" max="9219" width="21.140625" style="574" customWidth="1"/>
    <col min="9220" max="9220" width="22.28515625" style="574" customWidth="1"/>
    <col min="9221" max="9472" width="9.140625" style="574"/>
    <col min="9473" max="9473" width="10.5703125" style="574" customWidth="1"/>
    <col min="9474" max="9474" width="78.140625" style="574" customWidth="1"/>
    <col min="9475" max="9475" width="21.140625" style="574" customWidth="1"/>
    <col min="9476" max="9476" width="22.28515625" style="574" customWidth="1"/>
    <col min="9477" max="9728" width="9.140625" style="574"/>
    <col min="9729" max="9729" width="10.5703125" style="574" customWidth="1"/>
    <col min="9730" max="9730" width="78.140625" style="574" customWidth="1"/>
    <col min="9731" max="9731" width="21.140625" style="574" customWidth="1"/>
    <col min="9732" max="9732" width="22.28515625" style="574" customWidth="1"/>
    <col min="9733" max="9984" width="9.140625" style="574"/>
    <col min="9985" max="9985" width="10.5703125" style="574" customWidth="1"/>
    <col min="9986" max="9986" width="78.140625" style="574" customWidth="1"/>
    <col min="9987" max="9987" width="21.140625" style="574" customWidth="1"/>
    <col min="9988" max="9988" width="22.28515625" style="574" customWidth="1"/>
    <col min="9989" max="10240" width="9.140625" style="574"/>
    <col min="10241" max="10241" width="10.5703125" style="574" customWidth="1"/>
    <col min="10242" max="10242" width="78.140625" style="574" customWidth="1"/>
    <col min="10243" max="10243" width="21.140625" style="574" customWidth="1"/>
    <col min="10244" max="10244" width="22.28515625" style="574" customWidth="1"/>
    <col min="10245" max="10496" width="9.140625" style="574"/>
    <col min="10497" max="10497" width="10.5703125" style="574" customWidth="1"/>
    <col min="10498" max="10498" width="78.140625" style="574" customWidth="1"/>
    <col min="10499" max="10499" width="21.140625" style="574" customWidth="1"/>
    <col min="10500" max="10500" width="22.28515625" style="574" customWidth="1"/>
    <col min="10501" max="10752" width="9.140625" style="574"/>
    <col min="10753" max="10753" width="10.5703125" style="574" customWidth="1"/>
    <col min="10754" max="10754" width="78.140625" style="574" customWidth="1"/>
    <col min="10755" max="10755" width="21.140625" style="574" customWidth="1"/>
    <col min="10756" max="10756" width="22.28515625" style="574" customWidth="1"/>
    <col min="10757" max="11008" width="9.140625" style="574"/>
    <col min="11009" max="11009" width="10.5703125" style="574" customWidth="1"/>
    <col min="11010" max="11010" width="78.140625" style="574" customWidth="1"/>
    <col min="11011" max="11011" width="21.140625" style="574" customWidth="1"/>
    <col min="11012" max="11012" width="22.28515625" style="574" customWidth="1"/>
    <col min="11013" max="11264" width="9.140625" style="574"/>
    <col min="11265" max="11265" width="10.5703125" style="574" customWidth="1"/>
    <col min="11266" max="11266" width="78.140625" style="574" customWidth="1"/>
    <col min="11267" max="11267" width="21.140625" style="574" customWidth="1"/>
    <col min="11268" max="11268" width="22.28515625" style="574" customWidth="1"/>
    <col min="11269" max="11520" width="9.140625" style="574"/>
    <col min="11521" max="11521" width="10.5703125" style="574" customWidth="1"/>
    <col min="11522" max="11522" width="78.140625" style="574" customWidth="1"/>
    <col min="11523" max="11523" width="21.140625" style="574" customWidth="1"/>
    <col min="11524" max="11524" width="22.28515625" style="574" customWidth="1"/>
    <col min="11525" max="11776" width="9.140625" style="574"/>
    <col min="11777" max="11777" width="10.5703125" style="574" customWidth="1"/>
    <col min="11778" max="11778" width="78.140625" style="574" customWidth="1"/>
    <col min="11779" max="11779" width="21.140625" style="574" customWidth="1"/>
    <col min="11780" max="11780" width="22.28515625" style="574" customWidth="1"/>
    <col min="11781" max="12032" width="9.140625" style="574"/>
    <col min="12033" max="12033" width="10.5703125" style="574" customWidth="1"/>
    <col min="12034" max="12034" width="78.140625" style="574" customWidth="1"/>
    <col min="12035" max="12035" width="21.140625" style="574" customWidth="1"/>
    <col min="12036" max="12036" width="22.28515625" style="574" customWidth="1"/>
    <col min="12037" max="12288" width="9.140625" style="574"/>
    <col min="12289" max="12289" width="10.5703125" style="574" customWidth="1"/>
    <col min="12290" max="12290" width="78.140625" style="574" customWidth="1"/>
    <col min="12291" max="12291" width="21.140625" style="574" customWidth="1"/>
    <col min="12292" max="12292" width="22.28515625" style="574" customWidth="1"/>
    <col min="12293" max="12544" width="9.140625" style="574"/>
    <col min="12545" max="12545" width="10.5703125" style="574" customWidth="1"/>
    <col min="12546" max="12546" width="78.140625" style="574" customWidth="1"/>
    <col min="12547" max="12547" width="21.140625" style="574" customWidth="1"/>
    <col min="12548" max="12548" width="22.28515625" style="574" customWidth="1"/>
    <col min="12549" max="12800" width="9.140625" style="574"/>
    <col min="12801" max="12801" width="10.5703125" style="574" customWidth="1"/>
    <col min="12802" max="12802" width="78.140625" style="574" customWidth="1"/>
    <col min="12803" max="12803" width="21.140625" style="574" customWidth="1"/>
    <col min="12804" max="12804" width="22.28515625" style="574" customWidth="1"/>
    <col min="12805" max="13056" width="9.140625" style="574"/>
    <col min="13057" max="13057" width="10.5703125" style="574" customWidth="1"/>
    <col min="13058" max="13058" width="78.140625" style="574" customWidth="1"/>
    <col min="13059" max="13059" width="21.140625" style="574" customWidth="1"/>
    <col min="13060" max="13060" width="22.28515625" style="574" customWidth="1"/>
    <col min="13061" max="13312" width="9.140625" style="574"/>
    <col min="13313" max="13313" width="10.5703125" style="574" customWidth="1"/>
    <col min="13314" max="13314" width="78.140625" style="574" customWidth="1"/>
    <col min="13315" max="13315" width="21.140625" style="574" customWidth="1"/>
    <col min="13316" max="13316" width="22.28515625" style="574" customWidth="1"/>
    <col min="13317" max="13568" width="9.140625" style="574"/>
    <col min="13569" max="13569" width="10.5703125" style="574" customWidth="1"/>
    <col min="13570" max="13570" width="78.140625" style="574" customWidth="1"/>
    <col min="13571" max="13571" width="21.140625" style="574" customWidth="1"/>
    <col min="13572" max="13572" width="22.28515625" style="574" customWidth="1"/>
    <col min="13573" max="13824" width="9.140625" style="574"/>
    <col min="13825" max="13825" width="10.5703125" style="574" customWidth="1"/>
    <col min="13826" max="13826" width="78.140625" style="574" customWidth="1"/>
    <col min="13827" max="13827" width="21.140625" style="574" customWidth="1"/>
    <col min="13828" max="13828" width="22.28515625" style="574" customWidth="1"/>
    <col min="13829" max="14080" width="9.140625" style="574"/>
    <col min="14081" max="14081" width="10.5703125" style="574" customWidth="1"/>
    <col min="14082" max="14082" width="78.140625" style="574" customWidth="1"/>
    <col min="14083" max="14083" width="21.140625" style="574" customWidth="1"/>
    <col min="14084" max="14084" width="22.28515625" style="574" customWidth="1"/>
    <col min="14085" max="14336" width="9.140625" style="574"/>
    <col min="14337" max="14337" width="10.5703125" style="574" customWidth="1"/>
    <col min="14338" max="14338" width="78.140625" style="574" customWidth="1"/>
    <col min="14339" max="14339" width="21.140625" style="574" customWidth="1"/>
    <col min="14340" max="14340" width="22.28515625" style="574" customWidth="1"/>
    <col min="14341" max="14592" width="9.140625" style="574"/>
    <col min="14593" max="14593" width="10.5703125" style="574" customWidth="1"/>
    <col min="14594" max="14594" width="78.140625" style="574" customWidth="1"/>
    <col min="14595" max="14595" width="21.140625" style="574" customWidth="1"/>
    <col min="14596" max="14596" width="22.28515625" style="574" customWidth="1"/>
    <col min="14597" max="14848" width="9.140625" style="574"/>
    <col min="14849" max="14849" width="10.5703125" style="574" customWidth="1"/>
    <col min="14850" max="14850" width="78.140625" style="574" customWidth="1"/>
    <col min="14851" max="14851" width="21.140625" style="574" customWidth="1"/>
    <col min="14852" max="14852" width="22.28515625" style="574" customWidth="1"/>
    <col min="14853" max="15104" width="9.140625" style="574"/>
    <col min="15105" max="15105" width="10.5703125" style="574" customWidth="1"/>
    <col min="15106" max="15106" width="78.140625" style="574" customWidth="1"/>
    <col min="15107" max="15107" width="21.140625" style="574" customWidth="1"/>
    <col min="15108" max="15108" width="22.28515625" style="574" customWidth="1"/>
    <col min="15109" max="15360" width="9.140625" style="574"/>
    <col min="15361" max="15361" width="10.5703125" style="574" customWidth="1"/>
    <col min="15362" max="15362" width="78.140625" style="574" customWidth="1"/>
    <col min="15363" max="15363" width="21.140625" style="574" customWidth="1"/>
    <col min="15364" max="15364" width="22.28515625" style="574" customWidth="1"/>
    <col min="15365" max="15616" width="9.140625" style="574"/>
    <col min="15617" max="15617" width="10.5703125" style="574" customWidth="1"/>
    <col min="15618" max="15618" width="78.140625" style="574" customWidth="1"/>
    <col min="15619" max="15619" width="21.140625" style="574" customWidth="1"/>
    <col min="15620" max="15620" width="22.28515625" style="574" customWidth="1"/>
    <col min="15621" max="15872" width="9.140625" style="574"/>
    <col min="15873" max="15873" width="10.5703125" style="574" customWidth="1"/>
    <col min="15874" max="15874" width="78.140625" style="574" customWidth="1"/>
    <col min="15875" max="15875" width="21.140625" style="574" customWidth="1"/>
    <col min="15876" max="15876" width="22.28515625" style="574" customWidth="1"/>
    <col min="15877" max="16128" width="9.140625" style="574"/>
    <col min="16129" max="16129" width="10.5703125" style="574" customWidth="1"/>
    <col min="16130" max="16130" width="78.140625" style="574" customWidth="1"/>
    <col min="16131" max="16131" width="21.140625" style="574" customWidth="1"/>
    <col min="16132" max="16132" width="22.28515625" style="574" customWidth="1"/>
    <col min="16133" max="16384" width="9.140625" style="574"/>
  </cols>
  <sheetData>
    <row r="1" spans="1:4" x14ac:dyDescent="0.2">
      <c r="A1" s="574" t="s">
        <v>5549</v>
      </c>
    </row>
    <row r="2" spans="1:4" x14ac:dyDescent="0.2">
      <c r="A2" s="574" t="s">
        <v>5551</v>
      </c>
      <c r="B2" s="574" t="s">
        <v>5552</v>
      </c>
      <c r="C2" s="574" t="s">
        <v>27</v>
      </c>
      <c r="D2" s="574" t="s">
        <v>5553</v>
      </c>
    </row>
    <row r="3" spans="1:4" x14ac:dyDescent="0.2">
      <c r="A3" s="574">
        <v>41758</v>
      </c>
      <c r="B3" s="574" t="s">
        <v>13344</v>
      </c>
      <c r="C3" s="574" t="s">
        <v>5555</v>
      </c>
      <c r="D3" s="582">
        <v>139.66999999999999</v>
      </c>
    </row>
    <row r="4" spans="1:4" x14ac:dyDescent="0.2">
      <c r="A4" s="574">
        <v>1363</v>
      </c>
      <c r="B4" s="574" t="s">
        <v>13345</v>
      </c>
      <c r="C4" s="574" t="s">
        <v>5564</v>
      </c>
      <c r="D4" s="582">
        <v>15.63</v>
      </c>
    </row>
    <row r="5" spans="1:4" x14ac:dyDescent="0.2">
      <c r="A5" s="574">
        <v>1344</v>
      </c>
      <c r="B5" s="574" t="s">
        <v>13346</v>
      </c>
      <c r="C5" s="574" t="s">
        <v>5555</v>
      </c>
      <c r="D5" s="582">
        <v>37.58</v>
      </c>
    </row>
    <row r="6" spans="1:4" x14ac:dyDescent="0.2">
      <c r="A6" s="574">
        <v>1342</v>
      </c>
      <c r="B6" s="574" t="s">
        <v>13347</v>
      </c>
      <c r="C6" s="574" t="s">
        <v>5555</v>
      </c>
      <c r="D6" s="582">
        <v>66.42</v>
      </c>
    </row>
    <row r="7" spans="1:4" x14ac:dyDescent="0.2">
      <c r="A7" s="574">
        <v>1349</v>
      </c>
      <c r="B7" s="574" t="s">
        <v>13348</v>
      </c>
      <c r="C7" s="574" t="s">
        <v>5555</v>
      </c>
      <c r="D7" s="582">
        <v>94.73</v>
      </c>
    </row>
    <row r="8" spans="1:4" x14ac:dyDescent="0.2">
      <c r="A8" s="574">
        <v>1350</v>
      </c>
      <c r="B8" s="574" t="s">
        <v>13349</v>
      </c>
      <c r="C8" s="574" t="s">
        <v>5555</v>
      </c>
      <c r="D8" s="582">
        <v>43.22</v>
      </c>
    </row>
    <row r="9" spans="1:4" x14ac:dyDescent="0.2">
      <c r="A9" s="574">
        <v>1357</v>
      </c>
      <c r="B9" s="574" t="s">
        <v>13350</v>
      </c>
      <c r="C9" s="574" t="s">
        <v>5555</v>
      </c>
      <c r="D9" s="582">
        <v>55.06</v>
      </c>
    </row>
    <row r="10" spans="1:4" x14ac:dyDescent="0.2">
      <c r="A10" s="574">
        <v>1359</v>
      </c>
      <c r="B10" s="574" t="s">
        <v>13351</v>
      </c>
      <c r="C10" s="574" t="s">
        <v>5555</v>
      </c>
      <c r="D10" s="582">
        <v>85.05</v>
      </c>
    </row>
    <row r="11" spans="1:4" x14ac:dyDescent="0.2">
      <c r="A11" s="574">
        <v>1351</v>
      </c>
      <c r="B11" s="574" t="s">
        <v>13352</v>
      </c>
      <c r="C11" s="574" t="s">
        <v>5555</v>
      </c>
      <c r="D11" s="582">
        <v>27.41</v>
      </c>
    </row>
    <row r="12" spans="1:4" x14ac:dyDescent="0.2">
      <c r="A12" s="574">
        <v>3113</v>
      </c>
      <c r="B12" s="574" t="s">
        <v>13353</v>
      </c>
      <c r="C12" s="574" t="s">
        <v>7062</v>
      </c>
      <c r="D12" s="582">
        <v>60.93</v>
      </c>
    </row>
    <row r="13" spans="1:4" x14ac:dyDescent="0.2">
      <c r="A13" s="574">
        <v>2404</v>
      </c>
      <c r="B13" s="574" t="s">
        <v>5563</v>
      </c>
      <c r="C13" s="574" t="s">
        <v>5564</v>
      </c>
      <c r="D13" s="582">
        <v>84.72</v>
      </c>
    </row>
    <row r="14" spans="1:4" x14ac:dyDescent="0.2">
      <c r="A14" s="574">
        <v>2418</v>
      </c>
      <c r="B14" s="574" t="s">
        <v>13354</v>
      </c>
      <c r="C14" s="574" t="s">
        <v>5555</v>
      </c>
      <c r="D14" s="582">
        <v>9</v>
      </c>
    </row>
    <row r="15" spans="1:4" x14ac:dyDescent="0.2">
      <c r="A15" s="574">
        <v>2720</v>
      </c>
      <c r="B15" s="574" t="s">
        <v>5565</v>
      </c>
      <c r="C15" s="574" t="s">
        <v>5566</v>
      </c>
      <c r="D15" s="582">
        <v>111.8</v>
      </c>
    </row>
    <row r="16" spans="1:4" x14ac:dyDescent="0.2">
      <c r="A16" s="574">
        <v>2719</v>
      </c>
      <c r="B16" s="574" t="s">
        <v>5567</v>
      </c>
      <c r="C16" s="574" t="s">
        <v>5566</v>
      </c>
      <c r="D16" s="582">
        <v>94.73</v>
      </c>
    </row>
    <row r="17" spans="1:4" x14ac:dyDescent="0.2">
      <c r="A17" s="574">
        <v>6086</v>
      </c>
      <c r="B17" s="574" t="s">
        <v>13355</v>
      </c>
      <c r="C17" s="574" t="s">
        <v>7915</v>
      </c>
      <c r="D17" s="582">
        <v>69.39</v>
      </c>
    </row>
    <row r="18" spans="1:4" x14ac:dyDescent="0.2">
      <c r="A18" s="574">
        <v>38968</v>
      </c>
      <c r="B18" s="574" t="s">
        <v>13356</v>
      </c>
      <c r="C18" s="574" t="s">
        <v>5564</v>
      </c>
      <c r="D18" s="582">
        <v>336.94</v>
      </c>
    </row>
    <row r="19" spans="1:4" x14ac:dyDescent="0.2">
      <c r="A19" s="574">
        <v>3378</v>
      </c>
      <c r="B19" s="574" t="s">
        <v>5568</v>
      </c>
      <c r="C19" s="574" t="s">
        <v>5555</v>
      </c>
      <c r="D19" s="582">
        <v>64.95</v>
      </c>
    </row>
    <row r="20" spans="1:4" x14ac:dyDescent="0.2">
      <c r="A20" s="574">
        <v>3380</v>
      </c>
      <c r="B20" s="574" t="s">
        <v>5569</v>
      </c>
      <c r="C20" s="574" t="s">
        <v>5555</v>
      </c>
      <c r="D20" s="582">
        <v>45.47</v>
      </c>
    </row>
    <row r="21" spans="1:4" x14ac:dyDescent="0.2">
      <c r="A21" s="574">
        <v>3379</v>
      </c>
      <c r="B21" s="574" t="s">
        <v>5570</v>
      </c>
      <c r="C21" s="574" t="s">
        <v>5555</v>
      </c>
      <c r="D21" s="582">
        <v>43.9</v>
      </c>
    </row>
    <row r="22" spans="1:4" x14ac:dyDescent="0.2">
      <c r="A22" s="574">
        <v>615</v>
      </c>
      <c r="B22" s="574" t="s">
        <v>13357</v>
      </c>
      <c r="C22" s="574" t="s">
        <v>5564</v>
      </c>
      <c r="D22" s="582">
        <v>398.39</v>
      </c>
    </row>
    <row r="23" spans="1:4" x14ac:dyDescent="0.2">
      <c r="A23" s="574">
        <v>606</v>
      </c>
      <c r="B23" s="574" t="s">
        <v>13358</v>
      </c>
      <c r="C23" s="574" t="s">
        <v>5564</v>
      </c>
      <c r="D23" s="582">
        <v>625.83000000000004</v>
      </c>
    </row>
    <row r="24" spans="1:4" x14ac:dyDescent="0.2">
      <c r="A24" s="574">
        <v>11193</v>
      </c>
      <c r="B24" s="574" t="s">
        <v>13359</v>
      </c>
      <c r="C24" s="574" t="s">
        <v>5564</v>
      </c>
      <c r="D24" s="582">
        <v>634.53</v>
      </c>
    </row>
    <row r="25" spans="1:4" x14ac:dyDescent="0.2">
      <c r="A25" s="574">
        <v>11197</v>
      </c>
      <c r="B25" s="574" t="s">
        <v>13360</v>
      </c>
      <c r="C25" s="574" t="s">
        <v>5555</v>
      </c>
      <c r="D25" s="582">
        <v>868.99</v>
      </c>
    </row>
    <row r="26" spans="1:4" x14ac:dyDescent="0.2">
      <c r="A26" s="574">
        <v>3346</v>
      </c>
      <c r="B26" s="574" t="s">
        <v>11244</v>
      </c>
      <c r="C26" s="574" t="s">
        <v>5566</v>
      </c>
      <c r="D26" s="582">
        <v>13.5</v>
      </c>
    </row>
    <row r="27" spans="1:4" x14ac:dyDescent="0.2">
      <c r="A27" s="574">
        <v>3348</v>
      </c>
      <c r="B27" s="574" t="s">
        <v>11245</v>
      </c>
      <c r="C27" s="574" t="s">
        <v>5566</v>
      </c>
      <c r="D27" s="582">
        <v>16.149999999999999</v>
      </c>
    </row>
    <row r="28" spans="1:4" x14ac:dyDescent="0.2">
      <c r="A28" s="574">
        <v>3345</v>
      </c>
      <c r="B28" s="574" t="s">
        <v>11246</v>
      </c>
      <c r="C28" s="574" t="s">
        <v>5566</v>
      </c>
      <c r="D28" s="582">
        <v>10.43</v>
      </c>
    </row>
    <row r="29" spans="1:4" x14ac:dyDescent="0.2">
      <c r="A29" s="574">
        <v>39833</v>
      </c>
      <c r="B29" s="574" t="s">
        <v>11247</v>
      </c>
      <c r="C29" s="574" t="s">
        <v>5566</v>
      </c>
      <c r="D29" s="582">
        <v>22.12</v>
      </c>
    </row>
    <row r="30" spans="1:4" x14ac:dyDescent="0.2">
      <c r="A30" s="574">
        <v>39834</v>
      </c>
      <c r="B30" s="574" t="s">
        <v>11248</v>
      </c>
      <c r="C30" s="574" t="s">
        <v>5566</v>
      </c>
      <c r="D30" s="582">
        <v>37.96</v>
      </c>
    </row>
    <row r="31" spans="1:4" x14ac:dyDescent="0.2">
      <c r="A31" s="574">
        <v>39835</v>
      </c>
      <c r="B31" s="574" t="s">
        <v>11249</v>
      </c>
      <c r="C31" s="574" t="s">
        <v>5566</v>
      </c>
      <c r="D31" s="582">
        <v>46.28</v>
      </c>
    </row>
    <row r="32" spans="1:4" x14ac:dyDescent="0.2">
      <c r="A32" s="574">
        <v>3779</v>
      </c>
      <c r="B32" s="574" t="s">
        <v>13361</v>
      </c>
      <c r="C32" s="574" t="s">
        <v>5575</v>
      </c>
      <c r="D32" s="582">
        <v>11.91</v>
      </c>
    </row>
    <row r="33" spans="1:4" x14ac:dyDescent="0.2">
      <c r="A33" s="574">
        <v>13382</v>
      </c>
      <c r="B33" s="574" t="s">
        <v>5571</v>
      </c>
      <c r="C33" s="574" t="s">
        <v>5555</v>
      </c>
      <c r="D33" s="582">
        <v>252.04</v>
      </c>
    </row>
    <row r="34" spans="1:4" x14ac:dyDescent="0.2">
      <c r="A34" s="574">
        <v>4051</v>
      </c>
      <c r="B34" s="574" t="s">
        <v>13362</v>
      </c>
      <c r="C34" s="574" t="s">
        <v>5740</v>
      </c>
      <c r="D34" s="582">
        <v>70.2</v>
      </c>
    </row>
    <row r="35" spans="1:4" x14ac:dyDescent="0.2">
      <c r="A35" s="574">
        <v>4047</v>
      </c>
      <c r="B35" s="574" t="s">
        <v>13362</v>
      </c>
      <c r="C35" s="574" t="s">
        <v>7915</v>
      </c>
      <c r="D35" s="582">
        <v>14.04</v>
      </c>
    </row>
    <row r="36" spans="1:4" x14ac:dyDescent="0.2">
      <c r="A36" s="574">
        <v>11367</v>
      </c>
      <c r="B36" s="574" t="s">
        <v>13363</v>
      </c>
      <c r="C36" s="574" t="s">
        <v>5564</v>
      </c>
      <c r="D36" s="582">
        <v>71.209999999999994</v>
      </c>
    </row>
    <row r="37" spans="1:4" x14ac:dyDescent="0.2">
      <c r="A37" s="574">
        <v>11523</v>
      </c>
      <c r="B37" s="574" t="s">
        <v>13364</v>
      </c>
      <c r="C37" s="574" t="s">
        <v>5555</v>
      </c>
      <c r="D37" s="582">
        <v>13.17</v>
      </c>
    </row>
    <row r="38" spans="1:4" x14ac:dyDescent="0.2">
      <c r="A38" s="574">
        <v>6204</v>
      </c>
      <c r="B38" s="574" t="s">
        <v>13365</v>
      </c>
      <c r="C38" s="574" t="s">
        <v>5575</v>
      </c>
      <c r="D38" s="582">
        <v>8.32</v>
      </c>
    </row>
    <row r="39" spans="1:4" x14ac:dyDescent="0.2">
      <c r="A39" s="574">
        <v>6188</v>
      </c>
      <c r="B39" s="574" t="s">
        <v>13366</v>
      </c>
      <c r="C39" s="574" t="s">
        <v>5564</v>
      </c>
      <c r="D39" s="582">
        <v>19.989999999999998</v>
      </c>
    </row>
    <row r="40" spans="1:4" x14ac:dyDescent="0.2">
      <c r="A40" s="574">
        <v>4126</v>
      </c>
      <c r="B40" s="574" t="s">
        <v>5572</v>
      </c>
      <c r="C40" s="574" t="s">
        <v>5555</v>
      </c>
      <c r="D40" s="582">
        <v>201.22</v>
      </c>
    </row>
    <row r="41" spans="1:4" x14ac:dyDescent="0.2">
      <c r="A41" s="574">
        <v>7287</v>
      </c>
      <c r="B41" s="574" t="s">
        <v>13367</v>
      </c>
      <c r="C41" s="574" t="s">
        <v>7915</v>
      </c>
      <c r="D41" s="582">
        <v>72.5</v>
      </c>
    </row>
    <row r="42" spans="1:4" x14ac:dyDescent="0.2">
      <c r="A42" s="574">
        <v>7347</v>
      </c>
      <c r="B42" s="574" t="s">
        <v>13368</v>
      </c>
      <c r="C42" s="574" t="s">
        <v>7915</v>
      </c>
      <c r="D42" s="582">
        <v>57.5</v>
      </c>
    </row>
    <row r="43" spans="1:4" x14ac:dyDescent="0.2">
      <c r="A43" s="574">
        <v>7345</v>
      </c>
      <c r="B43" s="574" t="s">
        <v>13369</v>
      </c>
      <c r="C43" s="574" t="s">
        <v>5628</v>
      </c>
      <c r="D43" s="582">
        <v>20.69</v>
      </c>
    </row>
    <row r="44" spans="1:4" x14ac:dyDescent="0.2">
      <c r="A44" s="574">
        <v>7344</v>
      </c>
      <c r="B44" s="574" t="s">
        <v>13369</v>
      </c>
      <c r="C44" s="574" t="s">
        <v>7915</v>
      </c>
      <c r="D44" s="582">
        <v>74.5</v>
      </c>
    </row>
    <row r="45" spans="1:4" x14ac:dyDescent="0.2">
      <c r="A45" s="574">
        <v>40514</v>
      </c>
      <c r="B45" s="574" t="s">
        <v>13370</v>
      </c>
      <c r="C45" s="574" t="s">
        <v>5628</v>
      </c>
      <c r="D45" s="582">
        <v>24.09</v>
      </c>
    </row>
    <row r="46" spans="1:4" x14ac:dyDescent="0.2">
      <c r="A46" s="574">
        <v>4487</v>
      </c>
      <c r="B46" s="574" t="s">
        <v>13371</v>
      </c>
      <c r="C46" s="574" t="s">
        <v>5575</v>
      </c>
      <c r="D46" s="582">
        <v>10.52</v>
      </c>
    </row>
    <row r="47" spans="1:4" x14ac:dyDescent="0.2">
      <c r="A47" s="574">
        <v>11199</v>
      </c>
      <c r="B47" s="574" t="s">
        <v>13372</v>
      </c>
      <c r="C47" s="574" t="s">
        <v>5555</v>
      </c>
      <c r="D47" s="582">
        <v>898.01</v>
      </c>
    </row>
    <row r="48" spans="1:4" x14ac:dyDescent="0.2">
      <c r="A48" s="574">
        <v>4053</v>
      </c>
      <c r="B48" s="574" t="s">
        <v>13373</v>
      </c>
      <c r="C48" s="574" t="s">
        <v>7915</v>
      </c>
      <c r="D48" s="582">
        <v>53.48</v>
      </c>
    </row>
    <row r="49" spans="1:4" x14ac:dyDescent="0.2">
      <c r="A49" s="574">
        <v>4056</v>
      </c>
      <c r="B49" s="574" t="s">
        <v>13374</v>
      </c>
      <c r="C49" s="574" t="s">
        <v>7915</v>
      </c>
      <c r="D49" s="582">
        <v>28.12</v>
      </c>
    </row>
    <row r="50" spans="1:4" x14ac:dyDescent="0.2">
      <c r="A50" s="574">
        <v>21136</v>
      </c>
      <c r="B50" s="574" t="s">
        <v>5574</v>
      </c>
      <c r="C50" s="574" t="s">
        <v>5575</v>
      </c>
      <c r="D50" s="582">
        <v>11.95</v>
      </c>
    </row>
    <row r="51" spans="1:4" x14ac:dyDescent="0.2">
      <c r="A51" s="574">
        <v>21128</v>
      </c>
      <c r="B51" s="574" t="s">
        <v>5576</v>
      </c>
      <c r="C51" s="574" t="s">
        <v>5575</v>
      </c>
      <c r="D51" s="582">
        <v>9.25</v>
      </c>
    </row>
    <row r="52" spans="1:4" x14ac:dyDescent="0.2">
      <c r="A52" s="574">
        <v>21130</v>
      </c>
      <c r="B52" s="574" t="s">
        <v>5577</v>
      </c>
      <c r="C52" s="574" t="s">
        <v>5575</v>
      </c>
      <c r="D52" s="582">
        <v>23.36</v>
      </c>
    </row>
    <row r="53" spans="1:4" x14ac:dyDescent="0.2">
      <c r="A53" s="574">
        <v>21135</v>
      </c>
      <c r="B53" s="574" t="s">
        <v>5578</v>
      </c>
      <c r="C53" s="574" t="s">
        <v>5575</v>
      </c>
      <c r="D53" s="582">
        <v>23</v>
      </c>
    </row>
    <row r="54" spans="1:4" x14ac:dyDescent="0.2">
      <c r="A54" s="574">
        <v>38605</v>
      </c>
      <c r="B54" s="574" t="s">
        <v>5579</v>
      </c>
      <c r="C54" s="574" t="s">
        <v>5555</v>
      </c>
      <c r="D54" s="582">
        <v>138.21</v>
      </c>
    </row>
    <row r="55" spans="1:4" x14ac:dyDescent="0.2">
      <c r="A55" s="574">
        <v>11270</v>
      </c>
      <c r="B55" s="574" t="s">
        <v>5580</v>
      </c>
      <c r="C55" s="574" t="s">
        <v>5555</v>
      </c>
      <c r="D55" s="582">
        <v>1.59</v>
      </c>
    </row>
    <row r="56" spans="1:4" x14ac:dyDescent="0.2">
      <c r="A56" s="574">
        <v>412</v>
      </c>
      <c r="B56" s="574" t="s">
        <v>5581</v>
      </c>
      <c r="C56" s="574" t="s">
        <v>5555</v>
      </c>
      <c r="D56" s="582">
        <v>0.77</v>
      </c>
    </row>
    <row r="57" spans="1:4" x14ac:dyDescent="0.2">
      <c r="A57" s="574">
        <v>414</v>
      </c>
      <c r="B57" s="574" t="s">
        <v>5582</v>
      </c>
      <c r="C57" s="574" t="s">
        <v>5555</v>
      </c>
      <c r="D57" s="582">
        <v>0.04</v>
      </c>
    </row>
    <row r="58" spans="1:4" x14ac:dyDescent="0.2">
      <c r="A58" s="574">
        <v>410</v>
      </c>
      <c r="B58" s="574" t="s">
        <v>5583</v>
      </c>
      <c r="C58" s="574" t="s">
        <v>5555</v>
      </c>
      <c r="D58" s="582">
        <v>0.11</v>
      </c>
    </row>
    <row r="59" spans="1:4" x14ac:dyDescent="0.2">
      <c r="A59" s="574">
        <v>411</v>
      </c>
      <c r="B59" s="574" t="s">
        <v>5584</v>
      </c>
      <c r="C59" s="574" t="s">
        <v>5555</v>
      </c>
      <c r="D59" s="582">
        <v>0.15</v>
      </c>
    </row>
    <row r="60" spans="1:4" x14ac:dyDescent="0.2">
      <c r="A60" s="574">
        <v>408</v>
      </c>
      <c r="B60" s="574" t="s">
        <v>5585</v>
      </c>
      <c r="C60" s="574" t="s">
        <v>5555</v>
      </c>
      <c r="D60" s="582">
        <v>0.74</v>
      </c>
    </row>
    <row r="61" spans="1:4" x14ac:dyDescent="0.2">
      <c r="A61" s="574">
        <v>39131</v>
      </c>
      <c r="B61" s="574" t="s">
        <v>5586</v>
      </c>
      <c r="C61" s="574" t="s">
        <v>5555</v>
      </c>
      <c r="D61" s="582">
        <v>4.25</v>
      </c>
    </row>
    <row r="62" spans="1:4" x14ac:dyDescent="0.2">
      <c r="A62" s="574">
        <v>394</v>
      </c>
      <c r="B62" s="574" t="s">
        <v>5587</v>
      </c>
      <c r="C62" s="574" t="s">
        <v>5555</v>
      </c>
      <c r="D62" s="582">
        <v>4.3</v>
      </c>
    </row>
    <row r="63" spans="1:4" x14ac:dyDescent="0.2">
      <c r="A63" s="574">
        <v>39130</v>
      </c>
      <c r="B63" s="574" t="s">
        <v>5588</v>
      </c>
      <c r="C63" s="574" t="s">
        <v>5555</v>
      </c>
      <c r="D63" s="582">
        <v>3.88</v>
      </c>
    </row>
    <row r="64" spans="1:4" x14ac:dyDescent="0.2">
      <c r="A64" s="574">
        <v>395</v>
      </c>
      <c r="B64" s="574" t="s">
        <v>5589</v>
      </c>
      <c r="C64" s="574" t="s">
        <v>5555</v>
      </c>
      <c r="D64" s="582">
        <v>4.1399999999999997</v>
      </c>
    </row>
    <row r="65" spans="1:4" x14ac:dyDescent="0.2">
      <c r="A65" s="574">
        <v>39127</v>
      </c>
      <c r="B65" s="574" t="s">
        <v>5590</v>
      </c>
      <c r="C65" s="574" t="s">
        <v>5555</v>
      </c>
      <c r="D65" s="582">
        <v>2.04</v>
      </c>
    </row>
    <row r="66" spans="1:4" x14ac:dyDescent="0.2">
      <c r="A66" s="574">
        <v>392</v>
      </c>
      <c r="B66" s="574" t="s">
        <v>5591</v>
      </c>
      <c r="C66" s="574" t="s">
        <v>5555</v>
      </c>
      <c r="D66" s="582">
        <v>2.1</v>
      </c>
    </row>
    <row r="67" spans="1:4" x14ac:dyDescent="0.2">
      <c r="A67" s="574">
        <v>39129</v>
      </c>
      <c r="B67" s="574" t="s">
        <v>5592</v>
      </c>
      <c r="C67" s="574" t="s">
        <v>5555</v>
      </c>
      <c r="D67" s="582">
        <v>2.39</v>
      </c>
    </row>
    <row r="68" spans="1:4" x14ac:dyDescent="0.2">
      <c r="A68" s="574">
        <v>393</v>
      </c>
      <c r="B68" s="574" t="s">
        <v>5593</v>
      </c>
      <c r="C68" s="574" t="s">
        <v>5555</v>
      </c>
      <c r="D68" s="582">
        <v>2.5</v>
      </c>
    </row>
    <row r="69" spans="1:4" x14ac:dyDescent="0.2">
      <c r="A69" s="574">
        <v>39133</v>
      </c>
      <c r="B69" s="574" t="s">
        <v>5594</v>
      </c>
      <c r="C69" s="574" t="s">
        <v>5555</v>
      </c>
      <c r="D69" s="582">
        <v>5.58</v>
      </c>
    </row>
    <row r="70" spans="1:4" x14ac:dyDescent="0.2">
      <c r="A70" s="574">
        <v>397</v>
      </c>
      <c r="B70" s="574" t="s">
        <v>5595</v>
      </c>
      <c r="C70" s="574" t="s">
        <v>5555</v>
      </c>
      <c r="D70" s="582">
        <v>6.17</v>
      </c>
    </row>
    <row r="71" spans="1:4" x14ac:dyDescent="0.2">
      <c r="A71" s="574">
        <v>39132</v>
      </c>
      <c r="B71" s="574" t="s">
        <v>5596</v>
      </c>
      <c r="C71" s="574" t="s">
        <v>5555</v>
      </c>
      <c r="D71" s="582">
        <v>4.46</v>
      </c>
    </row>
    <row r="72" spans="1:4" x14ac:dyDescent="0.2">
      <c r="A72" s="574">
        <v>396</v>
      </c>
      <c r="B72" s="574" t="s">
        <v>5597</v>
      </c>
      <c r="C72" s="574" t="s">
        <v>5555</v>
      </c>
      <c r="D72" s="582">
        <v>4.78</v>
      </c>
    </row>
    <row r="73" spans="1:4" x14ac:dyDescent="0.2">
      <c r="A73" s="574">
        <v>39135</v>
      </c>
      <c r="B73" s="574" t="s">
        <v>5598</v>
      </c>
      <c r="C73" s="574" t="s">
        <v>5555</v>
      </c>
      <c r="D73" s="582">
        <v>8.93</v>
      </c>
    </row>
    <row r="74" spans="1:4" x14ac:dyDescent="0.2">
      <c r="A74" s="574">
        <v>39128</v>
      </c>
      <c r="B74" s="574" t="s">
        <v>5599</v>
      </c>
      <c r="C74" s="574" t="s">
        <v>5555</v>
      </c>
      <c r="D74" s="582">
        <v>2.23</v>
      </c>
    </row>
    <row r="75" spans="1:4" x14ac:dyDescent="0.2">
      <c r="A75" s="574">
        <v>400</v>
      </c>
      <c r="B75" s="574" t="s">
        <v>5600</v>
      </c>
      <c r="C75" s="574" t="s">
        <v>5555</v>
      </c>
      <c r="D75" s="582">
        <v>2.1800000000000002</v>
      </c>
    </row>
    <row r="76" spans="1:4" x14ac:dyDescent="0.2">
      <c r="A76" s="574">
        <v>39125</v>
      </c>
      <c r="B76" s="574" t="s">
        <v>5601</v>
      </c>
      <c r="C76" s="574" t="s">
        <v>5555</v>
      </c>
      <c r="D76" s="582">
        <v>2.23</v>
      </c>
    </row>
    <row r="77" spans="1:4" x14ac:dyDescent="0.2">
      <c r="A77" s="574">
        <v>39134</v>
      </c>
      <c r="B77" s="574" t="s">
        <v>5602</v>
      </c>
      <c r="C77" s="574" t="s">
        <v>5555</v>
      </c>
      <c r="D77" s="582">
        <v>7.44</v>
      </c>
    </row>
    <row r="78" spans="1:4" x14ac:dyDescent="0.2">
      <c r="A78" s="574">
        <v>398</v>
      </c>
      <c r="B78" s="574" t="s">
        <v>5603</v>
      </c>
      <c r="C78" s="574" t="s">
        <v>5555</v>
      </c>
      <c r="D78" s="582">
        <v>6.86</v>
      </c>
    </row>
    <row r="79" spans="1:4" x14ac:dyDescent="0.2">
      <c r="A79" s="574">
        <v>39126</v>
      </c>
      <c r="B79" s="574" t="s">
        <v>5604</v>
      </c>
      <c r="C79" s="574" t="s">
        <v>5555</v>
      </c>
      <c r="D79" s="582">
        <v>10.050000000000001</v>
      </c>
    </row>
    <row r="80" spans="1:4" x14ac:dyDescent="0.2">
      <c r="A80" s="574">
        <v>399</v>
      </c>
      <c r="B80" s="574" t="s">
        <v>5605</v>
      </c>
      <c r="C80" s="574" t="s">
        <v>5555</v>
      </c>
      <c r="D80" s="582">
        <v>8.85</v>
      </c>
    </row>
    <row r="81" spans="1:4" x14ac:dyDescent="0.2">
      <c r="A81" s="574">
        <v>39158</v>
      </c>
      <c r="B81" s="574" t="s">
        <v>5606</v>
      </c>
      <c r="C81" s="574" t="s">
        <v>5555</v>
      </c>
      <c r="D81" s="582">
        <v>23.77</v>
      </c>
    </row>
    <row r="82" spans="1:4" x14ac:dyDescent="0.2">
      <c r="A82" s="574">
        <v>39141</v>
      </c>
      <c r="B82" s="574" t="s">
        <v>5607</v>
      </c>
      <c r="C82" s="574" t="s">
        <v>5555</v>
      </c>
      <c r="D82" s="582">
        <v>1.72</v>
      </c>
    </row>
    <row r="83" spans="1:4" x14ac:dyDescent="0.2">
      <c r="A83" s="574">
        <v>39140</v>
      </c>
      <c r="B83" s="574" t="s">
        <v>5608</v>
      </c>
      <c r="C83" s="574" t="s">
        <v>5555</v>
      </c>
      <c r="D83" s="582">
        <v>1.56</v>
      </c>
    </row>
    <row r="84" spans="1:4" x14ac:dyDescent="0.2">
      <c r="A84" s="574">
        <v>39137</v>
      </c>
      <c r="B84" s="574" t="s">
        <v>5609</v>
      </c>
      <c r="C84" s="574" t="s">
        <v>5555</v>
      </c>
      <c r="D84" s="582">
        <v>0.9</v>
      </c>
    </row>
    <row r="85" spans="1:4" x14ac:dyDescent="0.2">
      <c r="A85" s="574">
        <v>39139</v>
      </c>
      <c r="B85" s="574" t="s">
        <v>5610</v>
      </c>
      <c r="C85" s="574" t="s">
        <v>5555</v>
      </c>
      <c r="D85" s="582">
        <v>1.3</v>
      </c>
    </row>
    <row r="86" spans="1:4" x14ac:dyDescent="0.2">
      <c r="A86" s="574">
        <v>39143</v>
      </c>
      <c r="B86" s="574" t="s">
        <v>5611</v>
      </c>
      <c r="C86" s="574" t="s">
        <v>5555</v>
      </c>
      <c r="D86" s="582">
        <v>3.56</v>
      </c>
    </row>
    <row r="87" spans="1:4" x14ac:dyDescent="0.2">
      <c r="A87" s="574">
        <v>39142</v>
      </c>
      <c r="B87" s="574" t="s">
        <v>5612</v>
      </c>
      <c r="C87" s="574" t="s">
        <v>5555</v>
      </c>
      <c r="D87" s="582">
        <v>2.5499999999999998</v>
      </c>
    </row>
    <row r="88" spans="1:4" x14ac:dyDescent="0.2">
      <c r="A88" s="574">
        <v>39138</v>
      </c>
      <c r="B88" s="574" t="s">
        <v>5613</v>
      </c>
      <c r="C88" s="574" t="s">
        <v>5555</v>
      </c>
      <c r="D88" s="582">
        <v>0.95</v>
      </c>
    </row>
    <row r="89" spans="1:4" x14ac:dyDescent="0.2">
      <c r="A89" s="574">
        <v>39136</v>
      </c>
      <c r="B89" s="574" t="s">
        <v>5614</v>
      </c>
      <c r="C89" s="574" t="s">
        <v>5555</v>
      </c>
      <c r="D89" s="582">
        <v>0.63</v>
      </c>
    </row>
    <row r="90" spans="1:4" x14ac:dyDescent="0.2">
      <c r="A90" s="574">
        <v>39144</v>
      </c>
      <c r="B90" s="574" t="s">
        <v>5615</v>
      </c>
      <c r="C90" s="574" t="s">
        <v>5555</v>
      </c>
      <c r="D90" s="582">
        <v>4.1399999999999997</v>
      </c>
    </row>
    <row r="91" spans="1:4" x14ac:dyDescent="0.2">
      <c r="A91" s="574">
        <v>39145</v>
      </c>
      <c r="B91" s="574" t="s">
        <v>5616</v>
      </c>
      <c r="C91" s="574" t="s">
        <v>5555</v>
      </c>
      <c r="D91" s="582">
        <v>6.83</v>
      </c>
    </row>
    <row r="92" spans="1:4" x14ac:dyDescent="0.2">
      <c r="A92" s="574">
        <v>12615</v>
      </c>
      <c r="B92" s="574" t="s">
        <v>5617</v>
      </c>
      <c r="C92" s="574" t="s">
        <v>5555</v>
      </c>
      <c r="D92" s="582">
        <v>3.32</v>
      </c>
    </row>
    <row r="93" spans="1:4" x14ac:dyDescent="0.2">
      <c r="A93" s="574">
        <v>11927</v>
      </c>
      <c r="B93" s="574" t="s">
        <v>5618</v>
      </c>
      <c r="C93" s="574" t="s">
        <v>5555</v>
      </c>
      <c r="D93" s="582">
        <v>4.76</v>
      </c>
    </row>
    <row r="94" spans="1:4" x14ac:dyDescent="0.2">
      <c r="A94" s="574">
        <v>11928</v>
      </c>
      <c r="B94" s="574" t="s">
        <v>5619</v>
      </c>
      <c r="C94" s="574" t="s">
        <v>5555</v>
      </c>
      <c r="D94" s="582">
        <v>5.45</v>
      </c>
    </row>
    <row r="95" spans="1:4" x14ac:dyDescent="0.2">
      <c r="A95" s="574">
        <v>11929</v>
      </c>
      <c r="B95" s="574" t="s">
        <v>5620</v>
      </c>
      <c r="C95" s="574" t="s">
        <v>5555</v>
      </c>
      <c r="D95" s="582">
        <v>8.44</v>
      </c>
    </row>
    <row r="96" spans="1:4" x14ac:dyDescent="0.2">
      <c r="A96" s="574">
        <v>36801</v>
      </c>
      <c r="B96" s="574" t="s">
        <v>5621</v>
      </c>
      <c r="C96" s="574" t="s">
        <v>5555</v>
      </c>
      <c r="D96" s="582">
        <v>19.97</v>
      </c>
    </row>
    <row r="97" spans="1:4" x14ac:dyDescent="0.2">
      <c r="A97" s="574">
        <v>36246</v>
      </c>
      <c r="B97" s="574" t="s">
        <v>5622</v>
      </c>
      <c r="C97" s="574" t="s">
        <v>5575</v>
      </c>
      <c r="D97" s="582">
        <v>2.4500000000000002</v>
      </c>
    </row>
    <row r="98" spans="1:4" x14ac:dyDescent="0.2">
      <c r="A98" s="574">
        <v>37600</v>
      </c>
      <c r="B98" s="574" t="s">
        <v>5623</v>
      </c>
      <c r="C98" s="574" t="s">
        <v>5555</v>
      </c>
      <c r="D98" s="582">
        <v>62.83</v>
      </c>
    </row>
    <row r="99" spans="1:4" x14ac:dyDescent="0.2">
      <c r="A99" s="574">
        <v>37599</v>
      </c>
      <c r="B99" s="574" t="s">
        <v>5624</v>
      </c>
      <c r="C99" s="574" t="s">
        <v>5555</v>
      </c>
      <c r="D99" s="582">
        <v>58.48</v>
      </c>
    </row>
    <row r="100" spans="1:4" x14ac:dyDescent="0.2">
      <c r="A100" s="574">
        <v>1</v>
      </c>
      <c r="B100" s="574" t="s">
        <v>5625</v>
      </c>
      <c r="C100" s="574" t="s">
        <v>5626</v>
      </c>
      <c r="D100" s="582">
        <v>44.73</v>
      </c>
    </row>
    <row r="101" spans="1:4" x14ac:dyDescent="0.2">
      <c r="A101" s="574">
        <v>3</v>
      </c>
      <c r="B101" s="574" t="s">
        <v>5627</v>
      </c>
      <c r="C101" s="574" t="s">
        <v>5628</v>
      </c>
      <c r="D101" s="582">
        <v>5.03</v>
      </c>
    </row>
    <row r="102" spans="1:4" x14ac:dyDescent="0.2">
      <c r="A102" s="574">
        <v>43054</v>
      </c>
      <c r="B102" s="574" t="s">
        <v>13375</v>
      </c>
      <c r="C102" s="574" t="s">
        <v>5626</v>
      </c>
      <c r="D102" s="582">
        <v>6.7</v>
      </c>
    </row>
    <row r="103" spans="1:4" x14ac:dyDescent="0.2">
      <c r="A103" s="574">
        <v>42402</v>
      </c>
      <c r="B103" s="574" t="s">
        <v>13376</v>
      </c>
      <c r="C103" s="574" t="s">
        <v>5626</v>
      </c>
      <c r="D103" s="582">
        <v>6.4</v>
      </c>
    </row>
    <row r="104" spans="1:4" x14ac:dyDescent="0.2">
      <c r="A104" s="574">
        <v>42403</v>
      </c>
      <c r="B104" s="574" t="s">
        <v>13377</v>
      </c>
      <c r="C104" s="574" t="s">
        <v>5626</v>
      </c>
      <c r="D104" s="582">
        <v>8.2100000000000009</v>
      </c>
    </row>
    <row r="105" spans="1:4" x14ac:dyDescent="0.2">
      <c r="A105" s="574">
        <v>42404</v>
      </c>
      <c r="B105" s="574" t="s">
        <v>13378</v>
      </c>
      <c r="C105" s="574" t="s">
        <v>5626</v>
      </c>
      <c r="D105" s="582">
        <v>8.16</v>
      </c>
    </row>
    <row r="106" spans="1:4" x14ac:dyDescent="0.2">
      <c r="A106" s="574">
        <v>42405</v>
      </c>
      <c r="B106" s="574" t="s">
        <v>13379</v>
      </c>
      <c r="C106" s="574" t="s">
        <v>5626</v>
      </c>
      <c r="D106" s="582">
        <v>8.6999999999999993</v>
      </c>
    </row>
    <row r="107" spans="1:4" x14ac:dyDescent="0.2">
      <c r="A107" s="574">
        <v>34341</v>
      </c>
      <c r="B107" s="574" t="s">
        <v>5635</v>
      </c>
      <c r="C107" s="574" t="s">
        <v>5626</v>
      </c>
      <c r="D107" s="582">
        <v>7.55</v>
      </c>
    </row>
    <row r="108" spans="1:4" x14ac:dyDescent="0.2">
      <c r="A108" s="574">
        <v>43053</v>
      </c>
      <c r="B108" s="574" t="s">
        <v>13380</v>
      </c>
      <c r="C108" s="574" t="s">
        <v>5626</v>
      </c>
      <c r="D108" s="582">
        <v>5.98</v>
      </c>
    </row>
    <row r="109" spans="1:4" x14ac:dyDescent="0.2">
      <c r="A109" s="574">
        <v>43058</v>
      </c>
      <c r="B109" s="574" t="s">
        <v>13381</v>
      </c>
      <c r="C109" s="574" t="s">
        <v>5626</v>
      </c>
      <c r="D109" s="582">
        <v>6.2</v>
      </c>
    </row>
    <row r="110" spans="1:4" x14ac:dyDescent="0.2">
      <c r="A110" s="574">
        <v>34</v>
      </c>
      <c r="B110" s="574" t="s">
        <v>5639</v>
      </c>
      <c r="C110" s="574" t="s">
        <v>5626</v>
      </c>
      <c r="D110" s="582">
        <v>6.23</v>
      </c>
    </row>
    <row r="111" spans="1:4" x14ac:dyDescent="0.2">
      <c r="A111" s="574">
        <v>43055</v>
      </c>
      <c r="B111" s="574" t="s">
        <v>13382</v>
      </c>
      <c r="C111" s="574" t="s">
        <v>5626</v>
      </c>
      <c r="D111" s="582">
        <v>5.4</v>
      </c>
    </row>
    <row r="112" spans="1:4" x14ac:dyDescent="0.2">
      <c r="A112" s="574">
        <v>43056</v>
      </c>
      <c r="B112" s="574" t="s">
        <v>13383</v>
      </c>
      <c r="C112" s="574" t="s">
        <v>5626</v>
      </c>
      <c r="D112" s="582">
        <v>6.22</v>
      </c>
    </row>
    <row r="113" spans="1:4" x14ac:dyDescent="0.2">
      <c r="A113" s="574">
        <v>43057</v>
      </c>
      <c r="B113" s="574" t="s">
        <v>13384</v>
      </c>
      <c r="C113" s="574" t="s">
        <v>5626</v>
      </c>
      <c r="D113" s="582">
        <v>6.84</v>
      </c>
    </row>
    <row r="114" spans="1:4" x14ac:dyDescent="0.2">
      <c r="A114" s="574">
        <v>34449</v>
      </c>
      <c r="B114" s="574" t="s">
        <v>5647</v>
      </c>
      <c r="C114" s="574" t="s">
        <v>5626</v>
      </c>
      <c r="D114" s="582">
        <v>7.31</v>
      </c>
    </row>
    <row r="115" spans="1:4" x14ac:dyDescent="0.2">
      <c r="A115" s="574">
        <v>32</v>
      </c>
      <c r="B115" s="574" t="s">
        <v>5648</v>
      </c>
      <c r="C115" s="574" t="s">
        <v>5626</v>
      </c>
      <c r="D115" s="582">
        <v>6.57</v>
      </c>
    </row>
    <row r="116" spans="1:4" x14ac:dyDescent="0.2">
      <c r="A116" s="574">
        <v>33</v>
      </c>
      <c r="B116" s="574" t="s">
        <v>5649</v>
      </c>
      <c r="C116" s="574" t="s">
        <v>5626</v>
      </c>
      <c r="D116" s="582">
        <v>6.61</v>
      </c>
    </row>
    <row r="117" spans="1:4" x14ac:dyDescent="0.2">
      <c r="A117" s="574">
        <v>43061</v>
      </c>
      <c r="B117" s="574" t="s">
        <v>13385</v>
      </c>
      <c r="C117" s="574" t="s">
        <v>5626</v>
      </c>
      <c r="D117" s="582">
        <v>6.18</v>
      </c>
    </row>
    <row r="118" spans="1:4" x14ac:dyDescent="0.2">
      <c r="A118" s="574">
        <v>43059</v>
      </c>
      <c r="B118" s="574" t="s">
        <v>13386</v>
      </c>
      <c r="C118" s="574" t="s">
        <v>5626</v>
      </c>
      <c r="D118" s="582">
        <v>5.9</v>
      </c>
    </row>
    <row r="119" spans="1:4" x14ac:dyDescent="0.2">
      <c r="A119" s="574">
        <v>43062</v>
      </c>
      <c r="B119" s="574" t="s">
        <v>13387</v>
      </c>
      <c r="C119" s="574" t="s">
        <v>5626</v>
      </c>
      <c r="D119" s="582">
        <v>6.54</v>
      </c>
    </row>
    <row r="120" spans="1:4" x14ac:dyDescent="0.2">
      <c r="A120" s="574">
        <v>43060</v>
      </c>
      <c r="B120" s="574" t="s">
        <v>13388</v>
      </c>
      <c r="C120" s="574" t="s">
        <v>5626</v>
      </c>
      <c r="D120" s="582">
        <v>5.14</v>
      </c>
    </row>
    <row r="121" spans="1:4" x14ac:dyDescent="0.2">
      <c r="A121" s="574">
        <v>20063</v>
      </c>
      <c r="B121" s="574" t="s">
        <v>5660</v>
      </c>
      <c r="C121" s="574" t="s">
        <v>5555</v>
      </c>
      <c r="D121" s="582">
        <v>3.3</v>
      </c>
    </row>
    <row r="122" spans="1:4" x14ac:dyDescent="0.2">
      <c r="A122" s="574">
        <v>40410</v>
      </c>
      <c r="B122" s="574" t="s">
        <v>5661</v>
      </c>
      <c r="C122" s="574" t="s">
        <v>5555</v>
      </c>
      <c r="D122" s="582">
        <v>20.63</v>
      </c>
    </row>
    <row r="123" spans="1:4" x14ac:dyDescent="0.2">
      <c r="A123" s="574">
        <v>40411</v>
      </c>
      <c r="B123" s="574" t="s">
        <v>5662</v>
      </c>
      <c r="C123" s="574" t="s">
        <v>5555</v>
      </c>
      <c r="D123" s="582">
        <v>22.39</v>
      </c>
    </row>
    <row r="124" spans="1:4" x14ac:dyDescent="0.2">
      <c r="A124" s="574">
        <v>40412</v>
      </c>
      <c r="B124" s="574" t="s">
        <v>5663</v>
      </c>
      <c r="C124" s="574" t="s">
        <v>5555</v>
      </c>
      <c r="D124" s="582">
        <v>25.13</v>
      </c>
    </row>
    <row r="125" spans="1:4" x14ac:dyDescent="0.2">
      <c r="A125" s="574">
        <v>38838</v>
      </c>
      <c r="B125" s="574" t="s">
        <v>5664</v>
      </c>
      <c r="C125" s="574" t="s">
        <v>5555</v>
      </c>
      <c r="D125" s="582">
        <v>7.48</v>
      </c>
    </row>
    <row r="126" spans="1:4" x14ac:dyDescent="0.2">
      <c r="A126" s="574">
        <v>38839</v>
      </c>
      <c r="B126" s="574" t="s">
        <v>5665</v>
      </c>
      <c r="C126" s="574" t="s">
        <v>5555</v>
      </c>
      <c r="D126" s="582">
        <v>8.8000000000000007</v>
      </c>
    </row>
    <row r="127" spans="1:4" x14ac:dyDescent="0.2">
      <c r="A127" s="574">
        <v>55</v>
      </c>
      <c r="B127" s="574" t="s">
        <v>5666</v>
      </c>
      <c r="C127" s="574" t="s">
        <v>5555</v>
      </c>
      <c r="D127" s="582">
        <v>3.8</v>
      </c>
    </row>
    <row r="128" spans="1:4" x14ac:dyDescent="0.2">
      <c r="A128" s="574">
        <v>61</v>
      </c>
      <c r="B128" s="574" t="s">
        <v>5667</v>
      </c>
      <c r="C128" s="574" t="s">
        <v>5555</v>
      </c>
      <c r="D128" s="582">
        <v>3.59</v>
      </c>
    </row>
    <row r="129" spans="1:4" x14ac:dyDescent="0.2">
      <c r="A129" s="574">
        <v>62</v>
      </c>
      <c r="B129" s="574" t="s">
        <v>5668</v>
      </c>
      <c r="C129" s="574" t="s">
        <v>5555</v>
      </c>
      <c r="D129" s="582">
        <v>7.45</v>
      </c>
    </row>
    <row r="130" spans="1:4" x14ac:dyDescent="0.2">
      <c r="A130" s="574">
        <v>77</v>
      </c>
      <c r="B130" s="574" t="s">
        <v>5669</v>
      </c>
      <c r="C130" s="574" t="s">
        <v>5555</v>
      </c>
      <c r="D130" s="582">
        <v>0.92</v>
      </c>
    </row>
    <row r="131" spans="1:4" x14ac:dyDescent="0.2">
      <c r="A131" s="574">
        <v>76</v>
      </c>
      <c r="B131" s="574" t="s">
        <v>5670</v>
      </c>
      <c r="C131" s="574" t="s">
        <v>5555</v>
      </c>
      <c r="D131" s="582">
        <v>0.93</v>
      </c>
    </row>
    <row r="132" spans="1:4" x14ac:dyDescent="0.2">
      <c r="A132" s="574">
        <v>67</v>
      </c>
      <c r="B132" s="574" t="s">
        <v>5671</v>
      </c>
      <c r="C132" s="574" t="s">
        <v>5555</v>
      </c>
      <c r="D132" s="582">
        <v>9.02</v>
      </c>
    </row>
    <row r="133" spans="1:4" x14ac:dyDescent="0.2">
      <c r="A133" s="574">
        <v>71</v>
      </c>
      <c r="B133" s="574" t="s">
        <v>5672</v>
      </c>
      <c r="C133" s="574" t="s">
        <v>5555</v>
      </c>
      <c r="D133" s="582">
        <v>16.579999999999998</v>
      </c>
    </row>
    <row r="134" spans="1:4" x14ac:dyDescent="0.2">
      <c r="A134" s="574">
        <v>73</v>
      </c>
      <c r="B134" s="574" t="s">
        <v>5673</v>
      </c>
      <c r="C134" s="574" t="s">
        <v>5555</v>
      </c>
      <c r="D134" s="582">
        <v>12.38</v>
      </c>
    </row>
    <row r="135" spans="1:4" x14ac:dyDescent="0.2">
      <c r="A135" s="574">
        <v>103</v>
      </c>
      <c r="B135" s="574" t="s">
        <v>5674</v>
      </c>
      <c r="C135" s="574" t="s">
        <v>5555</v>
      </c>
      <c r="D135" s="582">
        <v>36.83</v>
      </c>
    </row>
    <row r="136" spans="1:4" x14ac:dyDescent="0.2">
      <c r="A136" s="574">
        <v>107</v>
      </c>
      <c r="B136" s="574" t="s">
        <v>5675</v>
      </c>
      <c r="C136" s="574" t="s">
        <v>5555</v>
      </c>
      <c r="D136" s="582">
        <v>0.56999999999999995</v>
      </c>
    </row>
    <row r="137" spans="1:4" x14ac:dyDescent="0.2">
      <c r="A137" s="574">
        <v>65</v>
      </c>
      <c r="B137" s="574" t="s">
        <v>5676</v>
      </c>
      <c r="C137" s="574" t="s">
        <v>5555</v>
      </c>
      <c r="D137" s="582">
        <v>0.71</v>
      </c>
    </row>
    <row r="138" spans="1:4" x14ac:dyDescent="0.2">
      <c r="A138" s="574">
        <v>108</v>
      </c>
      <c r="B138" s="574" t="s">
        <v>5677</v>
      </c>
      <c r="C138" s="574" t="s">
        <v>5555</v>
      </c>
      <c r="D138" s="582">
        <v>1.47</v>
      </c>
    </row>
    <row r="139" spans="1:4" x14ac:dyDescent="0.2">
      <c r="A139" s="574">
        <v>110</v>
      </c>
      <c r="B139" s="574" t="s">
        <v>5678</v>
      </c>
      <c r="C139" s="574" t="s">
        <v>5555</v>
      </c>
      <c r="D139" s="582">
        <v>5.69</v>
      </c>
    </row>
    <row r="140" spans="1:4" x14ac:dyDescent="0.2">
      <c r="A140" s="574">
        <v>109</v>
      </c>
      <c r="B140" s="574" t="s">
        <v>5679</v>
      </c>
      <c r="C140" s="574" t="s">
        <v>5555</v>
      </c>
      <c r="D140" s="582">
        <v>2.8</v>
      </c>
    </row>
    <row r="141" spans="1:4" x14ac:dyDescent="0.2">
      <c r="A141" s="574">
        <v>111</v>
      </c>
      <c r="B141" s="574" t="s">
        <v>5680</v>
      </c>
      <c r="C141" s="574" t="s">
        <v>5555</v>
      </c>
      <c r="D141" s="582">
        <v>6.56</v>
      </c>
    </row>
    <row r="142" spans="1:4" x14ac:dyDescent="0.2">
      <c r="A142" s="574">
        <v>112</v>
      </c>
      <c r="B142" s="574" t="s">
        <v>5681</v>
      </c>
      <c r="C142" s="574" t="s">
        <v>5555</v>
      </c>
      <c r="D142" s="582">
        <v>3.57</v>
      </c>
    </row>
    <row r="143" spans="1:4" x14ac:dyDescent="0.2">
      <c r="A143" s="574">
        <v>113</v>
      </c>
      <c r="B143" s="574" t="s">
        <v>5682</v>
      </c>
      <c r="C143" s="574" t="s">
        <v>5555</v>
      </c>
      <c r="D143" s="582">
        <v>9.69</v>
      </c>
    </row>
    <row r="144" spans="1:4" x14ac:dyDescent="0.2">
      <c r="A144" s="574">
        <v>104</v>
      </c>
      <c r="B144" s="574" t="s">
        <v>5683</v>
      </c>
      <c r="C144" s="574" t="s">
        <v>5555</v>
      </c>
      <c r="D144" s="582">
        <v>14.09</v>
      </c>
    </row>
    <row r="145" spans="1:4" x14ac:dyDescent="0.2">
      <c r="A145" s="574">
        <v>102</v>
      </c>
      <c r="B145" s="574" t="s">
        <v>5684</v>
      </c>
      <c r="C145" s="574" t="s">
        <v>5555</v>
      </c>
      <c r="D145" s="582">
        <v>23.13</v>
      </c>
    </row>
    <row r="146" spans="1:4" x14ac:dyDescent="0.2">
      <c r="A146" s="574">
        <v>95</v>
      </c>
      <c r="B146" s="574" t="s">
        <v>5685</v>
      </c>
      <c r="C146" s="574" t="s">
        <v>5555</v>
      </c>
      <c r="D146" s="582">
        <v>7.83</v>
      </c>
    </row>
    <row r="147" spans="1:4" x14ac:dyDescent="0.2">
      <c r="A147" s="574">
        <v>96</v>
      </c>
      <c r="B147" s="574" t="s">
        <v>5686</v>
      </c>
      <c r="C147" s="574" t="s">
        <v>5555</v>
      </c>
      <c r="D147" s="582">
        <v>9</v>
      </c>
    </row>
    <row r="148" spans="1:4" x14ac:dyDescent="0.2">
      <c r="A148" s="574">
        <v>97</v>
      </c>
      <c r="B148" s="574" t="s">
        <v>5687</v>
      </c>
      <c r="C148" s="574" t="s">
        <v>5555</v>
      </c>
      <c r="D148" s="582">
        <v>11.69</v>
      </c>
    </row>
    <row r="149" spans="1:4" x14ac:dyDescent="0.2">
      <c r="A149" s="574">
        <v>98</v>
      </c>
      <c r="B149" s="574" t="s">
        <v>5688</v>
      </c>
      <c r="C149" s="574" t="s">
        <v>5555</v>
      </c>
      <c r="D149" s="582">
        <v>15.76</v>
      </c>
    </row>
    <row r="150" spans="1:4" x14ac:dyDescent="0.2">
      <c r="A150" s="574">
        <v>99</v>
      </c>
      <c r="B150" s="574" t="s">
        <v>5689</v>
      </c>
      <c r="C150" s="574" t="s">
        <v>5555</v>
      </c>
      <c r="D150" s="582">
        <v>19.11</v>
      </c>
    </row>
    <row r="151" spans="1:4" x14ac:dyDescent="0.2">
      <c r="A151" s="574">
        <v>100</v>
      </c>
      <c r="B151" s="574" t="s">
        <v>5690</v>
      </c>
      <c r="C151" s="574" t="s">
        <v>5555</v>
      </c>
      <c r="D151" s="582">
        <v>26.67</v>
      </c>
    </row>
    <row r="152" spans="1:4" x14ac:dyDescent="0.2">
      <c r="A152" s="574">
        <v>75</v>
      </c>
      <c r="B152" s="574" t="s">
        <v>5691</v>
      </c>
      <c r="C152" s="574" t="s">
        <v>5555</v>
      </c>
      <c r="D152" s="582">
        <v>277.94</v>
      </c>
    </row>
    <row r="153" spans="1:4" x14ac:dyDescent="0.2">
      <c r="A153" s="574">
        <v>114</v>
      </c>
      <c r="B153" s="574" t="s">
        <v>5692</v>
      </c>
      <c r="C153" s="574" t="s">
        <v>5555</v>
      </c>
      <c r="D153" s="582">
        <v>10.130000000000001</v>
      </c>
    </row>
    <row r="154" spans="1:4" x14ac:dyDescent="0.2">
      <c r="A154" s="574">
        <v>68</v>
      </c>
      <c r="B154" s="574" t="s">
        <v>5693</v>
      </c>
      <c r="C154" s="574" t="s">
        <v>5555</v>
      </c>
      <c r="D154" s="582">
        <v>15.48</v>
      </c>
    </row>
    <row r="155" spans="1:4" x14ac:dyDescent="0.2">
      <c r="A155" s="574">
        <v>86</v>
      </c>
      <c r="B155" s="574" t="s">
        <v>5694</v>
      </c>
      <c r="C155" s="574" t="s">
        <v>5555</v>
      </c>
      <c r="D155" s="582">
        <v>28.79</v>
      </c>
    </row>
    <row r="156" spans="1:4" x14ac:dyDescent="0.2">
      <c r="A156" s="574">
        <v>66</v>
      </c>
      <c r="B156" s="574" t="s">
        <v>5695</v>
      </c>
      <c r="C156" s="574" t="s">
        <v>5555</v>
      </c>
      <c r="D156" s="582">
        <v>28.89</v>
      </c>
    </row>
    <row r="157" spans="1:4" x14ac:dyDescent="0.2">
      <c r="A157" s="574">
        <v>69</v>
      </c>
      <c r="B157" s="574" t="s">
        <v>5696</v>
      </c>
      <c r="C157" s="574" t="s">
        <v>5555</v>
      </c>
      <c r="D157" s="582">
        <v>44.16</v>
      </c>
    </row>
    <row r="158" spans="1:4" x14ac:dyDescent="0.2">
      <c r="A158" s="574">
        <v>83</v>
      </c>
      <c r="B158" s="574" t="s">
        <v>5697</v>
      </c>
      <c r="C158" s="574" t="s">
        <v>5555</v>
      </c>
      <c r="D158" s="582">
        <v>141.05000000000001</v>
      </c>
    </row>
    <row r="159" spans="1:4" x14ac:dyDescent="0.2">
      <c r="A159" s="574">
        <v>74</v>
      </c>
      <c r="B159" s="574" t="s">
        <v>5698</v>
      </c>
      <c r="C159" s="574" t="s">
        <v>5555</v>
      </c>
      <c r="D159" s="582">
        <v>196.92</v>
      </c>
    </row>
    <row r="160" spans="1:4" x14ac:dyDescent="0.2">
      <c r="A160" s="574">
        <v>106</v>
      </c>
      <c r="B160" s="574" t="s">
        <v>5699</v>
      </c>
      <c r="C160" s="574" t="s">
        <v>5555</v>
      </c>
      <c r="D160" s="582">
        <v>299.16000000000003</v>
      </c>
    </row>
    <row r="161" spans="1:4" x14ac:dyDescent="0.2">
      <c r="A161" s="574">
        <v>87</v>
      </c>
      <c r="B161" s="574" t="s">
        <v>5700</v>
      </c>
      <c r="C161" s="574" t="s">
        <v>5555</v>
      </c>
      <c r="D161" s="582">
        <v>14.22</v>
      </c>
    </row>
    <row r="162" spans="1:4" x14ac:dyDescent="0.2">
      <c r="A162" s="574">
        <v>88</v>
      </c>
      <c r="B162" s="574" t="s">
        <v>5701</v>
      </c>
      <c r="C162" s="574" t="s">
        <v>5555</v>
      </c>
      <c r="D162" s="582">
        <v>15.87</v>
      </c>
    </row>
    <row r="163" spans="1:4" x14ac:dyDescent="0.2">
      <c r="A163" s="574">
        <v>89</v>
      </c>
      <c r="B163" s="574" t="s">
        <v>5702</v>
      </c>
      <c r="C163" s="574" t="s">
        <v>5555</v>
      </c>
      <c r="D163" s="582">
        <v>23.46</v>
      </c>
    </row>
    <row r="164" spans="1:4" x14ac:dyDescent="0.2">
      <c r="A164" s="574">
        <v>90</v>
      </c>
      <c r="B164" s="574" t="s">
        <v>5703</v>
      </c>
      <c r="C164" s="574" t="s">
        <v>5555</v>
      </c>
      <c r="D164" s="582">
        <v>26.88</v>
      </c>
    </row>
    <row r="165" spans="1:4" x14ac:dyDescent="0.2">
      <c r="A165" s="574">
        <v>81</v>
      </c>
      <c r="B165" s="574" t="s">
        <v>5704</v>
      </c>
      <c r="C165" s="574" t="s">
        <v>5555</v>
      </c>
      <c r="D165" s="582">
        <v>45.98</v>
      </c>
    </row>
    <row r="166" spans="1:4" x14ac:dyDescent="0.2">
      <c r="A166" s="574">
        <v>82</v>
      </c>
      <c r="B166" s="574" t="s">
        <v>5705</v>
      </c>
      <c r="C166" s="574" t="s">
        <v>5555</v>
      </c>
      <c r="D166" s="582">
        <v>178.5</v>
      </c>
    </row>
    <row r="167" spans="1:4" x14ac:dyDescent="0.2">
      <c r="A167" s="574">
        <v>105</v>
      </c>
      <c r="B167" s="574" t="s">
        <v>5706</v>
      </c>
      <c r="C167" s="574" t="s">
        <v>5555</v>
      </c>
      <c r="D167" s="582">
        <v>208.98</v>
      </c>
    </row>
    <row r="168" spans="1:4" x14ac:dyDescent="0.2">
      <c r="A168" s="574">
        <v>60</v>
      </c>
      <c r="B168" s="574" t="s">
        <v>5707</v>
      </c>
      <c r="C168" s="574" t="s">
        <v>5555</v>
      </c>
      <c r="D168" s="582">
        <v>4.93</v>
      </c>
    </row>
    <row r="169" spans="1:4" x14ac:dyDescent="0.2">
      <c r="A169" s="574">
        <v>72</v>
      </c>
      <c r="B169" s="574" t="s">
        <v>5708</v>
      </c>
      <c r="C169" s="574" t="s">
        <v>5555</v>
      </c>
      <c r="D169" s="582">
        <v>28.11</v>
      </c>
    </row>
    <row r="170" spans="1:4" x14ac:dyDescent="0.2">
      <c r="A170" s="574">
        <v>70</v>
      </c>
      <c r="B170" s="574" t="s">
        <v>5709</v>
      </c>
      <c r="C170" s="574" t="s">
        <v>5555</v>
      </c>
      <c r="D170" s="582">
        <v>23.5</v>
      </c>
    </row>
    <row r="171" spans="1:4" x14ac:dyDescent="0.2">
      <c r="A171" s="574">
        <v>85</v>
      </c>
      <c r="B171" s="574" t="s">
        <v>5710</v>
      </c>
      <c r="C171" s="574" t="s">
        <v>5555</v>
      </c>
      <c r="D171" s="582">
        <v>34.11</v>
      </c>
    </row>
    <row r="172" spans="1:4" x14ac:dyDescent="0.2">
      <c r="A172" s="574">
        <v>84</v>
      </c>
      <c r="B172" s="574" t="s">
        <v>5711</v>
      </c>
      <c r="C172" s="574" t="s">
        <v>5555</v>
      </c>
      <c r="D172" s="582">
        <v>0.39</v>
      </c>
    </row>
    <row r="173" spans="1:4" x14ac:dyDescent="0.2">
      <c r="A173" s="574">
        <v>37997</v>
      </c>
      <c r="B173" s="574" t="s">
        <v>5712</v>
      </c>
      <c r="C173" s="574" t="s">
        <v>5555</v>
      </c>
      <c r="D173" s="582">
        <v>4.84</v>
      </c>
    </row>
    <row r="174" spans="1:4" x14ac:dyDescent="0.2">
      <c r="A174" s="574">
        <v>37998</v>
      </c>
      <c r="B174" s="574" t="s">
        <v>5713</v>
      </c>
      <c r="C174" s="574" t="s">
        <v>5555</v>
      </c>
      <c r="D174" s="582">
        <v>5.0199999999999996</v>
      </c>
    </row>
    <row r="175" spans="1:4" x14ac:dyDescent="0.2">
      <c r="A175" s="574">
        <v>10899</v>
      </c>
      <c r="B175" s="574" t="s">
        <v>5714</v>
      </c>
      <c r="C175" s="574" t="s">
        <v>5555</v>
      </c>
      <c r="D175" s="582">
        <v>55.19</v>
      </c>
    </row>
    <row r="176" spans="1:4" x14ac:dyDescent="0.2">
      <c r="A176" s="574">
        <v>10900</v>
      </c>
      <c r="B176" s="574" t="s">
        <v>5715</v>
      </c>
      <c r="C176" s="574" t="s">
        <v>5555</v>
      </c>
      <c r="D176" s="582">
        <v>43.19</v>
      </c>
    </row>
    <row r="177" spans="1:4" x14ac:dyDescent="0.2">
      <c r="A177" s="574">
        <v>46</v>
      </c>
      <c r="B177" s="574" t="s">
        <v>5716</v>
      </c>
      <c r="C177" s="574" t="s">
        <v>5555</v>
      </c>
      <c r="D177" s="582">
        <v>34.15</v>
      </c>
    </row>
    <row r="178" spans="1:4" x14ac:dyDescent="0.2">
      <c r="A178" s="574">
        <v>51</v>
      </c>
      <c r="B178" s="574" t="s">
        <v>5717</v>
      </c>
      <c r="C178" s="574" t="s">
        <v>5555</v>
      </c>
      <c r="D178" s="582">
        <v>94.22</v>
      </c>
    </row>
    <row r="179" spans="1:4" x14ac:dyDescent="0.2">
      <c r="A179" s="574">
        <v>12863</v>
      </c>
      <c r="B179" s="574" t="s">
        <v>5718</v>
      </c>
      <c r="C179" s="574" t="s">
        <v>5555</v>
      </c>
      <c r="D179" s="582">
        <v>21.7</v>
      </c>
    </row>
    <row r="180" spans="1:4" x14ac:dyDescent="0.2">
      <c r="A180" s="574">
        <v>50</v>
      </c>
      <c r="B180" s="574" t="s">
        <v>5719</v>
      </c>
      <c r="C180" s="574" t="s">
        <v>5555</v>
      </c>
      <c r="D180" s="582">
        <v>49.2</v>
      </c>
    </row>
    <row r="181" spans="1:4" x14ac:dyDescent="0.2">
      <c r="A181" s="574">
        <v>47</v>
      </c>
      <c r="B181" s="574" t="s">
        <v>5720</v>
      </c>
      <c r="C181" s="574" t="s">
        <v>5555</v>
      </c>
      <c r="D181" s="582">
        <v>58.4</v>
      </c>
    </row>
    <row r="182" spans="1:4" x14ac:dyDescent="0.2">
      <c r="A182" s="574">
        <v>48</v>
      </c>
      <c r="B182" s="574" t="s">
        <v>5721</v>
      </c>
      <c r="C182" s="574" t="s">
        <v>5555</v>
      </c>
      <c r="D182" s="582">
        <v>15.23</v>
      </c>
    </row>
    <row r="183" spans="1:4" x14ac:dyDescent="0.2">
      <c r="A183" s="574">
        <v>52</v>
      </c>
      <c r="B183" s="574" t="s">
        <v>5722</v>
      </c>
      <c r="C183" s="574" t="s">
        <v>5555</v>
      </c>
      <c r="D183" s="582">
        <v>11.57</v>
      </c>
    </row>
    <row r="184" spans="1:4" x14ac:dyDescent="0.2">
      <c r="A184" s="574">
        <v>43</v>
      </c>
      <c r="B184" s="574" t="s">
        <v>5723</v>
      </c>
      <c r="C184" s="574" t="s">
        <v>5555</v>
      </c>
      <c r="D184" s="582">
        <v>39.049999999999997</v>
      </c>
    </row>
    <row r="185" spans="1:4" x14ac:dyDescent="0.2">
      <c r="A185" s="574">
        <v>4791</v>
      </c>
      <c r="B185" s="574" t="s">
        <v>5724</v>
      </c>
      <c r="C185" s="574" t="s">
        <v>5626</v>
      </c>
      <c r="D185" s="582">
        <v>16.71</v>
      </c>
    </row>
    <row r="186" spans="1:4" x14ac:dyDescent="0.2">
      <c r="A186" s="574">
        <v>157</v>
      </c>
      <c r="B186" s="574" t="s">
        <v>5725</v>
      </c>
      <c r="C186" s="574" t="s">
        <v>5626</v>
      </c>
      <c r="D186" s="582">
        <v>115.32</v>
      </c>
    </row>
    <row r="187" spans="1:4" x14ac:dyDescent="0.2">
      <c r="A187" s="574">
        <v>156</v>
      </c>
      <c r="B187" s="574" t="s">
        <v>5726</v>
      </c>
      <c r="C187" s="574" t="s">
        <v>5626</v>
      </c>
      <c r="D187" s="582">
        <v>41.06</v>
      </c>
    </row>
    <row r="188" spans="1:4" x14ac:dyDescent="0.2">
      <c r="A188" s="574">
        <v>131</v>
      </c>
      <c r="B188" s="574" t="s">
        <v>5727</v>
      </c>
      <c r="C188" s="574" t="s">
        <v>5626</v>
      </c>
      <c r="D188" s="582">
        <v>35.11</v>
      </c>
    </row>
    <row r="189" spans="1:4" x14ac:dyDescent="0.2">
      <c r="A189" s="574">
        <v>39719</v>
      </c>
      <c r="B189" s="574" t="s">
        <v>5728</v>
      </c>
      <c r="C189" s="574" t="s">
        <v>5628</v>
      </c>
      <c r="D189" s="582">
        <v>70.98</v>
      </c>
    </row>
    <row r="190" spans="1:4" x14ac:dyDescent="0.2">
      <c r="A190" s="574">
        <v>21114</v>
      </c>
      <c r="B190" s="574" t="s">
        <v>5729</v>
      </c>
      <c r="C190" s="574" t="s">
        <v>5555</v>
      </c>
      <c r="D190" s="582">
        <v>15.2</v>
      </c>
    </row>
    <row r="191" spans="1:4" x14ac:dyDescent="0.2">
      <c r="A191" s="574">
        <v>119</v>
      </c>
      <c r="B191" s="574" t="s">
        <v>5730</v>
      </c>
      <c r="C191" s="574" t="s">
        <v>5555</v>
      </c>
      <c r="D191" s="582">
        <v>6</v>
      </c>
    </row>
    <row r="192" spans="1:4" x14ac:dyDescent="0.2">
      <c r="A192" s="574">
        <v>20080</v>
      </c>
      <c r="B192" s="574" t="s">
        <v>5731</v>
      </c>
      <c r="C192" s="574" t="s">
        <v>5555</v>
      </c>
      <c r="D192" s="582">
        <v>17.2</v>
      </c>
    </row>
    <row r="193" spans="1:4" x14ac:dyDescent="0.2">
      <c r="A193" s="574">
        <v>122</v>
      </c>
      <c r="B193" s="574" t="s">
        <v>5732</v>
      </c>
      <c r="C193" s="574" t="s">
        <v>5555</v>
      </c>
      <c r="D193" s="582">
        <v>54.2</v>
      </c>
    </row>
    <row r="194" spans="1:4" x14ac:dyDescent="0.2">
      <c r="A194" s="574">
        <v>3410</v>
      </c>
      <c r="B194" s="574" t="s">
        <v>5733</v>
      </c>
      <c r="C194" s="574" t="s">
        <v>5626</v>
      </c>
      <c r="D194" s="582">
        <v>19.72</v>
      </c>
    </row>
    <row r="195" spans="1:4" x14ac:dyDescent="0.2">
      <c r="A195" s="574">
        <v>124</v>
      </c>
      <c r="B195" s="574" t="s">
        <v>13389</v>
      </c>
      <c r="C195" s="574" t="s">
        <v>5628</v>
      </c>
      <c r="D195" s="582">
        <v>13.54</v>
      </c>
    </row>
    <row r="196" spans="1:4" x14ac:dyDescent="0.2">
      <c r="A196" s="574">
        <v>7334</v>
      </c>
      <c r="B196" s="574" t="s">
        <v>5735</v>
      </c>
      <c r="C196" s="574" t="s">
        <v>5628</v>
      </c>
      <c r="D196" s="582">
        <v>9</v>
      </c>
    </row>
    <row r="197" spans="1:4" x14ac:dyDescent="0.2">
      <c r="A197" s="574">
        <v>123</v>
      </c>
      <c r="B197" s="574" t="s">
        <v>13390</v>
      </c>
      <c r="C197" s="574" t="s">
        <v>5628</v>
      </c>
      <c r="D197" s="582">
        <v>5.54</v>
      </c>
    </row>
    <row r="198" spans="1:4" x14ac:dyDescent="0.2">
      <c r="A198" s="574">
        <v>127</v>
      </c>
      <c r="B198" s="574" t="s">
        <v>13391</v>
      </c>
      <c r="C198" s="574" t="s">
        <v>5628</v>
      </c>
      <c r="D198" s="582">
        <v>13.22</v>
      </c>
    </row>
    <row r="199" spans="1:4" x14ac:dyDescent="0.2">
      <c r="A199" s="574">
        <v>41373</v>
      </c>
      <c r="B199" s="574" t="s">
        <v>13392</v>
      </c>
      <c r="C199" s="574" t="s">
        <v>5628</v>
      </c>
      <c r="D199" s="582">
        <v>18.43</v>
      </c>
    </row>
    <row r="200" spans="1:4" x14ac:dyDescent="0.2">
      <c r="A200" s="574">
        <v>133</v>
      </c>
      <c r="B200" s="574" t="s">
        <v>13393</v>
      </c>
      <c r="C200" s="574" t="s">
        <v>5628</v>
      </c>
      <c r="D200" s="582">
        <v>5.49</v>
      </c>
    </row>
    <row r="201" spans="1:4" x14ac:dyDescent="0.2">
      <c r="A201" s="574">
        <v>43617</v>
      </c>
      <c r="B201" s="574" t="s">
        <v>13394</v>
      </c>
      <c r="C201" s="574" t="s">
        <v>5628</v>
      </c>
      <c r="D201" s="582">
        <v>6.13</v>
      </c>
    </row>
    <row r="202" spans="1:4" x14ac:dyDescent="0.2">
      <c r="A202" s="574">
        <v>132</v>
      </c>
      <c r="B202" s="574" t="s">
        <v>13395</v>
      </c>
      <c r="C202" s="574" t="s">
        <v>5628</v>
      </c>
      <c r="D202" s="582">
        <v>5.69</v>
      </c>
    </row>
    <row r="203" spans="1:4" x14ac:dyDescent="0.2">
      <c r="A203" s="574">
        <v>43618</v>
      </c>
      <c r="B203" s="574" t="s">
        <v>13396</v>
      </c>
      <c r="C203" s="574" t="s">
        <v>5626</v>
      </c>
      <c r="D203" s="582">
        <v>14.33</v>
      </c>
    </row>
    <row r="204" spans="1:4" x14ac:dyDescent="0.2">
      <c r="A204" s="574">
        <v>37476</v>
      </c>
      <c r="B204" s="574" t="s">
        <v>13397</v>
      </c>
      <c r="C204" s="574" t="s">
        <v>5555</v>
      </c>
      <c r="D204" s="583">
        <v>1996.63</v>
      </c>
    </row>
    <row r="205" spans="1:4" x14ac:dyDescent="0.2">
      <c r="A205" s="574">
        <v>37478</v>
      </c>
      <c r="B205" s="574" t="s">
        <v>13398</v>
      </c>
      <c r="C205" s="574" t="s">
        <v>5555</v>
      </c>
      <c r="D205" s="583">
        <v>2500.84</v>
      </c>
    </row>
    <row r="206" spans="1:4" x14ac:dyDescent="0.2">
      <c r="A206" s="574">
        <v>37477</v>
      </c>
      <c r="B206" s="574" t="s">
        <v>13399</v>
      </c>
      <c r="C206" s="574" t="s">
        <v>5555</v>
      </c>
      <c r="D206" s="583">
        <v>3388.23</v>
      </c>
    </row>
    <row r="207" spans="1:4" x14ac:dyDescent="0.2">
      <c r="A207" s="574">
        <v>37479</v>
      </c>
      <c r="B207" s="574" t="s">
        <v>13400</v>
      </c>
      <c r="C207" s="574" t="s">
        <v>5555</v>
      </c>
      <c r="D207" s="583">
        <v>4018.48</v>
      </c>
    </row>
    <row r="208" spans="1:4" x14ac:dyDescent="0.2">
      <c r="A208" s="574">
        <v>41632</v>
      </c>
      <c r="B208" s="574" t="s">
        <v>13401</v>
      </c>
      <c r="C208" s="574" t="s">
        <v>5555</v>
      </c>
      <c r="D208" s="583">
        <v>2183.19</v>
      </c>
    </row>
    <row r="209" spans="1:4" x14ac:dyDescent="0.2">
      <c r="A209" s="574">
        <v>41634</v>
      </c>
      <c r="B209" s="574" t="s">
        <v>13402</v>
      </c>
      <c r="C209" s="574" t="s">
        <v>5555</v>
      </c>
      <c r="D209" s="583">
        <v>2389.35</v>
      </c>
    </row>
    <row r="210" spans="1:4" x14ac:dyDescent="0.2">
      <c r="A210" s="574">
        <v>41633</v>
      </c>
      <c r="B210" s="574" t="s">
        <v>13403</v>
      </c>
      <c r="C210" s="574" t="s">
        <v>5555</v>
      </c>
      <c r="D210" s="583">
        <v>2563.86</v>
      </c>
    </row>
    <row r="211" spans="1:4" x14ac:dyDescent="0.2">
      <c r="A211" s="574">
        <v>41635</v>
      </c>
      <c r="B211" s="574" t="s">
        <v>13404</v>
      </c>
      <c r="C211" s="574" t="s">
        <v>5555</v>
      </c>
      <c r="D211" s="583">
        <v>2876.47</v>
      </c>
    </row>
    <row r="212" spans="1:4" x14ac:dyDescent="0.2">
      <c r="A212" s="574">
        <v>4319</v>
      </c>
      <c r="B212" s="574" t="s">
        <v>5748</v>
      </c>
      <c r="C212" s="574" t="s">
        <v>5555</v>
      </c>
      <c r="D212" s="582">
        <v>1.05</v>
      </c>
    </row>
    <row r="213" spans="1:4" x14ac:dyDescent="0.2">
      <c r="A213" s="574">
        <v>42409</v>
      </c>
      <c r="B213" s="574" t="s">
        <v>13405</v>
      </c>
      <c r="C213" s="574" t="s">
        <v>5626</v>
      </c>
      <c r="D213" s="582">
        <v>9.0299999999999994</v>
      </c>
    </row>
    <row r="214" spans="1:4" x14ac:dyDescent="0.2">
      <c r="A214" s="574">
        <v>40553</v>
      </c>
      <c r="B214" s="574" t="s">
        <v>5750</v>
      </c>
      <c r="C214" s="574" t="s">
        <v>5751</v>
      </c>
      <c r="D214" s="582">
        <v>35.75</v>
      </c>
    </row>
    <row r="215" spans="1:4" x14ac:dyDescent="0.2">
      <c r="A215" s="574">
        <v>13003</v>
      </c>
      <c r="B215" s="574" t="s">
        <v>5752</v>
      </c>
      <c r="C215" s="574" t="s">
        <v>5628</v>
      </c>
      <c r="D215" s="582">
        <v>2.48</v>
      </c>
    </row>
    <row r="216" spans="1:4" x14ac:dyDescent="0.2">
      <c r="A216" s="574">
        <v>6114</v>
      </c>
      <c r="B216" s="574" t="s">
        <v>5753</v>
      </c>
      <c r="C216" s="574" t="s">
        <v>5566</v>
      </c>
      <c r="D216" s="582">
        <v>10.75</v>
      </c>
    </row>
    <row r="217" spans="1:4" x14ac:dyDescent="0.2">
      <c r="A217" s="574">
        <v>40912</v>
      </c>
      <c r="B217" s="574" t="s">
        <v>5754</v>
      </c>
      <c r="C217" s="574" t="s">
        <v>5755</v>
      </c>
      <c r="D217" s="583">
        <v>1881.04</v>
      </c>
    </row>
    <row r="218" spans="1:4" x14ac:dyDescent="0.2">
      <c r="A218" s="574">
        <v>247</v>
      </c>
      <c r="B218" s="574" t="s">
        <v>5756</v>
      </c>
      <c r="C218" s="574" t="s">
        <v>5566</v>
      </c>
      <c r="D218" s="582">
        <v>11.16</v>
      </c>
    </row>
    <row r="219" spans="1:4" x14ac:dyDescent="0.2">
      <c r="A219" s="574">
        <v>40919</v>
      </c>
      <c r="B219" s="574" t="s">
        <v>5757</v>
      </c>
      <c r="C219" s="574" t="s">
        <v>5755</v>
      </c>
      <c r="D219" s="583">
        <v>1952.43</v>
      </c>
    </row>
    <row r="220" spans="1:4" x14ac:dyDescent="0.2">
      <c r="A220" s="574">
        <v>25958</v>
      </c>
      <c r="B220" s="574" t="s">
        <v>5758</v>
      </c>
      <c r="C220" s="574" t="s">
        <v>5566</v>
      </c>
      <c r="D220" s="582">
        <v>13.14</v>
      </c>
    </row>
    <row r="221" spans="1:4" x14ac:dyDescent="0.2">
      <c r="A221" s="574">
        <v>40984</v>
      </c>
      <c r="B221" s="574" t="s">
        <v>5759</v>
      </c>
      <c r="C221" s="574" t="s">
        <v>5755</v>
      </c>
      <c r="D221" s="583">
        <v>2299.73</v>
      </c>
    </row>
    <row r="222" spans="1:4" x14ac:dyDescent="0.2">
      <c r="A222" s="574">
        <v>248</v>
      </c>
      <c r="B222" s="574" t="s">
        <v>5760</v>
      </c>
      <c r="C222" s="574" t="s">
        <v>5566</v>
      </c>
      <c r="D222" s="582">
        <v>11.12</v>
      </c>
    </row>
    <row r="223" spans="1:4" x14ac:dyDescent="0.2">
      <c r="A223" s="574">
        <v>41086</v>
      </c>
      <c r="B223" s="574" t="s">
        <v>5761</v>
      </c>
      <c r="C223" s="574" t="s">
        <v>5755</v>
      </c>
      <c r="D223" s="583">
        <v>1946.43</v>
      </c>
    </row>
    <row r="224" spans="1:4" x14ac:dyDescent="0.2">
      <c r="A224" s="574">
        <v>34466</v>
      </c>
      <c r="B224" s="574" t="s">
        <v>5762</v>
      </c>
      <c r="C224" s="574" t="s">
        <v>5566</v>
      </c>
      <c r="D224" s="582">
        <v>10.86</v>
      </c>
    </row>
    <row r="225" spans="1:4" x14ac:dyDescent="0.2">
      <c r="A225" s="574">
        <v>41083</v>
      </c>
      <c r="B225" s="574" t="s">
        <v>5763</v>
      </c>
      <c r="C225" s="574" t="s">
        <v>5755</v>
      </c>
      <c r="D225" s="583">
        <v>1900.29</v>
      </c>
    </row>
    <row r="226" spans="1:4" x14ac:dyDescent="0.2">
      <c r="A226" s="574">
        <v>252</v>
      </c>
      <c r="B226" s="574" t="s">
        <v>5764</v>
      </c>
      <c r="C226" s="574" t="s">
        <v>5566</v>
      </c>
      <c r="D226" s="582">
        <v>11.53</v>
      </c>
    </row>
    <row r="227" spans="1:4" x14ac:dyDescent="0.2">
      <c r="A227" s="574">
        <v>40909</v>
      </c>
      <c r="B227" s="574" t="s">
        <v>5765</v>
      </c>
      <c r="C227" s="574" t="s">
        <v>5755</v>
      </c>
      <c r="D227" s="583">
        <v>2017.6</v>
      </c>
    </row>
    <row r="228" spans="1:4" x14ac:dyDescent="0.2">
      <c r="A228" s="574">
        <v>242</v>
      </c>
      <c r="B228" s="574" t="s">
        <v>5766</v>
      </c>
      <c r="C228" s="574" t="s">
        <v>5566</v>
      </c>
      <c r="D228" s="582">
        <v>15.61</v>
      </c>
    </row>
    <row r="229" spans="1:4" x14ac:dyDescent="0.2">
      <c r="A229" s="574">
        <v>41085</v>
      </c>
      <c r="B229" s="574" t="s">
        <v>5767</v>
      </c>
      <c r="C229" s="574" t="s">
        <v>5755</v>
      </c>
      <c r="D229" s="583">
        <v>2733.43</v>
      </c>
    </row>
    <row r="230" spans="1:4" x14ac:dyDescent="0.2">
      <c r="A230" s="574">
        <v>427</v>
      </c>
      <c r="B230" s="574" t="s">
        <v>5768</v>
      </c>
      <c r="C230" s="574" t="s">
        <v>5555</v>
      </c>
      <c r="D230" s="582">
        <v>4.8899999999999997</v>
      </c>
    </row>
    <row r="231" spans="1:4" x14ac:dyDescent="0.2">
      <c r="A231" s="574">
        <v>417</v>
      </c>
      <c r="B231" s="574" t="s">
        <v>5769</v>
      </c>
      <c r="C231" s="574" t="s">
        <v>5555</v>
      </c>
      <c r="D231" s="582">
        <v>2.2999999999999998</v>
      </c>
    </row>
    <row r="232" spans="1:4" x14ac:dyDescent="0.2">
      <c r="A232" s="574">
        <v>11273</v>
      </c>
      <c r="B232" s="574" t="s">
        <v>5770</v>
      </c>
      <c r="C232" s="574" t="s">
        <v>5555</v>
      </c>
      <c r="D232" s="582">
        <v>7.15</v>
      </c>
    </row>
    <row r="233" spans="1:4" x14ac:dyDescent="0.2">
      <c r="A233" s="574">
        <v>11272</v>
      </c>
      <c r="B233" s="574" t="s">
        <v>5771</v>
      </c>
      <c r="C233" s="574" t="s">
        <v>5555</v>
      </c>
      <c r="D233" s="582">
        <v>4.3099999999999996</v>
      </c>
    </row>
    <row r="234" spans="1:4" x14ac:dyDescent="0.2">
      <c r="A234" s="574">
        <v>11275</v>
      </c>
      <c r="B234" s="574" t="s">
        <v>5772</v>
      </c>
      <c r="C234" s="574" t="s">
        <v>5555</v>
      </c>
      <c r="D234" s="582">
        <v>1.73</v>
      </c>
    </row>
    <row r="235" spans="1:4" x14ac:dyDescent="0.2">
      <c r="A235" s="574">
        <v>11274</v>
      </c>
      <c r="B235" s="574" t="s">
        <v>5773</v>
      </c>
      <c r="C235" s="574" t="s">
        <v>5555</v>
      </c>
      <c r="D235" s="582">
        <v>1.32</v>
      </c>
    </row>
    <row r="236" spans="1:4" x14ac:dyDescent="0.2">
      <c r="A236" s="574">
        <v>38470</v>
      </c>
      <c r="B236" s="574" t="s">
        <v>5774</v>
      </c>
      <c r="C236" s="574" t="s">
        <v>5555</v>
      </c>
      <c r="D236" s="582">
        <v>31.58</v>
      </c>
    </row>
    <row r="237" spans="1:4" x14ac:dyDescent="0.2">
      <c r="A237" s="574">
        <v>38547</v>
      </c>
      <c r="B237" s="574" t="s">
        <v>5775</v>
      </c>
      <c r="C237" s="574" t="s">
        <v>5555</v>
      </c>
      <c r="D237" s="582">
        <v>86.17</v>
      </c>
    </row>
    <row r="238" spans="1:4" x14ac:dyDescent="0.2">
      <c r="A238" s="574">
        <v>38469</v>
      </c>
      <c r="B238" s="574" t="s">
        <v>5776</v>
      </c>
      <c r="C238" s="574" t="s">
        <v>5555</v>
      </c>
      <c r="D238" s="582">
        <v>92.66</v>
      </c>
    </row>
    <row r="239" spans="1:4" x14ac:dyDescent="0.2">
      <c r="A239" s="574">
        <v>38467</v>
      </c>
      <c r="B239" s="574" t="s">
        <v>5777</v>
      </c>
      <c r="C239" s="574" t="s">
        <v>5555</v>
      </c>
      <c r="D239" s="582">
        <v>52.14</v>
      </c>
    </row>
    <row r="240" spans="1:4" x14ac:dyDescent="0.2">
      <c r="A240" s="574">
        <v>38468</v>
      </c>
      <c r="B240" s="574" t="s">
        <v>5778</v>
      </c>
      <c r="C240" s="574" t="s">
        <v>5555</v>
      </c>
      <c r="D240" s="582">
        <v>57.37</v>
      </c>
    </row>
    <row r="241" spans="1:4" x14ac:dyDescent="0.2">
      <c r="A241" s="574">
        <v>38471</v>
      </c>
      <c r="B241" s="574" t="s">
        <v>5779</v>
      </c>
      <c r="C241" s="574" t="s">
        <v>5555</v>
      </c>
      <c r="D241" s="582">
        <v>74.5</v>
      </c>
    </row>
    <row r="242" spans="1:4" x14ac:dyDescent="0.2">
      <c r="A242" s="574">
        <v>37370</v>
      </c>
      <c r="B242" s="574" t="s">
        <v>5780</v>
      </c>
      <c r="C242" s="574" t="s">
        <v>5566</v>
      </c>
      <c r="D242" s="582">
        <v>2.31</v>
      </c>
    </row>
    <row r="243" spans="1:4" x14ac:dyDescent="0.2">
      <c r="A243" s="574">
        <v>40862</v>
      </c>
      <c r="B243" s="574" t="s">
        <v>5781</v>
      </c>
      <c r="C243" s="574" t="s">
        <v>5755</v>
      </c>
      <c r="D243" s="582">
        <v>435.82</v>
      </c>
    </row>
    <row r="244" spans="1:4" x14ac:dyDescent="0.2">
      <c r="A244" s="574">
        <v>10658</v>
      </c>
      <c r="B244" s="574" t="s">
        <v>5782</v>
      </c>
      <c r="C244" s="574" t="s">
        <v>5555</v>
      </c>
      <c r="D244" s="583">
        <v>6945</v>
      </c>
    </row>
    <row r="245" spans="1:4" x14ac:dyDescent="0.2">
      <c r="A245" s="574">
        <v>253</v>
      </c>
      <c r="B245" s="574" t="s">
        <v>5783</v>
      </c>
      <c r="C245" s="574" t="s">
        <v>5566</v>
      </c>
      <c r="D245" s="582">
        <v>15.06</v>
      </c>
    </row>
    <row r="246" spans="1:4" x14ac:dyDescent="0.2">
      <c r="A246" s="574">
        <v>40809</v>
      </c>
      <c r="B246" s="574" t="s">
        <v>5784</v>
      </c>
      <c r="C246" s="574" t="s">
        <v>5755</v>
      </c>
      <c r="D246" s="583">
        <v>2632.63</v>
      </c>
    </row>
    <row r="247" spans="1:4" x14ac:dyDescent="0.2">
      <c r="A247" s="574">
        <v>42428</v>
      </c>
      <c r="B247" s="574" t="s">
        <v>5785</v>
      </c>
      <c r="C247" s="574" t="s">
        <v>5555</v>
      </c>
      <c r="D247" s="583">
        <v>1264</v>
      </c>
    </row>
    <row r="248" spans="1:4" x14ac:dyDescent="0.2">
      <c r="A248" s="574">
        <v>583</v>
      </c>
      <c r="B248" s="574" t="s">
        <v>5786</v>
      </c>
      <c r="C248" s="574" t="s">
        <v>5626</v>
      </c>
      <c r="D248" s="582">
        <v>29.21</v>
      </c>
    </row>
    <row r="249" spans="1:4" x14ac:dyDescent="0.2">
      <c r="A249" s="574">
        <v>299</v>
      </c>
      <c r="B249" s="574" t="s">
        <v>5787</v>
      </c>
      <c r="C249" s="574" t="s">
        <v>5555</v>
      </c>
      <c r="D249" s="582">
        <v>2.27</v>
      </c>
    </row>
    <row r="250" spans="1:4" x14ac:dyDescent="0.2">
      <c r="A250" s="574">
        <v>298</v>
      </c>
      <c r="B250" s="574" t="s">
        <v>5788</v>
      </c>
      <c r="C250" s="574" t="s">
        <v>5555</v>
      </c>
      <c r="D250" s="582">
        <v>2.2799999999999998</v>
      </c>
    </row>
    <row r="251" spans="1:4" x14ac:dyDescent="0.2">
      <c r="A251" s="574">
        <v>295</v>
      </c>
      <c r="B251" s="574" t="s">
        <v>5789</v>
      </c>
      <c r="C251" s="574" t="s">
        <v>5555</v>
      </c>
      <c r="D251" s="582">
        <v>1.36</v>
      </c>
    </row>
    <row r="252" spans="1:4" x14ac:dyDescent="0.2">
      <c r="A252" s="574">
        <v>296</v>
      </c>
      <c r="B252" s="574" t="s">
        <v>5790</v>
      </c>
      <c r="C252" s="574" t="s">
        <v>5555</v>
      </c>
      <c r="D252" s="582">
        <v>1.41</v>
      </c>
    </row>
    <row r="253" spans="1:4" x14ac:dyDescent="0.2">
      <c r="A253" s="574">
        <v>297</v>
      </c>
      <c r="B253" s="574" t="s">
        <v>5791</v>
      </c>
      <c r="C253" s="574" t="s">
        <v>5555</v>
      </c>
      <c r="D253" s="582">
        <v>1.99</v>
      </c>
    </row>
    <row r="254" spans="1:4" x14ac:dyDescent="0.2">
      <c r="A254" s="574">
        <v>301</v>
      </c>
      <c r="B254" s="574" t="s">
        <v>5792</v>
      </c>
      <c r="C254" s="574" t="s">
        <v>5555</v>
      </c>
      <c r="D254" s="582">
        <v>2.5</v>
      </c>
    </row>
    <row r="255" spans="1:4" x14ac:dyDescent="0.2">
      <c r="A255" s="574">
        <v>300</v>
      </c>
      <c r="B255" s="574" t="s">
        <v>5793</v>
      </c>
      <c r="C255" s="574" t="s">
        <v>5555</v>
      </c>
      <c r="D255" s="582">
        <v>10.5</v>
      </c>
    </row>
    <row r="256" spans="1:4" x14ac:dyDescent="0.2">
      <c r="A256" s="574">
        <v>20084</v>
      </c>
      <c r="B256" s="574" t="s">
        <v>5794</v>
      </c>
      <c r="C256" s="574" t="s">
        <v>5555</v>
      </c>
      <c r="D256" s="582">
        <v>1.36</v>
      </c>
    </row>
    <row r="257" spans="1:4" x14ac:dyDescent="0.2">
      <c r="A257" s="574">
        <v>20085</v>
      </c>
      <c r="B257" s="574" t="s">
        <v>5795</v>
      </c>
      <c r="C257" s="574" t="s">
        <v>5555</v>
      </c>
      <c r="D257" s="582">
        <v>1.26</v>
      </c>
    </row>
    <row r="258" spans="1:4" x14ac:dyDescent="0.2">
      <c r="A258" s="574">
        <v>311</v>
      </c>
      <c r="B258" s="574" t="s">
        <v>5796</v>
      </c>
      <c r="C258" s="574" t="s">
        <v>5555</v>
      </c>
      <c r="D258" s="582">
        <v>8.1300000000000008</v>
      </c>
    </row>
    <row r="259" spans="1:4" x14ac:dyDescent="0.2">
      <c r="A259" s="574">
        <v>318</v>
      </c>
      <c r="B259" s="574" t="s">
        <v>5797</v>
      </c>
      <c r="C259" s="574" t="s">
        <v>5555</v>
      </c>
      <c r="D259" s="582">
        <v>14.24</v>
      </c>
    </row>
    <row r="260" spans="1:4" x14ac:dyDescent="0.2">
      <c r="A260" s="574">
        <v>319</v>
      </c>
      <c r="B260" s="574" t="s">
        <v>5798</v>
      </c>
      <c r="C260" s="574" t="s">
        <v>5555</v>
      </c>
      <c r="D260" s="582">
        <v>26.89</v>
      </c>
    </row>
    <row r="261" spans="1:4" x14ac:dyDescent="0.2">
      <c r="A261" s="574">
        <v>320</v>
      </c>
      <c r="B261" s="574" t="s">
        <v>5799</v>
      </c>
      <c r="C261" s="574" t="s">
        <v>5555</v>
      </c>
      <c r="D261" s="582">
        <v>85.49</v>
      </c>
    </row>
    <row r="262" spans="1:4" x14ac:dyDescent="0.2">
      <c r="A262" s="574">
        <v>314</v>
      </c>
      <c r="B262" s="574" t="s">
        <v>5800</v>
      </c>
      <c r="C262" s="574" t="s">
        <v>5555</v>
      </c>
      <c r="D262" s="582">
        <v>131.31</v>
      </c>
    </row>
    <row r="263" spans="1:4" x14ac:dyDescent="0.2">
      <c r="A263" s="574">
        <v>303</v>
      </c>
      <c r="B263" s="574" t="s">
        <v>5801</v>
      </c>
      <c r="C263" s="574" t="s">
        <v>5555</v>
      </c>
      <c r="D263" s="582">
        <v>3.4</v>
      </c>
    </row>
    <row r="264" spans="1:4" x14ac:dyDescent="0.2">
      <c r="A264" s="574">
        <v>304</v>
      </c>
      <c r="B264" s="574" t="s">
        <v>5802</v>
      </c>
      <c r="C264" s="574" t="s">
        <v>5555</v>
      </c>
      <c r="D264" s="582">
        <v>5.2</v>
      </c>
    </row>
    <row r="265" spans="1:4" x14ac:dyDescent="0.2">
      <c r="A265" s="574">
        <v>305</v>
      </c>
      <c r="B265" s="574" t="s">
        <v>5803</v>
      </c>
      <c r="C265" s="574" t="s">
        <v>5555</v>
      </c>
      <c r="D265" s="582">
        <v>8.8800000000000008</v>
      </c>
    </row>
    <row r="266" spans="1:4" x14ac:dyDescent="0.2">
      <c r="A266" s="574">
        <v>306</v>
      </c>
      <c r="B266" s="574" t="s">
        <v>5804</v>
      </c>
      <c r="C266" s="574" t="s">
        <v>5555</v>
      </c>
      <c r="D266" s="582">
        <v>10.68</v>
      </c>
    </row>
    <row r="267" spans="1:4" x14ac:dyDescent="0.2">
      <c r="A267" s="574">
        <v>307</v>
      </c>
      <c r="B267" s="574" t="s">
        <v>5805</v>
      </c>
      <c r="C267" s="574" t="s">
        <v>5555</v>
      </c>
      <c r="D267" s="582">
        <v>21.08</v>
      </c>
    </row>
    <row r="268" spans="1:4" x14ac:dyDescent="0.2">
      <c r="A268" s="574">
        <v>309</v>
      </c>
      <c r="B268" s="574" t="s">
        <v>5806</v>
      </c>
      <c r="C268" s="574" t="s">
        <v>5555</v>
      </c>
      <c r="D268" s="582">
        <v>43.2</v>
      </c>
    </row>
    <row r="269" spans="1:4" x14ac:dyDescent="0.2">
      <c r="A269" s="574">
        <v>310</v>
      </c>
      <c r="B269" s="574" t="s">
        <v>5807</v>
      </c>
      <c r="C269" s="574" t="s">
        <v>5555</v>
      </c>
      <c r="D269" s="582">
        <v>54.79</v>
      </c>
    </row>
    <row r="270" spans="1:4" x14ac:dyDescent="0.2">
      <c r="A270" s="574">
        <v>328</v>
      </c>
      <c r="B270" s="574" t="s">
        <v>5808</v>
      </c>
      <c r="C270" s="574" t="s">
        <v>5555</v>
      </c>
      <c r="D270" s="582">
        <v>6.54</v>
      </c>
    </row>
    <row r="271" spans="1:4" x14ac:dyDescent="0.2">
      <c r="A271" s="574">
        <v>325</v>
      </c>
      <c r="B271" s="574" t="s">
        <v>5809</v>
      </c>
      <c r="C271" s="574" t="s">
        <v>5555</v>
      </c>
      <c r="D271" s="582">
        <v>2.5299999999999998</v>
      </c>
    </row>
    <row r="272" spans="1:4" x14ac:dyDescent="0.2">
      <c r="A272" s="574">
        <v>20326</v>
      </c>
      <c r="B272" s="574" t="s">
        <v>5810</v>
      </c>
      <c r="C272" s="574" t="s">
        <v>5555</v>
      </c>
      <c r="D272" s="582">
        <v>6.79</v>
      </c>
    </row>
    <row r="273" spans="1:4" x14ac:dyDescent="0.2">
      <c r="A273" s="574">
        <v>329</v>
      </c>
      <c r="B273" s="574" t="s">
        <v>5811</v>
      </c>
      <c r="C273" s="574" t="s">
        <v>5555</v>
      </c>
      <c r="D273" s="582">
        <v>8.35</v>
      </c>
    </row>
    <row r="274" spans="1:4" x14ac:dyDescent="0.2">
      <c r="A274" s="574">
        <v>308</v>
      </c>
      <c r="B274" s="574" t="s">
        <v>5812</v>
      </c>
      <c r="C274" s="574" t="s">
        <v>5555</v>
      </c>
      <c r="D274" s="582">
        <v>28.15</v>
      </c>
    </row>
    <row r="275" spans="1:4" x14ac:dyDescent="0.2">
      <c r="A275" s="574">
        <v>39642</v>
      </c>
      <c r="B275" s="574" t="s">
        <v>5813</v>
      </c>
      <c r="C275" s="574" t="s">
        <v>5555</v>
      </c>
      <c r="D275" s="582">
        <v>1.71</v>
      </c>
    </row>
    <row r="276" spans="1:4" x14ac:dyDescent="0.2">
      <c r="A276" s="574">
        <v>39641</v>
      </c>
      <c r="B276" s="574" t="s">
        <v>5814</v>
      </c>
      <c r="C276" s="574" t="s">
        <v>5555</v>
      </c>
      <c r="D276" s="582">
        <v>1.19</v>
      </c>
    </row>
    <row r="277" spans="1:4" x14ac:dyDescent="0.2">
      <c r="A277" s="574">
        <v>39643</v>
      </c>
      <c r="B277" s="574" t="s">
        <v>5815</v>
      </c>
      <c r="C277" s="574" t="s">
        <v>5555</v>
      </c>
      <c r="D277" s="582">
        <v>4.75</v>
      </c>
    </row>
    <row r="278" spans="1:4" x14ac:dyDescent="0.2">
      <c r="A278" s="574">
        <v>39644</v>
      </c>
      <c r="B278" s="574" t="s">
        <v>5816</v>
      </c>
      <c r="C278" s="574" t="s">
        <v>5555</v>
      </c>
      <c r="D278" s="582">
        <v>6.13</v>
      </c>
    </row>
    <row r="279" spans="1:4" x14ac:dyDescent="0.2">
      <c r="A279" s="574">
        <v>39645</v>
      </c>
      <c r="B279" s="574" t="s">
        <v>5817</v>
      </c>
      <c r="C279" s="574" t="s">
        <v>5555</v>
      </c>
      <c r="D279" s="582">
        <v>7.92</v>
      </c>
    </row>
    <row r="280" spans="1:4" x14ac:dyDescent="0.2">
      <c r="A280" s="574">
        <v>41610</v>
      </c>
      <c r="B280" s="574" t="s">
        <v>13406</v>
      </c>
      <c r="C280" s="574" t="s">
        <v>5555</v>
      </c>
      <c r="D280" s="582">
        <v>370.42</v>
      </c>
    </row>
    <row r="281" spans="1:4" x14ac:dyDescent="0.2">
      <c r="A281" s="574">
        <v>41611</v>
      </c>
      <c r="B281" s="574" t="s">
        <v>13407</v>
      </c>
      <c r="C281" s="574" t="s">
        <v>5555</v>
      </c>
      <c r="D281" s="582">
        <v>583.86</v>
      </c>
    </row>
    <row r="282" spans="1:4" x14ac:dyDescent="0.2">
      <c r="A282" s="574">
        <v>41612</v>
      </c>
      <c r="B282" s="574" t="s">
        <v>13408</v>
      </c>
      <c r="C282" s="574" t="s">
        <v>5555</v>
      </c>
      <c r="D282" s="582">
        <v>819.83</v>
      </c>
    </row>
    <row r="283" spans="1:4" x14ac:dyDescent="0.2">
      <c r="A283" s="574">
        <v>41637</v>
      </c>
      <c r="B283" s="574" t="s">
        <v>13409</v>
      </c>
      <c r="C283" s="574" t="s">
        <v>5555</v>
      </c>
      <c r="D283" s="582">
        <v>76.63</v>
      </c>
    </row>
    <row r="284" spans="1:4" x14ac:dyDescent="0.2">
      <c r="A284" s="574">
        <v>41638</v>
      </c>
      <c r="B284" s="574" t="s">
        <v>13410</v>
      </c>
      <c r="C284" s="574" t="s">
        <v>5555</v>
      </c>
      <c r="D284" s="582">
        <v>99.83</v>
      </c>
    </row>
    <row r="285" spans="1:4" x14ac:dyDescent="0.2">
      <c r="A285" s="574">
        <v>41639</v>
      </c>
      <c r="B285" s="574" t="s">
        <v>13411</v>
      </c>
      <c r="C285" s="574" t="s">
        <v>5555</v>
      </c>
      <c r="D285" s="582">
        <v>241.51</v>
      </c>
    </row>
    <row r="286" spans="1:4" x14ac:dyDescent="0.2">
      <c r="A286" s="574">
        <v>11789</v>
      </c>
      <c r="B286" s="574" t="s">
        <v>5833</v>
      </c>
      <c r="C286" s="574" t="s">
        <v>5555</v>
      </c>
      <c r="D286" s="582">
        <v>0.65</v>
      </c>
    </row>
    <row r="287" spans="1:4" x14ac:dyDescent="0.2">
      <c r="A287" s="574">
        <v>20975</v>
      </c>
      <c r="B287" s="574" t="s">
        <v>5834</v>
      </c>
      <c r="C287" s="574" t="s">
        <v>5555</v>
      </c>
      <c r="D287" s="582">
        <v>8.65</v>
      </c>
    </row>
    <row r="288" spans="1:4" x14ac:dyDescent="0.2">
      <c r="A288" s="574">
        <v>20976</v>
      </c>
      <c r="B288" s="574" t="s">
        <v>5835</v>
      </c>
      <c r="C288" s="574" t="s">
        <v>5555</v>
      </c>
      <c r="D288" s="582">
        <v>13.07</v>
      </c>
    </row>
    <row r="289" spans="1:4" x14ac:dyDescent="0.2">
      <c r="A289" s="574">
        <v>40340</v>
      </c>
      <c r="B289" s="574" t="s">
        <v>5836</v>
      </c>
      <c r="C289" s="574" t="s">
        <v>5555</v>
      </c>
      <c r="D289" s="582">
        <v>66.2</v>
      </c>
    </row>
    <row r="290" spans="1:4" x14ac:dyDescent="0.2">
      <c r="A290" s="574">
        <v>40341</v>
      </c>
      <c r="B290" s="574" t="s">
        <v>5837</v>
      </c>
      <c r="C290" s="574" t="s">
        <v>5555</v>
      </c>
      <c r="D290" s="582">
        <v>78.39</v>
      </c>
    </row>
    <row r="291" spans="1:4" x14ac:dyDescent="0.2">
      <c r="A291" s="574">
        <v>40342</v>
      </c>
      <c r="B291" s="574" t="s">
        <v>5838</v>
      </c>
      <c r="C291" s="574" t="s">
        <v>5555</v>
      </c>
      <c r="D291" s="582">
        <v>99.38</v>
      </c>
    </row>
    <row r="292" spans="1:4" x14ac:dyDescent="0.2">
      <c r="A292" s="574">
        <v>40343</v>
      </c>
      <c r="B292" s="574" t="s">
        <v>5839</v>
      </c>
      <c r="C292" s="574" t="s">
        <v>5555</v>
      </c>
      <c r="D292" s="582">
        <v>121.92</v>
      </c>
    </row>
    <row r="293" spans="1:4" x14ac:dyDescent="0.2">
      <c r="A293" s="574">
        <v>40344</v>
      </c>
      <c r="B293" s="574" t="s">
        <v>5840</v>
      </c>
      <c r="C293" s="574" t="s">
        <v>5555</v>
      </c>
      <c r="D293" s="582">
        <v>128.91</v>
      </c>
    </row>
    <row r="294" spans="1:4" x14ac:dyDescent="0.2">
      <c r="A294" s="574">
        <v>40345</v>
      </c>
      <c r="B294" s="574" t="s">
        <v>5841</v>
      </c>
      <c r="C294" s="574" t="s">
        <v>5555</v>
      </c>
      <c r="D294" s="582">
        <v>160.94999999999999</v>
      </c>
    </row>
    <row r="295" spans="1:4" x14ac:dyDescent="0.2">
      <c r="A295" s="574">
        <v>40346</v>
      </c>
      <c r="B295" s="574" t="s">
        <v>5842</v>
      </c>
      <c r="C295" s="574" t="s">
        <v>5555</v>
      </c>
      <c r="D295" s="582">
        <v>151.41</v>
      </c>
    </row>
    <row r="296" spans="1:4" x14ac:dyDescent="0.2">
      <c r="A296" s="574">
        <v>40347</v>
      </c>
      <c r="B296" s="574" t="s">
        <v>5843</v>
      </c>
      <c r="C296" s="574" t="s">
        <v>5555</v>
      </c>
      <c r="D296" s="582">
        <v>187.21</v>
      </c>
    </row>
    <row r="297" spans="1:4" x14ac:dyDescent="0.2">
      <c r="A297" s="574">
        <v>38840</v>
      </c>
      <c r="B297" s="574" t="s">
        <v>5844</v>
      </c>
      <c r="C297" s="574" t="s">
        <v>5555</v>
      </c>
      <c r="D297" s="582">
        <v>2.09</v>
      </c>
    </row>
    <row r="298" spans="1:4" x14ac:dyDescent="0.2">
      <c r="A298" s="574">
        <v>38841</v>
      </c>
      <c r="B298" s="574" t="s">
        <v>5845</v>
      </c>
      <c r="C298" s="574" t="s">
        <v>5555</v>
      </c>
      <c r="D298" s="582">
        <v>2.3199999999999998</v>
      </c>
    </row>
    <row r="299" spans="1:4" x14ac:dyDescent="0.2">
      <c r="A299" s="574">
        <v>38842</v>
      </c>
      <c r="B299" s="574" t="s">
        <v>5846</v>
      </c>
      <c r="C299" s="574" t="s">
        <v>5555</v>
      </c>
      <c r="D299" s="582">
        <v>4.59</v>
      </c>
    </row>
    <row r="300" spans="1:4" x14ac:dyDescent="0.2">
      <c r="A300" s="574">
        <v>38843</v>
      </c>
      <c r="B300" s="574" t="s">
        <v>5847</v>
      </c>
      <c r="C300" s="574" t="s">
        <v>5555</v>
      </c>
      <c r="D300" s="582">
        <v>7.17</v>
      </c>
    </row>
    <row r="301" spans="1:4" x14ac:dyDescent="0.2">
      <c r="A301" s="574">
        <v>43424</v>
      </c>
      <c r="B301" s="574" t="s">
        <v>13412</v>
      </c>
      <c r="C301" s="574" t="s">
        <v>5555</v>
      </c>
      <c r="D301" s="582">
        <v>310.35000000000002</v>
      </c>
    </row>
    <row r="302" spans="1:4" x14ac:dyDescent="0.2">
      <c r="A302" s="574">
        <v>43426</v>
      </c>
      <c r="B302" s="574" t="s">
        <v>13413</v>
      </c>
      <c r="C302" s="574" t="s">
        <v>5555</v>
      </c>
      <c r="D302" s="583">
        <v>1070.42</v>
      </c>
    </row>
    <row r="303" spans="1:4" x14ac:dyDescent="0.2">
      <c r="A303" s="574">
        <v>12565</v>
      </c>
      <c r="B303" s="574" t="s">
        <v>13414</v>
      </c>
      <c r="C303" s="574" t="s">
        <v>5555</v>
      </c>
      <c r="D303" s="582">
        <v>375.38</v>
      </c>
    </row>
    <row r="304" spans="1:4" x14ac:dyDescent="0.2">
      <c r="A304" s="574">
        <v>12567</v>
      </c>
      <c r="B304" s="574" t="s">
        <v>13415</v>
      </c>
      <c r="C304" s="574" t="s">
        <v>5555</v>
      </c>
      <c r="D304" s="582">
        <v>504.2</v>
      </c>
    </row>
    <row r="305" spans="1:4" x14ac:dyDescent="0.2">
      <c r="A305" s="574">
        <v>12568</v>
      </c>
      <c r="B305" s="574" t="s">
        <v>13416</v>
      </c>
      <c r="C305" s="574" t="s">
        <v>5555</v>
      </c>
      <c r="D305" s="582">
        <v>705.88</v>
      </c>
    </row>
    <row r="306" spans="1:4" x14ac:dyDescent="0.2">
      <c r="A306" s="574">
        <v>43441</v>
      </c>
      <c r="B306" s="574" t="s">
        <v>13417</v>
      </c>
      <c r="C306" s="574" t="s">
        <v>5555</v>
      </c>
      <c r="D306" s="582">
        <v>90.75</v>
      </c>
    </row>
    <row r="307" spans="1:4" x14ac:dyDescent="0.2">
      <c r="A307" s="574">
        <v>43423</v>
      </c>
      <c r="B307" s="574" t="s">
        <v>13418</v>
      </c>
      <c r="C307" s="574" t="s">
        <v>5555</v>
      </c>
      <c r="D307" s="582">
        <v>42.35</v>
      </c>
    </row>
    <row r="308" spans="1:4" x14ac:dyDescent="0.2">
      <c r="A308" s="574">
        <v>12532</v>
      </c>
      <c r="B308" s="574" t="s">
        <v>13419</v>
      </c>
      <c r="C308" s="574" t="s">
        <v>5555</v>
      </c>
      <c r="D308" s="582">
        <v>65.31</v>
      </c>
    </row>
    <row r="309" spans="1:4" x14ac:dyDescent="0.2">
      <c r="A309" s="574">
        <v>43444</v>
      </c>
      <c r="B309" s="574" t="s">
        <v>13420</v>
      </c>
      <c r="C309" s="574" t="s">
        <v>5555</v>
      </c>
      <c r="D309" s="582">
        <v>219.32</v>
      </c>
    </row>
    <row r="310" spans="1:4" x14ac:dyDescent="0.2">
      <c r="A310" s="574">
        <v>12551</v>
      </c>
      <c r="B310" s="574" t="s">
        <v>13421</v>
      </c>
      <c r="C310" s="574" t="s">
        <v>5555</v>
      </c>
      <c r="D310" s="582">
        <v>156.47999999999999</v>
      </c>
    </row>
    <row r="311" spans="1:4" x14ac:dyDescent="0.2">
      <c r="A311" s="574">
        <v>43442</v>
      </c>
      <c r="B311" s="574" t="s">
        <v>13422</v>
      </c>
      <c r="C311" s="574" t="s">
        <v>5555</v>
      </c>
      <c r="D311" s="582">
        <v>121</v>
      </c>
    </row>
    <row r="312" spans="1:4" x14ac:dyDescent="0.2">
      <c r="A312" s="574">
        <v>43443</v>
      </c>
      <c r="B312" s="574" t="s">
        <v>13423</v>
      </c>
      <c r="C312" s="574" t="s">
        <v>5555</v>
      </c>
      <c r="D312" s="582">
        <v>158.82</v>
      </c>
    </row>
    <row r="313" spans="1:4" x14ac:dyDescent="0.2">
      <c r="A313" s="574">
        <v>12544</v>
      </c>
      <c r="B313" s="574" t="s">
        <v>13424</v>
      </c>
      <c r="C313" s="574" t="s">
        <v>5555</v>
      </c>
      <c r="D313" s="582">
        <v>85.71</v>
      </c>
    </row>
    <row r="314" spans="1:4" x14ac:dyDescent="0.2">
      <c r="A314" s="574">
        <v>12547</v>
      </c>
      <c r="B314" s="574" t="s">
        <v>13425</v>
      </c>
      <c r="C314" s="574" t="s">
        <v>5555</v>
      </c>
      <c r="D314" s="582">
        <v>115.28</v>
      </c>
    </row>
    <row r="315" spans="1:4" x14ac:dyDescent="0.2">
      <c r="A315" s="574">
        <v>43445</v>
      </c>
      <c r="B315" s="574" t="s">
        <v>13426</v>
      </c>
      <c r="C315" s="574" t="s">
        <v>5555</v>
      </c>
      <c r="D315" s="582">
        <v>302.52</v>
      </c>
    </row>
    <row r="316" spans="1:4" x14ac:dyDescent="0.2">
      <c r="A316" s="574">
        <v>12563</v>
      </c>
      <c r="B316" s="574" t="s">
        <v>13427</v>
      </c>
      <c r="C316" s="574" t="s">
        <v>5555</v>
      </c>
      <c r="D316" s="582">
        <v>216.44</v>
      </c>
    </row>
    <row r="317" spans="1:4" x14ac:dyDescent="0.2">
      <c r="A317" s="574">
        <v>43425</v>
      </c>
      <c r="B317" s="574" t="s">
        <v>13428</v>
      </c>
      <c r="C317" s="574" t="s">
        <v>5555</v>
      </c>
      <c r="D317" s="582">
        <v>136.13</v>
      </c>
    </row>
    <row r="318" spans="1:4" x14ac:dyDescent="0.2">
      <c r="A318" s="574">
        <v>43446</v>
      </c>
      <c r="B318" s="574" t="s">
        <v>13429</v>
      </c>
      <c r="C318" s="574" t="s">
        <v>5555</v>
      </c>
      <c r="D318" s="582">
        <v>287.39</v>
      </c>
    </row>
    <row r="319" spans="1:4" x14ac:dyDescent="0.2">
      <c r="A319" s="574">
        <v>43447</v>
      </c>
      <c r="B319" s="574" t="s">
        <v>13430</v>
      </c>
      <c r="C319" s="574" t="s">
        <v>5555</v>
      </c>
      <c r="D319" s="582">
        <v>352.94</v>
      </c>
    </row>
    <row r="320" spans="1:4" x14ac:dyDescent="0.2">
      <c r="A320" s="574">
        <v>43448</v>
      </c>
      <c r="B320" s="574" t="s">
        <v>13431</v>
      </c>
      <c r="C320" s="574" t="s">
        <v>5555</v>
      </c>
      <c r="D320" s="582">
        <v>494.11</v>
      </c>
    </row>
    <row r="321" spans="1:4" x14ac:dyDescent="0.2">
      <c r="A321" s="574">
        <v>13761</v>
      </c>
      <c r="B321" s="574" t="s">
        <v>5848</v>
      </c>
      <c r="C321" s="574" t="s">
        <v>5555</v>
      </c>
      <c r="D321" s="583">
        <v>3311.79</v>
      </c>
    </row>
    <row r="322" spans="1:4" x14ac:dyDescent="0.2">
      <c r="A322" s="574">
        <v>12888</v>
      </c>
      <c r="B322" s="574" t="s">
        <v>5849</v>
      </c>
      <c r="C322" s="574" t="s">
        <v>5850</v>
      </c>
      <c r="D322" s="582">
        <v>96.72</v>
      </c>
    </row>
    <row r="323" spans="1:4" x14ac:dyDescent="0.2">
      <c r="A323" s="574">
        <v>12889</v>
      </c>
      <c r="B323" s="574" t="s">
        <v>5851</v>
      </c>
      <c r="C323" s="574" t="s">
        <v>5850</v>
      </c>
      <c r="D323" s="582">
        <v>63.16</v>
      </c>
    </row>
    <row r="324" spans="1:4" x14ac:dyDescent="0.2">
      <c r="A324" s="574">
        <v>4814</v>
      </c>
      <c r="B324" s="574" t="s">
        <v>5852</v>
      </c>
      <c r="C324" s="574" t="s">
        <v>5555</v>
      </c>
      <c r="D324" s="582">
        <v>77.38</v>
      </c>
    </row>
    <row r="325" spans="1:4" x14ac:dyDescent="0.2">
      <c r="A325" s="574">
        <v>25967</v>
      </c>
      <c r="B325" s="574" t="s">
        <v>5853</v>
      </c>
      <c r="C325" s="574" t="s">
        <v>5555</v>
      </c>
      <c r="D325" s="583">
        <v>1816.26</v>
      </c>
    </row>
    <row r="326" spans="1:4" x14ac:dyDescent="0.2">
      <c r="A326" s="574">
        <v>6122</v>
      </c>
      <c r="B326" s="574" t="s">
        <v>13432</v>
      </c>
      <c r="C326" s="574" t="s">
        <v>5566</v>
      </c>
      <c r="D326" s="582">
        <v>13.21</v>
      </c>
    </row>
    <row r="327" spans="1:4" x14ac:dyDescent="0.2">
      <c r="A327" s="574">
        <v>40810</v>
      </c>
      <c r="B327" s="574" t="s">
        <v>5855</v>
      </c>
      <c r="C327" s="574" t="s">
        <v>5755</v>
      </c>
      <c r="D327" s="583">
        <v>2310.4899999999998</v>
      </c>
    </row>
    <row r="328" spans="1:4" x14ac:dyDescent="0.2">
      <c r="A328" s="574">
        <v>21100</v>
      </c>
      <c r="B328" s="574" t="s">
        <v>5856</v>
      </c>
      <c r="C328" s="574" t="s">
        <v>5555</v>
      </c>
      <c r="D328" s="583">
        <v>2506.8200000000002</v>
      </c>
    </row>
    <row r="329" spans="1:4" x14ac:dyDescent="0.2">
      <c r="A329" s="574">
        <v>11816</v>
      </c>
      <c r="B329" s="574" t="s">
        <v>5857</v>
      </c>
      <c r="C329" s="574" t="s">
        <v>5555</v>
      </c>
      <c r="D329" s="583">
        <v>2673</v>
      </c>
    </row>
    <row r="330" spans="1:4" x14ac:dyDescent="0.2">
      <c r="A330" s="574">
        <v>11814</v>
      </c>
      <c r="B330" s="574" t="s">
        <v>5858</v>
      </c>
      <c r="C330" s="574" t="s">
        <v>5555</v>
      </c>
      <c r="D330" s="583">
        <v>5818.45</v>
      </c>
    </row>
    <row r="331" spans="1:4" x14ac:dyDescent="0.2">
      <c r="A331" s="574">
        <v>14186</v>
      </c>
      <c r="B331" s="574" t="s">
        <v>5859</v>
      </c>
      <c r="C331" s="574" t="s">
        <v>5555</v>
      </c>
      <c r="D331" s="583">
        <v>7305.85</v>
      </c>
    </row>
    <row r="332" spans="1:4" x14ac:dyDescent="0.2">
      <c r="A332" s="574">
        <v>14185</v>
      </c>
      <c r="B332" s="574" t="s">
        <v>5860</v>
      </c>
      <c r="C332" s="574" t="s">
        <v>5555</v>
      </c>
      <c r="D332" s="583">
        <v>9463.92</v>
      </c>
    </row>
    <row r="333" spans="1:4" x14ac:dyDescent="0.2">
      <c r="A333" s="574">
        <v>11811</v>
      </c>
      <c r="B333" s="574" t="s">
        <v>5861</v>
      </c>
      <c r="C333" s="574" t="s">
        <v>5555</v>
      </c>
      <c r="D333" s="583">
        <v>3618.64</v>
      </c>
    </row>
    <row r="334" spans="1:4" x14ac:dyDescent="0.2">
      <c r="A334" s="574">
        <v>26038</v>
      </c>
      <c r="B334" s="574" t="s">
        <v>5862</v>
      </c>
      <c r="C334" s="574" t="s">
        <v>5555</v>
      </c>
      <c r="D334" s="583">
        <v>202992.51</v>
      </c>
    </row>
    <row r="335" spans="1:4" x14ac:dyDescent="0.2">
      <c r="A335" s="574">
        <v>34482</v>
      </c>
      <c r="B335" s="574" t="s">
        <v>5863</v>
      </c>
      <c r="C335" s="574" t="s">
        <v>5555</v>
      </c>
      <c r="D335" s="583">
        <v>5042.8100000000004</v>
      </c>
    </row>
    <row r="336" spans="1:4" x14ac:dyDescent="0.2">
      <c r="A336" s="574">
        <v>34469</v>
      </c>
      <c r="B336" s="574" t="s">
        <v>5864</v>
      </c>
      <c r="C336" s="574" t="s">
        <v>5555</v>
      </c>
      <c r="D336" s="583">
        <v>7800.6</v>
      </c>
    </row>
    <row r="337" spans="1:4" x14ac:dyDescent="0.2">
      <c r="A337" s="574">
        <v>34472</v>
      </c>
      <c r="B337" s="574" t="s">
        <v>5865</v>
      </c>
      <c r="C337" s="574" t="s">
        <v>5555</v>
      </c>
      <c r="D337" s="583">
        <v>2400</v>
      </c>
    </row>
    <row r="338" spans="1:4" x14ac:dyDescent="0.2">
      <c r="A338" s="574">
        <v>34476</v>
      </c>
      <c r="B338" s="574" t="s">
        <v>5866</v>
      </c>
      <c r="C338" s="574" t="s">
        <v>5555</v>
      </c>
      <c r="D338" s="583">
        <v>4068.34</v>
      </c>
    </row>
    <row r="339" spans="1:4" x14ac:dyDescent="0.2">
      <c r="A339" s="574">
        <v>34477</v>
      </c>
      <c r="B339" s="574" t="s">
        <v>5867</v>
      </c>
      <c r="C339" s="574" t="s">
        <v>5555</v>
      </c>
      <c r="D339" s="583">
        <v>5399.47</v>
      </c>
    </row>
    <row r="340" spans="1:4" x14ac:dyDescent="0.2">
      <c r="A340" s="574">
        <v>42425</v>
      </c>
      <c r="B340" s="574" t="s">
        <v>5868</v>
      </c>
      <c r="C340" s="574" t="s">
        <v>5555</v>
      </c>
      <c r="D340" s="583">
        <v>1690.76</v>
      </c>
    </row>
    <row r="341" spans="1:4" x14ac:dyDescent="0.2">
      <c r="A341" s="574">
        <v>42422</v>
      </c>
      <c r="B341" s="574" t="s">
        <v>5869</v>
      </c>
      <c r="C341" s="574" t="s">
        <v>5555</v>
      </c>
      <c r="D341" s="583">
        <v>2510</v>
      </c>
    </row>
    <row r="342" spans="1:4" x14ac:dyDescent="0.2">
      <c r="A342" s="574">
        <v>43184</v>
      </c>
      <c r="B342" s="574" t="s">
        <v>13433</v>
      </c>
      <c r="C342" s="574" t="s">
        <v>5555</v>
      </c>
      <c r="D342" s="583">
        <v>3469.06</v>
      </c>
    </row>
    <row r="343" spans="1:4" x14ac:dyDescent="0.2">
      <c r="A343" s="574">
        <v>42424</v>
      </c>
      <c r="B343" s="574" t="s">
        <v>5870</v>
      </c>
      <c r="C343" s="574" t="s">
        <v>5555</v>
      </c>
      <c r="D343" s="583">
        <v>1510</v>
      </c>
    </row>
    <row r="344" spans="1:4" x14ac:dyDescent="0.2">
      <c r="A344" s="574">
        <v>42421</v>
      </c>
      <c r="B344" s="574" t="s">
        <v>13434</v>
      </c>
      <c r="C344" s="574" t="s">
        <v>5555</v>
      </c>
      <c r="D344" s="583">
        <v>13748.4</v>
      </c>
    </row>
    <row r="345" spans="1:4" x14ac:dyDescent="0.2">
      <c r="A345" s="574">
        <v>42416</v>
      </c>
      <c r="B345" s="574" t="s">
        <v>5871</v>
      </c>
      <c r="C345" s="574" t="s">
        <v>5555</v>
      </c>
      <c r="D345" s="583">
        <v>6509.44</v>
      </c>
    </row>
    <row r="346" spans="1:4" x14ac:dyDescent="0.2">
      <c r="A346" s="574">
        <v>42417</v>
      </c>
      <c r="B346" s="574" t="s">
        <v>5872</v>
      </c>
      <c r="C346" s="574" t="s">
        <v>5555</v>
      </c>
      <c r="D346" s="583">
        <v>7297.62</v>
      </c>
    </row>
    <row r="347" spans="1:4" x14ac:dyDescent="0.2">
      <c r="A347" s="574">
        <v>42419</v>
      </c>
      <c r="B347" s="574" t="s">
        <v>5873</v>
      </c>
      <c r="C347" s="574" t="s">
        <v>5555</v>
      </c>
      <c r="D347" s="583">
        <v>8244.76</v>
      </c>
    </row>
    <row r="348" spans="1:4" x14ac:dyDescent="0.2">
      <c r="A348" s="574">
        <v>42420</v>
      </c>
      <c r="B348" s="574" t="s">
        <v>5874</v>
      </c>
      <c r="C348" s="574" t="s">
        <v>5555</v>
      </c>
      <c r="D348" s="583">
        <v>11331.81</v>
      </c>
    </row>
    <row r="349" spans="1:4" x14ac:dyDescent="0.2">
      <c r="A349" s="574">
        <v>43195</v>
      </c>
      <c r="B349" s="574" t="s">
        <v>13435</v>
      </c>
      <c r="C349" s="574" t="s">
        <v>5555</v>
      </c>
      <c r="D349" s="583">
        <v>3990.09</v>
      </c>
    </row>
    <row r="350" spans="1:4" x14ac:dyDescent="0.2">
      <c r="A350" s="574">
        <v>43196</v>
      </c>
      <c r="B350" s="574" t="s">
        <v>13436</v>
      </c>
      <c r="C350" s="574" t="s">
        <v>5555</v>
      </c>
      <c r="D350" s="583">
        <v>4945.1400000000003</v>
      </c>
    </row>
    <row r="351" spans="1:4" x14ac:dyDescent="0.2">
      <c r="A351" s="574">
        <v>43198</v>
      </c>
      <c r="B351" s="574" t="s">
        <v>13437</v>
      </c>
      <c r="C351" s="574" t="s">
        <v>5555</v>
      </c>
      <c r="D351" s="583">
        <v>7348.37</v>
      </c>
    </row>
    <row r="352" spans="1:4" x14ac:dyDescent="0.2">
      <c r="A352" s="574">
        <v>43199</v>
      </c>
      <c r="B352" s="574" t="s">
        <v>13438</v>
      </c>
      <c r="C352" s="574" t="s">
        <v>5555</v>
      </c>
      <c r="D352" s="583">
        <v>7617.64</v>
      </c>
    </row>
    <row r="353" spans="1:4" x14ac:dyDescent="0.2">
      <c r="A353" s="574">
        <v>43200</v>
      </c>
      <c r="B353" s="574" t="s">
        <v>13439</v>
      </c>
      <c r="C353" s="574" t="s">
        <v>5555</v>
      </c>
      <c r="D353" s="583">
        <v>8741.7900000000009</v>
      </c>
    </row>
    <row r="354" spans="1:4" x14ac:dyDescent="0.2">
      <c r="A354" s="574">
        <v>39556</v>
      </c>
      <c r="B354" s="574" t="s">
        <v>5876</v>
      </c>
      <c r="C354" s="574" t="s">
        <v>5555</v>
      </c>
      <c r="D354" s="583">
        <v>4774.51</v>
      </c>
    </row>
    <row r="355" spans="1:4" x14ac:dyDescent="0.2">
      <c r="A355" s="574">
        <v>39557</v>
      </c>
      <c r="B355" s="574" t="s">
        <v>5877</v>
      </c>
      <c r="C355" s="574" t="s">
        <v>5555</v>
      </c>
      <c r="D355" s="583">
        <v>5141.1099999999997</v>
      </c>
    </row>
    <row r="356" spans="1:4" x14ac:dyDescent="0.2">
      <c r="A356" s="574">
        <v>39559</v>
      </c>
      <c r="B356" s="574" t="s">
        <v>5879</v>
      </c>
      <c r="C356" s="574" t="s">
        <v>5555</v>
      </c>
      <c r="D356" s="583">
        <v>7597.57</v>
      </c>
    </row>
    <row r="357" spans="1:4" x14ac:dyDescent="0.2">
      <c r="A357" s="574">
        <v>39560</v>
      </c>
      <c r="B357" s="574" t="s">
        <v>5880</v>
      </c>
      <c r="C357" s="574" t="s">
        <v>5555</v>
      </c>
      <c r="D357" s="583">
        <v>8789.64</v>
      </c>
    </row>
    <row r="358" spans="1:4" x14ac:dyDescent="0.2">
      <c r="A358" s="574">
        <v>39561</v>
      </c>
      <c r="B358" s="574" t="s">
        <v>5881</v>
      </c>
      <c r="C358" s="574" t="s">
        <v>5555</v>
      </c>
      <c r="D358" s="583">
        <v>9195.09</v>
      </c>
    </row>
    <row r="359" spans="1:4" x14ac:dyDescent="0.2">
      <c r="A359" s="574">
        <v>43190</v>
      </c>
      <c r="B359" s="574" t="s">
        <v>13440</v>
      </c>
      <c r="C359" s="574" t="s">
        <v>5555</v>
      </c>
      <c r="D359" s="583">
        <v>1356.95</v>
      </c>
    </row>
    <row r="360" spans="1:4" x14ac:dyDescent="0.2">
      <c r="A360" s="574">
        <v>39555</v>
      </c>
      <c r="B360" s="574" t="s">
        <v>5882</v>
      </c>
      <c r="C360" s="574" t="s">
        <v>5555</v>
      </c>
      <c r="D360" s="583">
        <v>1467.87</v>
      </c>
    </row>
    <row r="361" spans="1:4" x14ac:dyDescent="0.2">
      <c r="A361" s="574">
        <v>43191</v>
      </c>
      <c r="B361" s="574" t="s">
        <v>13441</v>
      </c>
      <c r="C361" s="574" t="s">
        <v>5555</v>
      </c>
      <c r="D361" s="583">
        <v>1952.47</v>
      </c>
    </row>
    <row r="362" spans="1:4" x14ac:dyDescent="0.2">
      <c r="A362" s="574">
        <v>39548</v>
      </c>
      <c r="B362" s="574" t="s">
        <v>5883</v>
      </c>
      <c r="C362" s="574" t="s">
        <v>5555</v>
      </c>
      <c r="D362" s="583">
        <v>2177.31</v>
      </c>
    </row>
    <row r="363" spans="1:4" x14ac:dyDescent="0.2">
      <c r="A363" s="574">
        <v>43192</v>
      </c>
      <c r="B363" s="574" t="s">
        <v>13442</v>
      </c>
      <c r="C363" s="574" t="s">
        <v>5555</v>
      </c>
      <c r="D363" s="583">
        <v>2557.56</v>
      </c>
    </row>
    <row r="364" spans="1:4" x14ac:dyDescent="0.2">
      <c r="A364" s="574">
        <v>39554</v>
      </c>
      <c r="B364" s="574" t="s">
        <v>5884</v>
      </c>
      <c r="C364" s="574" t="s">
        <v>5555</v>
      </c>
      <c r="D364" s="583">
        <v>2879.16</v>
      </c>
    </row>
    <row r="365" spans="1:4" x14ac:dyDescent="0.2">
      <c r="A365" s="574">
        <v>43194</v>
      </c>
      <c r="B365" s="574" t="s">
        <v>13443</v>
      </c>
      <c r="C365" s="574" t="s">
        <v>5555</v>
      </c>
      <c r="D365" s="583">
        <v>1162.46</v>
      </c>
    </row>
    <row r="366" spans="1:4" x14ac:dyDescent="0.2">
      <c r="A366" s="574">
        <v>39551</v>
      </c>
      <c r="B366" s="574" t="s">
        <v>5886</v>
      </c>
      <c r="C366" s="574" t="s">
        <v>5555</v>
      </c>
      <c r="D366" s="583">
        <v>1279.99</v>
      </c>
    </row>
    <row r="367" spans="1:4" x14ac:dyDescent="0.2">
      <c r="A367" s="574">
        <v>43185</v>
      </c>
      <c r="B367" s="574" t="s">
        <v>13444</v>
      </c>
      <c r="C367" s="574" t="s">
        <v>5555</v>
      </c>
      <c r="D367" s="583">
        <v>3637.51</v>
      </c>
    </row>
    <row r="368" spans="1:4" x14ac:dyDescent="0.2">
      <c r="A368" s="574">
        <v>43186</v>
      </c>
      <c r="B368" s="574" t="s">
        <v>13445</v>
      </c>
      <c r="C368" s="574" t="s">
        <v>5555</v>
      </c>
      <c r="D368" s="583">
        <v>3836.84</v>
      </c>
    </row>
    <row r="369" spans="1:4" x14ac:dyDescent="0.2">
      <c r="A369" s="574">
        <v>43187</v>
      </c>
      <c r="B369" s="574" t="s">
        <v>13446</v>
      </c>
      <c r="C369" s="574" t="s">
        <v>5555</v>
      </c>
      <c r="D369" s="583">
        <v>5091.5200000000004</v>
      </c>
    </row>
    <row r="370" spans="1:4" x14ac:dyDescent="0.2">
      <c r="A370" s="574">
        <v>43188</v>
      </c>
      <c r="B370" s="574" t="s">
        <v>13447</v>
      </c>
      <c r="C370" s="574" t="s">
        <v>5555</v>
      </c>
      <c r="D370" s="583">
        <v>6169.05</v>
      </c>
    </row>
    <row r="371" spans="1:4" x14ac:dyDescent="0.2">
      <c r="A371" s="574">
        <v>43189</v>
      </c>
      <c r="B371" s="574" t="s">
        <v>13448</v>
      </c>
      <c r="C371" s="574" t="s">
        <v>5555</v>
      </c>
      <c r="D371" s="583">
        <v>6939.16</v>
      </c>
    </row>
    <row r="372" spans="1:4" x14ac:dyDescent="0.2">
      <c r="A372" s="574">
        <v>39580</v>
      </c>
      <c r="B372" s="574" t="s">
        <v>5887</v>
      </c>
      <c r="C372" s="574" t="s">
        <v>5555</v>
      </c>
      <c r="D372" s="583">
        <v>54683.41</v>
      </c>
    </row>
    <row r="373" spans="1:4" x14ac:dyDescent="0.2">
      <c r="A373" s="574">
        <v>39577</v>
      </c>
      <c r="B373" s="574" t="s">
        <v>5888</v>
      </c>
      <c r="C373" s="574" t="s">
        <v>5555</v>
      </c>
      <c r="D373" s="583">
        <v>17115.79</v>
      </c>
    </row>
    <row r="374" spans="1:4" x14ac:dyDescent="0.2">
      <c r="A374" s="574">
        <v>39578</v>
      </c>
      <c r="B374" s="574" t="s">
        <v>5889</v>
      </c>
      <c r="C374" s="574" t="s">
        <v>5555</v>
      </c>
      <c r="D374" s="583">
        <v>22088.26</v>
      </c>
    </row>
    <row r="375" spans="1:4" x14ac:dyDescent="0.2">
      <c r="A375" s="574">
        <v>39579</v>
      </c>
      <c r="B375" s="574" t="s">
        <v>5890</v>
      </c>
      <c r="C375" s="574" t="s">
        <v>5555</v>
      </c>
      <c r="D375" s="583">
        <v>32136.7</v>
      </c>
    </row>
    <row r="376" spans="1:4" x14ac:dyDescent="0.2">
      <c r="A376" s="574">
        <v>39826</v>
      </c>
      <c r="B376" s="574" t="s">
        <v>5891</v>
      </c>
      <c r="C376" s="574" t="s">
        <v>5555</v>
      </c>
      <c r="D376" s="583">
        <v>3946.97</v>
      </c>
    </row>
    <row r="377" spans="1:4" x14ac:dyDescent="0.2">
      <c r="A377" s="574">
        <v>10700</v>
      </c>
      <c r="B377" s="574" t="s">
        <v>5892</v>
      </c>
      <c r="C377" s="574" t="s">
        <v>5555</v>
      </c>
      <c r="D377" s="583">
        <v>13425.81</v>
      </c>
    </row>
    <row r="378" spans="1:4" x14ac:dyDescent="0.2">
      <c r="A378" s="574">
        <v>346</v>
      </c>
      <c r="B378" s="574" t="s">
        <v>5893</v>
      </c>
      <c r="C378" s="574" t="s">
        <v>5626</v>
      </c>
      <c r="D378" s="582">
        <v>16.32</v>
      </c>
    </row>
    <row r="379" spans="1:4" x14ac:dyDescent="0.2">
      <c r="A379" s="574">
        <v>3312</v>
      </c>
      <c r="B379" s="574" t="s">
        <v>5894</v>
      </c>
      <c r="C379" s="574" t="s">
        <v>5626</v>
      </c>
      <c r="D379" s="582">
        <v>21.12</v>
      </c>
    </row>
    <row r="380" spans="1:4" x14ac:dyDescent="0.2">
      <c r="A380" s="574">
        <v>339</v>
      </c>
      <c r="B380" s="574" t="s">
        <v>13449</v>
      </c>
      <c r="C380" s="574" t="s">
        <v>5575</v>
      </c>
      <c r="D380" s="582">
        <v>0.84</v>
      </c>
    </row>
    <row r="381" spans="1:4" x14ac:dyDescent="0.2">
      <c r="A381" s="574">
        <v>340</v>
      </c>
      <c r="B381" s="574" t="s">
        <v>5896</v>
      </c>
      <c r="C381" s="574" t="s">
        <v>5575</v>
      </c>
      <c r="D381" s="582">
        <v>0.76</v>
      </c>
    </row>
    <row r="382" spans="1:4" x14ac:dyDescent="0.2">
      <c r="A382" s="574">
        <v>43130</v>
      </c>
      <c r="B382" s="574" t="s">
        <v>13450</v>
      </c>
      <c r="C382" s="574" t="s">
        <v>5626</v>
      </c>
      <c r="D382" s="582">
        <v>13.78</v>
      </c>
    </row>
    <row r="383" spans="1:4" x14ac:dyDescent="0.2">
      <c r="A383" s="574">
        <v>344</v>
      </c>
      <c r="B383" s="574" t="s">
        <v>13451</v>
      </c>
      <c r="C383" s="574" t="s">
        <v>5626</v>
      </c>
      <c r="D383" s="582">
        <v>18.11</v>
      </c>
    </row>
    <row r="384" spans="1:4" x14ac:dyDescent="0.2">
      <c r="A384" s="574">
        <v>345</v>
      </c>
      <c r="B384" s="574" t="s">
        <v>13452</v>
      </c>
      <c r="C384" s="574" t="s">
        <v>5626</v>
      </c>
      <c r="D384" s="582">
        <v>19.649999999999999</v>
      </c>
    </row>
    <row r="385" spans="1:4" x14ac:dyDescent="0.2">
      <c r="A385" s="574">
        <v>43131</v>
      </c>
      <c r="B385" s="574" t="s">
        <v>13453</v>
      </c>
      <c r="C385" s="574" t="s">
        <v>5626</v>
      </c>
      <c r="D385" s="582">
        <v>16</v>
      </c>
    </row>
    <row r="386" spans="1:4" x14ac:dyDescent="0.2">
      <c r="A386" s="574">
        <v>3313</v>
      </c>
      <c r="B386" s="574" t="s">
        <v>5906</v>
      </c>
      <c r="C386" s="574" t="s">
        <v>5626</v>
      </c>
      <c r="D386" s="582">
        <v>27.18</v>
      </c>
    </row>
    <row r="387" spans="1:4" x14ac:dyDescent="0.2">
      <c r="A387" s="574">
        <v>43132</v>
      </c>
      <c r="B387" s="574" t="s">
        <v>13454</v>
      </c>
      <c r="C387" s="574" t="s">
        <v>5626</v>
      </c>
      <c r="D387" s="582">
        <v>13.78</v>
      </c>
    </row>
    <row r="388" spans="1:4" x14ac:dyDescent="0.2">
      <c r="A388" s="574">
        <v>369</v>
      </c>
      <c r="B388" s="574" t="s">
        <v>5909</v>
      </c>
      <c r="C388" s="574" t="s">
        <v>5751</v>
      </c>
      <c r="D388" s="582">
        <v>66.88</v>
      </c>
    </row>
    <row r="389" spans="1:4" x14ac:dyDescent="0.2">
      <c r="A389" s="574">
        <v>366</v>
      </c>
      <c r="B389" s="574" t="s">
        <v>5910</v>
      </c>
      <c r="C389" s="574" t="s">
        <v>5751</v>
      </c>
      <c r="D389" s="582">
        <v>77</v>
      </c>
    </row>
    <row r="390" spans="1:4" x14ac:dyDescent="0.2">
      <c r="A390" s="574">
        <v>367</v>
      </c>
      <c r="B390" s="574" t="s">
        <v>5911</v>
      </c>
      <c r="C390" s="574" t="s">
        <v>5751</v>
      </c>
      <c r="D390" s="582">
        <v>75</v>
      </c>
    </row>
    <row r="391" spans="1:4" x14ac:dyDescent="0.2">
      <c r="A391" s="574">
        <v>370</v>
      </c>
      <c r="B391" s="574" t="s">
        <v>5912</v>
      </c>
      <c r="C391" s="574" t="s">
        <v>5751</v>
      </c>
      <c r="D391" s="582">
        <v>70</v>
      </c>
    </row>
    <row r="392" spans="1:4" x14ac:dyDescent="0.2">
      <c r="A392" s="574">
        <v>368</v>
      </c>
      <c r="B392" s="574" t="s">
        <v>5913</v>
      </c>
      <c r="C392" s="574" t="s">
        <v>5751</v>
      </c>
      <c r="D392" s="582">
        <v>56.25</v>
      </c>
    </row>
    <row r="393" spans="1:4" x14ac:dyDescent="0.2">
      <c r="A393" s="574">
        <v>11075</v>
      </c>
      <c r="B393" s="574" t="s">
        <v>5914</v>
      </c>
      <c r="C393" s="574" t="s">
        <v>5751</v>
      </c>
      <c r="D393" s="583">
        <v>1228.1199999999999</v>
      </c>
    </row>
    <row r="394" spans="1:4" x14ac:dyDescent="0.2">
      <c r="A394" s="574">
        <v>11076</v>
      </c>
      <c r="B394" s="574" t="s">
        <v>5915</v>
      </c>
      <c r="C394" s="574" t="s">
        <v>5751</v>
      </c>
      <c r="D394" s="582">
        <v>93.75</v>
      </c>
    </row>
    <row r="395" spans="1:4" x14ac:dyDescent="0.2">
      <c r="A395" s="574">
        <v>1381</v>
      </c>
      <c r="B395" s="574" t="s">
        <v>5916</v>
      </c>
      <c r="C395" s="574" t="s">
        <v>5626</v>
      </c>
      <c r="D395" s="582">
        <v>0.6</v>
      </c>
    </row>
    <row r="396" spans="1:4" x14ac:dyDescent="0.2">
      <c r="A396" s="574">
        <v>34353</v>
      </c>
      <c r="B396" s="574" t="s">
        <v>13455</v>
      </c>
      <c r="C396" s="574" t="s">
        <v>5626</v>
      </c>
      <c r="D396" s="582">
        <v>1.1100000000000001</v>
      </c>
    </row>
    <row r="397" spans="1:4" x14ac:dyDescent="0.2">
      <c r="A397" s="574">
        <v>37595</v>
      </c>
      <c r="B397" s="574" t="s">
        <v>13456</v>
      </c>
      <c r="C397" s="574" t="s">
        <v>5626</v>
      </c>
      <c r="D397" s="582">
        <v>1.84</v>
      </c>
    </row>
    <row r="398" spans="1:4" x14ac:dyDescent="0.2">
      <c r="A398" s="574">
        <v>37596</v>
      </c>
      <c r="B398" s="574" t="s">
        <v>13457</v>
      </c>
      <c r="C398" s="574" t="s">
        <v>5626</v>
      </c>
      <c r="D398" s="582">
        <v>2.11</v>
      </c>
    </row>
    <row r="399" spans="1:4" x14ac:dyDescent="0.2">
      <c r="A399" s="574">
        <v>371</v>
      </c>
      <c r="B399" s="574" t="s">
        <v>5920</v>
      </c>
      <c r="C399" s="574" t="s">
        <v>5626</v>
      </c>
      <c r="D399" s="582">
        <v>0.65</v>
      </c>
    </row>
    <row r="400" spans="1:4" x14ac:dyDescent="0.2">
      <c r="A400" s="574">
        <v>37553</v>
      </c>
      <c r="B400" s="574" t="s">
        <v>5921</v>
      </c>
      <c r="C400" s="574" t="s">
        <v>5626</v>
      </c>
      <c r="D400" s="582">
        <v>1.22</v>
      </c>
    </row>
    <row r="401" spans="1:4" x14ac:dyDescent="0.2">
      <c r="A401" s="574">
        <v>37552</v>
      </c>
      <c r="B401" s="574" t="s">
        <v>5922</v>
      </c>
      <c r="C401" s="574" t="s">
        <v>5626</v>
      </c>
      <c r="D401" s="582">
        <v>1.97</v>
      </c>
    </row>
    <row r="402" spans="1:4" x14ac:dyDescent="0.2">
      <c r="A402" s="574">
        <v>36880</v>
      </c>
      <c r="B402" s="574" t="s">
        <v>13458</v>
      </c>
      <c r="C402" s="574" t="s">
        <v>5626</v>
      </c>
      <c r="D402" s="582">
        <v>2</v>
      </c>
    </row>
    <row r="403" spans="1:4" x14ac:dyDescent="0.2">
      <c r="A403" s="574">
        <v>34355</v>
      </c>
      <c r="B403" s="574" t="s">
        <v>5924</v>
      </c>
      <c r="C403" s="574" t="s">
        <v>5626</v>
      </c>
      <c r="D403" s="582">
        <v>1.72</v>
      </c>
    </row>
    <row r="404" spans="1:4" x14ac:dyDescent="0.2">
      <c r="A404" s="574">
        <v>130</v>
      </c>
      <c r="B404" s="574" t="s">
        <v>5925</v>
      </c>
      <c r="C404" s="574" t="s">
        <v>5626</v>
      </c>
      <c r="D404" s="582">
        <v>3.16</v>
      </c>
    </row>
    <row r="405" spans="1:4" x14ac:dyDescent="0.2">
      <c r="A405" s="574">
        <v>135</v>
      </c>
      <c r="B405" s="574" t="s">
        <v>5926</v>
      </c>
      <c r="C405" s="574" t="s">
        <v>5626</v>
      </c>
      <c r="D405" s="582">
        <v>2.54</v>
      </c>
    </row>
    <row r="406" spans="1:4" x14ac:dyDescent="0.2">
      <c r="A406" s="574">
        <v>36886</v>
      </c>
      <c r="B406" s="574" t="s">
        <v>5927</v>
      </c>
      <c r="C406" s="574" t="s">
        <v>5626</v>
      </c>
      <c r="D406" s="582">
        <v>0.62</v>
      </c>
    </row>
    <row r="407" spans="1:4" x14ac:dyDescent="0.2">
      <c r="A407" s="574">
        <v>38546</v>
      </c>
      <c r="B407" s="574" t="s">
        <v>5929</v>
      </c>
      <c r="C407" s="574" t="s">
        <v>5751</v>
      </c>
      <c r="D407" s="582">
        <v>442.18</v>
      </c>
    </row>
    <row r="408" spans="1:4" x14ac:dyDescent="0.2">
      <c r="A408" s="574">
        <v>34549</v>
      </c>
      <c r="B408" s="574" t="s">
        <v>5930</v>
      </c>
      <c r="C408" s="574" t="s">
        <v>5751</v>
      </c>
      <c r="D408" s="582">
        <v>200.66</v>
      </c>
    </row>
    <row r="409" spans="1:4" x14ac:dyDescent="0.2">
      <c r="A409" s="574">
        <v>6081</v>
      </c>
      <c r="B409" s="574" t="s">
        <v>5931</v>
      </c>
      <c r="C409" s="574" t="s">
        <v>5751</v>
      </c>
      <c r="D409" s="582">
        <v>28.42</v>
      </c>
    </row>
    <row r="410" spans="1:4" x14ac:dyDescent="0.2">
      <c r="A410" s="574">
        <v>6077</v>
      </c>
      <c r="B410" s="574" t="s">
        <v>5932</v>
      </c>
      <c r="C410" s="574" t="s">
        <v>5751</v>
      </c>
      <c r="D410" s="582">
        <v>16.38</v>
      </c>
    </row>
    <row r="411" spans="1:4" x14ac:dyDescent="0.2">
      <c r="A411" s="574">
        <v>6079</v>
      </c>
      <c r="B411" s="574" t="s">
        <v>5933</v>
      </c>
      <c r="C411" s="574" t="s">
        <v>5751</v>
      </c>
      <c r="D411" s="582">
        <v>9.36</v>
      </c>
    </row>
    <row r="412" spans="1:4" x14ac:dyDescent="0.2">
      <c r="A412" s="574">
        <v>1091</v>
      </c>
      <c r="B412" s="574" t="s">
        <v>5934</v>
      </c>
      <c r="C412" s="574" t="s">
        <v>5555</v>
      </c>
      <c r="D412" s="582">
        <v>19.47</v>
      </c>
    </row>
    <row r="413" spans="1:4" x14ac:dyDescent="0.2">
      <c r="A413" s="574">
        <v>1094</v>
      </c>
      <c r="B413" s="574" t="s">
        <v>5935</v>
      </c>
      <c r="C413" s="574" t="s">
        <v>5555</v>
      </c>
      <c r="D413" s="582">
        <v>13.62</v>
      </c>
    </row>
    <row r="414" spans="1:4" x14ac:dyDescent="0.2">
      <c r="A414" s="574">
        <v>1095</v>
      </c>
      <c r="B414" s="574" t="s">
        <v>5936</v>
      </c>
      <c r="C414" s="574" t="s">
        <v>5555</v>
      </c>
      <c r="D414" s="582">
        <v>28.95</v>
      </c>
    </row>
    <row r="415" spans="1:4" x14ac:dyDescent="0.2">
      <c r="A415" s="574">
        <v>1092</v>
      </c>
      <c r="B415" s="574" t="s">
        <v>5937</v>
      </c>
      <c r="C415" s="574" t="s">
        <v>5555</v>
      </c>
      <c r="D415" s="582">
        <v>22.4</v>
      </c>
    </row>
    <row r="416" spans="1:4" x14ac:dyDescent="0.2">
      <c r="A416" s="574">
        <v>1093</v>
      </c>
      <c r="B416" s="574" t="s">
        <v>5938</v>
      </c>
      <c r="C416" s="574" t="s">
        <v>5555</v>
      </c>
      <c r="D416" s="582">
        <v>52.31</v>
      </c>
    </row>
    <row r="417" spans="1:4" x14ac:dyDescent="0.2">
      <c r="A417" s="574">
        <v>1090</v>
      </c>
      <c r="B417" s="574" t="s">
        <v>5939</v>
      </c>
      <c r="C417" s="574" t="s">
        <v>5555</v>
      </c>
      <c r="D417" s="582">
        <v>37.450000000000003</v>
      </c>
    </row>
    <row r="418" spans="1:4" x14ac:dyDescent="0.2">
      <c r="A418" s="574">
        <v>1096</v>
      </c>
      <c r="B418" s="574" t="s">
        <v>5940</v>
      </c>
      <c r="C418" s="574" t="s">
        <v>5555</v>
      </c>
      <c r="D418" s="582">
        <v>67.400000000000006</v>
      </c>
    </row>
    <row r="419" spans="1:4" x14ac:dyDescent="0.2">
      <c r="A419" s="574">
        <v>1097</v>
      </c>
      <c r="B419" s="574" t="s">
        <v>5941</v>
      </c>
      <c r="C419" s="574" t="s">
        <v>5555</v>
      </c>
      <c r="D419" s="582">
        <v>57.21</v>
      </c>
    </row>
    <row r="420" spans="1:4" x14ac:dyDescent="0.2">
      <c r="A420" s="574">
        <v>378</v>
      </c>
      <c r="B420" s="574" t="s">
        <v>5942</v>
      </c>
      <c r="C420" s="574" t="s">
        <v>5566</v>
      </c>
      <c r="D420" s="582">
        <v>18.239999999999998</v>
      </c>
    </row>
    <row r="421" spans="1:4" x14ac:dyDescent="0.2">
      <c r="A421" s="574">
        <v>40911</v>
      </c>
      <c r="B421" s="574" t="s">
        <v>5943</v>
      </c>
      <c r="C421" s="574" t="s">
        <v>5755</v>
      </c>
      <c r="D421" s="583">
        <v>3189.51</v>
      </c>
    </row>
    <row r="422" spans="1:4" x14ac:dyDescent="0.2">
      <c r="A422" s="574">
        <v>33939</v>
      </c>
      <c r="B422" s="574" t="s">
        <v>5944</v>
      </c>
      <c r="C422" s="574" t="s">
        <v>5566</v>
      </c>
      <c r="D422" s="582">
        <v>63.64</v>
      </c>
    </row>
    <row r="423" spans="1:4" x14ac:dyDescent="0.2">
      <c r="A423" s="574">
        <v>40815</v>
      </c>
      <c r="B423" s="574" t="s">
        <v>5945</v>
      </c>
      <c r="C423" s="574" t="s">
        <v>5755</v>
      </c>
      <c r="D423" s="583">
        <v>11127.44</v>
      </c>
    </row>
    <row r="424" spans="1:4" x14ac:dyDescent="0.2">
      <c r="A424" s="574">
        <v>34760</v>
      </c>
      <c r="B424" s="574" t="s">
        <v>5946</v>
      </c>
      <c r="C424" s="574" t="s">
        <v>5566</v>
      </c>
      <c r="D424" s="582">
        <v>90.14</v>
      </c>
    </row>
    <row r="425" spans="1:4" x14ac:dyDescent="0.2">
      <c r="A425" s="574">
        <v>40935</v>
      </c>
      <c r="B425" s="574" t="s">
        <v>5947</v>
      </c>
      <c r="C425" s="574" t="s">
        <v>5755</v>
      </c>
      <c r="D425" s="583">
        <v>15760.53</v>
      </c>
    </row>
    <row r="426" spans="1:4" x14ac:dyDescent="0.2">
      <c r="A426" s="574">
        <v>33952</v>
      </c>
      <c r="B426" s="574" t="s">
        <v>5948</v>
      </c>
      <c r="C426" s="574" t="s">
        <v>5566</v>
      </c>
      <c r="D426" s="582">
        <v>90.4</v>
      </c>
    </row>
    <row r="427" spans="1:4" x14ac:dyDescent="0.2">
      <c r="A427" s="574">
        <v>40816</v>
      </c>
      <c r="B427" s="574" t="s">
        <v>5949</v>
      </c>
      <c r="C427" s="574" t="s">
        <v>5755</v>
      </c>
      <c r="D427" s="583">
        <v>15805.62</v>
      </c>
    </row>
    <row r="428" spans="1:4" x14ac:dyDescent="0.2">
      <c r="A428" s="574">
        <v>33953</v>
      </c>
      <c r="B428" s="574" t="s">
        <v>5950</v>
      </c>
      <c r="C428" s="574" t="s">
        <v>5566</v>
      </c>
      <c r="D428" s="582">
        <v>119.53</v>
      </c>
    </row>
    <row r="429" spans="1:4" x14ac:dyDescent="0.2">
      <c r="A429" s="574">
        <v>40817</v>
      </c>
      <c r="B429" s="574" t="s">
        <v>5951</v>
      </c>
      <c r="C429" s="574" t="s">
        <v>5755</v>
      </c>
      <c r="D429" s="583">
        <v>20896.43</v>
      </c>
    </row>
    <row r="430" spans="1:4" x14ac:dyDescent="0.2">
      <c r="A430" s="574">
        <v>13348</v>
      </c>
      <c r="B430" s="574" t="s">
        <v>5952</v>
      </c>
      <c r="C430" s="574" t="s">
        <v>5555</v>
      </c>
      <c r="D430" s="582">
        <v>0.84</v>
      </c>
    </row>
    <row r="431" spans="1:4" x14ac:dyDescent="0.2">
      <c r="A431" s="574">
        <v>39211</v>
      </c>
      <c r="B431" s="574" t="s">
        <v>5953</v>
      </c>
      <c r="C431" s="574" t="s">
        <v>5555</v>
      </c>
      <c r="D431" s="582">
        <v>1.56</v>
      </c>
    </row>
    <row r="432" spans="1:4" x14ac:dyDescent="0.2">
      <c r="A432" s="574">
        <v>39212</v>
      </c>
      <c r="B432" s="574" t="s">
        <v>5954</v>
      </c>
      <c r="C432" s="574" t="s">
        <v>5555</v>
      </c>
      <c r="D432" s="582">
        <v>1.74</v>
      </c>
    </row>
    <row r="433" spans="1:4" x14ac:dyDescent="0.2">
      <c r="A433" s="574">
        <v>39208</v>
      </c>
      <c r="B433" s="574" t="s">
        <v>5955</v>
      </c>
      <c r="C433" s="574" t="s">
        <v>5555</v>
      </c>
      <c r="D433" s="582">
        <v>0.47</v>
      </c>
    </row>
    <row r="434" spans="1:4" x14ac:dyDescent="0.2">
      <c r="A434" s="574">
        <v>39210</v>
      </c>
      <c r="B434" s="574" t="s">
        <v>5956</v>
      </c>
      <c r="C434" s="574" t="s">
        <v>5555</v>
      </c>
      <c r="D434" s="582">
        <v>0.87</v>
      </c>
    </row>
    <row r="435" spans="1:4" x14ac:dyDescent="0.2">
      <c r="A435" s="574">
        <v>39214</v>
      </c>
      <c r="B435" s="574" t="s">
        <v>5957</v>
      </c>
      <c r="C435" s="574" t="s">
        <v>5555</v>
      </c>
      <c r="D435" s="582">
        <v>3.22</v>
      </c>
    </row>
    <row r="436" spans="1:4" x14ac:dyDescent="0.2">
      <c r="A436" s="574">
        <v>39213</v>
      </c>
      <c r="B436" s="574" t="s">
        <v>5958</v>
      </c>
      <c r="C436" s="574" t="s">
        <v>5555</v>
      </c>
      <c r="D436" s="582">
        <v>2.27</v>
      </c>
    </row>
    <row r="437" spans="1:4" x14ac:dyDescent="0.2">
      <c r="A437" s="574">
        <v>39209</v>
      </c>
      <c r="B437" s="574" t="s">
        <v>5959</v>
      </c>
      <c r="C437" s="574" t="s">
        <v>5555</v>
      </c>
      <c r="D437" s="582">
        <v>0.56000000000000005</v>
      </c>
    </row>
    <row r="438" spans="1:4" x14ac:dyDescent="0.2">
      <c r="A438" s="574">
        <v>39207</v>
      </c>
      <c r="B438" s="574" t="s">
        <v>5960</v>
      </c>
      <c r="C438" s="574" t="s">
        <v>5555</v>
      </c>
      <c r="D438" s="582">
        <v>0.87</v>
      </c>
    </row>
    <row r="439" spans="1:4" x14ac:dyDescent="0.2">
      <c r="A439" s="574">
        <v>39215</v>
      </c>
      <c r="B439" s="574" t="s">
        <v>5961</v>
      </c>
      <c r="C439" s="574" t="s">
        <v>5555</v>
      </c>
      <c r="D439" s="582">
        <v>5.87</v>
      </c>
    </row>
    <row r="440" spans="1:4" x14ac:dyDescent="0.2">
      <c r="A440" s="574">
        <v>39216</v>
      </c>
      <c r="B440" s="574" t="s">
        <v>5962</v>
      </c>
      <c r="C440" s="574" t="s">
        <v>5555</v>
      </c>
      <c r="D440" s="582">
        <v>8.19</v>
      </c>
    </row>
    <row r="441" spans="1:4" x14ac:dyDescent="0.2">
      <c r="A441" s="574">
        <v>379</v>
      </c>
      <c r="B441" s="574" t="s">
        <v>5963</v>
      </c>
      <c r="C441" s="574" t="s">
        <v>5555</v>
      </c>
      <c r="D441" s="582">
        <v>0.74</v>
      </c>
    </row>
    <row r="442" spans="1:4" x14ac:dyDescent="0.2">
      <c r="A442" s="574">
        <v>11267</v>
      </c>
      <c r="B442" s="574" t="s">
        <v>5964</v>
      </c>
      <c r="C442" s="574" t="s">
        <v>5555</v>
      </c>
      <c r="D442" s="582">
        <v>7.36</v>
      </c>
    </row>
    <row r="443" spans="1:4" x14ac:dyDescent="0.2">
      <c r="A443" s="574">
        <v>41901</v>
      </c>
      <c r="B443" s="574" t="s">
        <v>5965</v>
      </c>
      <c r="C443" s="574" t="s">
        <v>5626</v>
      </c>
      <c r="D443" s="582">
        <v>4.8099999999999996</v>
      </c>
    </row>
    <row r="444" spans="1:4" x14ac:dyDescent="0.2">
      <c r="A444" s="574">
        <v>510</v>
      </c>
      <c r="B444" s="574" t="s">
        <v>5966</v>
      </c>
      <c r="C444" s="574" t="s">
        <v>5626</v>
      </c>
      <c r="D444" s="582">
        <v>8.48</v>
      </c>
    </row>
    <row r="445" spans="1:4" x14ac:dyDescent="0.2">
      <c r="A445" s="574">
        <v>516</v>
      </c>
      <c r="B445" s="574" t="s">
        <v>5967</v>
      </c>
      <c r="C445" s="574" t="s">
        <v>5626</v>
      </c>
      <c r="D445" s="582">
        <v>9.0399999999999991</v>
      </c>
    </row>
    <row r="446" spans="1:4" x14ac:dyDescent="0.2">
      <c r="A446" s="574">
        <v>509</v>
      </c>
      <c r="B446" s="574" t="s">
        <v>5968</v>
      </c>
      <c r="C446" s="574" t="s">
        <v>5626</v>
      </c>
      <c r="D446" s="582">
        <v>9.23</v>
      </c>
    </row>
    <row r="447" spans="1:4" x14ac:dyDescent="0.2">
      <c r="A447" s="574">
        <v>40331</v>
      </c>
      <c r="B447" s="574" t="s">
        <v>5969</v>
      </c>
      <c r="C447" s="574" t="s">
        <v>5566</v>
      </c>
      <c r="D447" s="582">
        <v>18.559999999999999</v>
      </c>
    </row>
    <row r="448" spans="1:4" x14ac:dyDescent="0.2">
      <c r="A448" s="574">
        <v>40930</v>
      </c>
      <c r="B448" s="574" t="s">
        <v>5970</v>
      </c>
      <c r="C448" s="574" t="s">
        <v>5755</v>
      </c>
      <c r="D448" s="583">
        <v>3247</v>
      </c>
    </row>
    <row r="449" spans="1:4" x14ac:dyDescent="0.2">
      <c r="A449" s="574">
        <v>11761</v>
      </c>
      <c r="B449" s="574" t="s">
        <v>5971</v>
      </c>
      <c r="C449" s="574" t="s">
        <v>5555</v>
      </c>
      <c r="D449" s="582">
        <v>53.2</v>
      </c>
    </row>
    <row r="450" spans="1:4" x14ac:dyDescent="0.2">
      <c r="A450" s="574">
        <v>377</v>
      </c>
      <c r="B450" s="574" t="s">
        <v>5972</v>
      </c>
      <c r="C450" s="574" t="s">
        <v>5555</v>
      </c>
      <c r="D450" s="582">
        <v>25</v>
      </c>
    </row>
    <row r="451" spans="1:4" x14ac:dyDescent="0.2">
      <c r="A451" s="574">
        <v>7588</v>
      </c>
      <c r="B451" s="574" t="s">
        <v>5973</v>
      </c>
      <c r="C451" s="574" t="s">
        <v>5555</v>
      </c>
      <c r="D451" s="582">
        <v>38.58</v>
      </c>
    </row>
    <row r="452" spans="1:4" x14ac:dyDescent="0.2">
      <c r="A452" s="574">
        <v>34392</v>
      </c>
      <c r="B452" s="574" t="s">
        <v>5974</v>
      </c>
      <c r="C452" s="574" t="s">
        <v>5566</v>
      </c>
      <c r="D452" s="582">
        <v>11.53</v>
      </c>
    </row>
    <row r="453" spans="1:4" x14ac:dyDescent="0.2">
      <c r="A453" s="574">
        <v>40908</v>
      </c>
      <c r="B453" s="574" t="s">
        <v>5975</v>
      </c>
      <c r="C453" s="574" t="s">
        <v>5755</v>
      </c>
      <c r="D453" s="583">
        <v>2017.24</v>
      </c>
    </row>
    <row r="454" spans="1:4" x14ac:dyDescent="0.2">
      <c r="A454" s="574">
        <v>34551</v>
      </c>
      <c r="B454" s="574" t="s">
        <v>5976</v>
      </c>
      <c r="C454" s="574" t="s">
        <v>5566</v>
      </c>
      <c r="D454" s="582">
        <v>11.23</v>
      </c>
    </row>
    <row r="455" spans="1:4" x14ac:dyDescent="0.2">
      <c r="A455" s="574">
        <v>41078</v>
      </c>
      <c r="B455" s="574" t="s">
        <v>5977</v>
      </c>
      <c r="C455" s="574" t="s">
        <v>5755</v>
      </c>
      <c r="D455" s="583">
        <v>1965.66</v>
      </c>
    </row>
    <row r="456" spans="1:4" x14ac:dyDescent="0.2">
      <c r="A456" s="574">
        <v>246</v>
      </c>
      <c r="B456" s="574" t="s">
        <v>5978</v>
      </c>
      <c r="C456" s="574" t="s">
        <v>5566</v>
      </c>
      <c r="D456" s="582">
        <v>10.67</v>
      </c>
    </row>
    <row r="457" spans="1:4" x14ac:dyDescent="0.2">
      <c r="A457" s="574">
        <v>40927</v>
      </c>
      <c r="B457" s="574" t="s">
        <v>5979</v>
      </c>
      <c r="C457" s="574" t="s">
        <v>5755</v>
      </c>
      <c r="D457" s="583">
        <v>1866.5</v>
      </c>
    </row>
    <row r="458" spans="1:4" x14ac:dyDescent="0.2">
      <c r="A458" s="574">
        <v>2350</v>
      </c>
      <c r="B458" s="574" t="s">
        <v>5980</v>
      </c>
      <c r="C458" s="574" t="s">
        <v>5566</v>
      </c>
      <c r="D458" s="582">
        <v>14.24</v>
      </c>
    </row>
    <row r="459" spans="1:4" x14ac:dyDescent="0.2">
      <c r="A459" s="574">
        <v>40812</v>
      </c>
      <c r="B459" s="574" t="s">
        <v>5981</v>
      </c>
      <c r="C459" s="574" t="s">
        <v>5755</v>
      </c>
      <c r="D459" s="583">
        <v>2492.65</v>
      </c>
    </row>
    <row r="460" spans="1:4" x14ac:dyDescent="0.2">
      <c r="A460" s="574">
        <v>245</v>
      </c>
      <c r="B460" s="574" t="s">
        <v>13459</v>
      </c>
      <c r="C460" s="574" t="s">
        <v>5566</v>
      </c>
      <c r="D460" s="582">
        <v>15.1</v>
      </c>
    </row>
    <row r="461" spans="1:4" x14ac:dyDescent="0.2">
      <c r="A461" s="574">
        <v>41090</v>
      </c>
      <c r="B461" s="574" t="s">
        <v>5983</v>
      </c>
      <c r="C461" s="574" t="s">
        <v>5755</v>
      </c>
      <c r="D461" s="583">
        <v>2640.42</v>
      </c>
    </row>
    <row r="462" spans="1:4" x14ac:dyDescent="0.2">
      <c r="A462" s="574">
        <v>251</v>
      </c>
      <c r="B462" s="574" t="s">
        <v>5984</v>
      </c>
      <c r="C462" s="574" t="s">
        <v>5566</v>
      </c>
      <c r="D462" s="582">
        <v>11.2</v>
      </c>
    </row>
    <row r="463" spans="1:4" x14ac:dyDescent="0.2">
      <c r="A463" s="574">
        <v>40975</v>
      </c>
      <c r="B463" s="574" t="s">
        <v>5985</v>
      </c>
      <c r="C463" s="574" t="s">
        <v>5755</v>
      </c>
      <c r="D463" s="583">
        <v>1962.86</v>
      </c>
    </row>
    <row r="464" spans="1:4" x14ac:dyDescent="0.2">
      <c r="A464" s="574">
        <v>6127</v>
      </c>
      <c r="B464" s="574" t="s">
        <v>5986</v>
      </c>
      <c r="C464" s="574" t="s">
        <v>5566</v>
      </c>
      <c r="D464" s="582">
        <v>12.32</v>
      </c>
    </row>
    <row r="465" spans="1:4" x14ac:dyDescent="0.2">
      <c r="A465" s="574">
        <v>41072</v>
      </c>
      <c r="B465" s="574" t="s">
        <v>5987</v>
      </c>
      <c r="C465" s="574" t="s">
        <v>5755</v>
      </c>
      <c r="D465" s="583">
        <v>2156.46</v>
      </c>
    </row>
    <row r="466" spans="1:4" x14ac:dyDescent="0.2">
      <c r="A466" s="574">
        <v>6121</v>
      </c>
      <c r="B466" s="574" t="s">
        <v>5988</v>
      </c>
      <c r="C466" s="574" t="s">
        <v>5566</v>
      </c>
      <c r="D466" s="582">
        <v>12.95</v>
      </c>
    </row>
    <row r="467" spans="1:4" x14ac:dyDescent="0.2">
      <c r="A467" s="574">
        <v>41071</v>
      </c>
      <c r="B467" s="574" t="s">
        <v>5989</v>
      </c>
      <c r="C467" s="574" t="s">
        <v>5755</v>
      </c>
      <c r="D467" s="583">
        <v>2267.41</v>
      </c>
    </row>
    <row r="468" spans="1:4" x14ac:dyDescent="0.2">
      <c r="A468" s="574">
        <v>244</v>
      </c>
      <c r="B468" s="574" t="s">
        <v>5990</v>
      </c>
      <c r="C468" s="574" t="s">
        <v>5566</v>
      </c>
      <c r="D468" s="582">
        <v>13.25</v>
      </c>
    </row>
    <row r="469" spans="1:4" x14ac:dyDescent="0.2">
      <c r="A469" s="574">
        <v>41093</v>
      </c>
      <c r="B469" s="574" t="s">
        <v>5991</v>
      </c>
      <c r="C469" s="574" t="s">
        <v>5755</v>
      </c>
      <c r="D469" s="583">
        <v>2319.77</v>
      </c>
    </row>
    <row r="470" spans="1:4" x14ac:dyDescent="0.2">
      <c r="A470" s="574">
        <v>532</v>
      </c>
      <c r="B470" s="574" t="s">
        <v>5992</v>
      </c>
      <c r="C470" s="574" t="s">
        <v>5566</v>
      </c>
      <c r="D470" s="582">
        <v>36.159999999999997</v>
      </c>
    </row>
    <row r="471" spans="1:4" x14ac:dyDescent="0.2">
      <c r="A471" s="574">
        <v>40931</v>
      </c>
      <c r="B471" s="574" t="s">
        <v>5993</v>
      </c>
      <c r="C471" s="574" t="s">
        <v>5755</v>
      </c>
      <c r="D471" s="583">
        <v>6322.34</v>
      </c>
    </row>
    <row r="472" spans="1:4" x14ac:dyDescent="0.2">
      <c r="A472" s="574">
        <v>36150</v>
      </c>
      <c r="B472" s="574" t="s">
        <v>5994</v>
      </c>
      <c r="C472" s="574" t="s">
        <v>5555</v>
      </c>
      <c r="D472" s="582">
        <v>36.380000000000003</v>
      </c>
    </row>
    <row r="473" spans="1:4" x14ac:dyDescent="0.2">
      <c r="A473" s="574">
        <v>4760</v>
      </c>
      <c r="B473" s="574" t="s">
        <v>13460</v>
      </c>
      <c r="C473" s="574" t="s">
        <v>5566</v>
      </c>
      <c r="D473" s="582">
        <v>16.84</v>
      </c>
    </row>
    <row r="474" spans="1:4" x14ac:dyDescent="0.2">
      <c r="A474" s="574">
        <v>41069</v>
      </c>
      <c r="B474" s="574" t="s">
        <v>5995</v>
      </c>
      <c r="C474" s="574" t="s">
        <v>5755</v>
      </c>
      <c r="D474" s="583">
        <v>2948.3</v>
      </c>
    </row>
    <row r="475" spans="1:4" x14ac:dyDescent="0.2">
      <c r="A475" s="574">
        <v>10422</v>
      </c>
      <c r="B475" s="574" t="s">
        <v>5997</v>
      </c>
      <c r="C475" s="574" t="s">
        <v>5555</v>
      </c>
      <c r="D475" s="582">
        <v>336.62</v>
      </c>
    </row>
    <row r="476" spans="1:4" x14ac:dyDescent="0.2">
      <c r="A476" s="574">
        <v>10420</v>
      </c>
      <c r="B476" s="574" t="s">
        <v>5998</v>
      </c>
      <c r="C476" s="574" t="s">
        <v>5555</v>
      </c>
      <c r="D476" s="582">
        <v>126.25</v>
      </c>
    </row>
    <row r="477" spans="1:4" x14ac:dyDescent="0.2">
      <c r="A477" s="574">
        <v>10421</v>
      </c>
      <c r="B477" s="574" t="s">
        <v>5999</v>
      </c>
      <c r="C477" s="574" t="s">
        <v>5555</v>
      </c>
      <c r="D477" s="582">
        <v>168.96</v>
      </c>
    </row>
    <row r="478" spans="1:4" x14ac:dyDescent="0.2">
      <c r="A478" s="574">
        <v>36520</v>
      </c>
      <c r="B478" s="574" t="s">
        <v>6000</v>
      </c>
      <c r="C478" s="574" t="s">
        <v>5555</v>
      </c>
      <c r="D478" s="582">
        <v>628.99</v>
      </c>
    </row>
    <row r="479" spans="1:4" x14ac:dyDescent="0.2">
      <c r="A479" s="574">
        <v>11784</v>
      </c>
      <c r="B479" s="574" t="s">
        <v>6001</v>
      </c>
      <c r="C479" s="574" t="s">
        <v>5555</v>
      </c>
      <c r="D479" s="582">
        <v>472.41</v>
      </c>
    </row>
    <row r="480" spans="1:4" x14ac:dyDescent="0.2">
      <c r="A480" s="574">
        <v>10</v>
      </c>
      <c r="B480" s="574" t="s">
        <v>6002</v>
      </c>
      <c r="C480" s="574" t="s">
        <v>5555</v>
      </c>
      <c r="D480" s="582">
        <v>6.13</v>
      </c>
    </row>
    <row r="481" spans="1:4" x14ac:dyDescent="0.2">
      <c r="A481" s="574">
        <v>4815</v>
      </c>
      <c r="B481" s="574" t="s">
        <v>6003</v>
      </c>
      <c r="C481" s="574" t="s">
        <v>5555</v>
      </c>
      <c r="D481" s="582">
        <v>5.14</v>
      </c>
    </row>
    <row r="482" spans="1:4" x14ac:dyDescent="0.2">
      <c r="A482" s="574">
        <v>541</v>
      </c>
      <c r="B482" s="574" t="s">
        <v>6004</v>
      </c>
      <c r="C482" s="574" t="s">
        <v>5555</v>
      </c>
      <c r="D482" s="582">
        <v>140</v>
      </c>
    </row>
    <row r="483" spans="1:4" x14ac:dyDescent="0.2">
      <c r="A483" s="574">
        <v>542</v>
      </c>
      <c r="B483" s="574" t="s">
        <v>6005</v>
      </c>
      <c r="C483" s="574" t="s">
        <v>5555</v>
      </c>
      <c r="D483" s="582">
        <v>175.49</v>
      </c>
    </row>
    <row r="484" spans="1:4" x14ac:dyDescent="0.2">
      <c r="A484" s="574">
        <v>540</v>
      </c>
      <c r="B484" s="574" t="s">
        <v>6006</v>
      </c>
      <c r="C484" s="574" t="s">
        <v>5555</v>
      </c>
      <c r="D484" s="582">
        <v>395.47</v>
      </c>
    </row>
    <row r="485" spans="1:4" x14ac:dyDescent="0.2">
      <c r="A485" s="574">
        <v>38364</v>
      </c>
      <c r="B485" s="574" t="s">
        <v>6007</v>
      </c>
      <c r="C485" s="574" t="s">
        <v>5555</v>
      </c>
      <c r="D485" s="582">
        <v>628.92999999999995</v>
      </c>
    </row>
    <row r="486" spans="1:4" x14ac:dyDescent="0.2">
      <c r="A486" s="574">
        <v>11692</v>
      </c>
      <c r="B486" s="574" t="s">
        <v>6008</v>
      </c>
      <c r="C486" s="574" t="s">
        <v>5564</v>
      </c>
      <c r="D486" s="582">
        <v>467.77</v>
      </c>
    </row>
    <row r="487" spans="1:4" x14ac:dyDescent="0.2">
      <c r="A487" s="574">
        <v>1746</v>
      </c>
      <c r="B487" s="574" t="s">
        <v>6009</v>
      </c>
      <c r="C487" s="574" t="s">
        <v>5555</v>
      </c>
      <c r="D487" s="582">
        <v>210</v>
      </c>
    </row>
    <row r="488" spans="1:4" x14ac:dyDescent="0.2">
      <c r="A488" s="574">
        <v>1748</v>
      </c>
      <c r="B488" s="574" t="s">
        <v>6010</v>
      </c>
      <c r="C488" s="574" t="s">
        <v>5555</v>
      </c>
      <c r="D488" s="582">
        <v>279.25</v>
      </c>
    </row>
    <row r="489" spans="1:4" x14ac:dyDescent="0.2">
      <c r="A489" s="574">
        <v>1749</v>
      </c>
      <c r="B489" s="574" t="s">
        <v>6011</v>
      </c>
      <c r="C489" s="574" t="s">
        <v>5555</v>
      </c>
      <c r="D489" s="582">
        <v>404.58</v>
      </c>
    </row>
    <row r="490" spans="1:4" x14ac:dyDescent="0.2">
      <c r="A490" s="574">
        <v>37412</v>
      </c>
      <c r="B490" s="574" t="s">
        <v>6012</v>
      </c>
      <c r="C490" s="574" t="s">
        <v>5555</v>
      </c>
      <c r="D490" s="582">
        <v>205.27</v>
      </c>
    </row>
    <row r="491" spans="1:4" x14ac:dyDescent="0.2">
      <c r="A491" s="574">
        <v>1745</v>
      </c>
      <c r="B491" s="574" t="s">
        <v>6013</v>
      </c>
      <c r="C491" s="574" t="s">
        <v>5555</v>
      </c>
      <c r="D491" s="582">
        <v>244.1</v>
      </c>
    </row>
    <row r="492" spans="1:4" x14ac:dyDescent="0.2">
      <c r="A492" s="574">
        <v>1750</v>
      </c>
      <c r="B492" s="574" t="s">
        <v>6014</v>
      </c>
      <c r="C492" s="574" t="s">
        <v>5555</v>
      </c>
      <c r="D492" s="582">
        <v>570.41999999999996</v>
      </c>
    </row>
    <row r="493" spans="1:4" x14ac:dyDescent="0.2">
      <c r="A493" s="574">
        <v>11687</v>
      </c>
      <c r="B493" s="574" t="s">
        <v>6015</v>
      </c>
      <c r="C493" s="574" t="s">
        <v>5575</v>
      </c>
      <c r="D493" s="582">
        <v>908.85</v>
      </c>
    </row>
    <row r="494" spans="1:4" x14ac:dyDescent="0.2">
      <c r="A494" s="574">
        <v>11689</v>
      </c>
      <c r="B494" s="574" t="s">
        <v>6016</v>
      </c>
      <c r="C494" s="574" t="s">
        <v>5575</v>
      </c>
      <c r="D494" s="583">
        <v>1138.74</v>
      </c>
    </row>
    <row r="495" spans="1:4" x14ac:dyDescent="0.2">
      <c r="A495" s="574">
        <v>11693</v>
      </c>
      <c r="B495" s="574" t="s">
        <v>6017</v>
      </c>
      <c r="C495" s="574" t="s">
        <v>5564</v>
      </c>
      <c r="D495" s="582">
        <v>155.22999999999999</v>
      </c>
    </row>
    <row r="496" spans="1:4" x14ac:dyDescent="0.2">
      <c r="A496" s="574">
        <v>36215</v>
      </c>
      <c r="B496" s="574" t="s">
        <v>6018</v>
      </c>
      <c r="C496" s="574" t="s">
        <v>5555</v>
      </c>
      <c r="D496" s="582">
        <v>669.18</v>
      </c>
    </row>
    <row r="497" spans="1:4" x14ac:dyDescent="0.2">
      <c r="A497" s="574">
        <v>42439</v>
      </c>
      <c r="B497" s="574" t="s">
        <v>6019</v>
      </c>
      <c r="C497" s="574" t="s">
        <v>5555</v>
      </c>
      <c r="D497" s="582">
        <v>672.26</v>
      </c>
    </row>
    <row r="498" spans="1:4" x14ac:dyDescent="0.2">
      <c r="A498" s="574">
        <v>38381</v>
      </c>
      <c r="B498" s="574" t="s">
        <v>6020</v>
      </c>
      <c r="C498" s="574" t="s">
        <v>5555</v>
      </c>
      <c r="D498" s="582">
        <v>8.48</v>
      </c>
    </row>
    <row r="499" spans="1:4" x14ac:dyDescent="0.2">
      <c r="A499" s="574">
        <v>39621</v>
      </c>
      <c r="B499" s="574" t="s">
        <v>6021</v>
      </c>
      <c r="C499" s="574" t="s">
        <v>6022</v>
      </c>
      <c r="D499" s="583">
        <v>1073.68</v>
      </c>
    </row>
    <row r="500" spans="1:4" x14ac:dyDescent="0.2">
      <c r="A500" s="574">
        <v>39624</v>
      </c>
      <c r="B500" s="574" t="s">
        <v>6023</v>
      </c>
      <c r="C500" s="574" t="s">
        <v>6022</v>
      </c>
      <c r="D500" s="583">
        <v>1086.5</v>
      </c>
    </row>
    <row r="501" spans="1:4" x14ac:dyDescent="0.2">
      <c r="A501" s="574">
        <v>39615</v>
      </c>
      <c r="B501" s="574" t="s">
        <v>6024</v>
      </c>
      <c r="C501" s="574" t="s">
        <v>5555</v>
      </c>
      <c r="D501" s="582">
        <v>374.58</v>
      </c>
    </row>
    <row r="502" spans="1:4" x14ac:dyDescent="0.2">
      <c r="A502" s="574">
        <v>39620</v>
      </c>
      <c r="B502" s="574" t="s">
        <v>6025</v>
      </c>
      <c r="C502" s="574" t="s">
        <v>5555</v>
      </c>
      <c r="D502" s="582">
        <v>572.63</v>
      </c>
    </row>
    <row r="503" spans="1:4" x14ac:dyDescent="0.2">
      <c r="A503" s="574">
        <v>39623</v>
      </c>
      <c r="B503" s="574" t="s">
        <v>6026</v>
      </c>
      <c r="C503" s="574" t="s">
        <v>5555</v>
      </c>
      <c r="D503" s="582">
        <v>554.5</v>
      </c>
    </row>
    <row r="504" spans="1:4" x14ac:dyDescent="0.2">
      <c r="A504" s="574">
        <v>36207</v>
      </c>
      <c r="B504" s="574" t="s">
        <v>6027</v>
      </c>
      <c r="C504" s="574" t="s">
        <v>5555</v>
      </c>
      <c r="D504" s="582">
        <v>296.39999999999998</v>
      </c>
    </row>
    <row r="505" spans="1:4" x14ac:dyDescent="0.2">
      <c r="A505" s="574">
        <v>36209</v>
      </c>
      <c r="B505" s="574" t="s">
        <v>6028</v>
      </c>
      <c r="C505" s="574" t="s">
        <v>5555</v>
      </c>
      <c r="D505" s="582">
        <v>340.16</v>
      </c>
    </row>
    <row r="506" spans="1:4" x14ac:dyDescent="0.2">
      <c r="A506" s="574">
        <v>36210</v>
      </c>
      <c r="B506" s="574" t="s">
        <v>6029</v>
      </c>
      <c r="C506" s="574" t="s">
        <v>5555</v>
      </c>
      <c r="D506" s="582">
        <v>368.05</v>
      </c>
    </row>
    <row r="507" spans="1:4" x14ac:dyDescent="0.2">
      <c r="A507" s="574">
        <v>36204</v>
      </c>
      <c r="B507" s="574" t="s">
        <v>6030</v>
      </c>
      <c r="C507" s="574" t="s">
        <v>5555</v>
      </c>
      <c r="D507" s="582">
        <v>130.49</v>
      </c>
    </row>
    <row r="508" spans="1:4" x14ac:dyDescent="0.2">
      <c r="A508" s="574">
        <v>36205</v>
      </c>
      <c r="B508" s="574" t="s">
        <v>6031</v>
      </c>
      <c r="C508" s="574" t="s">
        <v>5555</v>
      </c>
      <c r="D508" s="582">
        <v>144.93</v>
      </c>
    </row>
    <row r="509" spans="1:4" x14ac:dyDescent="0.2">
      <c r="A509" s="574">
        <v>36081</v>
      </c>
      <c r="B509" s="574" t="s">
        <v>6032</v>
      </c>
      <c r="C509" s="574" t="s">
        <v>5555</v>
      </c>
      <c r="D509" s="582">
        <v>154.53</v>
      </c>
    </row>
    <row r="510" spans="1:4" x14ac:dyDescent="0.2">
      <c r="A510" s="574">
        <v>36206</v>
      </c>
      <c r="B510" s="574" t="s">
        <v>6033</v>
      </c>
      <c r="C510" s="574" t="s">
        <v>5555</v>
      </c>
      <c r="D510" s="582">
        <v>161.88999999999999</v>
      </c>
    </row>
    <row r="511" spans="1:4" x14ac:dyDescent="0.2">
      <c r="A511" s="574">
        <v>36218</v>
      </c>
      <c r="B511" s="574" t="s">
        <v>6034</v>
      </c>
      <c r="C511" s="574" t="s">
        <v>5555</v>
      </c>
      <c r="D511" s="582">
        <v>104.89</v>
      </c>
    </row>
    <row r="512" spans="1:4" x14ac:dyDescent="0.2">
      <c r="A512" s="574">
        <v>36220</v>
      </c>
      <c r="B512" s="574" t="s">
        <v>6035</v>
      </c>
      <c r="C512" s="574" t="s">
        <v>5555</v>
      </c>
      <c r="D512" s="582">
        <v>120.28</v>
      </c>
    </row>
    <row r="513" spans="1:4" x14ac:dyDescent="0.2">
      <c r="A513" s="574">
        <v>36080</v>
      </c>
      <c r="B513" s="574" t="s">
        <v>6036</v>
      </c>
      <c r="C513" s="574" t="s">
        <v>5555</v>
      </c>
      <c r="D513" s="582">
        <v>130.1</v>
      </c>
    </row>
    <row r="514" spans="1:4" x14ac:dyDescent="0.2">
      <c r="A514" s="574">
        <v>36223</v>
      </c>
      <c r="B514" s="574" t="s">
        <v>6037</v>
      </c>
      <c r="C514" s="574" t="s">
        <v>5555</v>
      </c>
      <c r="D514" s="582">
        <v>136.22999999999999</v>
      </c>
    </row>
    <row r="515" spans="1:4" x14ac:dyDescent="0.2">
      <c r="A515" s="574">
        <v>546</v>
      </c>
      <c r="B515" s="574" t="s">
        <v>6038</v>
      </c>
      <c r="C515" s="574" t="s">
        <v>5626</v>
      </c>
      <c r="D515" s="582">
        <v>6.26</v>
      </c>
    </row>
    <row r="516" spans="1:4" x14ac:dyDescent="0.2">
      <c r="A516" s="574">
        <v>557</v>
      </c>
      <c r="B516" s="574" t="s">
        <v>6039</v>
      </c>
      <c r="C516" s="574" t="s">
        <v>5575</v>
      </c>
      <c r="D516" s="582">
        <v>24.02</v>
      </c>
    </row>
    <row r="517" spans="1:4" x14ac:dyDescent="0.2">
      <c r="A517" s="574">
        <v>552</v>
      </c>
      <c r="B517" s="574" t="s">
        <v>6040</v>
      </c>
      <c r="C517" s="574" t="s">
        <v>5575</v>
      </c>
      <c r="D517" s="582">
        <v>11.83</v>
      </c>
    </row>
    <row r="518" spans="1:4" x14ac:dyDescent="0.2">
      <c r="A518" s="574">
        <v>555</v>
      </c>
      <c r="B518" s="574" t="s">
        <v>6041</v>
      </c>
      <c r="C518" s="574" t="s">
        <v>5575</v>
      </c>
      <c r="D518" s="582">
        <v>7.25</v>
      </c>
    </row>
    <row r="519" spans="1:4" x14ac:dyDescent="0.2">
      <c r="A519" s="574">
        <v>565</v>
      </c>
      <c r="B519" s="574" t="s">
        <v>6042</v>
      </c>
      <c r="C519" s="574" t="s">
        <v>5575</v>
      </c>
      <c r="D519" s="582">
        <v>11.07</v>
      </c>
    </row>
    <row r="520" spans="1:4" x14ac:dyDescent="0.2">
      <c r="A520" s="574">
        <v>549</v>
      </c>
      <c r="B520" s="574" t="s">
        <v>6043</v>
      </c>
      <c r="C520" s="574" t="s">
        <v>5575</v>
      </c>
      <c r="D520" s="582">
        <v>31.67</v>
      </c>
    </row>
    <row r="521" spans="1:4" x14ac:dyDescent="0.2">
      <c r="A521" s="574">
        <v>559</v>
      </c>
      <c r="B521" s="574" t="s">
        <v>6044</v>
      </c>
      <c r="C521" s="574" t="s">
        <v>5575</v>
      </c>
      <c r="D521" s="582">
        <v>15.83</v>
      </c>
    </row>
    <row r="522" spans="1:4" x14ac:dyDescent="0.2">
      <c r="A522" s="574">
        <v>551</v>
      </c>
      <c r="B522" s="574" t="s">
        <v>6045</v>
      </c>
      <c r="C522" s="574" t="s">
        <v>5575</v>
      </c>
      <c r="D522" s="582">
        <v>61.88</v>
      </c>
    </row>
    <row r="523" spans="1:4" x14ac:dyDescent="0.2">
      <c r="A523" s="574">
        <v>547</v>
      </c>
      <c r="B523" s="574" t="s">
        <v>6046</v>
      </c>
      <c r="C523" s="574" t="s">
        <v>5575</v>
      </c>
      <c r="D523" s="582">
        <v>23.72</v>
      </c>
    </row>
    <row r="524" spans="1:4" x14ac:dyDescent="0.2">
      <c r="A524" s="574">
        <v>560</v>
      </c>
      <c r="B524" s="574" t="s">
        <v>6047</v>
      </c>
      <c r="C524" s="574" t="s">
        <v>5575</v>
      </c>
      <c r="D524" s="582">
        <v>20.04</v>
      </c>
    </row>
    <row r="525" spans="1:4" x14ac:dyDescent="0.2">
      <c r="A525" s="574">
        <v>566</v>
      </c>
      <c r="B525" s="574" t="s">
        <v>6048</v>
      </c>
      <c r="C525" s="574" t="s">
        <v>5575</v>
      </c>
      <c r="D525" s="582">
        <v>3.22</v>
      </c>
    </row>
    <row r="526" spans="1:4" x14ac:dyDescent="0.2">
      <c r="A526" s="574">
        <v>563</v>
      </c>
      <c r="B526" s="574" t="s">
        <v>6049</v>
      </c>
      <c r="C526" s="574" t="s">
        <v>5575</v>
      </c>
      <c r="D526" s="582">
        <v>18</v>
      </c>
    </row>
    <row r="527" spans="1:4" x14ac:dyDescent="0.2">
      <c r="A527" s="574">
        <v>38127</v>
      </c>
      <c r="B527" s="574" t="s">
        <v>6050</v>
      </c>
      <c r="C527" s="574" t="s">
        <v>5555</v>
      </c>
      <c r="D527" s="582">
        <v>349.77</v>
      </c>
    </row>
    <row r="528" spans="1:4" x14ac:dyDescent="0.2">
      <c r="A528" s="574">
        <v>38060</v>
      </c>
      <c r="B528" s="574" t="s">
        <v>6051</v>
      </c>
      <c r="C528" s="574" t="s">
        <v>5555</v>
      </c>
      <c r="D528" s="582">
        <v>75.55</v>
      </c>
    </row>
    <row r="529" spans="1:4" x14ac:dyDescent="0.2">
      <c r="A529" s="574">
        <v>10956</v>
      </c>
      <c r="B529" s="574" t="s">
        <v>6052</v>
      </c>
      <c r="C529" s="574" t="s">
        <v>5555</v>
      </c>
      <c r="D529" s="582">
        <v>78.48</v>
      </c>
    </row>
    <row r="530" spans="1:4" x14ac:dyDescent="0.2">
      <c r="A530" s="574">
        <v>39380</v>
      </c>
      <c r="B530" s="574" t="s">
        <v>6053</v>
      </c>
      <c r="C530" s="574" t="s">
        <v>5555</v>
      </c>
      <c r="D530" s="582">
        <v>13.11</v>
      </c>
    </row>
    <row r="531" spans="1:4" x14ac:dyDescent="0.2">
      <c r="A531" s="574">
        <v>13374</v>
      </c>
      <c r="B531" s="574" t="s">
        <v>6054</v>
      </c>
      <c r="C531" s="574" t="s">
        <v>5555</v>
      </c>
      <c r="D531" s="582">
        <v>89.96</v>
      </c>
    </row>
    <row r="532" spans="1:4" x14ac:dyDescent="0.2">
      <c r="A532" s="574">
        <v>37597</v>
      </c>
      <c r="B532" s="574" t="s">
        <v>6055</v>
      </c>
      <c r="C532" s="574" t="s">
        <v>5555</v>
      </c>
      <c r="D532" s="583">
        <v>343543.51</v>
      </c>
    </row>
    <row r="533" spans="1:4" x14ac:dyDescent="0.2">
      <c r="A533" s="574">
        <v>183</v>
      </c>
      <c r="B533" s="574" t="s">
        <v>6056</v>
      </c>
      <c r="C533" s="574" t="s">
        <v>6057</v>
      </c>
      <c r="D533" s="582">
        <v>60</v>
      </c>
    </row>
    <row r="534" spans="1:4" x14ac:dyDescent="0.2">
      <c r="A534" s="574">
        <v>184</v>
      </c>
      <c r="B534" s="574" t="s">
        <v>6058</v>
      </c>
      <c r="C534" s="574" t="s">
        <v>6057</v>
      </c>
      <c r="D534" s="582">
        <v>39.65</v>
      </c>
    </row>
    <row r="535" spans="1:4" x14ac:dyDescent="0.2">
      <c r="A535" s="574">
        <v>195</v>
      </c>
      <c r="B535" s="574" t="s">
        <v>6059</v>
      </c>
      <c r="C535" s="574" t="s">
        <v>6057</v>
      </c>
      <c r="D535" s="582">
        <v>48.74</v>
      </c>
    </row>
    <row r="536" spans="1:4" x14ac:dyDescent="0.2">
      <c r="A536" s="574">
        <v>194</v>
      </c>
      <c r="B536" s="574" t="s">
        <v>6060</v>
      </c>
      <c r="C536" s="574" t="s">
        <v>6057</v>
      </c>
      <c r="D536" s="582">
        <v>26.49</v>
      </c>
    </row>
    <row r="537" spans="1:4" x14ac:dyDescent="0.2">
      <c r="A537" s="574">
        <v>20001</v>
      </c>
      <c r="B537" s="574" t="s">
        <v>6061</v>
      </c>
      <c r="C537" s="574" t="s">
        <v>6057</v>
      </c>
      <c r="D537" s="582">
        <v>48.57</v>
      </c>
    </row>
    <row r="538" spans="1:4" x14ac:dyDescent="0.2">
      <c r="A538" s="574">
        <v>181</v>
      </c>
      <c r="B538" s="574" t="s">
        <v>6062</v>
      </c>
      <c r="C538" s="574" t="s">
        <v>6057</v>
      </c>
      <c r="D538" s="582">
        <v>65.709999999999994</v>
      </c>
    </row>
    <row r="539" spans="1:4" x14ac:dyDescent="0.2">
      <c r="A539" s="574">
        <v>39837</v>
      </c>
      <c r="B539" s="574" t="s">
        <v>6063</v>
      </c>
      <c r="C539" s="574" t="s">
        <v>6057</v>
      </c>
      <c r="D539" s="582">
        <v>211.71</v>
      </c>
    </row>
    <row r="540" spans="1:4" x14ac:dyDescent="0.2">
      <c r="A540" s="574">
        <v>10535</v>
      </c>
      <c r="B540" s="574" t="s">
        <v>6064</v>
      </c>
      <c r="C540" s="574" t="s">
        <v>5555</v>
      </c>
      <c r="D540" s="583">
        <v>3420</v>
      </c>
    </row>
    <row r="541" spans="1:4" x14ac:dyDescent="0.2">
      <c r="A541" s="574">
        <v>10537</v>
      </c>
      <c r="B541" s="574" t="s">
        <v>6065</v>
      </c>
      <c r="C541" s="574" t="s">
        <v>5555</v>
      </c>
      <c r="D541" s="583">
        <v>4663.95</v>
      </c>
    </row>
    <row r="542" spans="1:4" x14ac:dyDescent="0.2">
      <c r="A542" s="574">
        <v>13891</v>
      </c>
      <c r="B542" s="574" t="s">
        <v>6066</v>
      </c>
      <c r="C542" s="574" t="s">
        <v>5555</v>
      </c>
      <c r="D542" s="583">
        <v>4277.8900000000003</v>
      </c>
    </row>
    <row r="543" spans="1:4" x14ac:dyDescent="0.2">
      <c r="A543" s="574">
        <v>25975</v>
      </c>
      <c r="B543" s="574" t="s">
        <v>6067</v>
      </c>
      <c r="C543" s="574" t="s">
        <v>5555</v>
      </c>
      <c r="D543" s="583">
        <v>18607.11</v>
      </c>
    </row>
    <row r="544" spans="1:4" x14ac:dyDescent="0.2">
      <c r="A544" s="574">
        <v>36396</v>
      </c>
      <c r="B544" s="574" t="s">
        <v>6068</v>
      </c>
      <c r="C544" s="574" t="s">
        <v>5555</v>
      </c>
      <c r="D544" s="583">
        <v>3912.71</v>
      </c>
    </row>
    <row r="545" spans="1:4" x14ac:dyDescent="0.2">
      <c r="A545" s="574">
        <v>36397</v>
      </c>
      <c r="B545" s="574" t="s">
        <v>6069</v>
      </c>
      <c r="C545" s="574" t="s">
        <v>5555</v>
      </c>
      <c r="D545" s="583">
        <v>13911.86</v>
      </c>
    </row>
    <row r="546" spans="1:4" x14ac:dyDescent="0.2">
      <c r="A546" s="574">
        <v>36398</v>
      </c>
      <c r="B546" s="574" t="s">
        <v>6070</v>
      </c>
      <c r="C546" s="574" t="s">
        <v>5555</v>
      </c>
      <c r="D546" s="583">
        <v>16908.71</v>
      </c>
    </row>
    <row r="547" spans="1:4" x14ac:dyDescent="0.2">
      <c r="A547" s="574">
        <v>647</v>
      </c>
      <c r="B547" s="574" t="s">
        <v>6071</v>
      </c>
      <c r="C547" s="574" t="s">
        <v>5566</v>
      </c>
      <c r="D547" s="582">
        <v>15.51</v>
      </c>
    </row>
    <row r="548" spans="1:4" x14ac:dyDescent="0.2">
      <c r="A548" s="574">
        <v>40920</v>
      </c>
      <c r="B548" s="574" t="s">
        <v>6072</v>
      </c>
      <c r="C548" s="574" t="s">
        <v>5755</v>
      </c>
      <c r="D548" s="583">
        <v>2714.17</v>
      </c>
    </row>
    <row r="549" spans="1:4" x14ac:dyDescent="0.2">
      <c r="A549" s="574">
        <v>38783</v>
      </c>
      <c r="B549" s="574" t="s">
        <v>6080</v>
      </c>
      <c r="C549" s="574" t="s">
        <v>5555</v>
      </c>
      <c r="D549" s="582">
        <v>0.63</v>
      </c>
    </row>
    <row r="550" spans="1:4" x14ac:dyDescent="0.2">
      <c r="A550" s="574">
        <v>37593</v>
      </c>
      <c r="B550" s="574" t="s">
        <v>6081</v>
      </c>
      <c r="C550" s="574" t="s">
        <v>5555</v>
      </c>
      <c r="D550" s="582">
        <v>1.55</v>
      </c>
    </row>
    <row r="551" spans="1:4" x14ac:dyDescent="0.2">
      <c r="A551" s="574">
        <v>37594</v>
      </c>
      <c r="B551" s="574" t="s">
        <v>6082</v>
      </c>
      <c r="C551" s="574" t="s">
        <v>5555</v>
      </c>
      <c r="D551" s="582">
        <v>1.93</v>
      </c>
    </row>
    <row r="552" spans="1:4" x14ac:dyDescent="0.2">
      <c r="A552" s="574">
        <v>37592</v>
      </c>
      <c r="B552" s="574" t="s">
        <v>6083</v>
      </c>
      <c r="C552" s="574" t="s">
        <v>5555</v>
      </c>
      <c r="D552" s="582">
        <v>1.22</v>
      </c>
    </row>
    <row r="553" spans="1:4" x14ac:dyDescent="0.2">
      <c r="A553" s="574">
        <v>7266</v>
      </c>
      <c r="B553" s="574" t="s">
        <v>13461</v>
      </c>
      <c r="C553" s="574" t="s">
        <v>6074</v>
      </c>
      <c r="D553" s="582">
        <v>472.74</v>
      </c>
    </row>
    <row r="554" spans="1:4" x14ac:dyDescent="0.2">
      <c r="A554" s="574">
        <v>7270</v>
      </c>
      <c r="B554" s="574" t="s">
        <v>13462</v>
      </c>
      <c r="C554" s="574" t="s">
        <v>5555</v>
      </c>
      <c r="D554" s="582">
        <v>0.54</v>
      </c>
    </row>
    <row r="555" spans="1:4" x14ac:dyDescent="0.2">
      <c r="A555" s="574">
        <v>7267</v>
      </c>
      <c r="B555" s="574" t="s">
        <v>13463</v>
      </c>
      <c r="C555" s="574" t="s">
        <v>5555</v>
      </c>
      <c r="D555" s="582">
        <v>0.42</v>
      </c>
    </row>
    <row r="556" spans="1:4" x14ac:dyDescent="0.2">
      <c r="A556" s="574">
        <v>7269</v>
      </c>
      <c r="B556" s="574" t="s">
        <v>13464</v>
      </c>
      <c r="C556" s="574" t="s">
        <v>5555</v>
      </c>
      <c r="D556" s="582">
        <v>0.43</v>
      </c>
    </row>
    <row r="557" spans="1:4" x14ac:dyDescent="0.2">
      <c r="A557" s="574">
        <v>7271</v>
      </c>
      <c r="B557" s="574" t="s">
        <v>13465</v>
      </c>
      <c r="C557" s="574" t="s">
        <v>5555</v>
      </c>
      <c r="D557" s="582">
        <v>0.47</v>
      </c>
    </row>
    <row r="558" spans="1:4" x14ac:dyDescent="0.2">
      <c r="A558" s="574">
        <v>7268</v>
      </c>
      <c r="B558" s="574" t="s">
        <v>13466</v>
      </c>
      <c r="C558" s="574" t="s">
        <v>5555</v>
      </c>
      <c r="D558" s="582">
        <v>0.65</v>
      </c>
    </row>
    <row r="559" spans="1:4" x14ac:dyDescent="0.2">
      <c r="A559" s="574">
        <v>34556</v>
      </c>
      <c r="B559" s="574" t="s">
        <v>13467</v>
      </c>
      <c r="C559" s="574" t="s">
        <v>5555</v>
      </c>
      <c r="D559" s="582">
        <v>3.73</v>
      </c>
    </row>
    <row r="560" spans="1:4" x14ac:dyDescent="0.2">
      <c r="A560" s="574">
        <v>37873</v>
      </c>
      <c r="B560" s="574" t="s">
        <v>13468</v>
      </c>
      <c r="C560" s="574" t="s">
        <v>5555</v>
      </c>
      <c r="D560" s="582">
        <v>3.8</v>
      </c>
    </row>
    <row r="561" spans="1:4" x14ac:dyDescent="0.2">
      <c r="A561" s="574">
        <v>34564</v>
      </c>
      <c r="B561" s="574" t="s">
        <v>13469</v>
      </c>
      <c r="C561" s="574" t="s">
        <v>5555</v>
      </c>
      <c r="D561" s="582">
        <v>3.98</v>
      </c>
    </row>
    <row r="562" spans="1:4" x14ac:dyDescent="0.2">
      <c r="A562" s="574">
        <v>34565</v>
      </c>
      <c r="B562" s="574" t="s">
        <v>13470</v>
      </c>
      <c r="C562" s="574" t="s">
        <v>5555</v>
      </c>
      <c r="D562" s="582">
        <v>4.21</v>
      </c>
    </row>
    <row r="563" spans="1:4" x14ac:dyDescent="0.2">
      <c r="A563" s="574">
        <v>38590</v>
      </c>
      <c r="B563" s="574" t="s">
        <v>13471</v>
      </c>
      <c r="C563" s="574" t="s">
        <v>5555</v>
      </c>
      <c r="D563" s="582">
        <v>3.11</v>
      </c>
    </row>
    <row r="564" spans="1:4" x14ac:dyDescent="0.2">
      <c r="A564" s="574">
        <v>34566</v>
      </c>
      <c r="B564" s="574" t="s">
        <v>13472</v>
      </c>
      <c r="C564" s="574" t="s">
        <v>5555</v>
      </c>
      <c r="D564" s="582">
        <v>3.27</v>
      </c>
    </row>
    <row r="565" spans="1:4" x14ac:dyDescent="0.2">
      <c r="A565" s="574">
        <v>34567</v>
      </c>
      <c r="B565" s="574" t="s">
        <v>13473</v>
      </c>
      <c r="C565" s="574" t="s">
        <v>5555</v>
      </c>
      <c r="D565" s="582">
        <v>3.46</v>
      </c>
    </row>
    <row r="566" spans="1:4" x14ac:dyDescent="0.2">
      <c r="A566" s="574">
        <v>38591</v>
      </c>
      <c r="B566" s="574" t="s">
        <v>13474</v>
      </c>
      <c r="C566" s="574" t="s">
        <v>5555</v>
      </c>
      <c r="D566" s="582">
        <v>3.14</v>
      </c>
    </row>
    <row r="567" spans="1:4" x14ac:dyDescent="0.2">
      <c r="A567" s="574">
        <v>34568</v>
      </c>
      <c r="B567" s="574" t="s">
        <v>13475</v>
      </c>
      <c r="C567" s="574" t="s">
        <v>5555</v>
      </c>
      <c r="D567" s="582">
        <v>4.09</v>
      </c>
    </row>
    <row r="568" spans="1:4" x14ac:dyDescent="0.2">
      <c r="A568" s="574">
        <v>34569</v>
      </c>
      <c r="B568" s="574" t="s">
        <v>13476</v>
      </c>
      <c r="C568" s="574" t="s">
        <v>5555</v>
      </c>
      <c r="D568" s="582">
        <v>4.21</v>
      </c>
    </row>
    <row r="569" spans="1:4" x14ac:dyDescent="0.2">
      <c r="A569" s="574">
        <v>34570</v>
      </c>
      <c r="B569" s="574" t="s">
        <v>13477</v>
      </c>
      <c r="C569" s="574" t="s">
        <v>5555</v>
      </c>
      <c r="D569" s="582">
        <v>4.57</v>
      </c>
    </row>
    <row r="570" spans="1:4" x14ac:dyDescent="0.2">
      <c r="A570" s="574">
        <v>25070</v>
      </c>
      <c r="B570" s="574" t="s">
        <v>13478</v>
      </c>
      <c r="C570" s="574" t="s">
        <v>5555</v>
      </c>
      <c r="D570" s="582">
        <v>3.44</v>
      </c>
    </row>
    <row r="571" spans="1:4" x14ac:dyDescent="0.2">
      <c r="A571" s="574">
        <v>34571</v>
      </c>
      <c r="B571" s="574" t="s">
        <v>13479</v>
      </c>
      <c r="C571" s="574" t="s">
        <v>5555</v>
      </c>
      <c r="D571" s="582">
        <v>3.47</v>
      </c>
    </row>
    <row r="572" spans="1:4" x14ac:dyDescent="0.2">
      <c r="A572" s="574">
        <v>34573</v>
      </c>
      <c r="B572" s="574" t="s">
        <v>13480</v>
      </c>
      <c r="C572" s="574" t="s">
        <v>5555</v>
      </c>
      <c r="D572" s="582">
        <v>3.65</v>
      </c>
    </row>
    <row r="573" spans="1:4" x14ac:dyDescent="0.2">
      <c r="A573" s="574">
        <v>37107</v>
      </c>
      <c r="B573" s="574" t="s">
        <v>13481</v>
      </c>
      <c r="C573" s="574" t="s">
        <v>5555</v>
      </c>
      <c r="D573" s="582">
        <v>4.82</v>
      </c>
    </row>
    <row r="574" spans="1:4" x14ac:dyDescent="0.2">
      <c r="A574" s="574">
        <v>34576</v>
      </c>
      <c r="B574" s="574" t="s">
        <v>13482</v>
      </c>
      <c r="C574" s="574" t="s">
        <v>5555</v>
      </c>
      <c r="D574" s="582">
        <v>5.32</v>
      </c>
    </row>
    <row r="575" spans="1:4" x14ac:dyDescent="0.2">
      <c r="A575" s="574">
        <v>34577</v>
      </c>
      <c r="B575" s="574" t="s">
        <v>13483</v>
      </c>
      <c r="C575" s="574" t="s">
        <v>5555</v>
      </c>
      <c r="D575" s="582">
        <v>5.55</v>
      </c>
    </row>
    <row r="576" spans="1:4" x14ac:dyDescent="0.2">
      <c r="A576" s="574">
        <v>34578</v>
      </c>
      <c r="B576" s="574" t="s">
        <v>13484</v>
      </c>
      <c r="C576" s="574" t="s">
        <v>5555</v>
      </c>
      <c r="D576" s="582">
        <v>6.02</v>
      </c>
    </row>
    <row r="577" spans="1:4" x14ac:dyDescent="0.2">
      <c r="A577" s="574">
        <v>34579</v>
      </c>
      <c r="B577" s="574" t="s">
        <v>13485</v>
      </c>
      <c r="C577" s="574" t="s">
        <v>5555</v>
      </c>
      <c r="D577" s="582">
        <v>6.42</v>
      </c>
    </row>
    <row r="578" spans="1:4" x14ac:dyDescent="0.2">
      <c r="A578" s="574">
        <v>25067</v>
      </c>
      <c r="B578" s="574" t="s">
        <v>13486</v>
      </c>
      <c r="C578" s="574" t="s">
        <v>5555</v>
      </c>
      <c r="D578" s="582">
        <v>4.3</v>
      </c>
    </row>
    <row r="579" spans="1:4" x14ac:dyDescent="0.2">
      <c r="A579" s="574">
        <v>34580</v>
      </c>
      <c r="B579" s="574" t="s">
        <v>13487</v>
      </c>
      <c r="C579" s="574" t="s">
        <v>5555</v>
      </c>
      <c r="D579" s="582">
        <v>4.8</v>
      </c>
    </row>
    <row r="580" spans="1:4" x14ac:dyDescent="0.2">
      <c r="A580" s="574">
        <v>25071</v>
      </c>
      <c r="B580" s="574" t="s">
        <v>13488</v>
      </c>
      <c r="C580" s="574" t="s">
        <v>5555</v>
      </c>
      <c r="D580" s="582">
        <v>2.39</v>
      </c>
    </row>
    <row r="581" spans="1:4" x14ac:dyDescent="0.2">
      <c r="A581" s="574">
        <v>38395</v>
      </c>
      <c r="B581" s="574" t="s">
        <v>6106</v>
      </c>
      <c r="C581" s="574" t="s">
        <v>5555</v>
      </c>
      <c r="D581" s="582">
        <v>7.08</v>
      </c>
    </row>
    <row r="582" spans="1:4" x14ac:dyDescent="0.2">
      <c r="A582" s="574">
        <v>34583</v>
      </c>
      <c r="B582" s="574" t="s">
        <v>6107</v>
      </c>
      <c r="C582" s="574" t="s">
        <v>5564</v>
      </c>
      <c r="D582" s="582">
        <v>64.8</v>
      </c>
    </row>
    <row r="583" spans="1:4" x14ac:dyDescent="0.2">
      <c r="A583" s="574">
        <v>34584</v>
      </c>
      <c r="B583" s="574" t="s">
        <v>6108</v>
      </c>
      <c r="C583" s="574" t="s">
        <v>5564</v>
      </c>
      <c r="D583" s="582">
        <v>36.270000000000003</v>
      </c>
    </row>
    <row r="584" spans="1:4" x14ac:dyDescent="0.2">
      <c r="A584" s="574">
        <v>709</v>
      </c>
      <c r="B584" s="574" t="s">
        <v>6109</v>
      </c>
      <c r="C584" s="574" t="s">
        <v>5564</v>
      </c>
      <c r="D584" s="582">
        <v>547</v>
      </c>
    </row>
    <row r="585" spans="1:4" x14ac:dyDescent="0.2">
      <c r="A585" s="574">
        <v>34599</v>
      </c>
      <c r="B585" s="574" t="s">
        <v>13489</v>
      </c>
      <c r="C585" s="574" t="s">
        <v>5555</v>
      </c>
      <c r="D585" s="582">
        <v>2.4500000000000002</v>
      </c>
    </row>
    <row r="586" spans="1:4" x14ac:dyDescent="0.2">
      <c r="A586" s="574">
        <v>34592</v>
      </c>
      <c r="B586" s="574" t="s">
        <v>13490</v>
      </c>
      <c r="C586" s="574" t="s">
        <v>5555</v>
      </c>
      <c r="D586" s="582">
        <v>2.73</v>
      </c>
    </row>
    <row r="587" spans="1:4" x14ac:dyDescent="0.2">
      <c r="A587" s="574">
        <v>37103</v>
      </c>
      <c r="B587" s="574" t="s">
        <v>13491</v>
      </c>
      <c r="C587" s="574" t="s">
        <v>5555</v>
      </c>
      <c r="D587" s="582">
        <v>3.13</v>
      </c>
    </row>
    <row r="588" spans="1:4" x14ac:dyDescent="0.2">
      <c r="A588" s="574">
        <v>34555</v>
      </c>
      <c r="B588" s="574" t="s">
        <v>13492</v>
      </c>
      <c r="C588" s="574" t="s">
        <v>5555</v>
      </c>
      <c r="D588" s="582">
        <v>3.97</v>
      </c>
    </row>
    <row r="589" spans="1:4" x14ac:dyDescent="0.2">
      <c r="A589" s="574">
        <v>674</v>
      </c>
      <c r="B589" s="574" t="s">
        <v>13493</v>
      </c>
      <c r="C589" s="574" t="s">
        <v>5564</v>
      </c>
      <c r="D589" s="582">
        <v>53.78</v>
      </c>
    </row>
    <row r="590" spans="1:4" x14ac:dyDescent="0.2">
      <c r="A590" s="574">
        <v>34600</v>
      </c>
      <c r="B590" s="574" t="s">
        <v>13494</v>
      </c>
      <c r="C590" s="574" t="s">
        <v>5564</v>
      </c>
      <c r="D590" s="582">
        <v>79</v>
      </c>
    </row>
    <row r="591" spans="1:4" x14ac:dyDescent="0.2">
      <c r="A591" s="574">
        <v>652</v>
      </c>
      <c r="B591" s="574" t="s">
        <v>13495</v>
      </c>
      <c r="C591" s="574" t="s">
        <v>5564</v>
      </c>
      <c r="D591" s="582">
        <v>121.02</v>
      </c>
    </row>
    <row r="592" spans="1:4" x14ac:dyDescent="0.2">
      <c r="A592" s="574">
        <v>651</v>
      </c>
      <c r="B592" s="574" t="s">
        <v>13496</v>
      </c>
      <c r="C592" s="574" t="s">
        <v>5555</v>
      </c>
      <c r="D592" s="582">
        <v>3.01</v>
      </c>
    </row>
    <row r="593" spans="1:4" x14ac:dyDescent="0.2">
      <c r="A593" s="574">
        <v>654</v>
      </c>
      <c r="B593" s="574" t="s">
        <v>13497</v>
      </c>
      <c r="C593" s="574" t="s">
        <v>5555</v>
      </c>
      <c r="D593" s="582">
        <v>3.73</v>
      </c>
    </row>
    <row r="594" spans="1:4" x14ac:dyDescent="0.2">
      <c r="A594" s="574">
        <v>650</v>
      </c>
      <c r="B594" s="574" t="s">
        <v>13498</v>
      </c>
      <c r="C594" s="574" t="s">
        <v>5555</v>
      </c>
      <c r="D594" s="582">
        <v>2.41</v>
      </c>
    </row>
    <row r="595" spans="1:4" x14ac:dyDescent="0.2">
      <c r="A595" s="574">
        <v>716</v>
      </c>
      <c r="B595" s="574" t="s">
        <v>6110</v>
      </c>
      <c r="C595" s="574" t="s">
        <v>5555</v>
      </c>
      <c r="D595" s="582">
        <v>20.25</v>
      </c>
    </row>
    <row r="596" spans="1:4" x14ac:dyDescent="0.2">
      <c r="A596" s="574">
        <v>715</v>
      </c>
      <c r="B596" s="574" t="s">
        <v>6111</v>
      </c>
      <c r="C596" s="574" t="s">
        <v>5555</v>
      </c>
      <c r="D596" s="582">
        <v>20.03</v>
      </c>
    </row>
    <row r="597" spans="1:4" x14ac:dyDescent="0.2">
      <c r="A597" s="574">
        <v>718</v>
      </c>
      <c r="B597" s="574" t="s">
        <v>6112</v>
      </c>
      <c r="C597" s="574" t="s">
        <v>5555</v>
      </c>
      <c r="D597" s="582">
        <v>29.84</v>
      </c>
    </row>
    <row r="598" spans="1:4" x14ac:dyDescent="0.2">
      <c r="A598" s="574">
        <v>11981</v>
      </c>
      <c r="B598" s="574" t="s">
        <v>6113</v>
      </c>
      <c r="C598" s="574" t="s">
        <v>5555</v>
      </c>
      <c r="D598" s="582">
        <v>20.46</v>
      </c>
    </row>
    <row r="599" spans="1:4" x14ac:dyDescent="0.2">
      <c r="A599" s="574">
        <v>34586</v>
      </c>
      <c r="B599" s="574" t="s">
        <v>6116</v>
      </c>
      <c r="C599" s="574" t="s">
        <v>5555</v>
      </c>
      <c r="D599" s="582">
        <v>1.32</v>
      </c>
    </row>
    <row r="600" spans="1:4" x14ac:dyDescent="0.2">
      <c r="A600" s="574">
        <v>38603</v>
      </c>
      <c r="B600" s="574" t="s">
        <v>6117</v>
      </c>
      <c r="C600" s="574" t="s">
        <v>5555</v>
      </c>
      <c r="D600" s="582">
        <v>1.6</v>
      </c>
    </row>
    <row r="601" spans="1:4" x14ac:dyDescent="0.2">
      <c r="A601" s="574">
        <v>34588</v>
      </c>
      <c r="B601" s="574" t="s">
        <v>6118</v>
      </c>
      <c r="C601" s="574" t="s">
        <v>5555</v>
      </c>
      <c r="D601" s="582">
        <v>1.73</v>
      </c>
    </row>
    <row r="602" spans="1:4" x14ac:dyDescent="0.2">
      <c r="A602" s="574">
        <v>34590</v>
      </c>
      <c r="B602" s="574" t="s">
        <v>6119</v>
      </c>
      <c r="C602" s="574" t="s">
        <v>5555</v>
      </c>
      <c r="D602" s="582">
        <v>1.58</v>
      </c>
    </row>
    <row r="603" spans="1:4" x14ac:dyDescent="0.2">
      <c r="A603" s="574">
        <v>34591</v>
      </c>
      <c r="B603" s="574" t="s">
        <v>6120</v>
      </c>
      <c r="C603" s="574" t="s">
        <v>5555</v>
      </c>
      <c r="D603" s="582">
        <v>2.14</v>
      </c>
    </row>
    <row r="604" spans="1:4" x14ac:dyDescent="0.2">
      <c r="A604" s="574">
        <v>41372</v>
      </c>
      <c r="B604" s="574" t="s">
        <v>13499</v>
      </c>
      <c r="C604" s="574" t="s">
        <v>5564</v>
      </c>
      <c r="D604" s="582">
        <v>75.48</v>
      </c>
    </row>
    <row r="605" spans="1:4" x14ac:dyDescent="0.2">
      <c r="A605" s="574">
        <v>41371</v>
      </c>
      <c r="B605" s="574" t="s">
        <v>13500</v>
      </c>
      <c r="C605" s="574" t="s">
        <v>5564</v>
      </c>
      <c r="D605" s="582">
        <v>44.61</v>
      </c>
    </row>
    <row r="606" spans="1:4" x14ac:dyDescent="0.2">
      <c r="A606" s="574">
        <v>40517</v>
      </c>
      <c r="B606" s="574" t="s">
        <v>13501</v>
      </c>
      <c r="C606" s="574" t="s">
        <v>5564</v>
      </c>
      <c r="D606" s="582">
        <v>47.54</v>
      </c>
    </row>
    <row r="607" spans="1:4" x14ac:dyDescent="0.2">
      <c r="A607" s="574">
        <v>40515</v>
      </c>
      <c r="B607" s="574" t="s">
        <v>13502</v>
      </c>
      <c r="C607" s="574" t="s">
        <v>5564</v>
      </c>
      <c r="D607" s="582">
        <v>106.96</v>
      </c>
    </row>
    <row r="608" spans="1:4" x14ac:dyDescent="0.2">
      <c r="A608" s="574">
        <v>40529</v>
      </c>
      <c r="B608" s="574" t="s">
        <v>6135</v>
      </c>
      <c r="C608" s="574" t="s">
        <v>5564</v>
      </c>
      <c r="D608" s="582">
        <v>68.34</v>
      </c>
    </row>
    <row r="609" spans="1:4" x14ac:dyDescent="0.2">
      <c r="A609" s="574">
        <v>36170</v>
      </c>
      <c r="B609" s="574" t="s">
        <v>6136</v>
      </c>
      <c r="C609" s="574" t="s">
        <v>5564</v>
      </c>
      <c r="D609" s="582">
        <v>56.7</v>
      </c>
    </row>
    <row r="610" spans="1:4" x14ac:dyDescent="0.2">
      <c r="A610" s="574">
        <v>40524</v>
      </c>
      <c r="B610" s="574" t="s">
        <v>6137</v>
      </c>
      <c r="C610" s="574" t="s">
        <v>5564</v>
      </c>
      <c r="D610" s="582">
        <v>66.849999999999994</v>
      </c>
    </row>
    <row r="611" spans="1:4" x14ac:dyDescent="0.2">
      <c r="A611" s="574">
        <v>36156</v>
      </c>
      <c r="B611" s="574" t="s">
        <v>6138</v>
      </c>
      <c r="C611" s="574" t="s">
        <v>5564</v>
      </c>
      <c r="D611" s="582">
        <v>51.99</v>
      </c>
    </row>
    <row r="612" spans="1:4" x14ac:dyDescent="0.2">
      <c r="A612" s="574">
        <v>36155</v>
      </c>
      <c r="B612" s="574" t="s">
        <v>6139</v>
      </c>
      <c r="C612" s="574" t="s">
        <v>5564</v>
      </c>
      <c r="D612" s="582">
        <v>44.88</v>
      </c>
    </row>
    <row r="613" spans="1:4" x14ac:dyDescent="0.2">
      <c r="A613" s="574">
        <v>36154</v>
      </c>
      <c r="B613" s="574" t="s">
        <v>6140</v>
      </c>
      <c r="C613" s="574" t="s">
        <v>5564</v>
      </c>
      <c r="D613" s="582">
        <v>62.39</v>
      </c>
    </row>
    <row r="614" spans="1:4" x14ac:dyDescent="0.2">
      <c r="A614" s="574">
        <v>695</v>
      </c>
      <c r="B614" s="574" t="s">
        <v>6141</v>
      </c>
      <c r="C614" s="574" t="s">
        <v>5564</v>
      </c>
      <c r="D614" s="582">
        <v>45.83</v>
      </c>
    </row>
    <row r="615" spans="1:4" x14ac:dyDescent="0.2">
      <c r="A615" s="574">
        <v>679</v>
      </c>
      <c r="B615" s="574" t="s">
        <v>13503</v>
      </c>
      <c r="C615" s="574" t="s">
        <v>5564</v>
      </c>
      <c r="D615" s="582">
        <v>68.34</v>
      </c>
    </row>
    <row r="616" spans="1:4" x14ac:dyDescent="0.2">
      <c r="A616" s="574">
        <v>711</v>
      </c>
      <c r="B616" s="574" t="s">
        <v>13504</v>
      </c>
      <c r="C616" s="574" t="s">
        <v>5564</v>
      </c>
      <c r="D616" s="582">
        <v>45.2</v>
      </c>
    </row>
    <row r="617" spans="1:4" x14ac:dyDescent="0.2">
      <c r="A617" s="574">
        <v>712</v>
      </c>
      <c r="B617" s="574" t="s">
        <v>13505</v>
      </c>
      <c r="C617" s="574" t="s">
        <v>5564</v>
      </c>
      <c r="D617" s="582">
        <v>56.94</v>
      </c>
    </row>
    <row r="618" spans="1:4" x14ac:dyDescent="0.2">
      <c r="A618" s="574">
        <v>12614</v>
      </c>
      <c r="B618" s="574" t="s">
        <v>6145</v>
      </c>
      <c r="C618" s="574" t="s">
        <v>5555</v>
      </c>
      <c r="D618" s="582">
        <v>15.42</v>
      </c>
    </row>
    <row r="619" spans="1:4" x14ac:dyDescent="0.2">
      <c r="A619" s="574">
        <v>6140</v>
      </c>
      <c r="B619" s="574" t="s">
        <v>6146</v>
      </c>
      <c r="C619" s="574" t="s">
        <v>5555</v>
      </c>
      <c r="D619" s="582">
        <v>2.78</v>
      </c>
    </row>
    <row r="620" spans="1:4" x14ac:dyDescent="0.2">
      <c r="A620" s="574">
        <v>38399</v>
      </c>
      <c r="B620" s="574" t="s">
        <v>6147</v>
      </c>
      <c r="C620" s="574" t="s">
        <v>5555</v>
      </c>
      <c r="D620" s="582">
        <v>156.96</v>
      </c>
    </row>
    <row r="621" spans="1:4" x14ac:dyDescent="0.2">
      <c r="A621" s="574">
        <v>735</v>
      </c>
      <c r="B621" s="574" t="s">
        <v>6148</v>
      </c>
      <c r="C621" s="574" t="s">
        <v>5555</v>
      </c>
      <c r="D621" s="583">
        <v>1821.13</v>
      </c>
    </row>
    <row r="622" spans="1:4" x14ac:dyDescent="0.2">
      <c r="A622" s="574">
        <v>736</v>
      </c>
      <c r="B622" s="574" t="s">
        <v>6149</v>
      </c>
      <c r="C622" s="574" t="s">
        <v>5555</v>
      </c>
      <c r="D622" s="583">
        <v>1531.24</v>
      </c>
    </row>
    <row r="623" spans="1:4" x14ac:dyDescent="0.2">
      <c r="A623" s="574">
        <v>729</v>
      </c>
      <c r="B623" s="574" t="s">
        <v>6150</v>
      </c>
      <c r="C623" s="574" t="s">
        <v>5555</v>
      </c>
      <c r="D623" s="582">
        <v>624</v>
      </c>
    </row>
    <row r="624" spans="1:4" x14ac:dyDescent="0.2">
      <c r="A624" s="574">
        <v>39925</v>
      </c>
      <c r="B624" s="574" t="s">
        <v>6151</v>
      </c>
      <c r="C624" s="574" t="s">
        <v>5555</v>
      </c>
      <c r="D624" s="583">
        <v>9016.74</v>
      </c>
    </row>
    <row r="625" spans="1:4" x14ac:dyDescent="0.2">
      <c r="A625" s="574">
        <v>731</v>
      </c>
      <c r="B625" s="574" t="s">
        <v>6152</v>
      </c>
      <c r="C625" s="574" t="s">
        <v>5555</v>
      </c>
      <c r="D625" s="582">
        <v>607.29999999999995</v>
      </c>
    </row>
    <row r="626" spans="1:4" x14ac:dyDescent="0.2">
      <c r="A626" s="574">
        <v>10575</v>
      </c>
      <c r="B626" s="574" t="s">
        <v>6153</v>
      </c>
      <c r="C626" s="574" t="s">
        <v>5555</v>
      </c>
      <c r="D626" s="582">
        <v>947.74</v>
      </c>
    </row>
    <row r="627" spans="1:4" x14ac:dyDescent="0.2">
      <c r="A627" s="574">
        <v>733</v>
      </c>
      <c r="B627" s="574" t="s">
        <v>6154</v>
      </c>
      <c r="C627" s="574" t="s">
        <v>5555</v>
      </c>
      <c r="D627" s="583">
        <v>1037.6600000000001</v>
      </c>
    </row>
    <row r="628" spans="1:4" x14ac:dyDescent="0.2">
      <c r="A628" s="574">
        <v>732</v>
      </c>
      <c r="B628" s="574" t="s">
        <v>6155</v>
      </c>
      <c r="C628" s="574" t="s">
        <v>5555</v>
      </c>
      <c r="D628" s="583">
        <v>1023.71</v>
      </c>
    </row>
    <row r="629" spans="1:4" x14ac:dyDescent="0.2">
      <c r="A629" s="574">
        <v>737</v>
      </c>
      <c r="B629" s="574" t="s">
        <v>6156</v>
      </c>
      <c r="C629" s="574" t="s">
        <v>5555</v>
      </c>
      <c r="D629" s="583">
        <v>5740.7</v>
      </c>
    </row>
    <row r="630" spans="1:4" x14ac:dyDescent="0.2">
      <c r="A630" s="574">
        <v>738</v>
      </c>
      <c r="B630" s="574" t="s">
        <v>6157</v>
      </c>
      <c r="C630" s="574" t="s">
        <v>5555</v>
      </c>
      <c r="D630" s="583">
        <v>2661.92</v>
      </c>
    </row>
    <row r="631" spans="1:4" x14ac:dyDescent="0.2">
      <c r="A631" s="574">
        <v>740</v>
      </c>
      <c r="B631" s="574" t="s">
        <v>6158</v>
      </c>
      <c r="C631" s="574" t="s">
        <v>5555</v>
      </c>
      <c r="D631" s="583">
        <v>5400.48</v>
      </c>
    </row>
    <row r="632" spans="1:4" x14ac:dyDescent="0.2">
      <c r="A632" s="574">
        <v>734</v>
      </c>
      <c r="B632" s="574" t="s">
        <v>6159</v>
      </c>
      <c r="C632" s="574" t="s">
        <v>5555</v>
      </c>
      <c r="D632" s="583">
        <v>1097.42</v>
      </c>
    </row>
    <row r="633" spans="1:4" x14ac:dyDescent="0.2">
      <c r="A633" s="574">
        <v>39008</v>
      </c>
      <c r="B633" s="574" t="s">
        <v>6160</v>
      </c>
      <c r="C633" s="574" t="s">
        <v>5555</v>
      </c>
      <c r="D633" s="583">
        <v>41690.839999999997</v>
      </c>
    </row>
    <row r="634" spans="1:4" x14ac:dyDescent="0.2">
      <c r="A634" s="574">
        <v>39009</v>
      </c>
      <c r="B634" s="574" t="s">
        <v>6161</v>
      </c>
      <c r="C634" s="574" t="s">
        <v>5555</v>
      </c>
      <c r="D634" s="583">
        <v>44666.57</v>
      </c>
    </row>
    <row r="635" spans="1:4" x14ac:dyDescent="0.2">
      <c r="A635" s="574">
        <v>10587</v>
      </c>
      <c r="B635" s="574" t="s">
        <v>6162</v>
      </c>
      <c r="C635" s="574" t="s">
        <v>5555</v>
      </c>
      <c r="D635" s="583">
        <v>2869.4</v>
      </c>
    </row>
    <row r="636" spans="1:4" x14ac:dyDescent="0.2">
      <c r="A636" s="574">
        <v>759</v>
      </c>
      <c r="B636" s="574" t="s">
        <v>6163</v>
      </c>
      <c r="C636" s="574" t="s">
        <v>5555</v>
      </c>
      <c r="D636" s="583">
        <v>4125.63</v>
      </c>
    </row>
    <row r="637" spans="1:4" x14ac:dyDescent="0.2">
      <c r="A637" s="574">
        <v>761</v>
      </c>
      <c r="B637" s="574" t="s">
        <v>6164</v>
      </c>
      <c r="C637" s="574" t="s">
        <v>5555</v>
      </c>
      <c r="D637" s="583">
        <v>6993.29</v>
      </c>
    </row>
    <row r="638" spans="1:4" x14ac:dyDescent="0.2">
      <c r="A638" s="574">
        <v>750</v>
      </c>
      <c r="B638" s="574" t="s">
        <v>6165</v>
      </c>
      <c r="C638" s="574" t="s">
        <v>5555</v>
      </c>
      <c r="D638" s="583">
        <v>6639.58</v>
      </c>
    </row>
    <row r="639" spans="1:4" x14ac:dyDescent="0.2">
      <c r="A639" s="574">
        <v>755</v>
      </c>
      <c r="B639" s="574" t="s">
        <v>6166</v>
      </c>
      <c r="C639" s="574" t="s">
        <v>5555</v>
      </c>
      <c r="D639" s="583">
        <v>27245.599999999999</v>
      </c>
    </row>
    <row r="640" spans="1:4" x14ac:dyDescent="0.2">
      <c r="A640" s="574">
        <v>749</v>
      </c>
      <c r="B640" s="574" t="s">
        <v>6167</v>
      </c>
      <c r="C640" s="574" t="s">
        <v>5555</v>
      </c>
      <c r="D640" s="583">
        <v>10020.43</v>
      </c>
    </row>
    <row r="641" spans="1:4" x14ac:dyDescent="0.2">
      <c r="A641" s="574">
        <v>756</v>
      </c>
      <c r="B641" s="574" t="s">
        <v>6168</v>
      </c>
      <c r="C641" s="574" t="s">
        <v>5555</v>
      </c>
      <c r="D641" s="583">
        <v>29714.98</v>
      </c>
    </row>
    <row r="642" spans="1:4" x14ac:dyDescent="0.2">
      <c r="A642" s="574">
        <v>757</v>
      </c>
      <c r="B642" s="574" t="s">
        <v>6169</v>
      </c>
      <c r="C642" s="574" t="s">
        <v>5555</v>
      </c>
      <c r="D642" s="583">
        <v>13492.5</v>
      </c>
    </row>
    <row r="643" spans="1:4" x14ac:dyDescent="0.2">
      <c r="A643" s="574">
        <v>10588</v>
      </c>
      <c r="B643" s="574" t="s">
        <v>6170</v>
      </c>
      <c r="C643" s="574" t="s">
        <v>5555</v>
      </c>
      <c r="D643" s="583">
        <v>2978.8</v>
      </c>
    </row>
    <row r="644" spans="1:4" x14ac:dyDescent="0.2">
      <c r="A644" s="574">
        <v>10592</v>
      </c>
      <c r="B644" s="574" t="s">
        <v>6171</v>
      </c>
      <c r="C644" s="574" t="s">
        <v>5555</v>
      </c>
      <c r="D644" s="583">
        <v>3598</v>
      </c>
    </row>
    <row r="645" spans="1:4" x14ac:dyDescent="0.2">
      <c r="A645" s="574">
        <v>10589</v>
      </c>
      <c r="B645" s="574" t="s">
        <v>6172</v>
      </c>
      <c r="C645" s="574" t="s">
        <v>5555</v>
      </c>
      <c r="D645" s="583">
        <v>4833.68</v>
      </c>
    </row>
    <row r="646" spans="1:4" x14ac:dyDescent="0.2">
      <c r="A646" s="574">
        <v>760</v>
      </c>
      <c r="B646" s="574" t="s">
        <v>6173</v>
      </c>
      <c r="C646" s="574" t="s">
        <v>5555</v>
      </c>
      <c r="D646" s="583">
        <v>26985</v>
      </c>
    </row>
    <row r="647" spans="1:4" x14ac:dyDescent="0.2">
      <c r="A647" s="574">
        <v>751</v>
      </c>
      <c r="B647" s="574" t="s">
        <v>6174</v>
      </c>
      <c r="C647" s="574" t="s">
        <v>5555</v>
      </c>
      <c r="D647" s="583">
        <v>4250.13</v>
      </c>
    </row>
    <row r="648" spans="1:4" x14ac:dyDescent="0.2">
      <c r="A648" s="574">
        <v>754</v>
      </c>
      <c r="B648" s="574" t="s">
        <v>6175</v>
      </c>
      <c r="C648" s="574" t="s">
        <v>5555</v>
      </c>
      <c r="D648" s="583">
        <v>6746.25</v>
      </c>
    </row>
    <row r="649" spans="1:4" x14ac:dyDescent="0.2">
      <c r="A649" s="574">
        <v>14013</v>
      </c>
      <c r="B649" s="574" t="s">
        <v>6176</v>
      </c>
      <c r="C649" s="574" t="s">
        <v>5555</v>
      </c>
      <c r="D649" s="583">
        <v>155126.12</v>
      </c>
    </row>
    <row r="650" spans="1:4" x14ac:dyDescent="0.2">
      <c r="A650" s="574">
        <v>39917</v>
      </c>
      <c r="B650" s="574" t="s">
        <v>6177</v>
      </c>
      <c r="C650" s="574" t="s">
        <v>5555</v>
      </c>
      <c r="D650" s="583">
        <v>64040.14</v>
      </c>
    </row>
    <row r="651" spans="1:4" x14ac:dyDescent="0.2">
      <c r="A651" s="574">
        <v>5081</v>
      </c>
      <c r="B651" s="574" t="s">
        <v>6178</v>
      </c>
      <c r="C651" s="574" t="s">
        <v>6022</v>
      </c>
      <c r="D651" s="582">
        <v>20.11</v>
      </c>
    </row>
    <row r="652" spans="1:4" x14ac:dyDescent="0.2">
      <c r="A652" s="574">
        <v>38167</v>
      </c>
      <c r="B652" s="574" t="s">
        <v>6179</v>
      </c>
      <c r="C652" s="574" t="s">
        <v>6022</v>
      </c>
      <c r="D652" s="582">
        <v>17.329999999999998</v>
      </c>
    </row>
    <row r="653" spans="1:4" x14ac:dyDescent="0.2">
      <c r="A653" s="574">
        <v>36145</v>
      </c>
      <c r="B653" s="574" t="s">
        <v>6180</v>
      </c>
      <c r="C653" s="574" t="s">
        <v>6022</v>
      </c>
      <c r="D653" s="582">
        <v>35.28</v>
      </c>
    </row>
    <row r="654" spans="1:4" x14ac:dyDescent="0.2">
      <c r="A654" s="574">
        <v>12893</v>
      </c>
      <c r="B654" s="574" t="s">
        <v>6181</v>
      </c>
      <c r="C654" s="574" t="s">
        <v>6022</v>
      </c>
      <c r="D654" s="582">
        <v>58.8</v>
      </c>
    </row>
    <row r="655" spans="1:4" x14ac:dyDescent="0.2">
      <c r="A655" s="574">
        <v>11685</v>
      </c>
      <c r="B655" s="574" t="s">
        <v>6182</v>
      </c>
      <c r="C655" s="574" t="s">
        <v>5555</v>
      </c>
      <c r="D655" s="582">
        <v>15.35</v>
      </c>
    </row>
    <row r="656" spans="1:4" x14ac:dyDescent="0.2">
      <c r="A656" s="574">
        <v>11679</v>
      </c>
      <c r="B656" s="574" t="s">
        <v>6183</v>
      </c>
      <c r="C656" s="574" t="s">
        <v>5555</v>
      </c>
      <c r="D656" s="582">
        <v>6</v>
      </c>
    </row>
    <row r="657" spans="1:4" x14ac:dyDescent="0.2">
      <c r="A657" s="574">
        <v>11680</v>
      </c>
      <c r="B657" s="574" t="s">
        <v>6184</v>
      </c>
      <c r="C657" s="574" t="s">
        <v>5555</v>
      </c>
      <c r="D657" s="582">
        <v>4.95</v>
      </c>
    </row>
    <row r="658" spans="1:4" x14ac:dyDescent="0.2">
      <c r="A658" s="574">
        <v>2512</v>
      </c>
      <c r="B658" s="574" t="s">
        <v>6185</v>
      </c>
      <c r="C658" s="574" t="s">
        <v>5555</v>
      </c>
      <c r="D658" s="582">
        <v>25.2</v>
      </c>
    </row>
    <row r="659" spans="1:4" x14ac:dyDescent="0.2">
      <c r="A659" s="574">
        <v>4374</v>
      </c>
      <c r="B659" s="574" t="s">
        <v>6186</v>
      </c>
      <c r="C659" s="574" t="s">
        <v>5555</v>
      </c>
      <c r="D659" s="582">
        <v>0.33</v>
      </c>
    </row>
    <row r="660" spans="1:4" x14ac:dyDescent="0.2">
      <c r="A660" s="574">
        <v>7568</v>
      </c>
      <c r="B660" s="574" t="s">
        <v>6187</v>
      </c>
      <c r="C660" s="574" t="s">
        <v>5555</v>
      </c>
      <c r="D660" s="582">
        <v>0.55000000000000004</v>
      </c>
    </row>
    <row r="661" spans="1:4" x14ac:dyDescent="0.2">
      <c r="A661" s="574">
        <v>7584</v>
      </c>
      <c r="B661" s="574" t="s">
        <v>6188</v>
      </c>
      <c r="C661" s="574" t="s">
        <v>5555</v>
      </c>
      <c r="D661" s="582">
        <v>0.84</v>
      </c>
    </row>
    <row r="662" spans="1:4" x14ac:dyDescent="0.2">
      <c r="A662" s="574">
        <v>11945</v>
      </c>
      <c r="B662" s="574" t="s">
        <v>6189</v>
      </c>
      <c r="C662" s="574" t="s">
        <v>5555</v>
      </c>
      <c r="D662" s="582">
        <v>0.05</v>
      </c>
    </row>
    <row r="663" spans="1:4" x14ac:dyDescent="0.2">
      <c r="A663" s="574">
        <v>11946</v>
      </c>
      <c r="B663" s="574" t="s">
        <v>6190</v>
      </c>
      <c r="C663" s="574" t="s">
        <v>5555</v>
      </c>
      <c r="D663" s="582">
        <v>0.06</v>
      </c>
    </row>
    <row r="664" spans="1:4" x14ac:dyDescent="0.2">
      <c r="A664" s="574">
        <v>4375</v>
      </c>
      <c r="B664" s="574" t="s">
        <v>6191</v>
      </c>
      <c r="C664" s="574" t="s">
        <v>5555</v>
      </c>
      <c r="D664" s="582">
        <v>0.09</v>
      </c>
    </row>
    <row r="665" spans="1:4" x14ac:dyDescent="0.2">
      <c r="A665" s="574">
        <v>11950</v>
      </c>
      <c r="B665" s="574" t="s">
        <v>6192</v>
      </c>
      <c r="C665" s="574" t="s">
        <v>5555</v>
      </c>
      <c r="D665" s="582">
        <v>0.18</v>
      </c>
    </row>
    <row r="666" spans="1:4" x14ac:dyDescent="0.2">
      <c r="A666" s="574">
        <v>4376</v>
      </c>
      <c r="B666" s="574" t="s">
        <v>6193</v>
      </c>
      <c r="C666" s="574" t="s">
        <v>5555</v>
      </c>
      <c r="D666" s="582">
        <v>0.17</v>
      </c>
    </row>
    <row r="667" spans="1:4" x14ac:dyDescent="0.2">
      <c r="A667" s="574">
        <v>7583</v>
      </c>
      <c r="B667" s="574" t="s">
        <v>6194</v>
      </c>
      <c r="C667" s="574" t="s">
        <v>5555</v>
      </c>
      <c r="D667" s="582">
        <v>0.37</v>
      </c>
    </row>
    <row r="668" spans="1:4" x14ac:dyDescent="0.2">
      <c r="A668" s="574">
        <v>4350</v>
      </c>
      <c r="B668" s="574" t="s">
        <v>6195</v>
      </c>
      <c r="C668" s="574" t="s">
        <v>5555</v>
      </c>
      <c r="D668" s="582">
        <v>0.39</v>
      </c>
    </row>
    <row r="669" spans="1:4" x14ac:dyDescent="0.2">
      <c r="A669" s="574">
        <v>39886</v>
      </c>
      <c r="B669" s="574" t="s">
        <v>6196</v>
      </c>
      <c r="C669" s="574" t="s">
        <v>5555</v>
      </c>
      <c r="D669" s="582">
        <v>3.98</v>
      </c>
    </row>
    <row r="670" spans="1:4" x14ac:dyDescent="0.2">
      <c r="A670" s="574">
        <v>39887</v>
      </c>
      <c r="B670" s="574" t="s">
        <v>6197</v>
      </c>
      <c r="C670" s="574" t="s">
        <v>5555</v>
      </c>
      <c r="D670" s="582">
        <v>5.97</v>
      </c>
    </row>
    <row r="671" spans="1:4" x14ac:dyDescent="0.2">
      <c r="A671" s="574">
        <v>39888</v>
      </c>
      <c r="B671" s="574" t="s">
        <v>6198</v>
      </c>
      <c r="C671" s="574" t="s">
        <v>5555</v>
      </c>
      <c r="D671" s="582">
        <v>13.65</v>
      </c>
    </row>
    <row r="672" spans="1:4" x14ac:dyDescent="0.2">
      <c r="A672" s="574">
        <v>39890</v>
      </c>
      <c r="B672" s="574" t="s">
        <v>6199</v>
      </c>
      <c r="C672" s="574" t="s">
        <v>5555</v>
      </c>
      <c r="D672" s="582">
        <v>23.3</v>
      </c>
    </row>
    <row r="673" spans="1:4" x14ac:dyDescent="0.2">
      <c r="A673" s="574">
        <v>39891</v>
      </c>
      <c r="B673" s="574" t="s">
        <v>6200</v>
      </c>
      <c r="C673" s="574" t="s">
        <v>5555</v>
      </c>
      <c r="D673" s="582">
        <v>32.86</v>
      </c>
    </row>
    <row r="674" spans="1:4" x14ac:dyDescent="0.2">
      <c r="A674" s="574">
        <v>39892</v>
      </c>
      <c r="B674" s="574" t="s">
        <v>6201</v>
      </c>
      <c r="C674" s="574" t="s">
        <v>5555</v>
      </c>
      <c r="D674" s="582">
        <v>102.42</v>
      </c>
    </row>
    <row r="675" spans="1:4" x14ac:dyDescent="0.2">
      <c r="A675" s="574">
        <v>790</v>
      </c>
      <c r="B675" s="574" t="s">
        <v>6202</v>
      </c>
      <c r="C675" s="574" t="s">
        <v>5555</v>
      </c>
      <c r="D675" s="582">
        <v>12.43</v>
      </c>
    </row>
    <row r="676" spans="1:4" x14ac:dyDescent="0.2">
      <c r="A676" s="574">
        <v>766</v>
      </c>
      <c r="B676" s="574" t="s">
        <v>6203</v>
      </c>
      <c r="C676" s="574" t="s">
        <v>5555</v>
      </c>
      <c r="D676" s="582">
        <v>12.43</v>
      </c>
    </row>
    <row r="677" spans="1:4" x14ac:dyDescent="0.2">
      <c r="A677" s="574">
        <v>791</v>
      </c>
      <c r="B677" s="574" t="s">
        <v>6204</v>
      </c>
      <c r="C677" s="574" t="s">
        <v>5555</v>
      </c>
      <c r="D677" s="582">
        <v>12.43</v>
      </c>
    </row>
    <row r="678" spans="1:4" x14ac:dyDescent="0.2">
      <c r="A678" s="574">
        <v>767</v>
      </c>
      <c r="B678" s="574" t="s">
        <v>6205</v>
      </c>
      <c r="C678" s="574" t="s">
        <v>5555</v>
      </c>
      <c r="D678" s="582">
        <v>12.43</v>
      </c>
    </row>
    <row r="679" spans="1:4" x14ac:dyDescent="0.2">
      <c r="A679" s="574">
        <v>768</v>
      </c>
      <c r="B679" s="574" t="s">
        <v>6206</v>
      </c>
      <c r="C679" s="574" t="s">
        <v>5555</v>
      </c>
      <c r="D679" s="582">
        <v>9.76</v>
      </c>
    </row>
    <row r="680" spans="1:4" x14ac:dyDescent="0.2">
      <c r="A680" s="574">
        <v>789</v>
      </c>
      <c r="B680" s="574" t="s">
        <v>6207</v>
      </c>
      <c r="C680" s="574" t="s">
        <v>5555</v>
      </c>
      <c r="D680" s="582">
        <v>9.5500000000000007</v>
      </c>
    </row>
    <row r="681" spans="1:4" x14ac:dyDescent="0.2">
      <c r="A681" s="574">
        <v>769</v>
      </c>
      <c r="B681" s="574" t="s">
        <v>6208</v>
      </c>
      <c r="C681" s="574" t="s">
        <v>5555</v>
      </c>
      <c r="D681" s="582">
        <v>9.76</v>
      </c>
    </row>
    <row r="682" spans="1:4" x14ac:dyDescent="0.2">
      <c r="A682" s="574">
        <v>770</v>
      </c>
      <c r="B682" s="574" t="s">
        <v>6209</v>
      </c>
      <c r="C682" s="574" t="s">
        <v>5555</v>
      </c>
      <c r="D682" s="582">
        <v>3.44</v>
      </c>
    </row>
    <row r="683" spans="1:4" x14ac:dyDescent="0.2">
      <c r="A683" s="574">
        <v>12394</v>
      </c>
      <c r="B683" s="574" t="s">
        <v>6210</v>
      </c>
      <c r="C683" s="574" t="s">
        <v>5555</v>
      </c>
      <c r="D683" s="582">
        <v>3.44</v>
      </c>
    </row>
    <row r="684" spans="1:4" x14ac:dyDescent="0.2">
      <c r="A684" s="574">
        <v>764</v>
      </c>
      <c r="B684" s="574" t="s">
        <v>6211</v>
      </c>
      <c r="C684" s="574" t="s">
        <v>5555</v>
      </c>
      <c r="D684" s="582">
        <v>6.01</v>
      </c>
    </row>
    <row r="685" spans="1:4" x14ac:dyDescent="0.2">
      <c r="A685" s="574">
        <v>765</v>
      </c>
      <c r="B685" s="574" t="s">
        <v>6212</v>
      </c>
      <c r="C685" s="574" t="s">
        <v>5555</v>
      </c>
      <c r="D685" s="582">
        <v>6.01</v>
      </c>
    </row>
    <row r="686" spans="1:4" x14ac:dyDescent="0.2">
      <c r="A686" s="574">
        <v>787</v>
      </c>
      <c r="B686" s="574" t="s">
        <v>6213</v>
      </c>
      <c r="C686" s="574" t="s">
        <v>5555</v>
      </c>
      <c r="D686" s="582">
        <v>26.84</v>
      </c>
    </row>
    <row r="687" spans="1:4" x14ac:dyDescent="0.2">
      <c r="A687" s="574">
        <v>774</v>
      </c>
      <c r="B687" s="574" t="s">
        <v>6214</v>
      </c>
      <c r="C687" s="574" t="s">
        <v>5555</v>
      </c>
      <c r="D687" s="582">
        <v>26.84</v>
      </c>
    </row>
    <row r="688" spans="1:4" x14ac:dyDescent="0.2">
      <c r="A688" s="574">
        <v>773</v>
      </c>
      <c r="B688" s="574" t="s">
        <v>6215</v>
      </c>
      <c r="C688" s="574" t="s">
        <v>5555</v>
      </c>
      <c r="D688" s="582">
        <v>26.84</v>
      </c>
    </row>
    <row r="689" spans="1:4" x14ac:dyDescent="0.2">
      <c r="A689" s="574">
        <v>775</v>
      </c>
      <c r="B689" s="574" t="s">
        <v>6216</v>
      </c>
      <c r="C689" s="574" t="s">
        <v>5555</v>
      </c>
      <c r="D689" s="582">
        <v>26.84</v>
      </c>
    </row>
    <row r="690" spans="1:4" x14ac:dyDescent="0.2">
      <c r="A690" s="574">
        <v>788</v>
      </c>
      <c r="B690" s="574" t="s">
        <v>6217</v>
      </c>
      <c r="C690" s="574" t="s">
        <v>5555</v>
      </c>
      <c r="D690" s="582">
        <v>16.68</v>
      </c>
    </row>
    <row r="691" spans="1:4" x14ac:dyDescent="0.2">
      <c r="A691" s="574">
        <v>772</v>
      </c>
      <c r="B691" s="574" t="s">
        <v>6218</v>
      </c>
      <c r="C691" s="574" t="s">
        <v>5555</v>
      </c>
      <c r="D691" s="582">
        <v>16.68</v>
      </c>
    </row>
    <row r="692" spans="1:4" x14ac:dyDescent="0.2">
      <c r="A692" s="574">
        <v>771</v>
      </c>
      <c r="B692" s="574" t="s">
        <v>6219</v>
      </c>
      <c r="C692" s="574" t="s">
        <v>5555</v>
      </c>
      <c r="D692" s="582">
        <v>16.68</v>
      </c>
    </row>
    <row r="693" spans="1:4" x14ac:dyDescent="0.2">
      <c r="A693" s="574">
        <v>779</v>
      </c>
      <c r="B693" s="574" t="s">
        <v>6220</v>
      </c>
      <c r="C693" s="574" t="s">
        <v>5555</v>
      </c>
      <c r="D693" s="582">
        <v>4.1500000000000004</v>
      </c>
    </row>
    <row r="694" spans="1:4" x14ac:dyDescent="0.2">
      <c r="A694" s="574">
        <v>776</v>
      </c>
      <c r="B694" s="574" t="s">
        <v>6221</v>
      </c>
      <c r="C694" s="574" t="s">
        <v>5555</v>
      </c>
      <c r="D694" s="582">
        <v>39.57</v>
      </c>
    </row>
    <row r="695" spans="1:4" x14ac:dyDescent="0.2">
      <c r="A695" s="574">
        <v>777</v>
      </c>
      <c r="B695" s="574" t="s">
        <v>6222</v>
      </c>
      <c r="C695" s="574" t="s">
        <v>5555</v>
      </c>
      <c r="D695" s="582">
        <v>38.47</v>
      </c>
    </row>
    <row r="696" spans="1:4" x14ac:dyDescent="0.2">
      <c r="A696" s="574">
        <v>780</v>
      </c>
      <c r="B696" s="574" t="s">
        <v>6223</v>
      </c>
      <c r="C696" s="574" t="s">
        <v>5555</v>
      </c>
      <c r="D696" s="582">
        <v>38.659999999999997</v>
      </c>
    </row>
    <row r="697" spans="1:4" x14ac:dyDescent="0.2">
      <c r="A697" s="574">
        <v>778</v>
      </c>
      <c r="B697" s="574" t="s">
        <v>6224</v>
      </c>
      <c r="C697" s="574" t="s">
        <v>5555</v>
      </c>
      <c r="D697" s="582">
        <v>39.57</v>
      </c>
    </row>
    <row r="698" spans="1:4" x14ac:dyDescent="0.2">
      <c r="A698" s="574">
        <v>781</v>
      </c>
      <c r="B698" s="574" t="s">
        <v>6225</v>
      </c>
      <c r="C698" s="574" t="s">
        <v>5555</v>
      </c>
      <c r="D698" s="582">
        <v>73.12</v>
      </c>
    </row>
    <row r="699" spans="1:4" x14ac:dyDescent="0.2">
      <c r="A699" s="574">
        <v>786</v>
      </c>
      <c r="B699" s="574" t="s">
        <v>6226</v>
      </c>
      <c r="C699" s="574" t="s">
        <v>5555</v>
      </c>
      <c r="D699" s="582">
        <v>73.12</v>
      </c>
    </row>
    <row r="700" spans="1:4" x14ac:dyDescent="0.2">
      <c r="A700" s="574">
        <v>782</v>
      </c>
      <c r="B700" s="574" t="s">
        <v>6227</v>
      </c>
      <c r="C700" s="574" t="s">
        <v>5555</v>
      </c>
      <c r="D700" s="582">
        <v>73.12</v>
      </c>
    </row>
    <row r="701" spans="1:4" x14ac:dyDescent="0.2">
      <c r="A701" s="574">
        <v>783</v>
      </c>
      <c r="B701" s="574" t="s">
        <v>6228</v>
      </c>
      <c r="C701" s="574" t="s">
        <v>5555</v>
      </c>
      <c r="D701" s="582">
        <v>200.12</v>
      </c>
    </row>
    <row r="702" spans="1:4" x14ac:dyDescent="0.2">
      <c r="A702" s="574">
        <v>785</v>
      </c>
      <c r="B702" s="574" t="s">
        <v>6229</v>
      </c>
      <c r="C702" s="574" t="s">
        <v>5555</v>
      </c>
      <c r="D702" s="582">
        <v>211.45</v>
      </c>
    </row>
    <row r="703" spans="1:4" x14ac:dyDescent="0.2">
      <c r="A703" s="574">
        <v>784</v>
      </c>
      <c r="B703" s="574" t="s">
        <v>6230</v>
      </c>
      <c r="C703" s="574" t="s">
        <v>5555</v>
      </c>
      <c r="D703" s="582">
        <v>226.83</v>
      </c>
    </row>
    <row r="704" spans="1:4" x14ac:dyDescent="0.2">
      <c r="A704" s="574">
        <v>831</v>
      </c>
      <c r="B704" s="574" t="s">
        <v>6231</v>
      </c>
      <c r="C704" s="574" t="s">
        <v>5555</v>
      </c>
      <c r="D704" s="582">
        <v>60.28</v>
      </c>
    </row>
    <row r="705" spans="1:4" x14ac:dyDescent="0.2">
      <c r="A705" s="574">
        <v>828</v>
      </c>
      <c r="B705" s="574" t="s">
        <v>6232</v>
      </c>
      <c r="C705" s="574" t="s">
        <v>5555</v>
      </c>
      <c r="D705" s="582">
        <v>0.34</v>
      </c>
    </row>
    <row r="706" spans="1:4" x14ac:dyDescent="0.2">
      <c r="A706" s="574">
        <v>829</v>
      </c>
      <c r="B706" s="574" t="s">
        <v>6233</v>
      </c>
      <c r="C706" s="574" t="s">
        <v>5555</v>
      </c>
      <c r="D706" s="582">
        <v>0.73</v>
      </c>
    </row>
    <row r="707" spans="1:4" x14ac:dyDescent="0.2">
      <c r="A707" s="574">
        <v>812</v>
      </c>
      <c r="B707" s="574" t="s">
        <v>6234</v>
      </c>
      <c r="C707" s="574" t="s">
        <v>5555</v>
      </c>
      <c r="D707" s="582">
        <v>1.58</v>
      </c>
    </row>
    <row r="708" spans="1:4" x14ac:dyDescent="0.2">
      <c r="A708" s="574">
        <v>819</v>
      </c>
      <c r="B708" s="574" t="s">
        <v>6235</v>
      </c>
      <c r="C708" s="574" t="s">
        <v>5555</v>
      </c>
      <c r="D708" s="582">
        <v>2.6</v>
      </c>
    </row>
    <row r="709" spans="1:4" x14ac:dyDescent="0.2">
      <c r="A709" s="574">
        <v>818</v>
      </c>
      <c r="B709" s="574" t="s">
        <v>6236</v>
      </c>
      <c r="C709" s="574" t="s">
        <v>5555</v>
      </c>
      <c r="D709" s="582">
        <v>4.38</v>
      </c>
    </row>
    <row r="710" spans="1:4" x14ac:dyDescent="0.2">
      <c r="A710" s="574">
        <v>823</v>
      </c>
      <c r="B710" s="574" t="s">
        <v>6237</v>
      </c>
      <c r="C710" s="574" t="s">
        <v>5555</v>
      </c>
      <c r="D710" s="582">
        <v>13.19</v>
      </c>
    </row>
    <row r="711" spans="1:4" x14ac:dyDescent="0.2">
      <c r="A711" s="574">
        <v>830</v>
      </c>
      <c r="B711" s="574" t="s">
        <v>6238</v>
      </c>
      <c r="C711" s="574" t="s">
        <v>5555</v>
      </c>
      <c r="D711" s="582">
        <v>10.86</v>
      </c>
    </row>
    <row r="712" spans="1:4" x14ac:dyDescent="0.2">
      <c r="A712" s="574">
        <v>826</v>
      </c>
      <c r="B712" s="574" t="s">
        <v>6239</v>
      </c>
      <c r="C712" s="574" t="s">
        <v>5555</v>
      </c>
      <c r="D712" s="582">
        <v>33.81</v>
      </c>
    </row>
    <row r="713" spans="1:4" x14ac:dyDescent="0.2">
      <c r="A713" s="574">
        <v>827</v>
      </c>
      <c r="B713" s="574" t="s">
        <v>6240</v>
      </c>
      <c r="C713" s="574" t="s">
        <v>5555</v>
      </c>
      <c r="D713" s="582">
        <v>28.56</v>
      </c>
    </row>
    <row r="714" spans="1:4" x14ac:dyDescent="0.2">
      <c r="A714" s="574">
        <v>832</v>
      </c>
      <c r="B714" s="574" t="s">
        <v>6241</v>
      </c>
      <c r="C714" s="574" t="s">
        <v>5555</v>
      </c>
      <c r="D714" s="582">
        <v>1.97</v>
      </c>
    </row>
    <row r="715" spans="1:4" x14ac:dyDescent="0.2">
      <c r="A715" s="574">
        <v>833</v>
      </c>
      <c r="B715" s="574" t="s">
        <v>6242</v>
      </c>
      <c r="C715" s="574" t="s">
        <v>5555</v>
      </c>
      <c r="D715" s="582">
        <v>2.8</v>
      </c>
    </row>
    <row r="716" spans="1:4" x14ac:dyDescent="0.2">
      <c r="A716" s="574">
        <v>834</v>
      </c>
      <c r="B716" s="574" t="s">
        <v>6243</v>
      </c>
      <c r="C716" s="574" t="s">
        <v>5555</v>
      </c>
      <c r="D716" s="582">
        <v>3.07</v>
      </c>
    </row>
    <row r="717" spans="1:4" x14ac:dyDescent="0.2">
      <c r="A717" s="574">
        <v>825</v>
      </c>
      <c r="B717" s="574" t="s">
        <v>6244</v>
      </c>
      <c r="C717" s="574" t="s">
        <v>5555</v>
      </c>
      <c r="D717" s="582">
        <v>3.43</v>
      </c>
    </row>
    <row r="718" spans="1:4" x14ac:dyDescent="0.2">
      <c r="A718" s="574">
        <v>813</v>
      </c>
      <c r="B718" s="574" t="s">
        <v>6245</v>
      </c>
      <c r="C718" s="574" t="s">
        <v>5555</v>
      </c>
      <c r="D718" s="582">
        <v>3.37</v>
      </c>
    </row>
    <row r="719" spans="1:4" x14ac:dyDescent="0.2">
      <c r="A719" s="574">
        <v>820</v>
      </c>
      <c r="B719" s="574" t="s">
        <v>6246</v>
      </c>
      <c r="C719" s="574" t="s">
        <v>5555</v>
      </c>
      <c r="D719" s="582">
        <v>4.2699999999999996</v>
      </c>
    </row>
    <row r="720" spans="1:4" x14ac:dyDescent="0.2">
      <c r="A720" s="574">
        <v>816</v>
      </c>
      <c r="B720" s="574" t="s">
        <v>6247</v>
      </c>
      <c r="C720" s="574" t="s">
        <v>5555</v>
      </c>
      <c r="D720" s="582">
        <v>7.28</v>
      </c>
    </row>
    <row r="721" spans="1:4" x14ac:dyDescent="0.2">
      <c r="A721" s="574">
        <v>814</v>
      </c>
      <c r="B721" s="574" t="s">
        <v>6248</v>
      </c>
      <c r="C721" s="574" t="s">
        <v>5555</v>
      </c>
      <c r="D721" s="582">
        <v>8.7899999999999991</v>
      </c>
    </row>
    <row r="722" spans="1:4" x14ac:dyDescent="0.2">
      <c r="A722" s="574">
        <v>815</v>
      </c>
      <c r="B722" s="574" t="s">
        <v>6249</v>
      </c>
      <c r="C722" s="574" t="s">
        <v>5555</v>
      </c>
      <c r="D722" s="582">
        <v>9.5</v>
      </c>
    </row>
    <row r="723" spans="1:4" x14ac:dyDescent="0.2">
      <c r="A723" s="574">
        <v>822</v>
      </c>
      <c r="B723" s="574" t="s">
        <v>6250</v>
      </c>
      <c r="C723" s="574" t="s">
        <v>5555</v>
      </c>
      <c r="D723" s="582">
        <v>11.57</v>
      </c>
    </row>
    <row r="724" spans="1:4" x14ac:dyDescent="0.2">
      <c r="A724" s="574">
        <v>821</v>
      </c>
      <c r="B724" s="574" t="s">
        <v>6251</v>
      </c>
      <c r="C724" s="574" t="s">
        <v>5555</v>
      </c>
      <c r="D724" s="582">
        <v>13.53</v>
      </c>
    </row>
    <row r="725" spans="1:4" x14ac:dyDescent="0.2">
      <c r="A725" s="574">
        <v>817</v>
      </c>
      <c r="B725" s="574" t="s">
        <v>6252</v>
      </c>
      <c r="C725" s="574" t="s">
        <v>5555</v>
      </c>
      <c r="D725" s="582">
        <v>16.079999999999998</v>
      </c>
    </row>
    <row r="726" spans="1:4" x14ac:dyDescent="0.2">
      <c r="A726" s="574">
        <v>20086</v>
      </c>
      <c r="B726" s="574" t="s">
        <v>6253</v>
      </c>
      <c r="C726" s="574" t="s">
        <v>5555</v>
      </c>
      <c r="D726" s="582">
        <v>1.45</v>
      </c>
    </row>
    <row r="727" spans="1:4" x14ac:dyDescent="0.2">
      <c r="A727" s="574">
        <v>39191</v>
      </c>
      <c r="B727" s="574" t="s">
        <v>6254</v>
      </c>
      <c r="C727" s="574" t="s">
        <v>5555</v>
      </c>
      <c r="D727" s="582">
        <v>18.29</v>
      </c>
    </row>
    <row r="728" spans="1:4" x14ac:dyDescent="0.2">
      <c r="A728" s="574">
        <v>39190</v>
      </c>
      <c r="B728" s="574" t="s">
        <v>6255</v>
      </c>
      <c r="C728" s="574" t="s">
        <v>5555</v>
      </c>
      <c r="D728" s="582">
        <v>19.100000000000001</v>
      </c>
    </row>
    <row r="729" spans="1:4" x14ac:dyDescent="0.2">
      <c r="A729" s="574">
        <v>39189</v>
      </c>
      <c r="B729" s="574" t="s">
        <v>6256</v>
      </c>
      <c r="C729" s="574" t="s">
        <v>5555</v>
      </c>
      <c r="D729" s="582">
        <v>20.22</v>
      </c>
    </row>
    <row r="730" spans="1:4" x14ac:dyDescent="0.2">
      <c r="A730" s="574">
        <v>39186</v>
      </c>
      <c r="B730" s="574" t="s">
        <v>6257</v>
      </c>
      <c r="C730" s="574" t="s">
        <v>5555</v>
      </c>
      <c r="D730" s="582">
        <v>18.09</v>
      </c>
    </row>
    <row r="731" spans="1:4" x14ac:dyDescent="0.2">
      <c r="A731" s="574">
        <v>39188</v>
      </c>
      <c r="B731" s="574" t="s">
        <v>6258</v>
      </c>
      <c r="C731" s="574" t="s">
        <v>5555</v>
      </c>
      <c r="D731" s="582">
        <v>14.88</v>
      </c>
    </row>
    <row r="732" spans="1:4" x14ac:dyDescent="0.2">
      <c r="A732" s="574">
        <v>39187</v>
      </c>
      <c r="B732" s="574" t="s">
        <v>6259</v>
      </c>
      <c r="C732" s="574" t="s">
        <v>5555</v>
      </c>
      <c r="D732" s="582">
        <v>15.6</v>
      </c>
    </row>
    <row r="733" spans="1:4" x14ac:dyDescent="0.2">
      <c r="A733" s="574">
        <v>39184</v>
      </c>
      <c r="B733" s="574" t="s">
        <v>6260</v>
      </c>
      <c r="C733" s="574" t="s">
        <v>5555</v>
      </c>
      <c r="D733" s="582">
        <v>5.87</v>
      </c>
    </row>
    <row r="734" spans="1:4" x14ac:dyDescent="0.2">
      <c r="A734" s="574">
        <v>39185</v>
      </c>
      <c r="B734" s="574" t="s">
        <v>6261</v>
      </c>
      <c r="C734" s="574" t="s">
        <v>5555</v>
      </c>
      <c r="D734" s="582">
        <v>5.35</v>
      </c>
    </row>
    <row r="735" spans="1:4" x14ac:dyDescent="0.2">
      <c r="A735" s="574">
        <v>39198</v>
      </c>
      <c r="B735" s="574" t="s">
        <v>6262</v>
      </c>
      <c r="C735" s="574" t="s">
        <v>5555</v>
      </c>
      <c r="D735" s="582">
        <v>60</v>
      </c>
    </row>
    <row r="736" spans="1:4" x14ac:dyDescent="0.2">
      <c r="A736" s="574">
        <v>39197</v>
      </c>
      <c r="B736" s="574" t="s">
        <v>6263</v>
      </c>
      <c r="C736" s="574" t="s">
        <v>5555</v>
      </c>
      <c r="D736" s="582">
        <v>62.68</v>
      </c>
    </row>
    <row r="737" spans="1:4" x14ac:dyDescent="0.2">
      <c r="A737" s="574">
        <v>39196</v>
      </c>
      <c r="B737" s="574" t="s">
        <v>6264</v>
      </c>
      <c r="C737" s="574" t="s">
        <v>5555</v>
      </c>
      <c r="D737" s="582">
        <v>64.64</v>
      </c>
    </row>
    <row r="738" spans="1:4" x14ac:dyDescent="0.2">
      <c r="A738" s="574">
        <v>39199</v>
      </c>
      <c r="B738" s="574" t="s">
        <v>6265</v>
      </c>
      <c r="C738" s="574" t="s">
        <v>5555</v>
      </c>
      <c r="D738" s="582">
        <v>57.74</v>
      </c>
    </row>
    <row r="739" spans="1:4" x14ac:dyDescent="0.2">
      <c r="A739" s="574">
        <v>39195</v>
      </c>
      <c r="B739" s="574" t="s">
        <v>6266</v>
      </c>
      <c r="C739" s="574" t="s">
        <v>5555</v>
      </c>
      <c r="D739" s="582">
        <v>33.33</v>
      </c>
    </row>
    <row r="740" spans="1:4" x14ac:dyDescent="0.2">
      <c r="A740" s="574">
        <v>39194</v>
      </c>
      <c r="B740" s="574" t="s">
        <v>6267</v>
      </c>
      <c r="C740" s="574" t="s">
        <v>5555</v>
      </c>
      <c r="D740" s="582">
        <v>35.67</v>
      </c>
    </row>
    <row r="741" spans="1:4" x14ac:dyDescent="0.2">
      <c r="A741" s="574">
        <v>39193</v>
      </c>
      <c r="B741" s="574" t="s">
        <v>6268</v>
      </c>
      <c r="C741" s="574" t="s">
        <v>5555</v>
      </c>
      <c r="D741" s="582">
        <v>39.090000000000003</v>
      </c>
    </row>
    <row r="742" spans="1:4" x14ac:dyDescent="0.2">
      <c r="A742" s="574">
        <v>39192</v>
      </c>
      <c r="B742" s="574" t="s">
        <v>6269</v>
      </c>
      <c r="C742" s="574" t="s">
        <v>5555</v>
      </c>
      <c r="D742" s="582">
        <v>40.659999999999997</v>
      </c>
    </row>
    <row r="743" spans="1:4" x14ac:dyDescent="0.2">
      <c r="A743" s="574">
        <v>39920</v>
      </c>
      <c r="B743" s="574" t="s">
        <v>6270</v>
      </c>
      <c r="C743" s="574" t="s">
        <v>5555</v>
      </c>
      <c r="D743" s="582">
        <v>4.92</v>
      </c>
    </row>
    <row r="744" spans="1:4" x14ac:dyDescent="0.2">
      <c r="A744" s="574">
        <v>39201</v>
      </c>
      <c r="B744" s="574" t="s">
        <v>6271</v>
      </c>
      <c r="C744" s="574" t="s">
        <v>5555</v>
      </c>
      <c r="D744" s="582">
        <v>71.73</v>
      </c>
    </row>
    <row r="745" spans="1:4" x14ac:dyDescent="0.2">
      <c r="A745" s="574">
        <v>39200</v>
      </c>
      <c r="B745" s="574" t="s">
        <v>6272</v>
      </c>
      <c r="C745" s="574" t="s">
        <v>5555</v>
      </c>
      <c r="D745" s="582">
        <v>72.31</v>
      </c>
    </row>
    <row r="746" spans="1:4" x14ac:dyDescent="0.2">
      <c r="A746" s="574">
        <v>39203</v>
      </c>
      <c r="B746" s="574" t="s">
        <v>6273</v>
      </c>
      <c r="C746" s="574" t="s">
        <v>5555</v>
      </c>
      <c r="D746" s="582">
        <v>58.39</v>
      </c>
    </row>
    <row r="747" spans="1:4" x14ac:dyDescent="0.2">
      <c r="A747" s="574">
        <v>39202</v>
      </c>
      <c r="B747" s="574" t="s">
        <v>6274</v>
      </c>
      <c r="C747" s="574" t="s">
        <v>5555</v>
      </c>
      <c r="D747" s="582">
        <v>68.59</v>
      </c>
    </row>
    <row r="748" spans="1:4" x14ac:dyDescent="0.2">
      <c r="A748" s="574">
        <v>39205</v>
      </c>
      <c r="B748" s="574" t="s">
        <v>6275</v>
      </c>
      <c r="C748" s="574" t="s">
        <v>5555</v>
      </c>
      <c r="D748" s="582">
        <v>114.43</v>
      </c>
    </row>
    <row r="749" spans="1:4" x14ac:dyDescent="0.2">
      <c r="A749" s="574">
        <v>39204</v>
      </c>
      <c r="B749" s="574" t="s">
        <v>6276</v>
      </c>
      <c r="C749" s="574" t="s">
        <v>5555</v>
      </c>
      <c r="D749" s="582">
        <v>117.2</v>
      </c>
    </row>
    <row r="750" spans="1:4" x14ac:dyDescent="0.2">
      <c r="A750" s="574">
        <v>39206</v>
      </c>
      <c r="B750" s="574" t="s">
        <v>6277</v>
      </c>
      <c r="C750" s="574" t="s">
        <v>5555</v>
      </c>
      <c r="D750" s="582">
        <v>111.19</v>
      </c>
    </row>
    <row r="751" spans="1:4" x14ac:dyDescent="0.2">
      <c r="A751" s="574">
        <v>797</v>
      </c>
      <c r="B751" s="574" t="s">
        <v>6278</v>
      </c>
      <c r="C751" s="574" t="s">
        <v>5555</v>
      </c>
      <c r="D751" s="582">
        <v>6.29</v>
      </c>
    </row>
    <row r="752" spans="1:4" x14ac:dyDescent="0.2">
      <c r="A752" s="574">
        <v>798</v>
      </c>
      <c r="B752" s="574" t="s">
        <v>6279</v>
      </c>
      <c r="C752" s="574" t="s">
        <v>5555</v>
      </c>
      <c r="D752" s="582">
        <v>0.86</v>
      </c>
    </row>
    <row r="753" spans="1:4" x14ac:dyDescent="0.2">
      <c r="A753" s="574">
        <v>796</v>
      </c>
      <c r="B753" s="574" t="s">
        <v>6280</v>
      </c>
      <c r="C753" s="574" t="s">
        <v>5555</v>
      </c>
      <c r="D753" s="582">
        <v>6.03</v>
      </c>
    </row>
    <row r="754" spans="1:4" x14ac:dyDescent="0.2">
      <c r="A754" s="574">
        <v>799</v>
      </c>
      <c r="B754" s="574" t="s">
        <v>6281</v>
      </c>
      <c r="C754" s="574" t="s">
        <v>5555</v>
      </c>
      <c r="D754" s="582">
        <v>2.83</v>
      </c>
    </row>
    <row r="755" spans="1:4" x14ac:dyDescent="0.2">
      <c r="A755" s="574">
        <v>792</v>
      </c>
      <c r="B755" s="574" t="s">
        <v>6282</v>
      </c>
      <c r="C755" s="574" t="s">
        <v>5555</v>
      </c>
      <c r="D755" s="582">
        <v>2.88</v>
      </c>
    </row>
    <row r="756" spans="1:4" x14ac:dyDescent="0.2">
      <c r="A756" s="574">
        <v>804</v>
      </c>
      <c r="B756" s="574" t="s">
        <v>6283</v>
      </c>
      <c r="C756" s="574" t="s">
        <v>5555</v>
      </c>
      <c r="D756" s="582">
        <v>14.29</v>
      </c>
    </row>
    <row r="757" spans="1:4" x14ac:dyDescent="0.2">
      <c r="A757" s="574">
        <v>793</v>
      </c>
      <c r="B757" s="574" t="s">
        <v>6284</v>
      </c>
      <c r="C757" s="574" t="s">
        <v>5555</v>
      </c>
      <c r="D757" s="582">
        <v>6.13</v>
      </c>
    </row>
    <row r="758" spans="1:4" x14ac:dyDescent="0.2">
      <c r="A758" s="574">
        <v>801</v>
      </c>
      <c r="B758" s="574" t="s">
        <v>6285</v>
      </c>
      <c r="C758" s="574" t="s">
        <v>5555</v>
      </c>
      <c r="D758" s="582">
        <v>4.37</v>
      </c>
    </row>
    <row r="759" spans="1:4" x14ac:dyDescent="0.2">
      <c r="A759" s="574">
        <v>794</v>
      </c>
      <c r="B759" s="574" t="s">
        <v>6286</v>
      </c>
      <c r="C759" s="574" t="s">
        <v>5555</v>
      </c>
      <c r="D759" s="582">
        <v>4.51</v>
      </c>
    </row>
    <row r="760" spans="1:4" x14ac:dyDescent="0.2">
      <c r="A760" s="574">
        <v>802</v>
      </c>
      <c r="B760" s="574" t="s">
        <v>6287</v>
      </c>
      <c r="C760" s="574" t="s">
        <v>5555</v>
      </c>
      <c r="D760" s="582">
        <v>12.6</v>
      </c>
    </row>
    <row r="761" spans="1:4" x14ac:dyDescent="0.2">
      <c r="A761" s="574">
        <v>803</v>
      </c>
      <c r="B761" s="574" t="s">
        <v>6288</v>
      </c>
      <c r="C761" s="574" t="s">
        <v>5555</v>
      </c>
      <c r="D761" s="582">
        <v>10.99</v>
      </c>
    </row>
    <row r="762" spans="1:4" x14ac:dyDescent="0.2">
      <c r="A762" s="574">
        <v>38001</v>
      </c>
      <c r="B762" s="574" t="s">
        <v>6289</v>
      </c>
      <c r="C762" s="574" t="s">
        <v>5555</v>
      </c>
      <c r="D762" s="582">
        <v>0.79</v>
      </c>
    </row>
    <row r="763" spans="1:4" x14ac:dyDescent="0.2">
      <c r="A763" s="574">
        <v>38002</v>
      </c>
      <c r="B763" s="574" t="s">
        <v>6290</v>
      </c>
      <c r="C763" s="574" t="s">
        <v>5555</v>
      </c>
      <c r="D763" s="582">
        <v>1.47</v>
      </c>
    </row>
    <row r="764" spans="1:4" x14ac:dyDescent="0.2">
      <c r="A764" s="574">
        <v>38003</v>
      </c>
      <c r="B764" s="574" t="s">
        <v>6291</v>
      </c>
      <c r="C764" s="574" t="s">
        <v>5555</v>
      </c>
      <c r="D764" s="582">
        <v>17.72</v>
      </c>
    </row>
    <row r="765" spans="1:4" x14ac:dyDescent="0.2">
      <c r="A765" s="574">
        <v>38004</v>
      </c>
      <c r="B765" s="574" t="s">
        <v>6292</v>
      </c>
      <c r="C765" s="574" t="s">
        <v>5555</v>
      </c>
      <c r="D765" s="582">
        <v>23.7</v>
      </c>
    </row>
    <row r="766" spans="1:4" x14ac:dyDescent="0.2">
      <c r="A766" s="574">
        <v>36327</v>
      </c>
      <c r="B766" s="574" t="s">
        <v>6293</v>
      </c>
      <c r="C766" s="574" t="s">
        <v>5555</v>
      </c>
      <c r="D766" s="582">
        <v>1.42</v>
      </c>
    </row>
    <row r="767" spans="1:4" x14ac:dyDescent="0.2">
      <c r="A767" s="574">
        <v>38992</v>
      </c>
      <c r="B767" s="574" t="s">
        <v>6294</v>
      </c>
      <c r="C767" s="574" t="s">
        <v>5555</v>
      </c>
      <c r="D767" s="582">
        <v>2.2799999999999998</v>
      </c>
    </row>
    <row r="768" spans="1:4" x14ac:dyDescent="0.2">
      <c r="A768" s="574">
        <v>38993</v>
      </c>
      <c r="B768" s="574" t="s">
        <v>6295</v>
      </c>
      <c r="C768" s="574" t="s">
        <v>5555</v>
      </c>
      <c r="D768" s="582">
        <v>6.5</v>
      </c>
    </row>
    <row r="769" spans="1:4" x14ac:dyDescent="0.2">
      <c r="A769" s="574">
        <v>38418</v>
      </c>
      <c r="B769" s="574" t="s">
        <v>6296</v>
      </c>
      <c r="C769" s="574" t="s">
        <v>5555</v>
      </c>
      <c r="D769" s="582">
        <v>4.21</v>
      </c>
    </row>
    <row r="770" spans="1:4" x14ac:dyDescent="0.2">
      <c r="A770" s="574">
        <v>39178</v>
      </c>
      <c r="B770" s="574" t="s">
        <v>6297</v>
      </c>
      <c r="C770" s="574" t="s">
        <v>5555</v>
      </c>
      <c r="D770" s="582">
        <v>1.98</v>
      </c>
    </row>
    <row r="771" spans="1:4" x14ac:dyDescent="0.2">
      <c r="A771" s="574">
        <v>39177</v>
      </c>
      <c r="B771" s="574" t="s">
        <v>6298</v>
      </c>
      <c r="C771" s="574" t="s">
        <v>5555</v>
      </c>
      <c r="D771" s="582">
        <v>1.79</v>
      </c>
    </row>
    <row r="772" spans="1:4" x14ac:dyDescent="0.2">
      <c r="A772" s="574">
        <v>39174</v>
      </c>
      <c r="B772" s="574" t="s">
        <v>6299</v>
      </c>
      <c r="C772" s="574" t="s">
        <v>5555</v>
      </c>
      <c r="D772" s="582">
        <v>0.89</v>
      </c>
    </row>
    <row r="773" spans="1:4" x14ac:dyDescent="0.2">
      <c r="A773" s="574">
        <v>39176</v>
      </c>
      <c r="B773" s="574" t="s">
        <v>6300</v>
      </c>
      <c r="C773" s="574" t="s">
        <v>5555</v>
      </c>
      <c r="D773" s="582">
        <v>1.17</v>
      </c>
    </row>
    <row r="774" spans="1:4" x14ac:dyDescent="0.2">
      <c r="A774" s="574">
        <v>39180</v>
      </c>
      <c r="B774" s="574" t="s">
        <v>6301</v>
      </c>
      <c r="C774" s="574" t="s">
        <v>5555</v>
      </c>
      <c r="D774" s="582">
        <v>5.37</v>
      </c>
    </row>
    <row r="775" spans="1:4" x14ac:dyDescent="0.2">
      <c r="A775" s="574">
        <v>39179</v>
      </c>
      <c r="B775" s="574" t="s">
        <v>6302</v>
      </c>
      <c r="C775" s="574" t="s">
        <v>5555</v>
      </c>
      <c r="D775" s="582">
        <v>4.75</v>
      </c>
    </row>
    <row r="776" spans="1:4" x14ac:dyDescent="0.2">
      <c r="A776" s="574">
        <v>39175</v>
      </c>
      <c r="B776" s="574" t="s">
        <v>6303</v>
      </c>
      <c r="C776" s="574" t="s">
        <v>5555</v>
      </c>
      <c r="D776" s="582">
        <v>1.0900000000000001</v>
      </c>
    </row>
    <row r="777" spans="1:4" x14ac:dyDescent="0.2">
      <c r="A777" s="574">
        <v>39217</v>
      </c>
      <c r="B777" s="574" t="s">
        <v>6304</v>
      </c>
      <c r="C777" s="574" t="s">
        <v>5555</v>
      </c>
      <c r="D777" s="582">
        <v>0.84</v>
      </c>
    </row>
    <row r="778" spans="1:4" x14ac:dyDescent="0.2">
      <c r="A778" s="574">
        <v>39181</v>
      </c>
      <c r="B778" s="574" t="s">
        <v>6305</v>
      </c>
      <c r="C778" s="574" t="s">
        <v>5555</v>
      </c>
      <c r="D778" s="582">
        <v>7.2</v>
      </c>
    </row>
    <row r="779" spans="1:4" x14ac:dyDescent="0.2">
      <c r="A779" s="574">
        <v>39182</v>
      </c>
      <c r="B779" s="574" t="s">
        <v>6306</v>
      </c>
      <c r="C779" s="574" t="s">
        <v>5555</v>
      </c>
      <c r="D779" s="582">
        <v>10.130000000000001</v>
      </c>
    </row>
    <row r="780" spans="1:4" x14ac:dyDescent="0.2">
      <c r="A780" s="574">
        <v>12616</v>
      </c>
      <c r="B780" s="574" t="s">
        <v>6307</v>
      </c>
      <c r="C780" s="574" t="s">
        <v>5555</v>
      </c>
      <c r="D780" s="582">
        <v>4.57</v>
      </c>
    </row>
    <row r="781" spans="1:4" x14ac:dyDescent="0.2">
      <c r="A781" s="574">
        <v>1049</v>
      </c>
      <c r="B781" s="574" t="s">
        <v>6308</v>
      </c>
      <c r="C781" s="574" t="s">
        <v>5555</v>
      </c>
      <c r="D781" s="582">
        <v>8.4700000000000006</v>
      </c>
    </row>
    <row r="782" spans="1:4" x14ac:dyDescent="0.2">
      <c r="A782" s="574">
        <v>1099</v>
      </c>
      <c r="B782" s="574" t="s">
        <v>6309</v>
      </c>
      <c r="C782" s="574" t="s">
        <v>5555</v>
      </c>
      <c r="D782" s="582">
        <v>6.48</v>
      </c>
    </row>
    <row r="783" spans="1:4" x14ac:dyDescent="0.2">
      <c r="A783" s="574">
        <v>39678</v>
      </c>
      <c r="B783" s="574" t="s">
        <v>6310</v>
      </c>
      <c r="C783" s="574" t="s">
        <v>5555</v>
      </c>
      <c r="D783" s="582">
        <v>2.61</v>
      </c>
    </row>
    <row r="784" spans="1:4" x14ac:dyDescent="0.2">
      <c r="A784" s="574">
        <v>1050</v>
      </c>
      <c r="B784" s="574" t="s">
        <v>6311</v>
      </c>
      <c r="C784" s="574" t="s">
        <v>5555</v>
      </c>
      <c r="D784" s="582">
        <v>4.43</v>
      </c>
    </row>
    <row r="785" spans="1:4" x14ac:dyDescent="0.2">
      <c r="A785" s="574">
        <v>1101</v>
      </c>
      <c r="B785" s="574" t="s">
        <v>6312</v>
      </c>
      <c r="C785" s="574" t="s">
        <v>5555</v>
      </c>
      <c r="D785" s="582">
        <v>27.96</v>
      </c>
    </row>
    <row r="786" spans="1:4" x14ac:dyDescent="0.2">
      <c r="A786" s="574">
        <v>1100</v>
      </c>
      <c r="B786" s="574" t="s">
        <v>6313</v>
      </c>
      <c r="C786" s="574" t="s">
        <v>5555</v>
      </c>
      <c r="D786" s="582">
        <v>14.43</v>
      </c>
    </row>
    <row r="787" spans="1:4" x14ac:dyDescent="0.2">
      <c r="A787" s="574">
        <v>39679</v>
      </c>
      <c r="B787" s="574" t="s">
        <v>6314</v>
      </c>
      <c r="C787" s="574" t="s">
        <v>5555</v>
      </c>
      <c r="D787" s="582">
        <v>55.73</v>
      </c>
    </row>
    <row r="788" spans="1:4" x14ac:dyDescent="0.2">
      <c r="A788" s="574">
        <v>1098</v>
      </c>
      <c r="B788" s="574" t="s">
        <v>6315</v>
      </c>
      <c r="C788" s="574" t="s">
        <v>5555</v>
      </c>
      <c r="D788" s="582">
        <v>3.46</v>
      </c>
    </row>
    <row r="789" spans="1:4" x14ac:dyDescent="0.2">
      <c r="A789" s="574">
        <v>1102</v>
      </c>
      <c r="B789" s="574" t="s">
        <v>6316</v>
      </c>
      <c r="C789" s="574" t="s">
        <v>5555</v>
      </c>
      <c r="D789" s="582">
        <v>41.7</v>
      </c>
    </row>
    <row r="790" spans="1:4" x14ac:dyDescent="0.2">
      <c r="A790" s="574">
        <v>1051</v>
      </c>
      <c r="B790" s="574" t="s">
        <v>6317</v>
      </c>
      <c r="C790" s="574" t="s">
        <v>5555</v>
      </c>
      <c r="D790" s="582">
        <v>60.61</v>
      </c>
    </row>
    <row r="791" spans="1:4" x14ac:dyDescent="0.2">
      <c r="A791" s="574">
        <v>37399</v>
      </c>
      <c r="B791" s="574" t="s">
        <v>6318</v>
      </c>
      <c r="C791" s="574" t="s">
        <v>5555</v>
      </c>
      <c r="D791" s="582">
        <v>15.76</v>
      </c>
    </row>
    <row r="792" spans="1:4" x14ac:dyDescent="0.2">
      <c r="A792" s="574">
        <v>41955</v>
      </c>
      <c r="B792" s="574" t="s">
        <v>13506</v>
      </c>
      <c r="C792" s="574" t="s">
        <v>5626</v>
      </c>
      <c r="D792" s="582">
        <v>46.12</v>
      </c>
    </row>
    <row r="793" spans="1:4" x14ac:dyDescent="0.2">
      <c r="A793" s="574">
        <v>41953</v>
      </c>
      <c r="B793" s="574" t="s">
        <v>13507</v>
      </c>
      <c r="C793" s="574" t="s">
        <v>5626</v>
      </c>
      <c r="D793" s="582">
        <v>44.01</v>
      </c>
    </row>
    <row r="794" spans="1:4" x14ac:dyDescent="0.2">
      <c r="A794" s="574">
        <v>41954</v>
      </c>
      <c r="B794" s="574" t="s">
        <v>13508</v>
      </c>
      <c r="C794" s="574" t="s">
        <v>5626</v>
      </c>
      <c r="D794" s="582">
        <v>43.59</v>
      </c>
    </row>
    <row r="795" spans="1:4" x14ac:dyDescent="0.2">
      <c r="A795" s="574">
        <v>25004</v>
      </c>
      <c r="B795" s="574" t="s">
        <v>6320</v>
      </c>
      <c r="C795" s="574" t="s">
        <v>5626</v>
      </c>
      <c r="D795" s="582">
        <v>26.22</v>
      </c>
    </row>
    <row r="796" spans="1:4" x14ac:dyDescent="0.2">
      <c r="A796" s="574">
        <v>25002</v>
      </c>
      <c r="B796" s="574" t="s">
        <v>6321</v>
      </c>
      <c r="C796" s="574" t="s">
        <v>5626</v>
      </c>
      <c r="D796" s="582">
        <v>26.44</v>
      </c>
    </row>
    <row r="797" spans="1:4" x14ac:dyDescent="0.2">
      <c r="A797" s="574">
        <v>37409</v>
      </c>
      <c r="B797" s="574" t="s">
        <v>6322</v>
      </c>
      <c r="C797" s="574" t="s">
        <v>5626</v>
      </c>
      <c r="D797" s="582">
        <v>26</v>
      </c>
    </row>
    <row r="798" spans="1:4" x14ac:dyDescent="0.2">
      <c r="A798" s="574">
        <v>841</v>
      </c>
      <c r="B798" s="574" t="s">
        <v>6323</v>
      </c>
      <c r="C798" s="574" t="s">
        <v>5626</v>
      </c>
      <c r="D798" s="582">
        <v>26.86</v>
      </c>
    </row>
    <row r="799" spans="1:4" x14ac:dyDescent="0.2">
      <c r="A799" s="574">
        <v>25005</v>
      </c>
      <c r="B799" s="574" t="s">
        <v>6324</v>
      </c>
      <c r="C799" s="574" t="s">
        <v>5626</v>
      </c>
      <c r="D799" s="582">
        <v>29.45</v>
      </c>
    </row>
    <row r="800" spans="1:4" x14ac:dyDescent="0.2">
      <c r="A800" s="574">
        <v>25003</v>
      </c>
      <c r="B800" s="574" t="s">
        <v>6325</v>
      </c>
      <c r="C800" s="574" t="s">
        <v>5626</v>
      </c>
      <c r="D800" s="582">
        <v>31.46</v>
      </c>
    </row>
    <row r="801" spans="1:4" x14ac:dyDescent="0.2">
      <c r="A801" s="574">
        <v>37410</v>
      </c>
      <c r="B801" s="574" t="s">
        <v>6326</v>
      </c>
      <c r="C801" s="574" t="s">
        <v>5626</v>
      </c>
      <c r="D801" s="582">
        <v>29.45</v>
      </c>
    </row>
    <row r="802" spans="1:4" x14ac:dyDescent="0.2">
      <c r="A802" s="574">
        <v>842</v>
      </c>
      <c r="B802" s="574" t="s">
        <v>6327</v>
      </c>
      <c r="C802" s="574" t="s">
        <v>5626</v>
      </c>
      <c r="D802" s="582">
        <v>33.130000000000003</v>
      </c>
    </row>
    <row r="803" spans="1:4" x14ac:dyDescent="0.2">
      <c r="A803" s="574">
        <v>862</v>
      </c>
      <c r="B803" s="574" t="s">
        <v>6328</v>
      </c>
      <c r="C803" s="574" t="s">
        <v>5575</v>
      </c>
      <c r="D803" s="582">
        <v>6.22</v>
      </c>
    </row>
    <row r="804" spans="1:4" x14ac:dyDescent="0.2">
      <c r="A804" s="574">
        <v>866</v>
      </c>
      <c r="B804" s="574" t="s">
        <v>6329</v>
      </c>
      <c r="C804" s="574" t="s">
        <v>5575</v>
      </c>
      <c r="D804" s="582">
        <v>76.47</v>
      </c>
    </row>
    <row r="805" spans="1:4" x14ac:dyDescent="0.2">
      <c r="A805" s="574">
        <v>892</v>
      </c>
      <c r="B805" s="574" t="s">
        <v>6330</v>
      </c>
      <c r="C805" s="574" t="s">
        <v>5575</v>
      </c>
      <c r="D805" s="582">
        <v>97.25</v>
      </c>
    </row>
    <row r="806" spans="1:4" x14ac:dyDescent="0.2">
      <c r="A806" s="574">
        <v>857</v>
      </c>
      <c r="B806" s="574" t="s">
        <v>6331</v>
      </c>
      <c r="C806" s="574" t="s">
        <v>5575</v>
      </c>
      <c r="D806" s="582">
        <v>9.9</v>
      </c>
    </row>
    <row r="807" spans="1:4" x14ac:dyDescent="0.2">
      <c r="A807" s="574">
        <v>37404</v>
      </c>
      <c r="B807" s="574" t="s">
        <v>6332</v>
      </c>
      <c r="C807" s="574" t="s">
        <v>5575</v>
      </c>
      <c r="D807" s="582">
        <v>116.94</v>
      </c>
    </row>
    <row r="808" spans="1:4" x14ac:dyDescent="0.2">
      <c r="A808" s="574">
        <v>868</v>
      </c>
      <c r="B808" s="574" t="s">
        <v>6333</v>
      </c>
      <c r="C808" s="574" t="s">
        <v>5575</v>
      </c>
      <c r="D808" s="582">
        <v>15.29</v>
      </c>
    </row>
    <row r="809" spans="1:4" x14ac:dyDescent="0.2">
      <c r="A809" s="574">
        <v>870</v>
      </c>
      <c r="B809" s="574" t="s">
        <v>6334</v>
      </c>
      <c r="C809" s="574" t="s">
        <v>5575</v>
      </c>
      <c r="D809" s="582">
        <v>201.51</v>
      </c>
    </row>
    <row r="810" spans="1:4" x14ac:dyDescent="0.2">
      <c r="A810" s="574">
        <v>863</v>
      </c>
      <c r="B810" s="574" t="s">
        <v>6335</v>
      </c>
      <c r="C810" s="574" t="s">
        <v>5575</v>
      </c>
      <c r="D810" s="582">
        <v>21.12</v>
      </c>
    </row>
    <row r="811" spans="1:4" x14ac:dyDescent="0.2">
      <c r="A811" s="574">
        <v>867</v>
      </c>
      <c r="B811" s="574" t="s">
        <v>6336</v>
      </c>
      <c r="C811" s="574" t="s">
        <v>5575</v>
      </c>
      <c r="D811" s="582">
        <v>29.42</v>
      </c>
    </row>
    <row r="812" spans="1:4" x14ac:dyDescent="0.2">
      <c r="A812" s="574">
        <v>891</v>
      </c>
      <c r="B812" s="574" t="s">
        <v>6337</v>
      </c>
      <c r="C812" s="574" t="s">
        <v>5575</v>
      </c>
      <c r="D812" s="582">
        <v>338.41</v>
      </c>
    </row>
    <row r="813" spans="1:4" x14ac:dyDescent="0.2">
      <c r="A813" s="574">
        <v>864</v>
      </c>
      <c r="B813" s="574" t="s">
        <v>6338</v>
      </c>
      <c r="C813" s="574" t="s">
        <v>5575</v>
      </c>
      <c r="D813" s="582">
        <v>41.44</v>
      </c>
    </row>
    <row r="814" spans="1:4" x14ac:dyDescent="0.2">
      <c r="A814" s="574">
        <v>865</v>
      </c>
      <c r="B814" s="574" t="s">
        <v>6339</v>
      </c>
      <c r="C814" s="574" t="s">
        <v>5575</v>
      </c>
      <c r="D814" s="582">
        <v>58.37</v>
      </c>
    </row>
    <row r="815" spans="1:4" x14ac:dyDescent="0.2">
      <c r="A815" s="574">
        <v>1006</v>
      </c>
      <c r="B815" s="574" t="s">
        <v>6340</v>
      </c>
      <c r="C815" s="574" t="s">
        <v>5575</v>
      </c>
      <c r="D815" s="582">
        <v>68.45</v>
      </c>
    </row>
    <row r="816" spans="1:4" x14ac:dyDescent="0.2">
      <c r="A816" s="574">
        <v>948</v>
      </c>
      <c r="B816" s="574" t="s">
        <v>6341</v>
      </c>
      <c r="C816" s="574" t="s">
        <v>5575</v>
      </c>
      <c r="D816" s="582">
        <v>24.61</v>
      </c>
    </row>
    <row r="817" spans="1:4" x14ac:dyDescent="0.2">
      <c r="A817" s="574">
        <v>947</v>
      </c>
      <c r="B817" s="574" t="s">
        <v>6342</v>
      </c>
      <c r="C817" s="574" t="s">
        <v>5575</v>
      </c>
      <c r="D817" s="582">
        <v>25.03</v>
      </c>
    </row>
    <row r="818" spans="1:4" x14ac:dyDescent="0.2">
      <c r="A818" s="574">
        <v>911</v>
      </c>
      <c r="B818" s="574" t="s">
        <v>6343</v>
      </c>
      <c r="C818" s="574" t="s">
        <v>5575</v>
      </c>
      <c r="D818" s="582">
        <v>36.409999999999997</v>
      </c>
    </row>
    <row r="819" spans="1:4" x14ac:dyDescent="0.2">
      <c r="A819" s="574">
        <v>925</v>
      </c>
      <c r="B819" s="574" t="s">
        <v>6344</v>
      </c>
      <c r="C819" s="574" t="s">
        <v>5575</v>
      </c>
      <c r="D819" s="582">
        <v>33.65</v>
      </c>
    </row>
    <row r="820" spans="1:4" x14ac:dyDescent="0.2">
      <c r="A820" s="574">
        <v>954</v>
      </c>
      <c r="B820" s="574" t="s">
        <v>6345</v>
      </c>
      <c r="C820" s="574" t="s">
        <v>5575</v>
      </c>
      <c r="D820" s="582">
        <v>37.18</v>
      </c>
    </row>
    <row r="821" spans="1:4" x14ac:dyDescent="0.2">
      <c r="A821" s="574">
        <v>901</v>
      </c>
      <c r="B821" s="574" t="s">
        <v>6346</v>
      </c>
      <c r="C821" s="574" t="s">
        <v>5575</v>
      </c>
      <c r="D821" s="582">
        <v>39.79</v>
      </c>
    </row>
    <row r="822" spans="1:4" x14ac:dyDescent="0.2">
      <c r="A822" s="574">
        <v>926</v>
      </c>
      <c r="B822" s="574" t="s">
        <v>6347</v>
      </c>
      <c r="C822" s="574" t="s">
        <v>5575</v>
      </c>
      <c r="D822" s="582">
        <v>42.05</v>
      </c>
    </row>
    <row r="823" spans="1:4" x14ac:dyDescent="0.2">
      <c r="A823" s="574">
        <v>912</v>
      </c>
      <c r="B823" s="574" t="s">
        <v>6348</v>
      </c>
      <c r="C823" s="574" t="s">
        <v>5575</v>
      </c>
      <c r="D823" s="582">
        <v>42.3</v>
      </c>
    </row>
    <row r="824" spans="1:4" x14ac:dyDescent="0.2">
      <c r="A824" s="574">
        <v>955</v>
      </c>
      <c r="B824" s="574" t="s">
        <v>6349</v>
      </c>
      <c r="C824" s="574" t="s">
        <v>5575</v>
      </c>
      <c r="D824" s="582">
        <v>50.5</v>
      </c>
    </row>
    <row r="825" spans="1:4" x14ac:dyDescent="0.2">
      <c r="A825" s="574">
        <v>946</v>
      </c>
      <c r="B825" s="574" t="s">
        <v>6350</v>
      </c>
      <c r="C825" s="574" t="s">
        <v>5575</v>
      </c>
      <c r="D825" s="582">
        <v>56.77</v>
      </c>
    </row>
    <row r="826" spans="1:4" x14ac:dyDescent="0.2">
      <c r="A826" s="574">
        <v>953</v>
      </c>
      <c r="B826" s="574" t="s">
        <v>6351</v>
      </c>
      <c r="C826" s="574" t="s">
        <v>5575</v>
      </c>
      <c r="D826" s="582">
        <v>51.66</v>
      </c>
    </row>
    <row r="827" spans="1:4" x14ac:dyDescent="0.2">
      <c r="A827" s="574">
        <v>902</v>
      </c>
      <c r="B827" s="574" t="s">
        <v>6352</v>
      </c>
      <c r="C827" s="574" t="s">
        <v>5575</v>
      </c>
      <c r="D827" s="582">
        <v>62.81</v>
      </c>
    </row>
    <row r="828" spans="1:4" x14ac:dyDescent="0.2">
      <c r="A828" s="574">
        <v>927</v>
      </c>
      <c r="B828" s="574" t="s">
        <v>6353</v>
      </c>
      <c r="C828" s="574" t="s">
        <v>5575</v>
      </c>
      <c r="D828" s="582">
        <v>60.88</v>
      </c>
    </row>
    <row r="829" spans="1:4" x14ac:dyDescent="0.2">
      <c r="A829" s="574">
        <v>913</v>
      </c>
      <c r="B829" s="574" t="s">
        <v>6354</v>
      </c>
      <c r="C829" s="574" t="s">
        <v>5575</v>
      </c>
      <c r="D829" s="582">
        <v>67.95</v>
      </c>
    </row>
    <row r="830" spans="1:4" x14ac:dyDescent="0.2">
      <c r="A830" s="574">
        <v>903</v>
      </c>
      <c r="B830" s="574" t="s">
        <v>6355</v>
      </c>
      <c r="C830" s="574" t="s">
        <v>5575</v>
      </c>
      <c r="D830" s="582">
        <v>76.900000000000006</v>
      </c>
    </row>
    <row r="831" spans="1:4" x14ac:dyDescent="0.2">
      <c r="A831" s="574">
        <v>945</v>
      </c>
      <c r="B831" s="574" t="s">
        <v>6356</v>
      </c>
      <c r="C831" s="574" t="s">
        <v>5575</v>
      </c>
      <c r="D831" s="582">
        <v>81.34</v>
      </c>
    </row>
    <row r="832" spans="1:4" x14ac:dyDescent="0.2">
      <c r="A832" s="574">
        <v>914</v>
      </c>
      <c r="B832" s="574" t="s">
        <v>6357</v>
      </c>
      <c r="C832" s="574" t="s">
        <v>5575</v>
      </c>
      <c r="D832" s="582">
        <v>83.33</v>
      </c>
    </row>
    <row r="833" spans="1:4" x14ac:dyDescent="0.2">
      <c r="A833" s="574">
        <v>993</v>
      </c>
      <c r="B833" s="574" t="s">
        <v>6358</v>
      </c>
      <c r="C833" s="574" t="s">
        <v>5575</v>
      </c>
      <c r="D833" s="582">
        <v>1.47</v>
      </c>
    </row>
    <row r="834" spans="1:4" x14ac:dyDescent="0.2">
      <c r="A834" s="574">
        <v>1020</v>
      </c>
      <c r="B834" s="574" t="s">
        <v>6359</v>
      </c>
      <c r="C834" s="574" t="s">
        <v>5575</v>
      </c>
      <c r="D834" s="582">
        <v>6.41</v>
      </c>
    </row>
    <row r="835" spans="1:4" x14ac:dyDescent="0.2">
      <c r="A835" s="574">
        <v>1017</v>
      </c>
      <c r="B835" s="574" t="s">
        <v>6360</v>
      </c>
      <c r="C835" s="574" t="s">
        <v>5575</v>
      </c>
      <c r="D835" s="582">
        <v>70.52</v>
      </c>
    </row>
    <row r="836" spans="1:4" x14ac:dyDescent="0.2">
      <c r="A836" s="574">
        <v>999</v>
      </c>
      <c r="B836" s="574" t="s">
        <v>6361</v>
      </c>
      <c r="C836" s="574" t="s">
        <v>5575</v>
      </c>
      <c r="D836" s="582">
        <v>87.37</v>
      </c>
    </row>
    <row r="837" spans="1:4" x14ac:dyDescent="0.2">
      <c r="A837" s="574">
        <v>995</v>
      </c>
      <c r="B837" s="574" t="s">
        <v>6362</v>
      </c>
      <c r="C837" s="574" t="s">
        <v>5575</v>
      </c>
      <c r="D837" s="582">
        <v>9.84</v>
      </c>
    </row>
    <row r="838" spans="1:4" x14ac:dyDescent="0.2">
      <c r="A838" s="574">
        <v>1000</v>
      </c>
      <c r="B838" s="574" t="s">
        <v>6363</v>
      </c>
      <c r="C838" s="574" t="s">
        <v>5575</v>
      </c>
      <c r="D838" s="582">
        <v>107.11</v>
      </c>
    </row>
    <row r="839" spans="1:4" x14ac:dyDescent="0.2">
      <c r="A839" s="574">
        <v>1022</v>
      </c>
      <c r="B839" s="574" t="s">
        <v>6364</v>
      </c>
      <c r="C839" s="574" t="s">
        <v>5575</v>
      </c>
      <c r="D839" s="582">
        <v>2.04</v>
      </c>
    </row>
    <row r="840" spans="1:4" x14ac:dyDescent="0.2">
      <c r="A840" s="574">
        <v>1015</v>
      </c>
      <c r="B840" s="574" t="s">
        <v>6365</v>
      </c>
      <c r="C840" s="574" t="s">
        <v>5575</v>
      </c>
      <c r="D840" s="582">
        <v>141.04</v>
      </c>
    </row>
    <row r="841" spans="1:4" x14ac:dyDescent="0.2">
      <c r="A841" s="574">
        <v>996</v>
      </c>
      <c r="B841" s="574" t="s">
        <v>6366</v>
      </c>
      <c r="C841" s="574" t="s">
        <v>5575</v>
      </c>
      <c r="D841" s="582">
        <v>14.98</v>
      </c>
    </row>
    <row r="842" spans="1:4" x14ac:dyDescent="0.2">
      <c r="A842" s="574">
        <v>1001</v>
      </c>
      <c r="B842" s="574" t="s">
        <v>6367</v>
      </c>
      <c r="C842" s="574" t="s">
        <v>5575</v>
      </c>
      <c r="D842" s="582">
        <v>176.5</v>
      </c>
    </row>
    <row r="843" spans="1:4" x14ac:dyDescent="0.2">
      <c r="A843" s="574">
        <v>1019</v>
      </c>
      <c r="B843" s="574" t="s">
        <v>6368</v>
      </c>
      <c r="C843" s="574" t="s">
        <v>5575</v>
      </c>
      <c r="D843" s="582">
        <v>20.65</v>
      </c>
    </row>
    <row r="844" spans="1:4" x14ac:dyDescent="0.2">
      <c r="A844" s="574">
        <v>1021</v>
      </c>
      <c r="B844" s="574" t="s">
        <v>6369</v>
      </c>
      <c r="C844" s="574" t="s">
        <v>5575</v>
      </c>
      <c r="D844" s="582">
        <v>2.93</v>
      </c>
    </row>
    <row r="845" spans="1:4" x14ac:dyDescent="0.2">
      <c r="A845" s="574">
        <v>39249</v>
      </c>
      <c r="B845" s="574" t="s">
        <v>6370</v>
      </c>
      <c r="C845" s="574" t="s">
        <v>5575</v>
      </c>
      <c r="D845" s="582">
        <v>230.25</v>
      </c>
    </row>
    <row r="846" spans="1:4" x14ac:dyDescent="0.2">
      <c r="A846" s="574">
        <v>1018</v>
      </c>
      <c r="B846" s="574" t="s">
        <v>6371</v>
      </c>
      <c r="C846" s="574" t="s">
        <v>5575</v>
      </c>
      <c r="D846" s="582">
        <v>29.44</v>
      </c>
    </row>
    <row r="847" spans="1:4" x14ac:dyDescent="0.2">
      <c r="A847" s="574">
        <v>39250</v>
      </c>
      <c r="B847" s="574" t="s">
        <v>6372</v>
      </c>
      <c r="C847" s="574" t="s">
        <v>5575</v>
      </c>
      <c r="D847" s="582">
        <v>295.77</v>
      </c>
    </row>
    <row r="848" spans="1:4" x14ac:dyDescent="0.2">
      <c r="A848" s="574">
        <v>994</v>
      </c>
      <c r="B848" s="574" t="s">
        <v>6373</v>
      </c>
      <c r="C848" s="574" t="s">
        <v>5575</v>
      </c>
      <c r="D848" s="582">
        <v>4</v>
      </c>
    </row>
    <row r="849" spans="1:4" x14ac:dyDescent="0.2">
      <c r="A849" s="574">
        <v>977</v>
      </c>
      <c r="B849" s="574" t="s">
        <v>6374</v>
      </c>
      <c r="C849" s="574" t="s">
        <v>5575</v>
      </c>
      <c r="D849" s="582">
        <v>40.78</v>
      </c>
    </row>
    <row r="850" spans="1:4" x14ac:dyDescent="0.2">
      <c r="A850" s="574">
        <v>998</v>
      </c>
      <c r="B850" s="574" t="s">
        <v>6375</v>
      </c>
      <c r="C850" s="574" t="s">
        <v>5575</v>
      </c>
      <c r="D850" s="582">
        <v>54.17</v>
      </c>
    </row>
    <row r="851" spans="1:4" x14ac:dyDescent="0.2">
      <c r="A851" s="574">
        <v>39251</v>
      </c>
      <c r="B851" s="574" t="s">
        <v>6376</v>
      </c>
      <c r="C851" s="574" t="s">
        <v>5575</v>
      </c>
      <c r="D851" s="582">
        <v>0.39</v>
      </c>
    </row>
    <row r="852" spans="1:4" x14ac:dyDescent="0.2">
      <c r="A852" s="574">
        <v>1011</v>
      </c>
      <c r="B852" s="574" t="s">
        <v>6377</v>
      </c>
      <c r="C852" s="574" t="s">
        <v>5575</v>
      </c>
      <c r="D852" s="582">
        <v>0.54</v>
      </c>
    </row>
    <row r="853" spans="1:4" x14ac:dyDescent="0.2">
      <c r="A853" s="574">
        <v>39252</v>
      </c>
      <c r="B853" s="574" t="s">
        <v>6378</v>
      </c>
      <c r="C853" s="574" t="s">
        <v>5575</v>
      </c>
      <c r="D853" s="582">
        <v>0.65</v>
      </c>
    </row>
    <row r="854" spans="1:4" x14ac:dyDescent="0.2">
      <c r="A854" s="574">
        <v>1013</v>
      </c>
      <c r="B854" s="574" t="s">
        <v>6379</v>
      </c>
      <c r="C854" s="574" t="s">
        <v>5575</v>
      </c>
      <c r="D854" s="582">
        <v>0.86</v>
      </c>
    </row>
    <row r="855" spans="1:4" x14ac:dyDescent="0.2">
      <c r="A855" s="574">
        <v>980</v>
      </c>
      <c r="B855" s="574" t="s">
        <v>6380</v>
      </c>
      <c r="C855" s="574" t="s">
        <v>5575</v>
      </c>
      <c r="D855" s="582">
        <v>5.88</v>
      </c>
    </row>
    <row r="856" spans="1:4" x14ac:dyDescent="0.2">
      <c r="A856" s="574">
        <v>39237</v>
      </c>
      <c r="B856" s="574" t="s">
        <v>6381</v>
      </c>
      <c r="C856" s="574" t="s">
        <v>5575</v>
      </c>
      <c r="D856" s="582">
        <v>69.78</v>
      </c>
    </row>
    <row r="857" spans="1:4" x14ac:dyDescent="0.2">
      <c r="A857" s="574">
        <v>39238</v>
      </c>
      <c r="B857" s="574" t="s">
        <v>6382</v>
      </c>
      <c r="C857" s="574" t="s">
        <v>5575</v>
      </c>
      <c r="D857" s="582">
        <v>87.12</v>
      </c>
    </row>
    <row r="858" spans="1:4" x14ac:dyDescent="0.2">
      <c r="A858" s="574">
        <v>979</v>
      </c>
      <c r="B858" s="574" t="s">
        <v>6383</v>
      </c>
      <c r="C858" s="574" t="s">
        <v>5575</v>
      </c>
      <c r="D858" s="582">
        <v>9.07</v>
      </c>
    </row>
    <row r="859" spans="1:4" x14ac:dyDescent="0.2">
      <c r="A859" s="574">
        <v>39239</v>
      </c>
      <c r="B859" s="574" t="s">
        <v>6384</v>
      </c>
      <c r="C859" s="574" t="s">
        <v>5575</v>
      </c>
      <c r="D859" s="582">
        <v>106.02</v>
      </c>
    </row>
    <row r="860" spans="1:4" x14ac:dyDescent="0.2">
      <c r="A860" s="574">
        <v>1014</v>
      </c>
      <c r="B860" s="574" t="s">
        <v>6385</v>
      </c>
      <c r="C860" s="574" t="s">
        <v>5575</v>
      </c>
      <c r="D860" s="582">
        <v>1.37</v>
      </c>
    </row>
    <row r="861" spans="1:4" x14ac:dyDescent="0.2">
      <c r="A861" s="574">
        <v>39240</v>
      </c>
      <c r="B861" s="574" t="s">
        <v>6386</v>
      </c>
      <c r="C861" s="574" t="s">
        <v>5575</v>
      </c>
      <c r="D861" s="582">
        <v>140.13</v>
      </c>
    </row>
    <row r="862" spans="1:4" x14ac:dyDescent="0.2">
      <c r="A862" s="574">
        <v>39232</v>
      </c>
      <c r="B862" s="574" t="s">
        <v>6387</v>
      </c>
      <c r="C862" s="574" t="s">
        <v>5575</v>
      </c>
      <c r="D862" s="582">
        <v>14.55</v>
      </c>
    </row>
    <row r="863" spans="1:4" x14ac:dyDescent="0.2">
      <c r="A863" s="574">
        <v>39233</v>
      </c>
      <c r="B863" s="574" t="s">
        <v>6388</v>
      </c>
      <c r="C863" s="574" t="s">
        <v>5575</v>
      </c>
      <c r="D863" s="582">
        <v>20</v>
      </c>
    </row>
    <row r="864" spans="1:4" x14ac:dyDescent="0.2">
      <c r="A864" s="574">
        <v>981</v>
      </c>
      <c r="B864" s="574" t="s">
        <v>6389</v>
      </c>
      <c r="C864" s="574" t="s">
        <v>5575</v>
      </c>
      <c r="D864" s="582">
        <v>2.46</v>
      </c>
    </row>
    <row r="865" spans="1:4" x14ac:dyDescent="0.2">
      <c r="A865" s="574">
        <v>39234</v>
      </c>
      <c r="B865" s="574" t="s">
        <v>6390</v>
      </c>
      <c r="C865" s="574" t="s">
        <v>5575</v>
      </c>
      <c r="D865" s="582">
        <v>29.36</v>
      </c>
    </row>
    <row r="866" spans="1:4" x14ac:dyDescent="0.2">
      <c r="A866" s="574">
        <v>982</v>
      </c>
      <c r="B866" s="574" t="s">
        <v>6391</v>
      </c>
      <c r="C866" s="574" t="s">
        <v>5575</v>
      </c>
      <c r="D866" s="582">
        <v>3.44</v>
      </c>
    </row>
    <row r="867" spans="1:4" x14ac:dyDescent="0.2">
      <c r="A867" s="574">
        <v>39235</v>
      </c>
      <c r="B867" s="574" t="s">
        <v>6392</v>
      </c>
      <c r="C867" s="574" t="s">
        <v>5575</v>
      </c>
      <c r="D867" s="582">
        <v>41.29</v>
      </c>
    </row>
    <row r="868" spans="1:4" x14ac:dyDescent="0.2">
      <c r="A868" s="574">
        <v>39236</v>
      </c>
      <c r="B868" s="574" t="s">
        <v>6393</v>
      </c>
      <c r="C868" s="574" t="s">
        <v>5575</v>
      </c>
      <c r="D868" s="582">
        <v>54.13</v>
      </c>
    </row>
    <row r="869" spans="1:4" x14ac:dyDescent="0.2">
      <c r="A869" s="574">
        <v>876</v>
      </c>
      <c r="B869" s="574" t="s">
        <v>6394</v>
      </c>
      <c r="C869" s="574" t="s">
        <v>5575</v>
      </c>
      <c r="D869" s="582">
        <v>139.74</v>
      </c>
    </row>
    <row r="870" spans="1:4" x14ac:dyDescent="0.2">
      <c r="A870" s="574">
        <v>877</v>
      </c>
      <c r="B870" s="574" t="s">
        <v>6395</v>
      </c>
      <c r="C870" s="574" t="s">
        <v>5575</v>
      </c>
      <c r="D870" s="582">
        <v>164.28</v>
      </c>
    </row>
    <row r="871" spans="1:4" x14ac:dyDescent="0.2">
      <c r="A871" s="574">
        <v>882</v>
      </c>
      <c r="B871" s="574" t="s">
        <v>6396</v>
      </c>
      <c r="C871" s="574" t="s">
        <v>5575</v>
      </c>
      <c r="D871" s="582">
        <v>179.01</v>
      </c>
    </row>
    <row r="872" spans="1:4" x14ac:dyDescent="0.2">
      <c r="A872" s="574">
        <v>878</v>
      </c>
      <c r="B872" s="574" t="s">
        <v>6397</v>
      </c>
      <c r="C872" s="574" t="s">
        <v>5575</v>
      </c>
      <c r="D872" s="582">
        <v>222.55</v>
      </c>
    </row>
    <row r="873" spans="1:4" x14ac:dyDescent="0.2">
      <c r="A873" s="574">
        <v>879</v>
      </c>
      <c r="B873" s="574" t="s">
        <v>6398</v>
      </c>
      <c r="C873" s="574" t="s">
        <v>5575</v>
      </c>
      <c r="D873" s="582">
        <v>262.31</v>
      </c>
    </row>
    <row r="874" spans="1:4" x14ac:dyDescent="0.2">
      <c r="A874" s="574">
        <v>880</v>
      </c>
      <c r="B874" s="574" t="s">
        <v>6399</v>
      </c>
      <c r="C874" s="574" t="s">
        <v>5575</v>
      </c>
      <c r="D874" s="582">
        <v>308.64</v>
      </c>
    </row>
    <row r="875" spans="1:4" x14ac:dyDescent="0.2">
      <c r="A875" s="574">
        <v>873</v>
      </c>
      <c r="B875" s="574" t="s">
        <v>6400</v>
      </c>
      <c r="C875" s="574" t="s">
        <v>5575</v>
      </c>
      <c r="D875" s="582">
        <v>93.84</v>
      </c>
    </row>
    <row r="876" spans="1:4" x14ac:dyDescent="0.2">
      <c r="A876" s="574">
        <v>881</v>
      </c>
      <c r="B876" s="574" t="s">
        <v>6401</v>
      </c>
      <c r="C876" s="574" t="s">
        <v>5575</v>
      </c>
      <c r="D876" s="582">
        <v>421.85</v>
      </c>
    </row>
    <row r="877" spans="1:4" x14ac:dyDescent="0.2">
      <c r="A877" s="574">
        <v>874</v>
      </c>
      <c r="B877" s="574" t="s">
        <v>6402</v>
      </c>
      <c r="C877" s="574" t="s">
        <v>5575</v>
      </c>
      <c r="D877" s="582">
        <v>111.37</v>
      </c>
    </row>
    <row r="878" spans="1:4" x14ac:dyDescent="0.2">
      <c r="A878" s="574">
        <v>875</v>
      </c>
      <c r="B878" s="574" t="s">
        <v>6403</v>
      </c>
      <c r="C878" s="574" t="s">
        <v>5575</v>
      </c>
      <c r="D878" s="582">
        <v>132.87</v>
      </c>
    </row>
    <row r="879" spans="1:4" x14ac:dyDescent="0.2">
      <c r="A879" s="574">
        <v>983</v>
      </c>
      <c r="B879" s="574" t="s">
        <v>6404</v>
      </c>
      <c r="C879" s="574" t="s">
        <v>5575</v>
      </c>
      <c r="D879" s="582">
        <v>0.83</v>
      </c>
    </row>
    <row r="880" spans="1:4" x14ac:dyDescent="0.2">
      <c r="A880" s="574">
        <v>985</v>
      </c>
      <c r="B880" s="574" t="s">
        <v>6405</v>
      </c>
      <c r="C880" s="574" t="s">
        <v>5575</v>
      </c>
      <c r="D880" s="582">
        <v>6.24</v>
      </c>
    </row>
    <row r="881" spans="1:4" x14ac:dyDescent="0.2">
      <c r="A881" s="574">
        <v>990</v>
      </c>
      <c r="B881" s="574" t="s">
        <v>6406</v>
      </c>
      <c r="C881" s="574" t="s">
        <v>5575</v>
      </c>
      <c r="D881" s="582">
        <v>85.42</v>
      </c>
    </row>
    <row r="882" spans="1:4" x14ac:dyDescent="0.2">
      <c r="A882" s="574">
        <v>39241</v>
      </c>
      <c r="B882" s="574" t="s">
        <v>6407</v>
      </c>
      <c r="C882" s="574" t="s">
        <v>5575</v>
      </c>
      <c r="D882" s="582">
        <v>9.76</v>
      </c>
    </row>
    <row r="883" spans="1:4" x14ac:dyDescent="0.2">
      <c r="A883" s="574">
        <v>1005</v>
      </c>
      <c r="B883" s="574" t="s">
        <v>6408</v>
      </c>
      <c r="C883" s="574" t="s">
        <v>5575</v>
      </c>
      <c r="D883" s="582">
        <v>104.84</v>
      </c>
    </row>
    <row r="884" spans="1:4" x14ac:dyDescent="0.2">
      <c r="A884" s="574">
        <v>984</v>
      </c>
      <c r="B884" s="574" t="s">
        <v>6409</v>
      </c>
      <c r="C884" s="574" t="s">
        <v>5575</v>
      </c>
      <c r="D884" s="582">
        <v>2.15</v>
      </c>
    </row>
    <row r="885" spans="1:4" x14ac:dyDescent="0.2">
      <c r="A885" s="574">
        <v>991</v>
      </c>
      <c r="B885" s="574" t="s">
        <v>6410</v>
      </c>
      <c r="C885" s="574" t="s">
        <v>5575</v>
      </c>
      <c r="D885" s="582">
        <v>138.54</v>
      </c>
    </row>
    <row r="886" spans="1:4" x14ac:dyDescent="0.2">
      <c r="A886" s="574">
        <v>986</v>
      </c>
      <c r="B886" s="574" t="s">
        <v>6411</v>
      </c>
      <c r="C886" s="574" t="s">
        <v>5575</v>
      </c>
      <c r="D886" s="582">
        <v>14.92</v>
      </c>
    </row>
    <row r="887" spans="1:4" x14ac:dyDescent="0.2">
      <c r="A887" s="574">
        <v>1024</v>
      </c>
      <c r="B887" s="574" t="s">
        <v>6412</v>
      </c>
      <c r="C887" s="574" t="s">
        <v>5575</v>
      </c>
      <c r="D887" s="582">
        <v>171.46</v>
      </c>
    </row>
    <row r="888" spans="1:4" x14ac:dyDescent="0.2">
      <c r="A888" s="574">
        <v>987</v>
      </c>
      <c r="B888" s="574" t="s">
        <v>6413</v>
      </c>
      <c r="C888" s="574" t="s">
        <v>5575</v>
      </c>
      <c r="D888" s="582">
        <v>20.28</v>
      </c>
    </row>
    <row r="889" spans="1:4" x14ac:dyDescent="0.2">
      <c r="A889" s="574">
        <v>1003</v>
      </c>
      <c r="B889" s="574" t="s">
        <v>6414</v>
      </c>
      <c r="C889" s="574" t="s">
        <v>5575</v>
      </c>
      <c r="D889" s="582">
        <v>3.15</v>
      </c>
    </row>
    <row r="890" spans="1:4" x14ac:dyDescent="0.2">
      <c r="A890" s="574">
        <v>992</v>
      </c>
      <c r="B890" s="574" t="s">
        <v>6415</v>
      </c>
      <c r="C890" s="574" t="s">
        <v>5575</v>
      </c>
      <c r="D890" s="582">
        <v>221.84</v>
      </c>
    </row>
    <row r="891" spans="1:4" x14ac:dyDescent="0.2">
      <c r="A891" s="574">
        <v>1007</v>
      </c>
      <c r="B891" s="574" t="s">
        <v>6416</v>
      </c>
      <c r="C891" s="574" t="s">
        <v>5575</v>
      </c>
      <c r="D891" s="582">
        <v>28.77</v>
      </c>
    </row>
    <row r="892" spans="1:4" x14ac:dyDescent="0.2">
      <c r="A892" s="574">
        <v>39242</v>
      </c>
      <c r="B892" s="574" t="s">
        <v>6417</v>
      </c>
      <c r="C892" s="574" t="s">
        <v>5575</v>
      </c>
      <c r="D892" s="582">
        <v>274.86</v>
      </c>
    </row>
    <row r="893" spans="1:4" x14ac:dyDescent="0.2">
      <c r="A893" s="574">
        <v>1008</v>
      </c>
      <c r="B893" s="574" t="s">
        <v>6418</v>
      </c>
      <c r="C893" s="574" t="s">
        <v>5575</v>
      </c>
      <c r="D893" s="582">
        <v>3.58</v>
      </c>
    </row>
    <row r="894" spans="1:4" x14ac:dyDescent="0.2">
      <c r="A894" s="574">
        <v>988</v>
      </c>
      <c r="B894" s="574" t="s">
        <v>6419</v>
      </c>
      <c r="C894" s="574" t="s">
        <v>5575</v>
      </c>
      <c r="D894" s="582">
        <v>39.74</v>
      </c>
    </row>
    <row r="895" spans="1:4" x14ac:dyDescent="0.2">
      <c r="A895" s="574">
        <v>989</v>
      </c>
      <c r="B895" s="574" t="s">
        <v>6420</v>
      </c>
      <c r="C895" s="574" t="s">
        <v>5575</v>
      </c>
      <c r="D895" s="582">
        <v>53.83</v>
      </c>
    </row>
    <row r="896" spans="1:4" x14ac:dyDescent="0.2">
      <c r="A896" s="574">
        <v>39598</v>
      </c>
      <c r="B896" s="574" t="s">
        <v>6421</v>
      </c>
      <c r="C896" s="574" t="s">
        <v>5575</v>
      </c>
      <c r="D896" s="582">
        <v>1.05</v>
      </c>
    </row>
    <row r="897" spans="1:4" x14ac:dyDescent="0.2">
      <c r="A897" s="574">
        <v>39599</v>
      </c>
      <c r="B897" s="574" t="s">
        <v>6422</v>
      </c>
      <c r="C897" s="574" t="s">
        <v>5575</v>
      </c>
      <c r="D897" s="582">
        <v>1.59</v>
      </c>
    </row>
    <row r="898" spans="1:4" x14ac:dyDescent="0.2">
      <c r="A898" s="574">
        <v>34602</v>
      </c>
      <c r="B898" s="574" t="s">
        <v>6423</v>
      </c>
      <c r="C898" s="574" t="s">
        <v>5575</v>
      </c>
      <c r="D898" s="582">
        <v>2.3199999999999998</v>
      </c>
    </row>
    <row r="899" spans="1:4" x14ac:dyDescent="0.2">
      <c r="A899" s="574">
        <v>34603</v>
      </c>
      <c r="B899" s="574" t="s">
        <v>6424</v>
      </c>
      <c r="C899" s="574" t="s">
        <v>5575</v>
      </c>
      <c r="D899" s="582">
        <v>11.15</v>
      </c>
    </row>
    <row r="900" spans="1:4" x14ac:dyDescent="0.2">
      <c r="A900" s="574">
        <v>34607</v>
      </c>
      <c r="B900" s="574" t="s">
        <v>6425</v>
      </c>
      <c r="C900" s="574" t="s">
        <v>5575</v>
      </c>
      <c r="D900" s="582">
        <v>4.97</v>
      </c>
    </row>
    <row r="901" spans="1:4" x14ac:dyDescent="0.2">
      <c r="A901" s="574">
        <v>34609</v>
      </c>
      <c r="B901" s="574" t="s">
        <v>6426</v>
      </c>
      <c r="C901" s="574" t="s">
        <v>5575</v>
      </c>
      <c r="D901" s="582">
        <v>7.46</v>
      </c>
    </row>
    <row r="902" spans="1:4" x14ac:dyDescent="0.2">
      <c r="A902" s="574">
        <v>34618</v>
      </c>
      <c r="B902" s="574" t="s">
        <v>6427</v>
      </c>
      <c r="C902" s="574" t="s">
        <v>5575</v>
      </c>
      <c r="D902" s="582">
        <v>3.07</v>
      </c>
    </row>
    <row r="903" spans="1:4" x14ac:dyDescent="0.2">
      <c r="A903" s="574">
        <v>34620</v>
      </c>
      <c r="B903" s="574" t="s">
        <v>6428</v>
      </c>
      <c r="C903" s="574" t="s">
        <v>5575</v>
      </c>
      <c r="D903" s="582">
        <v>15.39</v>
      </c>
    </row>
    <row r="904" spans="1:4" x14ac:dyDescent="0.2">
      <c r="A904" s="574">
        <v>34621</v>
      </c>
      <c r="B904" s="574" t="s">
        <v>6429</v>
      </c>
      <c r="C904" s="574" t="s">
        <v>5575</v>
      </c>
      <c r="D904" s="582">
        <v>7.14</v>
      </c>
    </row>
    <row r="905" spans="1:4" x14ac:dyDescent="0.2">
      <c r="A905" s="574">
        <v>34622</v>
      </c>
      <c r="B905" s="574" t="s">
        <v>6430</v>
      </c>
      <c r="C905" s="574" t="s">
        <v>5575</v>
      </c>
      <c r="D905" s="582">
        <v>10.11</v>
      </c>
    </row>
    <row r="906" spans="1:4" x14ac:dyDescent="0.2">
      <c r="A906" s="574">
        <v>34624</v>
      </c>
      <c r="B906" s="574" t="s">
        <v>6431</v>
      </c>
      <c r="C906" s="574" t="s">
        <v>5575</v>
      </c>
      <c r="D906" s="582">
        <v>3.92</v>
      </c>
    </row>
    <row r="907" spans="1:4" x14ac:dyDescent="0.2">
      <c r="A907" s="574">
        <v>34626</v>
      </c>
      <c r="B907" s="574" t="s">
        <v>6432</v>
      </c>
      <c r="C907" s="574" t="s">
        <v>5575</v>
      </c>
      <c r="D907" s="582">
        <v>21.15</v>
      </c>
    </row>
    <row r="908" spans="1:4" x14ac:dyDescent="0.2">
      <c r="A908" s="574">
        <v>34627</v>
      </c>
      <c r="B908" s="574" t="s">
        <v>6433</v>
      </c>
      <c r="C908" s="574" t="s">
        <v>5575</v>
      </c>
      <c r="D908" s="582">
        <v>9.11</v>
      </c>
    </row>
    <row r="909" spans="1:4" x14ac:dyDescent="0.2">
      <c r="A909" s="574">
        <v>34629</v>
      </c>
      <c r="B909" s="574" t="s">
        <v>6434</v>
      </c>
      <c r="C909" s="574" t="s">
        <v>5575</v>
      </c>
      <c r="D909" s="582">
        <v>13.34</v>
      </c>
    </row>
    <row r="910" spans="1:4" x14ac:dyDescent="0.2">
      <c r="A910" s="574">
        <v>39257</v>
      </c>
      <c r="B910" s="574" t="s">
        <v>6435</v>
      </c>
      <c r="C910" s="574" t="s">
        <v>5575</v>
      </c>
      <c r="D910" s="582">
        <v>3.76</v>
      </c>
    </row>
    <row r="911" spans="1:4" x14ac:dyDescent="0.2">
      <c r="A911" s="574">
        <v>39261</v>
      </c>
      <c r="B911" s="574" t="s">
        <v>6436</v>
      </c>
      <c r="C911" s="574" t="s">
        <v>5575</v>
      </c>
      <c r="D911" s="582">
        <v>20.02</v>
      </c>
    </row>
    <row r="912" spans="1:4" x14ac:dyDescent="0.2">
      <c r="A912" s="574">
        <v>39268</v>
      </c>
      <c r="B912" s="574" t="s">
        <v>6437</v>
      </c>
      <c r="C912" s="574" t="s">
        <v>5575</v>
      </c>
      <c r="D912" s="582">
        <v>231.04</v>
      </c>
    </row>
    <row r="913" spans="1:4" x14ac:dyDescent="0.2">
      <c r="A913" s="574">
        <v>39262</v>
      </c>
      <c r="B913" s="574" t="s">
        <v>6438</v>
      </c>
      <c r="C913" s="574" t="s">
        <v>5575</v>
      </c>
      <c r="D913" s="582">
        <v>31.31</v>
      </c>
    </row>
    <row r="914" spans="1:4" x14ac:dyDescent="0.2">
      <c r="A914" s="574">
        <v>39258</v>
      </c>
      <c r="B914" s="574" t="s">
        <v>6439</v>
      </c>
      <c r="C914" s="574" t="s">
        <v>5575</v>
      </c>
      <c r="D914" s="582">
        <v>5.57</v>
      </c>
    </row>
    <row r="915" spans="1:4" x14ac:dyDescent="0.2">
      <c r="A915" s="574">
        <v>39263</v>
      </c>
      <c r="B915" s="574" t="s">
        <v>6440</v>
      </c>
      <c r="C915" s="574" t="s">
        <v>5575</v>
      </c>
      <c r="D915" s="582">
        <v>48.44</v>
      </c>
    </row>
    <row r="916" spans="1:4" x14ac:dyDescent="0.2">
      <c r="A916" s="574">
        <v>39264</v>
      </c>
      <c r="B916" s="574" t="s">
        <v>6441</v>
      </c>
      <c r="C916" s="574" t="s">
        <v>5575</v>
      </c>
      <c r="D916" s="582">
        <v>65.59</v>
      </c>
    </row>
    <row r="917" spans="1:4" x14ac:dyDescent="0.2">
      <c r="A917" s="574">
        <v>39259</v>
      </c>
      <c r="B917" s="574" t="s">
        <v>6442</v>
      </c>
      <c r="C917" s="574" t="s">
        <v>5575</v>
      </c>
      <c r="D917" s="582">
        <v>8.48</v>
      </c>
    </row>
    <row r="918" spans="1:4" x14ac:dyDescent="0.2">
      <c r="A918" s="574">
        <v>39265</v>
      </c>
      <c r="B918" s="574" t="s">
        <v>6443</v>
      </c>
      <c r="C918" s="574" t="s">
        <v>5575</v>
      </c>
      <c r="D918" s="582">
        <v>96.63</v>
      </c>
    </row>
    <row r="919" spans="1:4" x14ac:dyDescent="0.2">
      <c r="A919" s="574">
        <v>39260</v>
      </c>
      <c r="B919" s="574" t="s">
        <v>6444</v>
      </c>
      <c r="C919" s="574" t="s">
        <v>5575</v>
      </c>
      <c r="D919" s="582">
        <v>12.08</v>
      </c>
    </row>
    <row r="920" spans="1:4" x14ac:dyDescent="0.2">
      <c r="A920" s="574">
        <v>39266</v>
      </c>
      <c r="B920" s="574" t="s">
        <v>6445</v>
      </c>
      <c r="C920" s="574" t="s">
        <v>5575</v>
      </c>
      <c r="D920" s="582">
        <v>135.58000000000001</v>
      </c>
    </row>
    <row r="921" spans="1:4" x14ac:dyDescent="0.2">
      <c r="A921" s="574">
        <v>39267</v>
      </c>
      <c r="B921" s="574" t="s">
        <v>6446</v>
      </c>
      <c r="C921" s="574" t="s">
        <v>5575</v>
      </c>
      <c r="D921" s="582">
        <v>177.73</v>
      </c>
    </row>
    <row r="922" spans="1:4" x14ac:dyDescent="0.2">
      <c r="A922" s="574">
        <v>11901</v>
      </c>
      <c r="B922" s="574" t="s">
        <v>6447</v>
      </c>
      <c r="C922" s="574" t="s">
        <v>5575</v>
      </c>
      <c r="D922" s="582">
        <v>0.5</v>
      </c>
    </row>
    <row r="923" spans="1:4" x14ac:dyDescent="0.2">
      <c r="A923" s="574">
        <v>11902</v>
      </c>
      <c r="B923" s="574" t="s">
        <v>6448</v>
      </c>
      <c r="C923" s="574" t="s">
        <v>5575</v>
      </c>
      <c r="D923" s="582">
        <v>0.87</v>
      </c>
    </row>
    <row r="924" spans="1:4" x14ac:dyDescent="0.2">
      <c r="A924" s="574">
        <v>11903</v>
      </c>
      <c r="B924" s="574" t="s">
        <v>6449</v>
      </c>
      <c r="C924" s="574" t="s">
        <v>5575</v>
      </c>
      <c r="D924" s="582">
        <v>1.34</v>
      </c>
    </row>
    <row r="925" spans="1:4" x14ac:dyDescent="0.2">
      <c r="A925" s="574">
        <v>11904</v>
      </c>
      <c r="B925" s="574" t="s">
        <v>6450</v>
      </c>
      <c r="C925" s="574" t="s">
        <v>5575</v>
      </c>
      <c r="D925" s="582">
        <v>1.71</v>
      </c>
    </row>
    <row r="926" spans="1:4" x14ac:dyDescent="0.2">
      <c r="A926" s="574">
        <v>11905</v>
      </c>
      <c r="B926" s="574" t="s">
        <v>6451</v>
      </c>
      <c r="C926" s="574" t="s">
        <v>5575</v>
      </c>
      <c r="D926" s="582">
        <v>2.2999999999999998</v>
      </c>
    </row>
    <row r="927" spans="1:4" x14ac:dyDescent="0.2">
      <c r="A927" s="574">
        <v>11906</v>
      </c>
      <c r="B927" s="574" t="s">
        <v>6452</v>
      </c>
      <c r="C927" s="574" t="s">
        <v>5575</v>
      </c>
      <c r="D927" s="582">
        <v>2.65</v>
      </c>
    </row>
    <row r="928" spans="1:4" x14ac:dyDescent="0.2">
      <c r="A928" s="574">
        <v>11919</v>
      </c>
      <c r="B928" s="574" t="s">
        <v>6453</v>
      </c>
      <c r="C928" s="574" t="s">
        <v>5575</v>
      </c>
      <c r="D928" s="582">
        <v>5.2</v>
      </c>
    </row>
    <row r="929" spans="1:4" x14ac:dyDescent="0.2">
      <c r="A929" s="574">
        <v>11920</v>
      </c>
      <c r="B929" s="574" t="s">
        <v>6454</v>
      </c>
      <c r="C929" s="574" t="s">
        <v>5575</v>
      </c>
      <c r="D929" s="582">
        <v>10.09</v>
      </c>
    </row>
    <row r="930" spans="1:4" x14ac:dyDescent="0.2">
      <c r="A930" s="574">
        <v>11924</v>
      </c>
      <c r="B930" s="574" t="s">
        <v>6455</v>
      </c>
      <c r="C930" s="574" t="s">
        <v>5575</v>
      </c>
      <c r="D930" s="582">
        <v>98.12</v>
      </c>
    </row>
    <row r="931" spans="1:4" x14ac:dyDescent="0.2">
      <c r="A931" s="574">
        <v>11921</v>
      </c>
      <c r="B931" s="574" t="s">
        <v>6456</v>
      </c>
      <c r="C931" s="574" t="s">
        <v>5575</v>
      </c>
      <c r="D931" s="582">
        <v>13.73</v>
      </c>
    </row>
    <row r="932" spans="1:4" x14ac:dyDescent="0.2">
      <c r="A932" s="574">
        <v>11922</v>
      </c>
      <c r="B932" s="574" t="s">
        <v>6457</v>
      </c>
      <c r="C932" s="574" t="s">
        <v>5575</v>
      </c>
      <c r="D932" s="582">
        <v>24.39</v>
      </c>
    </row>
    <row r="933" spans="1:4" x14ac:dyDescent="0.2">
      <c r="A933" s="574">
        <v>11923</v>
      </c>
      <c r="B933" s="574" t="s">
        <v>6458</v>
      </c>
      <c r="C933" s="574" t="s">
        <v>5575</v>
      </c>
      <c r="D933" s="582">
        <v>39.83</v>
      </c>
    </row>
    <row r="934" spans="1:4" x14ac:dyDescent="0.2">
      <c r="A934" s="574">
        <v>11916</v>
      </c>
      <c r="B934" s="574" t="s">
        <v>6459</v>
      </c>
      <c r="C934" s="574" t="s">
        <v>5575</v>
      </c>
      <c r="D934" s="582">
        <v>6.76</v>
      </c>
    </row>
    <row r="935" spans="1:4" x14ac:dyDescent="0.2">
      <c r="A935" s="574">
        <v>11914</v>
      </c>
      <c r="B935" s="574" t="s">
        <v>6460</v>
      </c>
      <c r="C935" s="574" t="s">
        <v>5575</v>
      </c>
      <c r="D935" s="582">
        <v>49.07</v>
      </c>
    </row>
    <row r="936" spans="1:4" x14ac:dyDescent="0.2">
      <c r="A936" s="574">
        <v>11917</v>
      </c>
      <c r="B936" s="574" t="s">
        <v>6461</v>
      </c>
      <c r="C936" s="574" t="s">
        <v>5575</v>
      </c>
      <c r="D936" s="582">
        <v>11.76</v>
      </c>
    </row>
    <row r="937" spans="1:4" x14ac:dyDescent="0.2">
      <c r="A937" s="574">
        <v>11918</v>
      </c>
      <c r="B937" s="574" t="s">
        <v>6462</v>
      </c>
      <c r="C937" s="574" t="s">
        <v>5575</v>
      </c>
      <c r="D937" s="582">
        <v>15.96</v>
      </c>
    </row>
    <row r="938" spans="1:4" x14ac:dyDescent="0.2">
      <c r="A938" s="574">
        <v>37734</v>
      </c>
      <c r="B938" s="574" t="s">
        <v>6463</v>
      </c>
      <c r="C938" s="574" t="s">
        <v>5555</v>
      </c>
      <c r="D938" s="583">
        <v>45253.13</v>
      </c>
    </row>
    <row r="939" spans="1:4" x14ac:dyDescent="0.2">
      <c r="A939" s="574">
        <v>42251</v>
      </c>
      <c r="B939" s="574" t="s">
        <v>6464</v>
      </c>
      <c r="C939" s="574" t="s">
        <v>5555</v>
      </c>
      <c r="D939" s="583">
        <v>51387.69</v>
      </c>
    </row>
    <row r="940" spans="1:4" x14ac:dyDescent="0.2">
      <c r="A940" s="574">
        <v>37733</v>
      </c>
      <c r="B940" s="574" t="s">
        <v>6465</v>
      </c>
      <c r="C940" s="574" t="s">
        <v>5555</v>
      </c>
      <c r="D940" s="583">
        <v>33930.620000000003</v>
      </c>
    </row>
    <row r="941" spans="1:4" x14ac:dyDescent="0.2">
      <c r="A941" s="574">
        <v>37735</v>
      </c>
      <c r="B941" s="574" t="s">
        <v>6466</v>
      </c>
      <c r="C941" s="574" t="s">
        <v>5555</v>
      </c>
      <c r="D941" s="583">
        <v>40886.400000000001</v>
      </c>
    </row>
    <row r="942" spans="1:4" x14ac:dyDescent="0.2">
      <c r="A942" s="574">
        <v>5090</v>
      </c>
      <c r="B942" s="574" t="s">
        <v>6468</v>
      </c>
      <c r="C942" s="574" t="s">
        <v>5555</v>
      </c>
      <c r="D942" s="582">
        <v>16</v>
      </c>
    </row>
    <row r="943" spans="1:4" x14ac:dyDescent="0.2">
      <c r="A943" s="574">
        <v>5085</v>
      </c>
      <c r="B943" s="574" t="s">
        <v>6469</v>
      </c>
      <c r="C943" s="574" t="s">
        <v>5555</v>
      </c>
      <c r="D943" s="582">
        <v>17.84</v>
      </c>
    </row>
    <row r="944" spans="1:4" x14ac:dyDescent="0.2">
      <c r="A944" s="574">
        <v>38374</v>
      </c>
      <c r="B944" s="574" t="s">
        <v>6470</v>
      </c>
      <c r="C944" s="574" t="s">
        <v>5555</v>
      </c>
      <c r="D944" s="582">
        <v>884.39</v>
      </c>
    </row>
    <row r="945" spans="1:4" x14ac:dyDescent="0.2">
      <c r="A945" s="574">
        <v>20212</v>
      </c>
      <c r="B945" s="574" t="s">
        <v>6471</v>
      </c>
      <c r="C945" s="574" t="s">
        <v>5575</v>
      </c>
      <c r="D945" s="582">
        <v>9.58</v>
      </c>
    </row>
    <row r="946" spans="1:4" x14ac:dyDescent="0.2">
      <c r="A946" s="574">
        <v>4430</v>
      </c>
      <c r="B946" s="574" t="s">
        <v>6472</v>
      </c>
      <c r="C946" s="574" t="s">
        <v>5575</v>
      </c>
      <c r="D946" s="582">
        <v>6.08</v>
      </c>
    </row>
    <row r="947" spans="1:4" x14ac:dyDescent="0.2">
      <c r="A947" s="574">
        <v>4400</v>
      </c>
      <c r="B947" s="574" t="s">
        <v>6473</v>
      </c>
      <c r="C947" s="574" t="s">
        <v>5575</v>
      </c>
      <c r="D947" s="582">
        <v>7.68</v>
      </c>
    </row>
    <row r="948" spans="1:4" x14ac:dyDescent="0.2">
      <c r="A948" s="574">
        <v>4500</v>
      </c>
      <c r="B948" s="574" t="s">
        <v>6474</v>
      </c>
      <c r="C948" s="574" t="s">
        <v>5575</v>
      </c>
      <c r="D948" s="582">
        <v>9.66</v>
      </c>
    </row>
    <row r="949" spans="1:4" x14ac:dyDescent="0.2">
      <c r="A949" s="574">
        <v>4513</v>
      </c>
      <c r="B949" s="574" t="s">
        <v>6475</v>
      </c>
      <c r="C949" s="574" t="s">
        <v>5575</v>
      </c>
      <c r="D949" s="582">
        <v>2.59</v>
      </c>
    </row>
    <row r="950" spans="1:4" x14ac:dyDescent="0.2">
      <c r="A950" s="574">
        <v>4496</v>
      </c>
      <c r="B950" s="574" t="s">
        <v>6476</v>
      </c>
      <c r="C950" s="574" t="s">
        <v>5575</v>
      </c>
      <c r="D950" s="582">
        <v>4.12</v>
      </c>
    </row>
    <row r="951" spans="1:4" x14ac:dyDescent="0.2">
      <c r="A951" s="574">
        <v>11871</v>
      </c>
      <c r="B951" s="574" t="s">
        <v>6477</v>
      </c>
      <c r="C951" s="574" t="s">
        <v>5555</v>
      </c>
      <c r="D951" s="582">
        <v>256</v>
      </c>
    </row>
    <row r="952" spans="1:4" x14ac:dyDescent="0.2">
      <c r="A952" s="574">
        <v>34636</v>
      </c>
      <c r="B952" s="574" t="s">
        <v>6478</v>
      </c>
      <c r="C952" s="574" t="s">
        <v>5555</v>
      </c>
      <c r="D952" s="582">
        <v>313.58999999999997</v>
      </c>
    </row>
    <row r="953" spans="1:4" x14ac:dyDescent="0.2">
      <c r="A953" s="574">
        <v>34639</v>
      </c>
      <c r="B953" s="574" t="s">
        <v>6479</v>
      </c>
      <c r="C953" s="574" t="s">
        <v>5555</v>
      </c>
      <c r="D953" s="582">
        <v>636.9</v>
      </c>
    </row>
    <row r="954" spans="1:4" x14ac:dyDescent="0.2">
      <c r="A954" s="574">
        <v>34640</v>
      </c>
      <c r="B954" s="574" t="s">
        <v>6480</v>
      </c>
      <c r="C954" s="574" t="s">
        <v>5555</v>
      </c>
      <c r="D954" s="582">
        <v>715.4</v>
      </c>
    </row>
    <row r="955" spans="1:4" x14ac:dyDescent="0.2">
      <c r="A955" s="574">
        <v>34637</v>
      </c>
      <c r="B955" s="574" t="s">
        <v>6481</v>
      </c>
      <c r="C955" s="574" t="s">
        <v>5555</v>
      </c>
      <c r="D955" s="582">
        <v>180.04</v>
      </c>
    </row>
    <row r="956" spans="1:4" x14ac:dyDescent="0.2">
      <c r="A956" s="574">
        <v>34638</v>
      </c>
      <c r="B956" s="574" t="s">
        <v>6482</v>
      </c>
      <c r="C956" s="574" t="s">
        <v>5555</v>
      </c>
      <c r="D956" s="582">
        <v>308.75</v>
      </c>
    </row>
    <row r="957" spans="1:4" x14ac:dyDescent="0.2">
      <c r="A957" s="574">
        <v>11868</v>
      </c>
      <c r="B957" s="574" t="s">
        <v>6483</v>
      </c>
      <c r="C957" s="574" t="s">
        <v>5555</v>
      </c>
      <c r="D957" s="582">
        <v>351.84</v>
      </c>
    </row>
    <row r="958" spans="1:4" x14ac:dyDescent="0.2">
      <c r="A958" s="574">
        <v>37106</v>
      </c>
      <c r="B958" s="574" t="s">
        <v>6484</v>
      </c>
      <c r="C958" s="574" t="s">
        <v>5555</v>
      </c>
      <c r="D958" s="583">
        <v>3398.34</v>
      </c>
    </row>
    <row r="959" spans="1:4" x14ac:dyDescent="0.2">
      <c r="A959" s="574">
        <v>11869</v>
      </c>
      <c r="B959" s="574" t="s">
        <v>6485</v>
      </c>
      <c r="C959" s="574" t="s">
        <v>5555</v>
      </c>
      <c r="D959" s="582">
        <v>570.85</v>
      </c>
    </row>
    <row r="960" spans="1:4" x14ac:dyDescent="0.2">
      <c r="A960" s="574">
        <v>37104</v>
      </c>
      <c r="B960" s="574" t="s">
        <v>6486</v>
      </c>
      <c r="C960" s="574" t="s">
        <v>5555</v>
      </c>
      <c r="D960" s="582">
        <v>735.86</v>
      </c>
    </row>
    <row r="961" spans="1:4" x14ac:dyDescent="0.2">
      <c r="A961" s="574">
        <v>37105</v>
      </c>
      <c r="B961" s="574" t="s">
        <v>6487</v>
      </c>
      <c r="C961" s="574" t="s">
        <v>5555</v>
      </c>
      <c r="D961" s="583">
        <v>1638.87</v>
      </c>
    </row>
    <row r="962" spans="1:4" x14ac:dyDescent="0.2">
      <c r="A962" s="574">
        <v>34641</v>
      </c>
      <c r="B962" s="574" t="s">
        <v>13509</v>
      </c>
      <c r="C962" s="574" t="s">
        <v>5555</v>
      </c>
      <c r="D962" s="582">
        <v>55.96</v>
      </c>
    </row>
    <row r="963" spans="1:4" x14ac:dyDescent="0.2">
      <c r="A963" s="574">
        <v>43434</v>
      </c>
      <c r="B963" s="574" t="s">
        <v>13510</v>
      </c>
      <c r="C963" s="574" t="s">
        <v>5555</v>
      </c>
      <c r="D963" s="582">
        <v>60.5</v>
      </c>
    </row>
    <row r="964" spans="1:4" x14ac:dyDescent="0.2">
      <c r="A964" s="574">
        <v>43435</v>
      </c>
      <c r="B964" s="574" t="s">
        <v>13511</v>
      </c>
      <c r="C964" s="574" t="s">
        <v>5555</v>
      </c>
      <c r="D964" s="582">
        <v>110.92</v>
      </c>
    </row>
    <row r="965" spans="1:4" x14ac:dyDescent="0.2">
      <c r="A965" s="574">
        <v>43436</v>
      </c>
      <c r="B965" s="574" t="s">
        <v>13512</v>
      </c>
      <c r="C965" s="574" t="s">
        <v>5555</v>
      </c>
      <c r="D965" s="582">
        <v>194.11</v>
      </c>
    </row>
    <row r="966" spans="1:4" x14ac:dyDescent="0.2">
      <c r="A966" s="574">
        <v>43437</v>
      </c>
      <c r="B966" s="574" t="s">
        <v>13513</v>
      </c>
      <c r="C966" s="574" t="s">
        <v>5555</v>
      </c>
      <c r="D966" s="582">
        <v>351.93</v>
      </c>
    </row>
    <row r="967" spans="1:4" x14ac:dyDescent="0.2">
      <c r="A967" s="574">
        <v>43438</v>
      </c>
      <c r="B967" s="574" t="s">
        <v>13514</v>
      </c>
      <c r="C967" s="574" t="s">
        <v>5555</v>
      </c>
      <c r="D967" s="582">
        <v>630.25</v>
      </c>
    </row>
    <row r="968" spans="1:4" x14ac:dyDescent="0.2">
      <c r="A968" s="574">
        <v>43429</v>
      </c>
      <c r="B968" s="574" t="s">
        <v>13515</v>
      </c>
      <c r="C968" s="574" t="s">
        <v>5555</v>
      </c>
      <c r="D968" s="582">
        <v>48.26</v>
      </c>
    </row>
    <row r="969" spans="1:4" x14ac:dyDescent="0.2">
      <c r="A969" s="574">
        <v>43430</v>
      </c>
      <c r="B969" s="574" t="s">
        <v>13516</v>
      </c>
      <c r="C969" s="574" t="s">
        <v>5555</v>
      </c>
      <c r="D969" s="582">
        <v>80.16</v>
      </c>
    </row>
    <row r="970" spans="1:4" x14ac:dyDescent="0.2">
      <c r="A970" s="574">
        <v>43431</v>
      </c>
      <c r="B970" s="574" t="s">
        <v>13517</v>
      </c>
      <c r="C970" s="574" t="s">
        <v>5555</v>
      </c>
      <c r="D970" s="582">
        <v>155.29</v>
      </c>
    </row>
    <row r="971" spans="1:4" x14ac:dyDescent="0.2">
      <c r="A971" s="574">
        <v>43432</v>
      </c>
      <c r="B971" s="574" t="s">
        <v>13518</v>
      </c>
      <c r="C971" s="574" t="s">
        <v>5555</v>
      </c>
      <c r="D971" s="582">
        <v>322.68</v>
      </c>
    </row>
    <row r="972" spans="1:4" x14ac:dyDescent="0.2">
      <c r="A972" s="574">
        <v>43433</v>
      </c>
      <c r="B972" s="574" t="s">
        <v>13519</v>
      </c>
      <c r="C972" s="574" t="s">
        <v>5555</v>
      </c>
      <c r="D972" s="582">
        <v>508.73</v>
      </c>
    </row>
    <row r="973" spans="1:4" x14ac:dyDescent="0.2">
      <c r="A973" s="574">
        <v>43094</v>
      </c>
      <c r="B973" s="574" t="s">
        <v>13520</v>
      </c>
      <c r="C973" s="574" t="s">
        <v>5555</v>
      </c>
      <c r="D973" s="582">
        <v>170.11</v>
      </c>
    </row>
    <row r="974" spans="1:4" x14ac:dyDescent="0.2">
      <c r="A974" s="574">
        <v>43093</v>
      </c>
      <c r="B974" s="574" t="s">
        <v>13521</v>
      </c>
      <c r="C974" s="574" t="s">
        <v>5555</v>
      </c>
      <c r="D974" s="582">
        <v>180.77</v>
      </c>
    </row>
    <row r="975" spans="1:4" x14ac:dyDescent="0.2">
      <c r="A975" s="574">
        <v>1030</v>
      </c>
      <c r="B975" s="574" t="s">
        <v>6488</v>
      </c>
      <c r="C975" s="574" t="s">
        <v>5555</v>
      </c>
      <c r="D975" s="582">
        <v>32</v>
      </c>
    </row>
    <row r="976" spans="1:4" x14ac:dyDescent="0.2">
      <c r="A976" s="574">
        <v>11694</v>
      </c>
      <c r="B976" s="574" t="s">
        <v>6489</v>
      </c>
      <c r="C976" s="574" t="s">
        <v>5555</v>
      </c>
      <c r="D976" s="582">
        <v>707.36</v>
      </c>
    </row>
    <row r="977" spans="1:4" x14ac:dyDescent="0.2">
      <c r="A977" s="574">
        <v>11881</v>
      </c>
      <c r="B977" s="574" t="s">
        <v>13522</v>
      </c>
      <c r="C977" s="574" t="s">
        <v>5555</v>
      </c>
      <c r="D977" s="582">
        <v>85.71</v>
      </c>
    </row>
    <row r="978" spans="1:4" x14ac:dyDescent="0.2">
      <c r="A978" s="574">
        <v>35277</v>
      </c>
      <c r="B978" s="574" t="s">
        <v>6490</v>
      </c>
      <c r="C978" s="574" t="s">
        <v>5555</v>
      </c>
      <c r="D978" s="582">
        <v>349.41</v>
      </c>
    </row>
    <row r="979" spans="1:4" x14ac:dyDescent="0.2">
      <c r="A979" s="574">
        <v>10521</v>
      </c>
      <c r="B979" s="574" t="s">
        <v>6491</v>
      </c>
      <c r="C979" s="574" t="s">
        <v>5555</v>
      </c>
      <c r="D979" s="582">
        <v>148.9</v>
      </c>
    </row>
    <row r="980" spans="1:4" x14ac:dyDescent="0.2">
      <c r="A980" s="574">
        <v>10885</v>
      </c>
      <c r="B980" s="574" t="s">
        <v>6492</v>
      </c>
      <c r="C980" s="574" t="s">
        <v>5555</v>
      </c>
      <c r="D980" s="582">
        <v>188.35</v>
      </c>
    </row>
    <row r="981" spans="1:4" x14ac:dyDescent="0.2">
      <c r="A981" s="574">
        <v>20962</v>
      </c>
      <c r="B981" s="574" t="s">
        <v>6493</v>
      </c>
      <c r="C981" s="574" t="s">
        <v>5555</v>
      </c>
      <c r="D981" s="582">
        <v>156</v>
      </c>
    </row>
    <row r="982" spans="1:4" x14ac:dyDescent="0.2">
      <c r="A982" s="574">
        <v>20963</v>
      </c>
      <c r="B982" s="574" t="s">
        <v>6494</v>
      </c>
      <c r="C982" s="574" t="s">
        <v>5555</v>
      </c>
      <c r="D982" s="582">
        <v>190.56</v>
      </c>
    </row>
    <row r="983" spans="1:4" x14ac:dyDescent="0.2">
      <c r="A983" s="574">
        <v>41627</v>
      </c>
      <c r="B983" s="574" t="s">
        <v>13523</v>
      </c>
      <c r="C983" s="574" t="s">
        <v>5555</v>
      </c>
      <c r="D983" s="582">
        <v>93.27</v>
      </c>
    </row>
    <row r="984" spans="1:4" x14ac:dyDescent="0.2">
      <c r="A984" s="574">
        <v>41628</v>
      </c>
      <c r="B984" s="574" t="s">
        <v>13524</v>
      </c>
      <c r="C984" s="574" t="s">
        <v>5555</v>
      </c>
      <c r="D984" s="582">
        <v>171.42</v>
      </c>
    </row>
    <row r="985" spans="1:4" x14ac:dyDescent="0.2">
      <c r="A985" s="574">
        <v>41629</v>
      </c>
      <c r="B985" s="574" t="s">
        <v>13525</v>
      </c>
      <c r="C985" s="574" t="s">
        <v>5555</v>
      </c>
      <c r="D985" s="582">
        <v>217.81</v>
      </c>
    </row>
    <row r="986" spans="1:4" x14ac:dyDescent="0.2">
      <c r="A986" s="574">
        <v>2555</v>
      </c>
      <c r="B986" s="574" t="s">
        <v>6495</v>
      </c>
      <c r="C986" s="574" t="s">
        <v>5555</v>
      </c>
      <c r="D986" s="582">
        <v>1.05</v>
      </c>
    </row>
    <row r="987" spans="1:4" x14ac:dyDescent="0.2">
      <c r="A987" s="574">
        <v>2556</v>
      </c>
      <c r="B987" s="574" t="s">
        <v>6496</v>
      </c>
      <c r="C987" s="574" t="s">
        <v>5555</v>
      </c>
      <c r="D987" s="582">
        <v>1.0900000000000001</v>
      </c>
    </row>
    <row r="988" spans="1:4" x14ac:dyDescent="0.2">
      <c r="A988" s="574">
        <v>2557</v>
      </c>
      <c r="B988" s="574" t="s">
        <v>6497</v>
      </c>
      <c r="C988" s="574" t="s">
        <v>5555</v>
      </c>
      <c r="D988" s="582">
        <v>2.2999999999999998</v>
      </c>
    </row>
    <row r="989" spans="1:4" x14ac:dyDescent="0.2">
      <c r="A989" s="574">
        <v>10569</v>
      </c>
      <c r="B989" s="574" t="s">
        <v>13526</v>
      </c>
      <c r="C989" s="574" t="s">
        <v>5555</v>
      </c>
      <c r="D989" s="582">
        <v>2.2999999999999998</v>
      </c>
    </row>
    <row r="990" spans="1:4" x14ac:dyDescent="0.2">
      <c r="A990" s="574">
        <v>39810</v>
      </c>
      <c r="B990" s="574" t="s">
        <v>13527</v>
      </c>
      <c r="C990" s="574" t="s">
        <v>5555</v>
      </c>
      <c r="D990" s="582">
        <v>22.95</v>
      </c>
    </row>
    <row r="991" spans="1:4" x14ac:dyDescent="0.2">
      <c r="A991" s="574">
        <v>39811</v>
      </c>
      <c r="B991" s="574" t="s">
        <v>13528</v>
      </c>
      <c r="C991" s="574" t="s">
        <v>5555</v>
      </c>
      <c r="D991" s="582">
        <v>28.08</v>
      </c>
    </row>
    <row r="992" spans="1:4" x14ac:dyDescent="0.2">
      <c r="A992" s="574">
        <v>39812</v>
      </c>
      <c r="B992" s="574" t="s">
        <v>13529</v>
      </c>
      <c r="C992" s="574" t="s">
        <v>5555</v>
      </c>
      <c r="D992" s="582">
        <v>46.17</v>
      </c>
    </row>
    <row r="993" spans="1:4" x14ac:dyDescent="0.2">
      <c r="A993" s="574">
        <v>43096</v>
      </c>
      <c r="B993" s="574" t="s">
        <v>13530</v>
      </c>
      <c r="C993" s="574" t="s">
        <v>5555</v>
      </c>
      <c r="D993" s="582">
        <v>153.04</v>
      </c>
    </row>
    <row r="994" spans="1:4" x14ac:dyDescent="0.2">
      <c r="A994" s="574">
        <v>43102</v>
      </c>
      <c r="B994" s="574" t="s">
        <v>13531</v>
      </c>
      <c r="C994" s="574" t="s">
        <v>5555</v>
      </c>
      <c r="D994" s="582">
        <v>93.06</v>
      </c>
    </row>
    <row r="995" spans="1:4" x14ac:dyDescent="0.2">
      <c r="A995" s="574">
        <v>43103</v>
      </c>
      <c r="B995" s="574" t="s">
        <v>13532</v>
      </c>
      <c r="C995" s="574" t="s">
        <v>5555</v>
      </c>
      <c r="D995" s="582">
        <v>137.03</v>
      </c>
    </row>
    <row r="996" spans="1:4" x14ac:dyDescent="0.2">
      <c r="A996" s="574">
        <v>43098</v>
      </c>
      <c r="B996" s="574" t="s">
        <v>13533</v>
      </c>
      <c r="C996" s="574" t="s">
        <v>5555</v>
      </c>
      <c r="D996" s="582">
        <v>51.84</v>
      </c>
    </row>
    <row r="997" spans="1:4" x14ac:dyDescent="0.2">
      <c r="A997" s="574">
        <v>43097</v>
      </c>
      <c r="B997" s="574" t="s">
        <v>13534</v>
      </c>
      <c r="C997" s="574" t="s">
        <v>5555</v>
      </c>
      <c r="D997" s="582">
        <v>30.71</v>
      </c>
    </row>
    <row r="998" spans="1:4" x14ac:dyDescent="0.2">
      <c r="A998" s="574">
        <v>43104</v>
      </c>
      <c r="B998" s="574" t="s">
        <v>13535</v>
      </c>
      <c r="C998" s="574" t="s">
        <v>5555</v>
      </c>
      <c r="D998" s="582">
        <v>363.31</v>
      </c>
    </row>
    <row r="999" spans="1:4" x14ac:dyDescent="0.2">
      <c r="A999" s="574">
        <v>39771</v>
      </c>
      <c r="B999" s="574" t="s">
        <v>6502</v>
      </c>
      <c r="C999" s="574" t="s">
        <v>5555</v>
      </c>
      <c r="D999" s="582">
        <v>22.14</v>
      </c>
    </row>
    <row r="1000" spans="1:4" x14ac:dyDescent="0.2">
      <c r="A1000" s="574">
        <v>39772</v>
      </c>
      <c r="B1000" s="574" t="s">
        <v>6504</v>
      </c>
      <c r="C1000" s="574" t="s">
        <v>5555</v>
      </c>
      <c r="D1000" s="582">
        <v>43.53</v>
      </c>
    </row>
    <row r="1001" spans="1:4" x14ac:dyDescent="0.2">
      <c r="A1001" s="574">
        <v>39773</v>
      </c>
      <c r="B1001" s="574" t="s">
        <v>6506</v>
      </c>
      <c r="C1001" s="574" t="s">
        <v>5555</v>
      </c>
      <c r="D1001" s="582">
        <v>69.959999999999994</v>
      </c>
    </row>
    <row r="1002" spans="1:4" x14ac:dyDescent="0.2">
      <c r="A1002" s="574">
        <v>39774</v>
      </c>
      <c r="B1002" s="574" t="s">
        <v>6507</v>
      </c>
      <c r="C1002" s="574" t="s">
        <v>5555</v>
      </c>
      <c r="D1002" s="582">
        <v>104.65</v>
      </c>
    </row>
    <row r="1003" spans="1:4" x14ac:dyDescent="0.2">
      <c r="A1003" s="574">
        <v>39775</v>
      </c>
      <c r="B1003" s="574" t="s">
        <v>6508</v>
      </c>
      <c r="C1003" s="574" t="s">
        <v>5555</v>
      </c>
      <c r="D1003" s="582">
        <v>139.66999999999999</v>
      </c>
    </row>
    <row r="1004" spans="1:4" x14ac:dyDescent="0.2">
      <c r="A1004" s="574">
        <v>39776</v>
      </c>
      <c r="B1004" s="574" t="s">
        <v>6509</v>
      </c>
      <c r="C1004" s="574" t="s">
        <v>5555</v>
      </c>
      <c r="D1004" s="582">
        <v>168.79</v>
      </c>
    </row>
    <row r="1005" spans="1:4" x14ac:dyDescent="0.2">
      <c r="A1005" s="574">
        <v>39777</v>
      </c>
      <c r="B1005" s="574" t="s">
        <v>6510</v>
      </c>
      <c r="C1005" s="574" t="s">
        <v>5555</v>
      </c>
      <c r="D1005" s="582">
        <v>213.94</v>
      </c>
    </row>
    <row r="1006" spans="1:4" x14ac:dyDescent="0.2">
      <c r="A1006" s="574">
        <v>20254</v>
      </c>
      <c r="B1006" s="574" t="s">
        <v>13536</v>
      </c>
      <c r="C1006" s="574" t="s">
        <v>5555</v>
      </c>
      <c r="D1006" s="582">
        <v>15.53</v>
      </c>
    </row>
    <row r="1007" spans="1:4" x14ac:dyDescent="0.2">
      <c r="A1007" s="574">
        <v>20253</v>
      </c>
      <c r="B1007" s="574" t="s">
        <v>13537</v>
      </c>
      <c r="C1007" s="574" t="s">
        <v>5555</v>
      </c>
      <c r="D1007" s="582">
        <v>50.99</v>
      </c>
    </row>
    <row r="1008" spans="1:4" x14ac:dyDescent="0.2">
      <c r="A1008" s="574">
        <v>11247</v>
      </c>
      <c r="B1008" s="574" t="s">
        <v>13538</v>
      </c>
      <c r="C1008" s="574" t="s">
        <v>5555</v>
      </c>
      <c r="D1008" s="582">
        <v>980.49</v>
      </c>
    </row>
    <row r="1009" spans="1:4" x14ac:dyDescent="0.2">
      <c r="A1009" s="574">
        <v>11250</v>
      </c>
      <c r="B1009" s="574" t="s">
        <v>13539</v>
      </c>
      <c r="C1009" s="574" t="s">
        <v>5555</v>
      </c>
      <c r="D1009" s="582">
        <v>42.21</v>
      </c>
    </row>
    <row r="1010" spans="1:4" x14ac:dyDescent="0.2">
      <c r="A1010" s="574">
        <v>11249</v>
      </c>
      <c r="B1010" s="574" t="s">
        <v>13540</v>
      </c>
      <c r="C1010" s="574" t="s">
        <v>5555</v>
      </c>
      <c r="D1010" s="583">
        <v>1915.25</v>
      </c>
    </row>
    <row r="1011" spans="1:4" x14ac:dyDescent="0.2">
      <c r="A1011" s="574">
        <v>11251</v>
      </c>
      <c r="B1011" s="574" t="s">
        <v>13541</v>
      </c>
      <c r="C1011" s="574" t="s">
        <v>5555</v>
      </c>
      <c r="D1011" s="582">
        <v>93.5</v>
      </c>
    </row>
    <row r="1012" spans="1:4" x14ac:dyDescent="0.2">
      <c r="A1012" s="574">
        <v>11253</v>
      </c>
      <c r="B1012" s="574" t="s">
        <v>13542</v>
      </c>
      <c r="C1012" s="574" t="s">
        <v>5555</v>
      </c>
      <c r="D1012" s="582">
        <v>154.94</v>
      </c>
    </row>
    <row r="1013" spans="1:4" x14ac:dyDescent="0.2">
      <c r="A1013" s="574">
        <v>11255</v>
      </c>
      <c r="B1013" s="574" t="s">
        <v>13543</v>
      </c>
      <c r="C1013" s="574" t="s">
        <v>5555</v>
      </c>
      <c r="D1013" s="582">
        <v>231.63</v>
      </c>
    </row>
    <row r="1014" spans="1:4" x14ac:dyDescent="0.2">
      <c r="A1014" s="574">
        <v>14055</v>
      </c>
      <c r="B1014" s="574" t="s">
        <v>13544</v>
      </c>
      <c r="C1014" s="574" t="s">
        <v>5555</v>
      </c>
      <c r="D1014" s="582">
        <v>465.97</v>
      </c>
    </row>
    <row r="1015" spans="1:4" x14ac:dyDescent="0.2">
      <c r="A1015" s="574">
        <v>11256</v>
      </c>
      <c r="B1015" s="574" t="s">
        <v>13545</v>
      </c>
      <c r="C1015" s="574" t="s">
        <v>5555</v>
      </c>
      <c r="D1015" s="582">
        <v>290.14</v>
      </c>
    </row>
    <row r="1016" spans="1:4" x14ac:dyDescent="0.2">
      <c r="A1016" s="574">
        <v>1872</v>
      </c>
      <c r="B1016" s="574" t="s">
        <v>6526</v>
      </c>
      <c r="C1016" s="574" t="s">
        <v>5555</v>
      </c>
      <c r="D1016" s="582">
        <v>1.57</v>
      </c>
    </row>
    <row r="1017" spans="1:4" x14ac:dyDescent="0.2">
      <c r="A1017" s="574">
        <v>1873</v>
      </c>
      <c r="B1017" s="574" t="s">
        <v>6527</v>
      </c>
      <c r="C1017" s="574" t="s">
        <v>5555</v>
      </c>
      <c r="D1017" s="582">
        <v>3.13</v>
      </c>
    </row>
    <row r="1018" spans="1:4" x14ac:dyDescent="0.2">
      <c r="A1018" s="574">
        <v>39693</v>
      </c>
      <c r="B1018" s="574" t="s">
        <v>6528</v>
      </c>
      <c r="C1018" s="574" t="s">
        <v>5555</v>
      </c>
      <c r="D1018" s="583">
        <v>1822.25</v>
      </c>
    </row>
    <row r="1019" spans="1:4" x14ac:dyDescent="0.2">
      <c r="A1019" s="574">
        <v>39692</v>
      </c>
      <c r="B1019" s="574" t="s">
        <v>6529</v>
      </c>
      <c r="C1019" s="574" t="s">
        <v>5555</v>
      </c>
      <c r="D1019" s="582">
        <v>583.08000000000004</v>
      </c>
    </row>
    <row r="1020" spans="1:4" x14ac:dyDescent="0.2">
      <c r="A1020" s="574">
        <v>34643</v>
      </c>
      <c r="B1020" s="574" t="s">
        <v>6538</v>
      </c>
      <c r="C1020" s="574" t="s">
        <v>5555</v>
      </c>
      <c r="D1020" s="582">
        <v>11.31</v>
      </c>
    </row>
    <row r="1021" spans="1:4" x14ac:dyDescent="0.2">
      <c r="A1021" s="574">
        <v>1062</v>
      </c>
      <c r="B1021" s="574" t="s">
        <v>13546</v>
      </c>
      <c r="C1021" s="574" t="s">
        <v>5555</v>
      </c>
      <c r="D1021" s="582">
        <v>184.79</v>
      </c>
    </row>
    <row r="1022" spans="1:4" x14ac:dyDescent="0.2">
      <c r="A1022" s="574">
        <v>39686</v>
      </c>
      <c r="B1022" s="574" t="s">
        <v>13547</v>
      </c>
      <c r="C1022" s="574" t="s">
        <v>5555</v>
      </c>
      <c r="D1022" s="582">
        <v>299.20999999999998</v>
      </c>
    </row>
    <row r="1023" spans="1:4" x14ac:dyDescent="0.2">
      <c r="A1023" s="574">
        <v>43095</v>
      </c>
      <c r="B1023" s="574" t="s">
        <v>13548</v>
      </c>
      <c r="C1023" s="574" t="s">
        <v>5555</v>
      </c>
      <c r="D1023" s="582">
        <v>100.85</v>
      </c>
    </row>
    <row r="1024" spans="1:4" x14ac:dyDescent="0.2">
      <c r="A1024" s="574">
        <v>1871</v>
      </c>
      <c r="B1024" s="574" t="s">
        <v>6544</v>
      </c>
      <c r="C1024" s="574" t="s">
        <v>5555</v>
      </c>
      <c r="D1024" s="582">
        <v>2.81</v>
      </c>
    </row>
    <row r="1025" spans="1:4" x14ac:dyDescent="0.2">
      <c r="A1025" s="574">
        <v>12001</v>
      </c>
      <c r="B1025" s="574" t="s">
        <v>6545</v>
      </c>
      <c r="C1025" s="574" t="s">
        <v>5555</v>
      </c>
      <c r="D1025" s="582">
        <v>4.0599999999999996</v>
      </c>
    </row>
    <row r="1026" spans="1:4" x14ac:dyDescent="0.2">
      <c r="A1026" s="574">
        <v>11882</v>
      </c>
      <c r="B1026" s="574" t="s">
        <v>13549</v>
      </c>
      <c r="C1026" s="574" t="s">
        <v>5555</v>
      </c>
      <c r="D1026" s="582">
        <v>61.51</v>
      </c>
    </row>
    <row r="1027" spans="1:4" x14ac:dyDescent="0.2">
      <c r="A1027" s="574">
        <v>1068</v>
      </c>
      <c r="B1027" s="574" t="s">
        <v>13550</v>
      </c>
      <c r="C1027" s="574" t="s">
        <v>5555</v>
      </c>
      <c r="D1027" s="583">
        <v>1218.8599999999999</v>
      </c>
    </row>
    <row r="1028" spans="1:4" x14ac:dyDescent="0.2">
      <c r="A1028" s="574">
        <v>39690</v>
      </c>
      <c r="B1028" s="574" t="s">
        <v>13551</v>
      </c>
      <c r="C1028" s="574" t="s">
        <v>5555</v>
      </c>
      <c r="D1028" s="583">
        <v>2044.85</v>
      </c>
    </row>
    <row r="1029" spans="1:4" x14ac:dyDescent="0.2">
      <c r="A1029" s="574">
        <v>39691</v>
      </c>
      <c r="B1029" s="574" t="s">
        <v>13552</v>
      </c>
      <c r="C1029" s="574" t="s">
        <v>5555</v>
      </c>
      <c r="D1029" s="583">
        <v>2571.85</v>
      </c>
    </row>
    <row r="1030" spans="1:4" x14ac:dyDescent="0.2">
      <c r="A1030" s="574">
        <v>39808</v>
      </c>
      <c r="B1030" s="574" t="s">
        <v>13553</v>
      </c>
      <c r="C1030" s="574" t="s">
        <v>5555</v>
      </c>
      <c r="D1030" s="582">
        <v>52.65</v>
      </c>
    </row>
    <row r="1031" spans="1:4" x14ac:dyDescent="0.2">
      <c r="A1031" s="574">
        <v>39809</v>
      </c>
      <c r="B1031" s="574" t="s">
        <v>13554</v>
      </c>
      <c r="C1031" s="574" t="s">
        <v>5555</v>
      </c>
      <c r="D1031" s="582">
        <v>124.88</v>
      </c>
    </row>
    <row r="1032" spans="1:4" x14ac:dyDescent="0.2">
      <c r="A1032" s="574">
        <v>43439</v>
      </c>
      <c r="B1032" s="574" t="s">
        <v>13555</v>
      </c>
      <c r="C1032" s="574" t="s">
        <v>5555</v>
      </c>
      <c r="D1032" s="582">
        <v>282.35000000000002</v>
      </c>
    </row>
    <row r="1033" spans="1:4" x14ac:dyDescent="0.2">
      <c r="A1033" s="574">
        <v>11713</v>
      </c>
      <c r="B1033" s="574" t="s">
        <v>6554</v>
      </c>
      <c r="C1033" s="574" t="s">
        <v>5555</v>
      </c>
      <c r="D1033" s="582">
        <v>24.54</v>
      </c>
    </row>
    <row r="1034" spans="1:4" x14ac:dyDescent="0.2">
      <c r="A1034" s="574">
        <v>11716</v>
      </c>
      <c r="B1034" s="574" t="s">
        <v>6555</v>
      </c>
      <c r="C1034" s="574" t="s">
        <v>5555</v>
      </c>
      <c r="D1034" s="582">
        <v>10.48</v>
      </c>
    </row>
    <row r="1035" spans="1:4" x14ac:dyDescent="0.2">
      <c r="A1035" s="574">
        <v>5103</v>
      </c>
      <c r="B1035" s="574" t="s">
        <v>6556</v>
      </c>
      <c r="C1035" s="574" t="s">
        <v>5555</v>
      </c>
      <c r="D1035" s="582">
        <v>10.63</v>
      </c>
    </row>
    <row r="1036" spans="1:4" x14ac:dyDescent="0.2">
      <c r="A1036" s="574">
        <v>11712</v>
      </c>
      <c r="B1036" s="574" t="s">
        <v>6557</v>
      </c>
      <c r="C1036" s="574" t="s">
        <v>5555</v>
      </c>
      <c r="D1036" s="582">
        <v>24.75</v>
      </c>
    </row>
    <row r="1037" spans="1:4" x14ac:dyDescent="0.2">
      <c r="A1037" s="574">
        <v>11717</v>
      </c>
      <c r="B1037" s="574" t="s">
        <v>6558</v>
      </c>
      <c r="C1037" s="574" t="s">
        <v>5555</v>
      </c>
      <c r="D1037" s="582">
        <v>26.89</v>
      </c>
    </row>
    <row r="1038" spans="1:4" x14ac:dyDescent="0.2">
      <c r="A1038" s="574">
        <v>11714</v>
      </c>
      <c r="B1038" s="574" t="s">
        <v>6559</v>
      </c>
      <c r="C1038" s="574" t="s">
        <v>5555</v>
      </c>
      <c r="D1038" s="582">
        <v>33.46</v>
      </c>
    </row>
    <row r="1039" spans="1:4" x14ac:dyDescent="0.2">
      <c r="A1039" s="574">
        <v>11715</v>
      </c>
      <c r="B1039" s="574" t="s">
        <v>6560</v>
      </c>
      <c r="C1039" s="574" t="s">
        <v>5555</v>
      </c>
      <c r="D1039" s="582">
        <v>38.5</v>
      </c>
    </row>
    <row r="1040" spans="1:4" x14ac:dyDescent="0.2">
      <c r="A1040" s="574">
        <v>11880</v>
      </c>
      <c r="B1040" s="574" t="s">
        <v>6561</v>
      </c>
      <c r="C1040" s="574" t="s">
        <v>5555</v>
      </c>
      <c r="D1040" s="582">
        <v>69.2</v>
      </c>
    </row>
    <row r="1041" spans="1:4" x14ac:dyDescent="0.2">
      <c r="A1041" s="574">
        <v>1106</v>
      </c>
      <c r="B1041" s="574" t="s">
        <v>6562</v>
      </c>
      <c r="C1041" s="574" t="s">
        <v>5626</v>
      </c>
      <c r="D1041" s="582">
        <v>0.85</v>
      </c>
    </row>
    <row r="1042" spans="1:4" x14ac:dyDescent="0.2">
      <c r="A1042" s="574">
        <v>11161</v>
      </c>
      <c r="B1042" s="574" t="s">
        <v>6563</v>
      </c>
      <c r="C1042" s="574" t="s">
        <v>5626</v>
      </c>
      <c r="D1042" s="582">
        <v>1.42</v>
      </c>
    </row>
    <row r="1043" spans="1:4" x14ac:dyDescent="0.2">
      <c r="A1043" s="574">
        <v>1107</v>
      </c>
      <c r="B1043" s="574" t="s">
        <v>6564</v>
      </c>
      <c r="C1043" s="574" t="s">
        <v>5626</v>
      </c>
      <c r="D1043" s="582">
        <v>0.72</v>
      </c>
    </row>
    <row r="1044" spans="1:4" x14ac:dyDescent="0.2">
      <c r="A1044" s="574">
        <v>4758</v>
      </c>
      <c r="B1044" s="574" t="s">
        <v>6565</v>
      </c>
      <c r="C1044" s="574" t="s">
        <v>5566</v>
      </c>
      <c r="D1044" s="582">
        <v>18.78</v>
      </c>
    </row>
    <row r="1045" spans="1:4" x14ac:dyDescent="0.2">
      <c r="A1045" s="574">
        <v>41080</v>
      </c>
      <c r="B1045" s="574" t="s">
        <v>6566</v>
      </c>
      <c r="C1045" s="574" t="s">
        <v>5755</v>
      </c>
      <c r="D1045" s="583">
        <v>3285.11</v>
      </c>
    </row>
    <row r="1046" spans="1:4" x14ac:dyDescent="0.2">
      <c r="A1046" s="574">
        <v>25963</v>
      </c>
      <c r="B1046" s="574" t="s">
        <v>6567</v>
      </c>
      <c r="C1046" s="574" t="s">
        <v>5626</v>
      </c>
      <c r="D1046" s="582">
        <v>0.12</v>
      </c>
    </row>
    <row r="1047" spans="1:4" x14ac:dyDescent="0.2">
      <c r="A1047" s="574">
        <v>4759</v>
      </c>
      <c r="B1047" s="574" t="s">
        <v>6568</v>
      </c>
      <c r="C1047" s="574" t="s">
        <v>5566</v>
      </c>
      <c r="D1047" s="582">
        <v>15.77</v>
      </c>
    </row>
    <row r="1048" spans="1:4" x14ac:dyDescent="0.2">
      <c r="A1048" s="574">
        <v>41068</v>
      </c>
      <c r="B1048" s="574" t="s">
        <v>6569</v>
      </c>
      <c r="C1048" s="574" t="s">
        <v>5755</v>
      </c>
      <c r="D1048" s="583">
        <v>2760.26</v>
      </c>
    </row>
    <row r="1049" spans="1:4" x14ac:dyDescent="0.2">
      <c r="A1049" s="574">
        <v>1108</v>
      </c>
      <c r="B1049" s="574" t="s">
        <v>6570</v>
      </c>
      <c r="C1049" s="574" t="s">
        <v>5575</v>
      </c>
      <c r="D1049" s="582">
        <v>19.87</v>
      </c>
    </row>
    <row r="1050" spans="1:4" x14ac:dyDescent="0.2">
      <c r="A1050" s="574">
        <v>1117</v>
      </c>
      <c r="B1050" s="574" t="s">
        <v>6571</v>
      </c>
      <c r="C1050" s="574" t="s">
        <v>5575</v>
      </c>
      <c r="D1050" s="582">
        <v>20.03</v>
      </c>
    </row>
    <row r="1051" spans="1:4" x14ac:dyDescent="0.2">
      <c r="A1051" s="574">
        <v>1118</v>
      </c>
      <c r="B1051" s="574" t="s">
        <v>6572</v>
      </c>
      <c r="C1051" s="574" t="s">
        <v>5575</v>
      </c>
      <c r="D1051" s="582">
        <v>23.67</v>
      </c>
    </row>
    <row r="1052" spans="1:4" x14ac:dyDescent="0.2">
      <c r="A1052" s="574">
        <v>1110</v>
      </c>
      <c r="B1052" s="574" t="s">
        <v>6573</v>
      </c>
      <c r="C1052" s="574" t="s">
        <v>5575</v>
      </c>
      <c r="D1052" s="582">
        <v>23.67</v>
      </c>
    </row>
    <row r="1053" spans="1:4" x14ac:dyDescent="0.2">
      <c r="A1053" s="574">
        <v>12618</v>
      </c>
      <c r="B1053" s="574" t="s">
        <v>6574</v>
      </c>
      <c r="C1053" s="574" t="s">
        <v>5555</v>
      </c>
      <c r="D1053" s="582">
        <v>36.79</v>
      </c>
    </row>
    <row r="1054" spans="1:4" x14ac:dyDescent="0.2">
      <c r="A1054" s="574">
        <v>40784</v>
      </c>
      <c r="B1054" s="574" t="s">
        <v>13556</v>
      </c>
      <c r="C1054" s="574" t="s">
        <v>5575</v>
      </c>
      <c r="D1054" s="582">
        <v>65.3</v>
      </c>
    </row>
    <row r="1055" spans="1:4" x14ac:dyDescent="0.2">
      <c r="A1055" s="574">
        <v>40782</v>
      </c>
      <c r="B1055" s="574" t="s">
        <v>13557</v>
      </c>
      <c r="C1055" s="574" t="s">
        <v>5575</v>
      </c>
      <c r="D1055" s="582">
        <v>25.63</v>
      </c>
    </row>
    <row r="1056" spans="1:4" x14ac:dyDescent="0.2">
      <c r="A1056" s="574">
        <v>40783</v>
      </c>
      <c r="B1056" s="574" t="s">
        <v>13558</v>
      </c>
      <c r="C1056" s="574" t="s">
        <v>5575</v>
      </c>
      <c r="D1056" s="582">
        <v>33.380000000000003</v>
      </c>
    </row>
    <row r="1057" spans="1:4" x14ac:dyDescent="0.2">
      <c r="A1057" s="574">
        <v>1109</v>
      </c>
      <c r="B1057" s="574" t="s">
        <v>6578</v>
      </c>
      <c r="C1057" s="574" t="s">
        <v>5575</v>
      </c>
      <c r="D1057" s="582">
        <v>19.87</v>
      </c>
    </row>
    <row r="1058" spans="1:4" x14ac:dyDescent="0.2">
      <c r="A1058" s="574">
        <v>1119</v>
      </c>
      <c r="B1058" s="574" t="s">
        <v>6579</v>
      </c>
      <c r="C1058" s="574" t="s">
        <v>5575</v>
      </c>
      <c r="D1058" s="582">
        <v>12.81</v>
      </c>
    </row>
    <row r="1059" spans="1:4" x14ac:dyDescent="0.2">
      <c r="A1059" s="574">
        <v>13115</v>
      </c>
      <c r="B1059" s="574" t="s">
        <v>13559</v>
      </c>
      <c r="C1059" s="574" t="s">
        <v>5575</v>
      </c>
      <c r="D1059" s="582">
        <v>16.54</v>
      </c>
    </row>
    <row r="1060" spans="1:4" x14ac:dyDescent="0.2">
      <c r="A1060" s="574">
        <v>10541</v>
      </c>
      <c r="B1060" s="574" t="s">
        <v>13560</v>
      </c>
      <c r="C1060" s="574" t="s">
        <v>5575</v>
      </c>
      <c r="D1060" s="582">
        <v>20.21</v>
      </c>
    </row>
    <row r="1061" spans="1:4" x14ac:dyDescent="0.2">
      <c r="A1061" s="574">
        <v>10542</v>
      </c>
      <c r="B1061" s="574" t="s">
        <v>13561</v>
      </c>
      <c r="C1061" s="574" t="s">
        <v>5575</v>
      </c>
      <c r="D1061" s="582">
        <v>26.43</v>
      </c>
    </row>
    <row r="1062" spans="1:4" x14ac:dyDescent="0.2">
      <c r="A1062" s="574">
        <v>10543</v>
      </c>
      <c r="B1062" s="574" t="s">
        <v>13562</v>
      </c>
      <c r="C1062" s="574" t="s">
        <v>5575</v>
      </c>
      <c r="D1062" s="582">
        <v>42.88</v>
      </c>
    </row>
    <row r="1063" spans="1:4" x14ac:dyDescent="0.2">
      <c r="A1063" s="574">
        <v>10544</v>
      </c>
      <c r="B1063" s="574" t="s">
        <v>13563</v>
      </c>
      <c r="C1063" s="574" t="s">
        <v>5575</v>
      </c>
      <c r="D1063" s="582">
        <v>55.46</v>
      </c>
    </row>
    <row r="1064" spans="1:4" x14ac:dyDescent="0.2">
      <c r="A1064" s="574">
        <v>10545</v>
      </c>
      <c r="B1064" s="574" t="s">
        <v>13564</v>
      </c>
      <c r="C1064" s="574" t="s">
        <v>5575</v>
      </c>
      <c r="D1064" s="582">
        <v>103.65</v>
      </c>
    </row>
    <row r="1065" spans="1:4" x14ac:dyDescent="0.2">
      <c r="A1065" s="574">
        <v>38365</v>
      </c>
      <c r="B1065" s="574" t="s">
        <v>6586</v>
      </c>
      <c r="C1065" s="574" t="s">
        <v>5564</v>
      </c>
      <c r="D1065" s="582">
        <v>1.32</v>
      </c>
    </row>
    <row r="1066" spans="1:4" x14ac:dyDescent="0.2">
      <c r="A1066" s="574">
        <v>37745</v>
      </c>
      <c r="B1066" s="574" t="s">
        <v>6587</v>
      </c>
      <c r="C1066" s="574" t="s">
        <v>5555</v>
      </c>
      <c r="D1066" s="583">
        <v>257465</v>
      </c>
    </row>
    <row r="1067" spans="1:4" x14ac:dyDescent="0.2">
      <c r="A1067" s="574">
        <v>37754</v>
      </c>
      <c r="B1067" s="574" t="s">
        <v>6588</v>
      </c>
      <c r="C1067" s="574" t="s">
        <v>5555</v>
      </c>
      <c r="D1067" s="583">
        <v>268871.67</v>
      </c>
    </row>
    <row r="1068" spans="1:4" x14ac:dyDescent="0.2">
      <c r="A1068" s="574">
        <v>37748</v>
      </c>
      <c r="B1068" s="574" t="s">
        <v>6589</v>
      </c>
      <c r="C1068" s="574" t="s">
        <v>5555</v>
      </c>
      <c r="D1068" s="583">
        <v>273719.51</v>
      </c>
    </row>
    <row r="1069" spans="1:4" x14ac:dyDescent="0.2">
      <c r="A1069" s="574">
        <v>37761</v>
      </c>
      <c r="B1069" s="574" t="s">
        <v>6590</v>
      </c>
      <c r="C1069" s="574" t="s">
        <v>5555</v>
      </c>
      <c r="D1069" s="583">
        <v>226504</v>
      </c>
    </row>
    <row r="1070" spans="1:4" x14ac:dyDescent="0.2">
      <c r="A1070" s="574">
        <v>37757</v>
      </c>
      <c r="B1070" s="574" t="s">
        <v>6591</v>
      </c>
      <c r="C1070" s="574" t="s">
        <v>5555</v>
      </c>
      <c r="D1070" s="583">
        <v>315313.13</v>
      </c>
    </row>
    <row r="1071" spans="1:4" x14ac:dyDescent="0.2">
      <c r="A1071" s="574">
        <v>37759</v>
      </c>
      <c r="B1071" s="574" t="s">
        <v>6592</v>
      </c>
      <c r="C1071" s="574" t="s">
        <v>5555</v>
      </c>
      <c r="D1071" s="583">
        <v>316535.28999999998</v>
      </c>
    </row>
    <row r="1072" spans="1:4" x14ac:dyDescent="0.2">
      <c r="A1072" s="574">
        <v>37766</v>
      </c>
      <c r="B1072" s="574" t="s">
        <v>6593</v>
      </c>
      <c r="C1072" s="574" t="s">
        <v>5555</v>
      </c>
      <c r="D1072" s="583">
        <v>316535.27</v>
      </c>
    </row>
    <row r="1073" spans="1:4" x14ac:dyDescent="0.2">
      <c r="A1073" s="574">
        <v>37752</v>
      </c>
      <c r="B1073" s="574" t="s">
        <v>6594</v>
      </c>
      <c r="C1073" s="574" t="s">
        <v>5555</v>
      </c>
      <c r="D1073" s="583">
        <v>287040.87</v>
      </c>
    </row>
    <row r="1074" spans="1:4" x14ac:dyDescent="0.2">
      <c r="A1074" s="574">
        <v>37760</v>
      </c>
      <c r="B1074" s="574" t="s">
        <v>6595</v>
      </c>
      <c r="C1074" s="574" t="s">
        <v>5555</v>
      </c>
      <c r="D1074" s="583">
        <v>302276.93</v>
      </c>
    </row>
    <row r="1075" spans="1:4" x14ac:dyDescent="0.2">
      <c r="A1075" s="574">
        <v>37765</v>
      </c>
      <c r="B1075" s="574" t="s">
        <v>6596</v>
      </c>
      <c r="C1075" s="574" t="s">
        <v>5555</v>
      </c>
      <c r="D1075" s="583">
        <v>211023.54</v>
      </c>
    </row>
    <row r="1076" spans="1:4" x14ac:dyDescent="0.2">
      <c r="A1076" s="574">
        <v>37746</v>
      </c>
      <c r="B1076" s="574" t="s">
        <v>6597</v>
      </c>
      <c r="C1076" s="574" t="s">
        <v>5555</v>
      </c>
      <c r="D1076" s="583">
        <v>231351.84</v>
      </c>
    </row>
    <row r="1077" spans="1:4" x14ac:dyDescent="0.2">
      <c r="A1077" s="574">
        <v>37750</v>
      </c>
      <c r="B1077" s="574" t="s">
        <v>6598</v>
      </c>
      <c r="C1077" s="574" t="s">
        <v>5555</v>
      </c>
      <c r="D1077" s="583">
        <v>230537.09</v>
      </c>
    </row>
    <row r="1078" spans="1:4" x14ac:dyDescent="0.2">
      <c r="A1078" s="574">
        <v>37753</v>
      </c>
      <c r="B1078" s="574" t="s">
        <v>6599</v>
      </c>
      <c r="C1078" s="574" t="s">
        <v>5555</v>
      </c>
      <c r="D1078" s="583">
        <v>229722.32</v>
      </c>
    </row>
    <row r="1079" spans="1:4" x14ac:dyDescent="0.2">
      <c r="A1079" s="574">
        <v>37756</v>
      </c>
      <c r="B1079" s="574" t="s">
        <v>6600</v>
      </c>
      <c r="C1079" s="574" t="s">
        <v>5555</v>
      </c>
      <c r="D1079" s="583">
        <v>226504</v>
      </c>
    </row>
    <row r="1080" spans="1:4" x14ac:dyDescent="0.2">
      <c r="A1080" s="574">
        <v>37755</v>
      </c>
      <c r="B1080" s="574" t="s">
        <v>6601</v>
      </c>
      <c r="C1080" s="574" t="s">
        <v>5555</v>
      </c>
      <c r="D1080" s="583">
        <v>329164.11</v>
      </c>
    </row>
    <row r="1081" spans="1:4" x14ac:dyDescent="0.2">
      <c r="A1081" s="574">
        <v>37758</v>
      </c>
      <c r="B1081" s="574" t="s">
        <v>6602</v>
      </c>
      <c r="C1081" s="574" t="s">
        <v>5555</v>
      </c>
      <c r="D1081" s="583">
        <v>371531.77</v>
      </c>
    </row>
    <row r="1082" spans="1:4" x14ac:dyDescent="0.2">
      <c r="A1082" s="574">
        <v>37747</v>
      </c>
      <c r="B1082" s="574" t="s">
        <v>6603</v>
      </c>
      <c r="C1082" s="574" t="s">
        <v>5555</v>
      </c>
      <c r="D1082" s="583">
        <v>334297.11</v>
      </c>
    </row>
    <row r="1083" spans="1:4" x14ac:dyDescent="0.2">
      <c r="A1083" s="574">
        <v>37767</v>
      </c>
      <c r="B1083" s="574" t="s">
        <v>6604</v>
      </c>
      <c r="C1083" s="574" t="s">
        <v>5555</v>
      </c>
      <c r="D1083" s="583">
        <v>352792.24</v>
      </c>
    </row>
    <row r="1084" spans="1:4" x14ac:dyDescent="0.2">
      <c r="A1084" s="574">
        <v>37751</v>
      </c>
      <c r="B1084" s="574" t="s">
        <v>6605</v>
      </c>
      <c r="C1084" s="574" t="s">
        <v>5555</v>
      </c>
      <c r="D1084" s="583">
        <v>352792.24</v>
      </c>
    </row>
    <row r="1085" spans="1:4" x14ac:dyDescent="0.2">
      <c r="A1085" s="574">
        <v>37749</v>
      </c>
      <c r="B1085" s="574" t="s">
        <v>6606</v>
      </c>
      <c r="C1085" s="574" t="s">
        <v>5555</v>
      </c>
      <c r="D1085" s="583">
        <v>348718.42</v>
      </c>
    </row>
    <row r="1086" spans="1:4" x14ac:dyDescent="0.2">
      <c r="A1086" s="574">
        <v>1159</v>
      </c>
      <c r="B1086" s="574" t="s">
        <v>6607</v>
      </c>
      <c r="C1086" s="574" t="s">
        <v>5555</v>
      </c>
      <c r="D1086" s="583">
        <v>164902</v>
      </c>
    </row>
    <row r="1087" spans="1:4" x14ac:dyDescent="0.2">
      <c r="A1087" s="574">
        <v>12114</v>
      </c>
      <c r="B1087" s="574" t="s">
        <v>6608</v>
      </c>
      <c r="C1087" s="574" t="s">
        <v>5555</v>
      </c>
      <c r="D1087" s="582">
        <v>117.97</v>
      </c>
    </row>
    <row r="1088" spans="1:4" x14ac:dyDescent="0.2">
      <c r="A1088" s="574">
        <v>38106</v>
      </c>
      <c r="B1088" s="574" t="s">
        <v>6609</v>
      </c>
      <c r="C1088" s="574" t="s">
        <v>5555</v>
      </c>
      <c r="D1088" s="582">
        <v>16.03</v>
      </c>
    </row>
    <row r="1089" spans="1:4" x14ac:dyDescent="0.2">
      <c r="A1089" s="574">
        <v>38085</v>
      </c>
      <c r="B1089" s="574" t="s">
        <v>6610</v>
      </c>
      <c r="C1089" s="574" t="s">
        <v>5555</v>
      </c>
      <c r="D1089" s="582">
        <v>18.93</v>
      </c>
    </row>
    <row r="1090" spans="1:4" x14ac:dyDescent="0.2">
      <c r="A1090" s="574">
        <v>38599</v>
      </c>
      <c r="B1090" s="574" t="s">
        <v>13565</v>
      </c>
      <c r="C1090" s="574" t="s">
        <v>5555</v>
      </c>
      <c r="D1090" s="582">
        <v>4.63</v>
      </c>
    </row>
    <row r="1091" spans="1:4" x14ac:dyDescent="0.2">
      <c r="A1091" s="574">
        <v>38596</v>
      </c>
      <c r="B1091" s="574" t="s">
        <v>13566</v>
      </c>
      <c r="C1091" s="574" t="s">
        <v>5555</v>
      </c>
      <c r="D1091" s="582">
        <v>3.85</v>
      </c>
    </row>
    <row r="1092" spans="1:4" x14ac:dyDescent="0.2">
      <c r="A1092" s="574">
        <v>38600</v>
      </c>
      <c r="B1092" s="574" t="s">
        <v>13567</v>
      </c>
      <c r="C1092" s="574" t="s">
        <v>5555</v>
      </c>
      <c r="D1092" s="582">
        <v>4.91</v>
      </c>
    </row>
    <row r="1093" spans="1:4" x14ac:dyDescent="0.2">
      <c r="A1093" s="574">
        <v>38597</v>
      </c>
      <c r="B1093" s="574" t="s">
        <v>13568</v>
      </c>
      <c r="C1093" s="574" t="s">
        <v>5555</v>
      </c>
      <c r="D1093" s="582">
        <v>3.87</v>
      </c>
    </row>
    <row r="1094" spans="1:4" x14ac:dyDescent="0.2">
      <c r="A1094" s="574">
        <v>659</v>
      </c>
      <c r="B1094" s="574" t="s">
        <v>13569</v>
      </c>
      <c r="C1094" s="574" t="s">
        <v>5555</v>
      </c>
      <c r="D1094" s="582">
        <v>2.2200000000000002</v>
      </c>
    </row>
    <row r="1095" spans="1:4" x14ac:dyDescent="0.2">
      <c r="A1095" s="574">
        <v>660</v>
      </c>
      <c r="B1095" s="574" t="s">
        <v>13570</v>
      </c>
      <c r="C1095" s="574" t="s">
        <v>5555</v>
      </c>
      <c r="D1095" s="582">
        <v>2.67</v>
      </c>
    </row>
    <row r="1096" spans="1:4" x14ac:dyDescent="0.2">
      <c r="A1096" s="574">
        <v>658</v>
      </c>
      <c r="B1096" s="574" t="s">
        <v>13571</v>
      </c>
      <c r="C1096" s="574" t="s">
        <v>5555</v>
      </c>
      <c r="D1096" s="582">
        <v>1.5</v>
      </c>
    </row>
    <row r="1097" spans="1:4" x14ac:dyDescent="0.2">
      <c r="A1097" s="574">
        <v>38548</v>
      </c>
      <c r="B1097" s="574" t="s">
        <v>6618</v>
      </c>
      <c r="C1097" s="574" t="s">
        <v>5555</v>
      </c>
      <c r="D1097" s="582">
        <v>1.1499999999999999</v>
      </c>
    </row>
    <row r="1098" spans="1:4" x14ac:dyDescent="0.2">
      <c r="A1098" s="574">
        <v>34649</v>
      </c>
      <c r="B1098" s="574" t="s">
        <v>6620</v>
      </c>
      <c r="C1098" s="574" t="s">
        <v>5555</v>
      </c>
      <c r="D1098" s="582">
        <v>1.55</v>
      </c>
    </row>
    <row r="1099" spans="1:4" x14ac:dyDescent="0.2">
      <c r="A1099" s="574">
        <v>34655</v>
      </c>
      <c r="B1099" s="574" t="s">
        <v>6622</v>
      </c>
      <c r="C1099" s="574" t="s">
        <v>5555</v>
      </c>
      <c r="D1099" s="582">
        <v>2.06</v>
      </c>
    </row>
    <row r="1100" spans="1:4" x14ac:dyDescent="0.2">
      <c r="A1100" s="574">
        <v>40607</v>
      </c>
      <c r="B1100" s="574" t="s">
        <v>6623</v>
      </c>
      <c r="C1100" s="574" t="s">
        <v>5555</v>
      </c>
      <c r="D1100" s="582">
        <v>3.44</v>
      </c>
    </row>
    <row r="1101" spans="1:4" x14ac:dyDescent="0.2">
      <c r="A1101" s="574">
        <v>585</v>
      </c>
      <c r="B1101" s="574" t="s">
        <v>6624</v>
      </c>
      <c r="C1101" s="574" t="s">
        <v>5626</v>
      </c>
      <c r="D1101" s="582">
        <v>23.7</v>
      </c>
    </row>
    <row r="1102" spans="1:4" x14ac:dyDescent="0.2">
      <c r="A1102" s="574">
        <v>4777</v>
      </c>
      <c r="B1102" s="574" t="s">
        <v>6625</v>
      </c>
      <c r="C1102" s="574" t="s">
        <v>5626</v>
      </c>
      <c r="D1102" s="582">
        <v>4.6900000000000004</v>
      </c>
    </row>
    <row r="1103" spans="1:4" x14ac:dyDescent="0.2">
      <c r="A1103" s="574">
        <v>587</v>
      </c>
      <c r="B1103" s="574" t="s">
        <v>6626</v>
      </c>
      <c r="C1103" s="574" t="s">
        <v>5626</v>
      </c>
      <c r="D1103" s="582">
        <v>25.4</v>
      </c>
    </row>
    <row r="1104" spans="1:4" x14ac:dyDescent="0.2">
      <c r="A1104" s="574">
        <v>590</v>
      </c>
      <c r="B1104" s="574" t="s">
        <v>6627</v>
      </c>
      <c r="C1104" s="574" t="s">
        <v>5626</v>
      </c>
      <c r="D1104" s="582">
        <v>24.55</v>
      </c>
    </row>
    <row r="1105" spans="1:4" x14ac:dyDescent="0.2">
      <c r="A1105" s="574">
        <v>592</v>
      </c>
      <c r="B1105" s="574" t="s">
        <v>6628</v>
      </c>
      <c r="C1105" s="574" t="s">
        <v>5626</v>
      </c>
      <c r="D1105" s="582">
        <v>25.4</v>
      </c>
    </row>
    <row r="1106" spans="1:4" x14ac:dyDescent="0.2">
      <c r="A1106" s="574">
        <v>586</v>
      </c>
      <c r="B1106" s="574" t="s">
        <v>6629</v>
      </c>
      <c r="C1106" s="574" t="s">
        <v>5575</v>
      </c>
      <c r="D1106" s="582">
        <v>14.93</v>
      </c>
    </row>
    <row r="1107" spans="1:4" x14ac:dyDescent="0.2">
      <c r="A1107" s="574">
        <v>591</v>
      </c>
      <c r="B1107" s="574" t="s">
        <v>6630</v>
      </c>
      <c r="C1107" s="574" t="s">
        <v>5626</v>
      </c>
      <c r="D1107" s="582">
        <v>23.7</v>
      </c>
    </row>
    <row r="1108" spans="1:4" x14ac:dyDescent="0.2">
      <c r="A1108" s="574">
        <v>588</v>
      </c>
      <c r="B1108" s="574" t="s">
        <v>6631</v>
      </c>
      <c r="C1108" s="574" t="s">
        <v>5575</v>
      </c>
      <c r="D1108" s="582">
        <v>23.62</v>
      </c>
    </row>
    <row r="1109" spans="1:4" x14ac:dyDescent="0.2">
      <c r="A1109" s="574">
        <v>589</v>
      </c>
      <c r="B1109" s="574" t="s">
        <v>6632</v>
      </c>
      <c r="C1109" s="574" t="s">
        <v>5575</v>
      </c>
      <c r="D1109" s="582">
        <v>39.92</v>
      </c>
    </row>
    <row r="1110" spans="1:4" x14ac:dyDescent="0.2">
      <c r="A1110" s="574">
        <v>584</v>
      </c>
      <c r="B1110" s="574" t="s">
        <v>6633</v>
      </c>
      <c r="C1110" s="574" t="s">
        <v>5575</v>
      </c>
      <c r="D1110" s="582">
        <v>25.23</v>
      </c>
    </row>
    <row r="1111" spans="1:4" x14ac:dyDescent="0.2">
      <c r="A1111" s="574">
        <v>574</v>
      </c>
      <c r="B1111" s="574" t="s">
        <v>6635</v>
      </c>
      <c r="C1111" s="574" t="s">
        <v>5575</v>
      </c>
      <c r="D1111" s="582">
        <v>22.26</v>
      </c>
    </row>
    <row r="1112" spans="1:4" x14ac:dyDescent="0.2">
      <c r="A1112" s="574">
        <v>567</v>
      </c>
      <c r="B1112" s="574" t="s">
        <v>6636</v>
      </c>
      <c r="C1112" s="574" t="s">
        <v>5575</v>
      </c>
      <c r="D1112" s="582">
        <v>8.25</v>
      </c>
    </row>
    <row r="1113" spans="1:4" x14ac:dyDescent="0.2">
      <c r="A1113" s="574">
        <v>568</v>
      </c>
      <c r="B1113" s="574" t="s">
        <v>6637</v>
      </c>
      <c r="C1113" s="574" t="s">
        <v>5575</v>
      </c>
      <c r="D1113" s="582">
        <v>49.94</v>
      </c>
    </row>
    <row r="1114" spans="1:4" x14ac:dyDescent="0.2">
      <c r="A1114" s="574">
        <v>569</v>
      </c>
      <c r="B1114" s="574" t="s">
        <v>6638</v>
      </c>
      <c r="C1114" s="574" t="s">
        <v>5626</v>
      </c>
      <c r="D1114" s="582">
        <v>6.95</v>
      </c>
    </row>
    <row r="1115" spans="1:4" x14ac:dyDescent="0.2">
      <c r="A1115" s="574">
        <v>1165</v>
      </c>
      <c r="B1115" s="574" t="s">
        <v>6639</v>
      </c>
      <c r="C1115" s="574" t="s">
        <v>5555</v>
      </c>
      <c r="D1115" s="582">
        <v>11.52</v>
      </c>
    </row>
    <row r="1116" spans="1:4" x14ac:dyDescent="0.2">
      <c r="A1116" s="574">
        <v>1164</v>
      </c>
      <c r="B1116" s="574" t="s">
        <v>6640</v>
      </c>
      <c r="C1116" s="574" t="s">
        <v>5555</v>
      </c>
      <c r="D1116" s="582">
        <v>9.33</v>
      </c>
    </row>
    <row r="1117" spans="1:4" x14ac:dyDescent="0.2">
      <c r="A1117" s="574">
        <v>1162</v>
      </c>
      <c r="B1117" s="574" t="s">
        <v>6641</v>
      </c>
      <c r="C1117" s="574" t="s">
        <v>5555</v>
      </c>
      <c r="D1117" s="582">
        <v>3.24</v>
      </c>
    </row>
    <row r="1118" spans="1:4" x14ac:dyDescent="0.2">
      <c r="A1118" s="574">
        <v>12395</v>
      </c>
      <c r="B1118" s="574" t="s">
        <v>6642</v>
      </c>
      <c r="C1118" s="574" t="s">
        <v>5555</v>
      </c>
      <c r="D1118" s="582">
        <v>3.15</v>
      </c>
    </row>
    <row r="1119" spans="1:4" x14ac:dyDescent="0.2">
      <c r="A1119" s="574">
        <v>1170</v>
      </c>
      <c r="B1119" s="574" t="s">
        <v>6643</v>
      </c>
      <c r="C1119" s="574" t="s">
        <v>5555</v>
      </c>
      <c r="D1119" s="582">
        <v>6.11</v>
      </c>
    </row>
    <row r="1120" spans="1:4" x14ac:dyDescent="0.2">
      <c r="A1120" s="574">
        <v>1169</v>
      </c>
      <c r="B1120" s="574" t="s">
        <v>6644</v>
      </c>
      <c r="C1120" s="574" t="s">
        <v>5555</v>
      </c>
      <c r="D1120" s="582">
        <v>30.02</v>
      </c>
    </row>
    <row r="1121" spans="1:4" x14ac:dyDescent="0.2">
      <c r="A1121" s="574">
        <v>1166</v>
      </c>
      <c r="B1121" s="574" t="s">
        <v>6645</v>
      </c>
      <c r="C1121" s="574" t="s">
        <v>5555</v>
      </c>
      <c r="D1121" s="582">
        <v>16.64</v>
      </c>
    </row>
    <row r="1122" spans="1:4" x14ac:dyDescent="0.2">
      <c r="A1122" s="574">
        <v>1163</v>
      </c>
      <c r="B1122" s="574" t="s">
        <v>6646</v>
      </c>
      <c r="C1122" s="574" t="s">
        <v>5555</v>
      </c>
      <c r="D1122" s="582">
        <v>4.1900000000000004</v>
      </c>
    </row>
    <row r="1123" spans="1:4" x14ac:dyDescent="0.2">
      <c r="A1123" s="574">
        <v>12396</v>
      </c>
      <c r="B1123" s="574" t="s">
        <v>6647</v>
      </c>
      <c r="C1123" s="574" t="s">
        <v>5555</v>
      </c>
      <c r="D1123" s="582">
        <v>3.15</v>
      </c>
    </row>
    <row r="1124" spans="1:4" x14ac:dyDescent="0.2">
      <c r="A1124" s="574">
        <v>1168</v>
      </c>
      <c r="B1124" s="574" t="s">
        <v>6648</v>
      </c>
      <c r="C1124" s="574" t="s">
        <v>5555</v>
      </c>
      <c r="D1124" s="582">
        <v>42.8</v>
      </c>
    </row>
    <row r="1125" spans="1:4" x14ac:dyDescent="0.2">
      <c r="A1125" s="574">
        <v>1167</v>
      </c>
      <c r="B1125" s="574" t="s">
        <v>6649</v>
      </c>
      <c r="C1125" s="574" t="s">
        <v>5555</v>
      </c>
      <c r="D1125" s="582">
        <v>71.59</v>
      </c>
    </row>
    <row r="1126" spans="1:4" x14ac:dyDescent="0.2">
      <c r="A1126" s="574">
        <v>36331</v>
      </c>
      <c r="B1126" s="574" t="s">
        <v>6650</v>
      </c>
      <c r="C1126" s="574" t="s">
        <v>5555</v>
      </c>
      <c r="D1126" s="582">
        <v>1.1000000000000001</v>
      </c>
    </row>
    <row r="1127" spans="1:4" x14ac:dyDescent="0.2">
      <c r="A1127" s="574">
        <v>36346</v>
      </c>
      <c r="B1127" s="574" t="s">
        <v>6651</v>
      </c>
      <c r="C1127" s="574" t="s">
        <v>5555</v>
      </c>
      <c r="D1127" s="582">
        <v>1.89</v>
      </c>
    </row>
    <row r="1128" spans="1:4" x14ac:dyDescent="0.2">
      <c r="A1128" s="574">
        <v>1210</v>
      </c>
      <c r="B1128" s="574" t="s">
        <v>6652</v>
      </c>
      <c r="C1128" s="574" t="s">
        <v>5555</v>
      </c>
      <c r="D1128" s="582">
        <v>9.74</v>
      </c>
    </row>
    <row r="1129" spans="1:4" x14ac:dyDescent="0.2">
      <c r="A1129" s="574">
        <v>1203</v>
      </c>
      <c r="B1129" s="574" t="s">
        <v>6653</v>
      </c>
      <c r="C1129" s="574" t="s">
        <v>5555</v>
      </c>
      <c r="D1129" s="582">
        <v>9.44</v>
      </c>
    </row>
    <row r="1130" spans="1:4" x14ac:dyDescent="0.2">
      <c r="A1130" s="574">
        <v>1197</v>
      </c>
      <c r="B1130" s="574" t="s">
        <v>6654</v>
      </c>
      <c r="C1130" s="574" t="s">
        <v>5555</v>
      </c>
      <c r="D1130" s="582">
        <v>1.2</v>
      </c>
    </row>
    <row r="1131" spans="1:4" x14ac:dyDescent="0.2">
      <c r="A1131" s="574">
        <v>1202</v>
      </c>
      <c r="B1131" s="574" t="s">
        <v>6655</v>
      </c>
      <c r="C1131" s="574" t="s">
        <v>5555</v>
      </c>
      <c r="D1131" s="582">
        <v>3.24</v>
      </c>
    </row>
    <row r="1132" spans="1:4" x14ac:dyDescent="0.2">
      <c r="A1132" s="574">
        <v>1188</v>
      </c>
      <c r="B1132" s="574" t="s">
        <v>6656</v>
      </c>
      <c r="C1132" s="574" t="s">
        <v>5555</v>
      </c>
      <c r="D1132" s="582">
        <v>19.18</v>
      </c>
    </row>
    <row r="1133" spans="1:4" x14ac:dyDescent="0.2">
      <c r="A1133" s="574">
        <v>1211</v>
      </c>
      <c r="B1133" s="574" t="s">
        <v>6657</v>
      </c>
      <c r="C1133" s="574" t="s">
        <v>5555</v>
      </c>
      <c r="D1133" s="582">
        <v>9.9</v>
      </c>
    </row>
    <row r="1134" spans="1:4" x14ac:dyDescent="0.2">
      <c r="A1134" s="574">
        <v>1198</v>
      </c>
      <c r="B1134" s="574" t="s">
        <v>6658</v>
      </c>
      <c r="C1134" s="574" t="s">
        <v>5555</v>
      </c>
      <c r="D1134" s="582">
        <v>1.78</v>
      </c>
    </row>
    <row r="1135" spans="1:4" x14ac:dyDescent="0.2">
      <c r="A1135" s="574">
        <v>1199</v>
      </c>
      <c r="B1135" s="574" t="s">
        <v>6659</v>
      </c>
      <c r="C1135" s="574" t="s">
        <v>5555</v>
      </c>
      <c r="D1135" s="582">
        <v>25.06</v>
      </c>
    </row>
    <row r="1136" spans="1:4" x14ac:dyDescent="0.2">
      <c r="A1136" s="574">
        <v>20088</v>
      </c>
      <c r="B1136" s="574" t="s">
        <v>6660</v>
      </c>
      <c r="C1136" s="574" t="s">
        <v>5555</v>
      </c>
      <c r="D1136" s="582">
        <v>9.69</v>
      </c>
    </row>
    <row r="1137" spans="1:4" x14ac:dyDescent="0.2">
      <c r="A1137" s="574">
        <v>20089</v>
      </c>
      <c r="B1137" s="574" t="s">
        <v>6661</v>
      </c>
      <c r="C1137" s="574" t="s">
        <v>5555</v>
      </c>
      <c r="D1137" s="582">
        <v>46.19</v>
      </c>
    </row>
    <row r="1138" spans="1:4" x14ac:dyDescent="0.2">
      <c r="A1138" s="574">
        <v>20087</v>
      </c>
      <c r="B1138" s="574" t="s">
        <v>6662</v>
      </c>
      <c r="C1138" s="574" t="s">
        <v>5555</v>
      </c>
      <c r="D1138" s="582">
        <v>6.98</v>
      </c>
    </row>
    <row r="1139" spans="1:4" x14ac:dyDescent="0.2">
      <c r="A1139" s="574">
        <v>1200</v>
      </c>
      <c r="B1139" s="574" t="s">
        <v>6663</v>
      </c>
      <c r="C1139" s="574" t="s">
        <v>5555</v>
      </c>
      <c r="D1139" s="582">
        <v>5.67</v>
      </c>
    </row>
    <row r="1140" spans="1:4" x14ac:dyDescent="0.2">
      <c r="A1140" s="574">
        <v>12909</v>
      </c>
      <c r="B1140" s="574" t="s">
        <v>6664</v>
      </c>
      <c r="C1140" s="574" t="s">
        <v>5555</v>
      </c>
      <c r="D1140" s="582">
        <v>2.57</v>
      </c>
    </row>
    <row r="1141" spans="1:4" x14ac:dyDescent="0.2">
      <c r="A1141" s="574">
        <v>12910</v>
      </c>
      <c r="B1141" s="574" t="s">
        <v>6665</v>
      </c>
      <c r="C1141" s="574" t="s">
        <v>5555</v>
      </c>
      <c r="D1141" s="582">
        <v>4.29</v>
      </c>
    </row>
    <row r="1142" spans="1:4" x14ac:dyDescent="0.2">
      <c r="A1142" s="574">
        <v>1184</v>
      </c>
      <c r="B1142" s="574" t="s">
        <v>6666</v>
      </c>
      <c r="C1142" s="574" t="s">
        <v>5555</v>
      </c>
      <c r="D1142" s="582">
        <v>61.61</v>
      </c>
    </row>
    <row r="1143" spans="1:4" x14ac:dyDescent="0.2">
      <c r="A1143" s="574">
        <v>1191</v>
      </c>
      <c r="B1143" s="574" t="s">
        <v>6667</v>
      </c>
      <c r="C1143" s="574" t="s">
        <v>5555</v>
      </c>
      <c r="D1143" s="582">
        <v>0.87</v>
      </c>
    </row>
    <row r="1144" spans="1:4" x14ac:dyDescent="0.2">
      <c r="A1144" s="574">
        <v>1185</v>
      </c>
      <c r="B1144" s="574" t="s">
        <v>6668</v>
      </c>
      <c r="C1144" s="574" t="s">
        <v>5555</v>
      </c>
      <c r="D1144" s="582">
        <v>1</v>
      </c>
    </row>
    <row r="1145" spans="1:4" x14ac:dyDescent="0.2">
      <c r="A1145" s="574">
        <v>1189</v>
      </c>
      <c r="B1145" s="574" t="s">
        <v>6669</v>
      </c>
      <c r="C1145" s="574" t="s">
        <v>5555</v>
      </c>
      <c r="D1145" s="582">
        <v>1.73</v>
      </c>
    </row>
    <row r="1146" spans="1:4" x14ac:dyDescent="0.2">
      <c r="A1146" s="574">
        <v>1193</v>
      </c>
      <c r="B1146" s="574" t="s">
        <v>6670</v>
      </c>
      <c r="C1146" s="574" t="s">
        <v>5555</v>
      </c>
      <c r="D1146" s="582">
        <v>3.34</v>
      </c>
    </row>
    <row r="1147" spans="1:4" x14ac:dyDescent="0.2">
      <c r="A1147" s="574">
        <v>1194</v>
      </c>
      <c r="B1147" s="574" t="s">
        <v>6671</v>
      </c>
      <c r="C1147" s="574" t="s">
        <v>5555</v>
      </c>
      <c r="D1147" s="582">
        <v>6.32</v>
      </c>
    </row>
    <row r="1148" spans="1:4" x14ac:dyDescent="0.2">
      <c r="A1148" s="574">
        <v>1195</v>
      </c>
      <c r="B1148" s="574" t="s">
        <v>6672</v>
      </c>
      <c r="C1148" s="574" t="s">
        <v>5555</v>
      </c>
      <c r="D1148" s="582">
        <v>9.5</v>
      </c>
    </row>
    <row r="1149" spans="1:4" x14ac:dyDescent="0.2">
      <c r="A1149" s="574">
        <v>1204</v>
      </c>
      <c r="B1149" s="574" t="s">
        <v>6673</v>
      </c>
      <c r="C1149" s="574" t="s">
        <v>5555</v>
      </c>
      <c r="D1149" s="582">
        <v>17.28</v>
      </c>
    </row>
    <row r="1150" spans="1:4" x14ac:dyDescent="0.2">
      <c r="A1150" s="574">
        <v>1205</v>
      </c>
      <c r="B1150" s="574" t="s">
        <v>6674</v>
      </c>
      <c r="C1150" s="574" t="s">
        <v>5555</v>
      </c>
      <c r="D1150" s="582">
        <v>40.99</v>
      </c>
    </row>
    <row r="1151" spans="1:4" x14ac:dyDescent="0.2">
      <c r="A1151" s="574">
        <v>1207</v>
      </c>
      <c r="B1151" s="574" t="s">
        <v>6675</v>
      </c>
      <c r="C1151" s="574" t="s">
        <v>5555</v>
      </c>
      <c r="D1151" s="582">
        <v>23.92</v>
      </c>
    </row>
    <row r="1152" spans="1:4" x14ac:dyDescent="0.2">
      <c r="A1152" s="574">
        <v>1206</v>
      </c>
      <c r="B1152" s="574" t="s">
        <v>6676</v>
      </c>
      <c r="C1152" s="574" t="s">
        <v>5555</v>
      </c>
      <c r="D1152" s="582">
        <v>6</v>
      </c>
    </row>
    <row r="1153" spans="1:4" x14ac:dyDescent="0.2">
      <c r="A1153" s="574">
        <v>1183</v>
      </c>
      <c r="B1153" s="574" t="s">
        <v>6677</v>
      </c>
      <c r="C1153" s="574" t="s">
        <v>5555</v>
      </c>
      <c r="D1153" s="582">
        <v>15.62</v>
      </c>
    </row>
    <row r="1154" spans="1:4" x14ac:dyDescent="0.2">
      <c r="A1154" s="574">
        <v>42685</v>
      </c>
      <c r="B1154" s="574" t="s">
        <v>6678</v>
      </c>
      <c r="C1154" s="574" t="s">
        <v>5555</v>
      </c>
      <c r="D1154" s="582">
        <v>40.270000000000003</v>
      </c>
    </row>
    <row r="1155" spans="1:4" x14ac:dyDescent="0.2">
      <c r="A1155" s="574">
        <v>42686</v>
      </c>
      <c r="B1155" s="574" t="s">
        <v>6679</v>
      </c>
      <c r="C1155" s="574" t="s">
        <v>5555</v>
      </c>
      <c r="D1155" s="582">
        <v>62.7</v>
      </c>
    </row>
    <row r="1156" spans="1:4" x14ac:dyDescent="0.2">
      <c r="A1156" s="574">
        <v>12894</v>
      </c>
      <c r="B1156" s="574" t="s">
        <v>6680</v>
      </c>
      <c r="C1156" s="574" t="s">
        <v>5555</v>
      </c>
      <c r="D1156" s="582">
        <v>15.92</v>
      </c>
    </row>
    <row r="1157" spans="1:4" x14ac:dyDescent="0.2">
      <c r="A1157" s="574">
        <v>12895</v>
      </c>
      <c r="B1157" s="574" t="s">
        <v>6681</v>
      </c>
      <c r="C1157" s="574" t="s">
        <v>5555</v>
      </c>
      <c r="D1157" s="582">
        <v>12.25</v>
      </c>
    </row>
    <row r="1158" spans="1:4" x14ac:dyDescent="0.2">
      <c r="A1158" s="574">
        <v>1631</v>
      </c>
      <c r="B1158" s="574" t="s">
        <v>6682</v>
      </c>
      <c r="C1158" s="574" t="s">
        <v>5555</v>
      </c>
      <c r="D1158" s="582">
        <v>114.31</v>
      </c>
    </row>
    <row r="1159" spans="1:4" x14ac:dyDescent="0.2">
      <c r="A1159" s="574">
        <v>1633</v>
      </c>
      <c r="B1159" s="574" t="s">
        <v>6683</v>
      </c>
      <c r="C1159" s="574" t="s">
        <v>5555</v>
      </c>
      <c r="D1159" s="582">
        <v>194.23</v>
      </c>
    </row>
    <row r="1160" spans="1:4" x14ac:dyDescent="0.2">
      <c r="A1160" s="574">
        <v>10818</v>
      </c>
      <c r="B1160" s="574" t="s">
        <v>6684</v>
      </c>
      <c r="C1160" s="574" t="s">
        <v>5626</v>
      </c>
      <c r="D1160" s="582">
        <v>39.42</v>
      </c>
    </row>
    <row r="1161" spans="1:4" x14ac:dyDescent="0.2">
      <c r="A1161" s="574">
        <v>39359</v>
      </c>
      <c r="B1161" s="574" t="s">
        <v>6685</v>
      </c>
      <c r="C1161" s="574" t="s">
        <v>5555</v>
      </c>
      <c r="D1161" s="582">
        <v>23.68</v>
      </c>
    </row>
    <row r="1162" spans="1:4" x14ac:dyDescent="0.2">
      <c r="A1162" s="574">
        <v>39360</v>
      </c>
      <c r="B1162" s="574" t="s">
        <v>6686</v>
      </c>
      <c r="C1162" s="574" t="s">
        <v>5555</v>
      </c>
      <c r="D1162" s="582">
        <v>21.52</v>
      </c>
    </row>
    <row r="1163" spans="1:4" x14ac:dyDescent="0.2">
      <c r="A1163" s="574">
        <v>10710</v>
      </c>
      <c r="B1163" s="574" t="s">
        <v>6687</v>
      </c>
      <c r="C1163" s="574" t="s">
        <v>5564</v>
      </c>
      <c r="D1163" s="582">
        <v>90.98</v>
      </c>
    </row>
    <row r="1164" spans="1:4" x14ac:dyDescent="0.2">
      <c r="A1164" s="574">
        <v>10709</v>
      </c>
      <c r="B1164" s="574" t="s">
        <v>6688</v>
      </c>
      <c r="C1164" s="574" t="s">
        <v>5564</v>
      </c>
      <c r="D1164" s="582">
        <v>111.77</v>
      </c>
    </row>
    <row r="1165" spans="1:4" x14ac:dyDescent="0.2">
      <c r="A1165" s="574">
        <v>39636</v>
      </c>
      <c r="B1165" s="574" t="s">
        <v>6689</v>
      </c>
      <c r="C1165" s="574" t="s">
        <v>5564</v>
      </c>
      <c r="D1165" s="582">
        <v>114.13</v>
      </c>
    </row>
    <row r="1166" spans="1:4" x14ac:dyDescent="0.2">
      <c r="A1166" s="574">
        <v>10708</v>
      </c>
      <c r="B1166" s="574" t="s">
        <v>6690</v>
      </c>
      <c r="C1166" s="574" t="s">
        <v>5564</v>
      </c>
      <c r="D1166" s="582">
        <v>35.22</v>
      </c>
    </row>
    <row r="1167" spans="1:4" x14ac:dyDescent="0.2">
      <c r="A1167" s="574">
        <v>39635</v>
      </c>
      <c r="B1167" s="574" t="s">
        <v>6691</v>
      </c>
      <c r="C1167" s="574" t="s">
        <v>5564</v>
      </c>
      <c r="D1167" s="582">
        <v>59.96</v>
      </c>
    </row>
    <row r="1168" spans="1:4" x14ac:dyDescent="0.2">
      <c r="A1168" s="574">
        <v>6117</v>
      </c>
      <c r="B1168" s="574" t="s">
        <v>6692</v>
      </c>
      <c r="C1168" s="574" t="s">
        <v>5566</v>
      </c>
      <c r="D1168" s="582">
        <v>11.85</v>
      </c>
    </row>
    <row r="1169" spans="1:4" x14ac:dyDescent="0.2">
      <c r="A1169" s="574">
        <v>40913</v>
      </c>
      <c r="B1169" s="574" t="s">
        <v>6693</v>
      </c>
      <c r="C1169" s="574" t="s">
        <v>5755</v>
      </c>
      <c r="D1169" s="583">
        <v>2074.11</v>
      </c>
    </row>
    <row r="1170" spans="1:4" x14ac:dyDescent="0.2">
      <c r="A1170" s="574">
        <v>1214</v>
      </c>
      <c r="B1170" s="574" t="s">
        <v>6694</v>
      </c>
      <c r="C1170" s="574" t="s">
        <v>5566</v>
      </c>
      <c r="D1170" s="582">
        <v>15.03</v>
      </c>
    </row>
    <row r="1171" spans="1:4" x14ac:dyDescent="0.2">
      <c r="A1171" s="574">
        <v>40915</v>
      </c>
      <c r="B1171" s="574" t="s">
        <v>6695</v>
      </c>
      <c r="C1171" s="574" t="s">
        <v>5755</v>
      </c>
      <c r="D1171" s="583">
        <v>2631.62</v>
      </c>
    </row>
    <row r="1172" spans="1:4" x14ac:dyDescent="0.2">
      <c r="A1172" s="574">
        <v>1213</v>
      </c>
      <c r="B1172" s="574" t="s">
        <v>6696</v>
      </c>
      <c r="C1172" s="574" t="s">
        <v>5566</v>
      </c>
      <c r="D1172" s="582">
        <v>15.06</v>
      </c>
    </row>
    <row r="1173" spans="1:4" x14ac:dyDescent="0.2">
      <c r="A1173" s="574">
        <v>40914</v>
      </c>
      <c r="B1173" s="574" t="s">
        <v>6697</v>
      </c>
      <c r="C1173" s="574" t="s">
        <v>5755</v>
      </c>
      <c r="D1173" s="583">
        <v>2632.63</v>
      </c>
    </row>
    <row r="1174" spans="1:4" x14ac:dyDescent="0.2">
      <c r="A1174" s="574">
        <v>5091</v>
      </c>
      <c r="B1174" s="574" t="s">
        <v>6698</v>
      </c>
      <c r="C1174" s="574" t="s">
        <v>5555</v>
      </c>
      <c r="D1174" s="582">
        <v>15.62</v>
      </c>
    </row>
    <row r="1175" spans="1:4" x14ac:dyDescent="0.2">
      <c r="A1175" s="574">
        <v>14615</v>
      </c>
      <c r="B1175" s="574" t="s">
        <v>6699</v>
      </c>
      <c r="C1175" s="574" t="s">
        <v>5555</v>
      </c>
      <c r="D1175" s="583">
        <v>3542.6</v>
      </c>
    </row>
    <row r="1176" spans="1:4" x14ac:dyDescent="0.2">
      <c r="A1176" s="574">
        <v>2711</v>
      </c>
      <c r="B1176" s="574" t="s">
        <v>6700</v>
      </c>
      <c r="C1176" s="574" t="s">
        <v>5555</v>
      </c>
      <c r="D1176" s="582">
        <v>127.02</v>
      </c>
    </row>
    <row r="1177" spans="1:4" x14ac:dyDescent="0.2">
      <c r="A1177" s="574">
        <v>37727</v>
      </c>
      <c r="B1177" s="574" t="s">
        <v>6701</v>
      </c>
      <c r="C1177" s="574" t="s">
        <v>5555</v>
      </c>
      <c r="D1177" s="583">
        <v>10548</v>
      </c>
    </row>
    <row r="1178" spans="1:4" x14ac:dyDescent="0.2">
      <c r="A1178" s="574">
        <v>37728</v>
      </c>
      <c r="B1178" s="574" t="s">
        <v>6702</v>
      </c>
      <c r="C1178" s="574" t="s">
        <v>5555</v>
      </c>
      <c r="D1178" s="583">
        <v>14309.87</v>
      </c>
    </row>
    <row r="1179" spans="1:4" x14ac:dyDescent="0.2">
      <c r="A1179" s="574">
        <v>37729</v>
      </c>
      <c r="B1179" s="574" t="s">
        <v>6703</v>
      </c>
      <c r="C1179" s="574" t="s">
        <v>5555</v>
      </c>
      <c r="D1179" s="583">
        <v>15490.07</v>
      </c>
    </row>
    <row r="1180" spans="1:4" x14ac:dyDescent="0.2">
      <c r="A1180" s="574">
        <v>37730</v>
      </c>
      <c r="B1180" s="574" t="s">
        <v>6704</v>
      </c>
      <c r="C1180" s="574" t="s">
        <v>5555</v>
      </c>
      <c r="D1180" s="583">
        <v>16670.259999999998</v>
      </c>
    </row>
    <row r="1181" spans="1:4" x14ac:dyDescent="0.2">
      <c r="A1181" s="574">
        <v>37731</v>
      </c>
      <c r="B1181" s="574" t="s">
        <v>6705</v>
      </c>
      <c r="C1181" s="574" t="s">
        <v>5555</v>
      </c>
      <c r="D1181" s="583">
        <v>17850.46</v>
      </c>
    </row>
    <row r="1182" spans="1:4" x14ac:dyDescent="0.2">
      <c r="A1182" s="574">
        <v>37732</v>
      </c>
      <c r="B1182" s="574" t="s">
        <v>6706</v>
      </c>
      <c r="C1182" s="574" t="s">
        <v>5555</v>
      </c>
      <c r="D1182" s="583">
        <v>20358.37</v>
      </c>
    </row>
    <row r="1183" spans="1:4" x14ac:dyDescent="0.2">
      <c r="A1183" s="574">
        <v>42250</v>
      </c>
      <c r="B1183" s="574" t="s">
        <v>6707</v>
      </c>
      <c r="C1183" s="574" t="s">
        <v>6708</v>
      </c>
      <c r="D1183" s="583">
        <v>2339.2800000000002</v>
      </c>
    </row>
    <row r="1184" spans="1:4" x14ac:dyDescent="0.2">
      <c r="A1184" s="574">
        <v>42256</v>
      </c>
      <c r="B1184" s="574" t="s">
        <v>6709</v>
      </c>
      <c r="C1184" s="574" t="s">
        <v>5626</v>
      </c>
      <c r="D1184" s="582">
        <v>4.91</v>
      </c>
    </row>
    <row r="1185" spans="1:4" x14ac:dyDescent="0.2">
      <c r="A1185" s="574">
        <v>4743</v>
      </c>
      <c r="B1185" s="574" t="s">
        <v>6710</v>
      </c>
      <c r="C1185" s="574" t="s">
        <v>5751</v>
      </c>
      <c r="D1185" s="582">
        <v>40.57</v>
      </c>
    </row>
    <row r="1186" spans="1:4" x14ac:dyDescent="0.2">
      <c r="A1186" s="574">
        <v>4744</v>
      </c>
      <c r="B1186" s="574" t="s">
        <v>6711</v>
      </c>
      <c r="C1186" s="574" t="s">
        <v>5751</v>
      </c>
      <c r="D1186" s="582">
        <v>53.03</v>
      </c>
    </row>
    <row r="1187" spans="1:4" x14ac:dyDescent="0.2">
      <c r="A1187" s="574">
        <v>4745</v>
      </c>
      <c r="B1187" s="574" t="s">
        <v>6712</v>
      </c>
      <c r="C1187" s="574" t="s">
        <v>5751</v>
      </c>
      <c r="D1187" s="582">
        <v>71.05</v>
      </c>
    </row>
    <row r="1188" spans="1:4" x14ac:dyDescent="0.2">
      <c r="A1188" s="574">
        <v>36496</v>
      </c>
      <c r="B1188" s="574" t="s">
        <v>6713</v>
      </c>
      <c r="C1188" s="574" t="s">
        <v>5555</v>
      </c>
      <c r="D1188" s="583">
        <v>8994.59</v>
      </c>
    </row>
    <row r="1189" spans="1:4" x14ac:dyDescent="0.2">
      <c r="A1189" s="574">
        <v>10630</v>
      </c>
      <c r="B1189" s="574" t="s">
        <v>6714</v>
      </c>
      <c r="C1189" s="574" t="s">
        <v>5555</v>
      </c>
      <c r="D1189" s="583">
        <v>405348.28</v>
      </c>
    </row>
    <row r="1190" spans="1:4" x14ac:dyDescent="0.2">
      <c r="A1190" s="574">
        <v>37762</v>
      </c>
      <c r="B1190" s="574" t="s">
        <v>6715</v>
      </c>
      <c r="C1190" s="574" t="s">
        <v>5555</v>
      </c>
      <c r="D1190" s="583">
        <v>347642.52</v>
      </c>
    </row>
    <row r="1191" spans="1:4" x14ac:dyDescent="0.2">
      <c r="A1191" s="574">
        <v>37763</v>
      </c>
      <c r="B1191" s="574" t="s">
        <v>6716</v>
      </c>
      <c r="C1191" s="574" t="s">
        <v>5555</v>
      </c>
      <c r="D1191" s="583">
        <v>351864.84</v>
      </c>
    </row>
    <row r="1192" spans="1:4" x14ac:dyDescent="0.2">
      <c r="A1192" s="574">
        <v>41992</v>
      </c>
      <c r="B1192" s="574" t="s">
        <v>6717</v>
      </c>
      <c r="C1192" s="574" t="s">
        <v>5555</v>
      </c>
      <c r="D1192" s="583">
        <v>400000</v>
      </c>
    </row>
    <row r="1193" spans="1:4" x14ac:dyDescent="0.2">
      <c r="A1193" s="574">
        <v>13215</v>
      </c>
      <c r="B1193" s="574" t="s">
        <v>6718</v>
      </c>
      <c r="C1193" s="574" t="s">
        <v>5555</v>
      </c>
      <c r="D1193" s="583">
        <v>490499.6</v>
      </c>
    </row>
    <row r="1194" spans="1:4" x14ac:dyDescent="0.2">
      <c r="A1194" s="574">
        <v>4235</v>
      </c>
      <c r="B1194" s="574" t="s">
        <v>6719</v>
      </c>
      <c r="C1194" s="574" t="s">
        <v>5566</v>
      </c>
      <c r="D1194" s="582">
        <v>13.14</v>
      </c>
    </row>
    <row r="1195" spans="1:4" x14ac:dyDescent="0.2">
      <c r="A1195" s="574">
        <v>40976</v>
      </c>
      <c r="B1195" s="574" t="s">
        <v>6720</v>
      </c>
      <c r="C1195" s="574" t="s">
        <v>5755</v>
      </c>
      <c r="D1195" s="583">
        <v>2300.86</v>
      </c>
    </row>
    <row r="1196" spans="1:4" x14ac:dyDescent="0.2">
      <c r="A1196" s="574">
        <v>39013</v>
      </c>
      <c r="B1196" s="574" t="s">
        <v>6721</v>
      </c>
      <c r="C1196" s="574" t="s">
        <v>5555</v>
      </c>
      <c r="D1196" s="582">
        <v>0.91</v>
      </c>
    </row>
    <row r="1197" spans="1:4" x14ac:dyDescent="0.2">
      <c r="A1197" s="574">
        <v>43091</v>
      </c>
      <c r="B1197" s="574" t="s">
        <v>13572</v>
      </c>
      <c r="C1197" s="574" t="s">
        <v>5555</v>
      </c>
      <c r="D1197" s="583">
        <v>4212.33</v>
      </c>
    </row>
    <row r="1198" spans="1:4" x14ac:dyDescent="0.2">
      <c r="A1198" s="574">
        <v>43092</v>
      </c>
      <c r="B1198" s="574" t="s">
        <v>13573</v>
      </c>
      <c r="C1198" s="574" t="s">
        <v>5555</v>
      </c>
      <c r="D1198" s="583">
        <v>5616.44</v>
      </c>
    </row>
    <row r="1199" spans="1:4" x14ac:dyDescent="0.2">
      <c r="A1199" s="574">
        <v>43089</v>
      </c>
      <c r="B1199" s="574" t="s">
        <v>13574</v>
      </c>
      <c r="C1199" s="574" t="s">
        <v>5555</v>
      </c>
      <c r="D1199" s="582">
        <v>978.82</v>
      </c>
    </row>
    <row r="1200" spans="1:4" x14ac:dyDescent="0.2">
      <c r="A1200" s="574">
        <v>43090</v>
      </c>
      <c r="B1200" s="574" t="s">
        <v>13575</v>
      </c>
      <c r="C1200" s="574" t="s">
        <v>5555</v>
      </c>
      <c r="D1200" s="583">
        <v>2160.17</v>
      </c>
    </row>
    <row r="1201" spans="1:4" x14ac:dyDescent="0.2">
      <c r="A1201" s="574">
        <v>41967</v>
      </c>
      <c r="B1201" s="574" t="s">
        <v>6722</v>
      </c>
      <c r="C1201" s="574" t="s">
        <v>5628</v>
      </c>
      <c r="D1201" s="582">
        <v>7.32</v>
      </c>
    </row>
    <row r="1202" spans="1:4" x14ac:dyDescent="0.2">
      <c r="A1202" s="574">
        <v>12760</v>
      </c>
      <c r="B1202" s="574" t="s">
        <v>6723</v>
      </c>
      <c r="C1202" s="574" t="s">
        <v>5564</v>
      </c>
      <c r="D1202" s="583">
        <v>1221.1500000000001</v>
      </c>
    </row>
    <row r="1203" spans="1:4" x14ac:dyDescent="0.2">
      <c r="A1203" s="574">
        <v>12759</v>
      </c>
      <c r="B1203" s="574" t="s">
        <v>6724</v>
      </c>
      <c r="C1203" s="574" t="s">
        <v>5564</v>
      </c>
      <c r="D1203" s="582">
        <v>814.08</v>
      </c>
    </row>
    <row r="1204" spans="1:4" x14ac:dyDescent="0.2">
      <c r="A1204" s="574">
        <v>43105</v>
      </c>
      <c r="B1204" s="574" t="s">
        <v>13576</v>
      </c>
      <c r="C1204" s="574" t="s">
        <v>5626</v>
      </c>
      <c r="D1204" s="582">
        <v>25.85</v>
      </c>
    </row>
    <row r="1205" spans="1:4" x14ac:dyDescent="0.2">
      <c r="A1205" s="574">
        <v>40424</v>
      </c>
      <c r="B1205" s="574" t="s">
        <v>6725</v>
      </c>
      <c r="C1205" s="574" t="s">
        <v>5626</v>
      </c>
      <c r="D1205" s="582">
        <v>6.56</v>
      </c>
    </row>
    <row r="1206" spans="1:4" x14ac:dyDescent="0.2">
      <c r="A1206" s="574">
        <v>1325</v>
      </c>
      <c r="B1206" s="574" t="s">
        <v>6726</v>
      </c>
      <c r="C1206" s="574" t="s">
        <v>5626</v>
      </c>
      <c r="D1206" s="582">
        <v>7.19</v>
      </c>
    </row>
    <row r="1207" spans="1:4" x14ac:dyDescent="0.2">
      <c r="A1207" s="574">
        <v>1327</v>
      </c>
      <c r="B1207" s="574" t="s">
        <v>6727</v>
      </c>
      <c r="C1207" s="574" t="s">
        <v>5626</v>
      </c>
      <c r="D1207" s="582">
        <v>7.66</v>
      </c>
    </row>
    <row r="1208" spans="1:4" x14ac:dyDescent="0.2">
      <c r="A1208" s="574">
        <v>1328</v>
      </c>
      <c r="B1208" s="574" t="s">
        <v>6728</v>
      </c>
      <c r="C1208" s="574" t="s">
        <v>5626</v>
      </c>
      <c r="D1208" s="582">
        <v>7.21</v>
      </c>
    </row>
    <row r="1209" spans="1:4" x14ac:dyDescent="0.2">
      <c r="A1209" s="574">
        <v>1321</v>
      </c>
      <c r="B1209" s="574" t="s">
        <v>6729</v>
      </c>
      <c r="C1209" s="574" t="s">
        <v>5626</v>
      </c>
      <c r="D1209" s="582">
        <v>6.67</v>
      </c>
    </row>
    <row r="1210" spans="1:4" x14ac:dyDescent="0.2">
      <c r="A1210" s="574">
        <v>1318</v>
      </c>
      <c r="B1210" s="574" t="s">
        <v>6730</v>
      </c>
      <c r="C1210" s="574" t="s">
        <v>5626</v>
      </c>
      <c r="D1210" s="582">
        <v>6.68</v>
      </c>
    </row>
    <row r="1211" spans="1:4" x14ac:dyDescent="0.2">
      <c r="A1211" s="574">
        <v>1322</v>
      </c>
      <c r="B1211" s="574" t="s">
        <v>6731</v>
      </c>
      <c r="C1211" s="574" t="s">
        <v>5626</v>
      </c>
      <c r="D1211" s="582">
        <v>7.06</v>
      </c>
    </row>
    <row r="1212" spans="1:4" x14ac:dyDescent="0.2">
      <c r="A1212" s="574">
        <v>1323</v>
      </c>
      <c r="B1212" s="574" t="s">
        <v>6732</v>
      </c>
      <c r="C1212" s="574" t="s">
        <v>5626</v>
      </c>
      <c r="D1212" s="582">
        <v>7.06</v>
      </c>
    </row>
    <row r="1213" spans="1:4" x14ac:dyDescent="0.2">
      <c r="A1213" s="574">
        <v>1319</v>
      </c>
      <c r="B1213" s="574" t="s">
        <v>6733</v>
      </c>
      <c r="C1213" s="574" t="s">
        <v>5626</v>
      </c>
      <c r="D1213" s="582">
        <v>5.95</v>
      </c>
    </row>
    <row r="1214" spans="1:4" x14ac:dyDescent="0.2">
      <c r="A1214" s="574">
        <v>11026</v>
      </c>
      <c r="B1214" s="574" t="s">
        <v>6734</v>
      </c>
      <c r="C1214" s="574" t="s">
        <v>5626</v>
      </c>
      <c r="D1214" s="582">
        <v>8.18</v>
      </c>
    </row>
    <row r="1215" spans="1:4" x14ac:dyDescent="0.2">
      <c r="A1215" s="574">
        <v>11027</v>
      </c>
      <c r="B1215" s="574" t="s">
        <v>6735</v>
      </c>
      <c r="C1215" s="574" t="s">
        <v>5626</v>
      </c>
      <c r="D1215" s="582">
        <v>8.51</v>
      </c>
    </row>
    <row r="1216" spans="1:4" x14ac:dyDescent="0.2">
      <c r="A1216" s="574">
        <v>11046</v>
      </c>
      <c r="B1216" s="574" t="s">
        <v>6736</v>
      </c>
      <c r="C1216" s="574" t="s">
        <v>5626</v>
      </c>
      <c r="D1216" s="582">
        <v>8.16</v>
      </c>
    </row>
    <row r="1217" spans="1:4" x14ac:dyDescent="0.2">
      <c r="A1217" s="574">
        <v>11047</v>
      </c>
      <c r="B1217" s="574" t="s">
        <v>6737</v>
      </c>
      <c r="C1217" s="574" t="s">
        <v>5626</v>
      </c>
      <c r="D1217" s="582">
        <v>8.89</v>
      </c>
    </row>
    <row r="1218" spans="1:4" x14ac:dyDescent="0.2">
      <c r="A1218" s="574">
        <v>43668</v>
      </c>
      <c r="B1218" s="574" t="s">
        <v>6738</v>
      </c>
      <c r="C1218" s="574" t="s">
        <v>5626</v>
      </c>
      <c r="D1218" s="582">
        <v>7.85</v>
      </c>
    </row>
    <row r="1219" spans="1:4" x14ac:dyDescent="0.2">
      <c r="A1219" s="574">
        <v>11049</v>
      </c>
      <c r="B1219" s="574" t="s">
        <v>6739</v>
      </c>
      <c r="C1219" s="574" t="s">
        <v>5626</v>
      </c>
      <c r="D1219" s="582">
        <v>8.5</v>
      </c>
    </row>
    <row r="1220" spans="1:4" x14ac:dyDescent="0.2">
      <c r="A1220" s="574">
        <v>43106</v>
      </c>
      <c r="B1220" s="574" t="s">
        <v>13577</v>
      </c>
      <c r="C1220" s="574" t="s">
        <v>5626</v>
      </c>
      <c r="D1220" s="582">
        <v>8.5500000000000007</v>
      </c>
    </row>
    <row r="1221" spans="1:4" x14ac:dyDescent="0.2">
      <c r="A1221" s="574">
        <v>11051</v>
      </c>
      <c r="B1221" s="574" t="s">
        <v>6741</v>
      </c>
      <c r="C1221" s="574" t="s">
        <v>5626</v>
      </c>
      <c r="D1221" s="582">
        <v>8.92</v>
      </c>
    </row>
    <row r="1222" spans="1:4" x14ac:dyDescent="0.2">
      <c r="A1222" s="574">
        <v>11061</v>
      </c>
      <c r="B1222" s="574" t="s">
        <v>6742</v>
      </c>
      <c r="C1222" s="574" t="s">
        <v>5626</v>
      </c>
      <c r="D1222" s="582">
        <v>10.71</v>
      </c>
    </row>
    <row r="1223" spans="1:4" x14ac:dyDescent="0.2">
      <c r="A1223" s="574">
        <v>43667</v>
      </c>
      <c r="B1223" s="574" t="s">
        <v>6743</v>
      </c>
      <c r="C1223" s="574" t="s">
        <v>5626</v>
      </c>
      <c r="D1223" s="582">
        <v>7.78</v>
      </c>
    </row>
    <row r="1224" spans="1:4" x14ac:dyDescent="0.2">
      <c r="A1224" s="574">
        <v>1333</v>
      </c>
      <c r="B1224" s="574" t="s">
        <v>6744</v>
      </c>
      <c r="C1224" s="574" t="s">
        <v>5626</v>
      </c>
      <c r="D1224" s="582">
        <v>6.48</v>
      </c>
    </row>
    <row r="1225" spans="1:4" x14ac:dyDescent="0.2">
      <c r="A1225" s="574">
        <v>1330</v>
      </c>
      <c r="B1225" s="574" t="s">
        <v>6745</v>
      </c>
      <c r="C1225" s="574" t="s">
        <v>5626</v>
      </c>
      <c r="D1225" s="582">
        <v>6.42</v>
      </c>
    </row>
    <row r="1226" spans="1:4" x14ac:dyDescent="0.2">
      <c r="A1226" s="574">
        <v>10957</v>
      </c>
      <c r="B1226" s="574" t="s">
        <v>6746</v>
      </c>
      <c r="C1226" s="574" t="s">
        <v>5626</v>
      </c>
      <c r="D1226" s="582">
        <v>7.4</v>
      </c>
    </row>
    <row r="1227" spans="1:4" x14ac:dyDescent="0.2">
      <c r="A1227" s="574">
        <v>1332</v>
      </c>
      <c r="B1227" s="574" t="s">
        <v>6747</v>
      </c>
      <c r="C1227" s="574" t="s">
        <v>5626</v>
      </c>
      <c r="D1227" s="582">
        <v>6.58</v>
      </c>
    </row>
    <row r="1228" spans="1:4" x14ac:dyDescent="0.2">
      <c r="A1228" s="574">
        <v>1334</v>
      </c>
      <c r="B1228" s="574" t="s">
        <v>6748</v>
      </c>
      <c r="C1228" s="574" t="s">
        <v>5626</v>
      </c>
      <c r="D1228" s="582">
        <v>7.3</v>
      </c>
    </row>
    <row r="1229" spans="1:4" x14ac:dyDescent="0.2">
      <c r="A1229" s="574">
        <v>1335</v>
      </c>
      <c r="B1229" s="574" t="s">
        <v>6749</v>
      </c>
      <c r="C1229" s="574" t="s">
        <v>5626</v>
      </c>
      <c r="D1229" s="582">
        <v>7.54</v>
      </c>
    </row>
    <row r="1230" spans="1:4" x14ac:dyDescent="0.2">
      <c r="A1230" s="574">
        <v>40425</v>
      </c>
      <c r="B1230" s="574" t="s">
        <v>6750</v>
      </c>
      <c r="C1230" s="574" t="s">
        <v>5626</v>
      </c>
      <c r="D1230" s="582">
        <v>6.46</v>
      </c>
    </row>
    <row r="1231" spans="1:4" x14ac:dyDescent="0.2">
      <c r="A1231" s="574">
        <v>1337</v>
      </c>
      <c r="B1231" s="574" t="s">
        <v>6751</v>
      </c>
      <c r="C1231" s="574" t="s">
        <v>5626</v>
      </c>
      <c r="D1231" s="582">
        <v>7.4</v>
      </c>
    </row>
    <row r="1232" spans="1:4" x14ac:dyDescent="0.2">
      <c r="A1232" s="574">
        <v>39416</v>
      </c>
      <c r="B1232" s="574" t="s">
        <v>6755</v>
      </c>
      <c r="C1232" s="574" t="s">
        <v>5564</v>
      </c>
      <c r="D1232" s="582">
        <v>28.52</v>
      </c>
    </row>
    <row r="1233" spans="1:4" x14ac:dyDescent="0.2">
      <c r="A1233" s="574">
        <v>39417</v>
      </c>
      <c r="B1233" s="574" t="s">
        <v>6756</v>
      </c>
      <c r="C1233" s="574" t="s">
        <v>5564</v>
      </c>
      <c r="D1233" s="582">
        <v>29.9</v>
      </c>
    </row>
    <row r="1234" spans="1:4" x14ac:dyDescent="0.2">
      <c r="A1234" s="574">
        <v>39414</v>
      </c>
      <c r="B1234" s="574" t="s">
        <v>6757</v>
      </c>
      <c r="C1234" s="574" t="s">
        <v>5564</v>
      </c>
      <c r="D1234" s="582">
        <v>26.78</v>
      </c>
    </row>
    <row r="1235" spans="1:4" x14ac:dyDescent="0.2">
      <c r="A1235" s="574">
        <v>39415</v>
      </c>
      <c r="B1235" s="574" t="s">
        <v>6758</v>
      </c>
      <c r="C1235" s="574" t="s">
        <v>5564</v>
      </c>
      <c r="D1235" s="582">
        <v>28.38</v>
      </c>
    </row>
    <row r="1236" spans="1:4" x14ac:dyDescent="0.2">
      <c r="A1236" s="574">
        <v>39412</v>
      </c>
      <c r="B1236" s="574" t="s">
        <v>6759</v>
      </c>
      <c r="C1236" s="574" t="s">
        <v>5564</v>
      </c>
      <c r="D1236" s="582">
        <v>20.16</v>
      </c>
    </row>
    <row r="1237" spans="1:4" x14ac:dyDescent="0.2">
      <c r="A1237" s="574">
        <v>39413</v>
      </c>
      <c r="B1237" s="574" t="s">
        <v>6760</v>
      </c>
      <c r="C1237" s="574" t="s">
        <v>5564</v>
      </c>
      <c r="D1237" s="582">
        <v>19.97</v>
      </c>
    </row>
    <row r="1238" spans="1:4" x14ac:dyDescent="0.2">
      <c r="A1238" s="574">
        <v>1338</v>
      </c>
      <c r="B1238" s="574" t="s">
        <v>6761</v>
      </c>
      <c r="C1238" s="574" t="s">
        <v>5564</v>
      </c>
      <c r="D1238" s="582">
        <v>30.19</v>
      </c>
    </row>
    <row r="1239" spans="1:4" x14ac:dyDescent="0.2">
      <c r="A1239" s="574">
        <v>1340</v>
      </c>
      <c r="B1239" s="574" t="s">
        <v>6762</v>
      </c>
      <c r="C1239" s="574" t="s">
        <v>5564</v>
      </c>
      <c r="D1239" s="582">
        <v>34.9</v>
      </c>
    </row>
    <row r="1240" spans="1:4" x14ac:dyDescent="0.2">
      <c r="A1240" s="574">
        <v>1341</v>
      </c>
      <c r="B1240" s="574" t="s">
        <v>6763</v>
      </c>
      <c r="C1240" s="574" t="s">
        <v>5564</v>
      </c>
      <c r="D1240" s="582">
        <v>33.61</v>
      </c>
    </row>
    <row r="1241" spans="1:4" x14ac:dyDescent="0.2">
      <c r="A1241" s="574">
        <v>11134</v>
      </c>
      <c r="B1241" s="574" t="s">
        <v>6771</v>
      </c>
      <c r="C1241" s="574" t="s">
        <v>5564</v>
      </c>
      <c r="D1241" s="582">
        <v>27.23</v>
      </c>
    </row>
    <row r="1242" spans="1:4" x14ac:dyDescent="0.2">
      <c r="A1242" s="574">
        <v>11135</v>
      </c>
      <c r="B1242" s="574" t="s">
        <v>6772</v>
      </c>
      <c r="C1242" s="574" t="s">
        <v>5564</v>
      </c>
      <c r="D1242" s="582">
        <v>33.19</v>
      </c>
    </row>
    <row r="1243" spans="1:4" x14ac:dyDescent="0.2">
      <c r="A1243" s="574">
        <v>11136</v>
      </c>
      <c r="B1243" s="574" t="s">
        <v>6773</v>
      </c>
      <c r="C1243" s="574" t="s">
        <v>5564</v>
      </c>
      <c r="D1243" s="582">
        <v>35.9</v>
      </c>
    </row>
    <row r="1244" spans="1:4" x14ac:dyDescent="0.2">
      <c r="A1244" s="574">
        <v>34743</v>
      </c>
      <c r="B1244" s="574" t="s">
        <v>6774</v>
      </c>
      <c r="C1244" s="574" t="s">
        <v>5564</v>
      </c>
      <c r="D1244" s="582">
        <v>45.71</v>
      </c>
    </row>
    <row r="1245" spans="1:4" x14ac:dyDescent="0.2">
      <c r="A1245" s="574">
        <v>11137</v>
      </c>
      <c r="B1245" s="574" t="s">
        <v>6775</v>
      </c>
      <c r="C1245" s="574" t="s">
        <v>5564</v>
      </c>
      <c r="D1245" s="582">
        <v>50.97</v>
      </c>
    </row>
    <row r="1246" spans="1:4" x14ac:dyDescent="0.2">
      <c r="A1246" s="574">
        <v>34745</v>
      </c>
      <c r="B1246" s="574" t="s">
        <v>6776</v>
      </c>
      <c r="C1246" s="574" t="s">
        <v>5564</v>
      </c>
      <c r="D1246" s="582">
        <v>58.09</v>
      </c>
    </row>
    <row r="1247" spans="1:4" x14ac:dyDescent="0.2">
      <c r="A1247" s="574">
        <v>34746</v>
      </c>
      <c r="B1247" s="574" t="s">
        <v>6777</v>
      </c>
      <c r="C1247" s="574" t="s">
        <v>5564</v>
      </c>
      <c r="D1247" s="582">
        <v>14.96</v>
      </c>
    </row>
    <row r="1248" spans="1:4" x14ac:dyDescent="0.2">
      <c r="A1248" s="574">
        <v>1360</v>
      </c>
      <c r="B1248" s="574" t="s">
        <v>6778</v>
      </c>
      <c r="C1248" s="574" t="s">
        <v>5564</v>
      </c>
      <c r="D1248" s="582">
        <v>18.48</v>
      </c>
    </row>
    <row r="1249" spans="1:4" x14ac:dyDescent="0.2">
      <c r="A1249" s="574">
        <v>1346</v>
      </c>
      <c r="B1249" s="574" t="s">
        <v>6779</v>
      </c>
      <c r="C1249" s="574" t="s">
        <v>5564</v>
      </c>
      <c r="D1249" s="582">
        <v>21.56</v>
      </c>
    </row>
    <row r="1250" spans="1:4" x14ac:dyDescent="0.2">
      <c r="A1250" s="574">
        <v>1345</v>
      </c>
      <c r="B1250" s="574" t="s">
        <v>6780</v>
      </c>
      <c r="C1250" s="574" t="s">
        <v>5564</v>
      </c>
      <c r="D1250" s="582">
        <v>34.94</v>
      </c>
    </row>
    <row r="1251" spans="1:4" x14ac:dyDescent="0.2">
      <c r="A1251" s="574">
        <v>1347</v>
      </c>
      <c r="B1251" s="574" t="s">
        <v>6783</v>
      </c>
      <c r="C1251" s="574" t="s">
        <v>5564</v>
      </c>
      <c r="D1251" s="582">
        <v>25.77</v>
      </c>
    </row>
    <row r="1252" spans="1:4" x14ac:dyDescent="0.2">
      <c r="A1252" s="574">
        <v>1355</v>
      </c>
      <c r="B1252" s="574" t="s">
        <v>6787</v>
      </c>
      <c r="C1252" s="574" t="s">
        <v>5564</v>
      </c>
      <c r="D1252" s="582">
        <v>25.34</v>
      </c>
    </row>
    <row r="1253" spans="1:4" x14ac:dyDescent="0.2">
      <c r="A1253" s="574">
        <v>1358</v>
      </c>
      <c r="B1253" s="574" t="s">
        <v>6788</v>
      </c>
      <c r="C1253" s="574" t="s">
        <v>5564</v>
      </c>
      <c r="D1253" s="582">
        <v>29.35</v>
      </c>
    </row>
    <row r="1254" spans="1:4" x14ac:dyDescent="0.2">
      <c r="A1254" s="574">
        <v>34659</v>
      </c>
      <c r="B1254" s="574" t="s">
        <v>6791</v>
      </c>
      <c r="C1254" s="574" t="s">
        <v>5564</v>
      </c>
      <c r="D1254" s="582">
        <v>26.25</v>
      </c>
    </row>
    <row r="1255" spans="1:4" x14ac:dyDescent="0.2">
      <c r="A1255" s="574">
        <v>34514</v>
      </c>
      <c r="B1255" s="574" t="s">
        <v>6792</v>
      </c>
      <c r="C1255" s="574" t="s">
        <v>5564</v>
      </c>
      <c r="D1255" s="582">
        <v>29.08</v>
      </c>
    </row>
    <row r="1256" spans="1:4" x14ac:dyDescent="0.2">
      <c r="A1256" s="574">
        <v>34660</v>
      </c>
      <c r="B1256" s="574" t="s">
        <v>6793</v>
      </c>
      <c r="C1256" s="574" t="s">
        <v>5564</v>
      </c>
      <c r="D1256" s="582">
        <v>36.9</v>
      </c>
    </row>
    <row r="1257" spans="1:4" x14ac:dyDescent="0.2">
      <c r="A1257" s="574">
        <v>34661</v>
      </c>
      <c r="B1257" s="574" t="s">
        <v>6794</v>
      </c>
      <c r="C1257" s="574" t="s">
        <v>5564</v>
      </c>
      <c r="D1257" s="582">
        <v>53</v>
      </c>
    </row>
    <row r="1258" spans="1:4" x14ac:dyDescent="0.2">
      <c r="A1258" s="574">
        <v>34667</v>
      </c>
      <c r="B1258" s="574" t="s">
        <v>6795</v>
      </c>
      <c r="C1258" s="574" t="s">
        <v>5564</v>
      </c>
      <c r="D1258" s="582">
        <v>19.190000000000001</v>
      </c>
    </row>
    <row r="1259" spans="1:4" x14ac:dyDescent="0.2">
      <c r="A1259" s="574">
        <v>34668</v>
      </c>
      <c r="B1259" s="574" t="s">
        <v>6796</v>
      </c>
      <c r="C1259" s="574" t="s">
        <v>5564</v>
      </c>
      <c r="D1259" s="582">
        <v>25.08</v>
      </c>
    </row>
    <row r="1260" spans="1:4" x14ac:dyDescent="0.2">
      <c r="A1260" s="574">
        <v>34741</v>
      </c>
      <c r="B1260" s="574" t="s">
        <v>6797</v>
      </c>
      <c r="C1260" s="574" t="s">
        <v>5564</v>
      </c>
      <c r="D1260" s="582">
        <v>27.6</v>
      </c>
    </row>
    <row r="1261" spans="1:4" x14ac:dyDescent="0.2">
      <c r="A1261" s="574">
        <v>34664</v>
      </c>
      <c r="B1261" s="574" t="s">
        <v>6798</v>
      </c>
      <c r="C1261" s="574" t="s">
        <v>5564</v>
      </c>
      <c r="D1261" s="582">
        <v>30.12</v>
      </c>
    </row>
    <row r="1262" spans="1:4" x14ac:dyDescent="0.2">
      <c r="A1262" s="574">
        <v>34665</v>
      </c>
      <c r="B1262" s="574" t="s">
        <v>6799</v>
      </c>
      <c r="C1262" s="574" t="s">
        <v>5564</v>
      </c>
      <c r="D1262" s="582">
        <v>37.39</v>
      </c>
    </row>
    <row r="1263" spans="1:4" x14ac:dyDescent="0.2">
      <c r="A1263" s="574">
        <v>34666</v>
      </c>
      <c r="B1263" s="574" t="s">
        <v>6800</v>
      </c>
      <c r="C1263" s="574" t="s">
        <v>5564</v>
      </c>
      <c r="D1263" s="582">
        <v>56.47</v>
      </c>
    </row>
    <row r="1264" spans="1:4" x14ac:dyDescent="0.2">
      <c r="A1264" s="574">
        <v>34669</v>
      </c>
      <c r="B1264" s="574" t="s">
        <v>6801</v>
      </c>
      <c r="C1264" s="574" t="s">
        <v>5564</v>
      </c>
      <c r="D1264" s="582">
        <v>20.7</v>
      </c>
    </row>
    <row r="1265" spans="1:4" x14ac:dyDescent="0.2">
      <c r="A1265" s="574">
        <v>34670</v>
      </c>
      <c r="B1265" s="574" t="s">
        <v>6802</v>
      </c>
      <c r="C1265" s="574" t="s">
        <v>5564</v>
      </c>
      <c r="D1265" s="582">
        <v>25.32</v>
      </c>
    </row>
    <row r="1266" spans="1:4" x14ac:dyDescent="0.2">
      <c r="A1266" s="574">
        <v>34671</v>
      </c>
      <c r="B1266" s="574" t="s">
        <v>6803</v>
      </c>
      <c r="C1266" s="574" t="s">
        <v>5564</v>
      </c>
      <c r="D1266" s="582">
        <v>21.14</v>
      </c>
    </row>
    <row r="1267" spans="1:4" x14ac:dyDescent="0.2">
      <c r="A1267" s="574">
        <v>34672</v>
      </c>
      <c r="B1267" s="574" t="s">
        <v>6804</v>
      </c>
      <c r="C1267" s="574" t="s">
        <v>5564</v>
      </c>
      <c r="D1267" s="582">
        <v>22.29</v>
      </c>
    </row>
    <row r="1268" spans="1:4" x14ac:dyDescent="0.2">
      <c r="A1268" s="574">
        <v>34673</v>
      </c>
      <c r="B1268" s="574" t="s">
        <v>6805</v>
      </c>
      <c r="C1268" s="574" t="s">
        <v>5564</v>
      </c>
      <c r="D1268" s="582">
        <v>27.2</v>
      </c>
    </row>
    <row r="1269" spans="1:4" x14ac:dyDescent="0.2">
      <c r="A1269" s="574">
        <v>34674</v>
      </c>
      <c r="B1269" s="574" t="s">
        <v>6806</v>
      </c>
      <c r="C1269" s="574" t="s">
        <v>5564</v>
      </c>
      <c r="D1269" s="582">
        <v>36.159999999999997</v>
      </c>
    </row>
    <row r="1270" spans="1:4" x14ac:dyDescent="0.2">
      <c r="A1270" s="574">
        <v>34675</v>
      </c>
      <c r="B1270" s="574" t="s">
        <v>6807</v>
      </c>
      <c r="C1270" s="574" t="s">
        <v>5564</v>
      </c>
      <c r="D1270" s="582">
        <v>44.09</v>
      </c>
    </row>
    <row r="1271" spans="1:4" x14ac:dyDescent="0.2">
      <c r="A1271" s="574">
        <v>34676</v>
      </c>
      <c r="B1271" s="574" t="s">
        <v>6808</v>
      </c>
      <c r="C1271" s="574" t="s">
        <v>5564</v>
      </c>
      <c r="D1271" s="582">
        <v>12.69</v>
      </c>
    </row>
    <row r="1272" spans="1:4" x14ac:dyDescent="0.2">
      <c r="A1272" s="574">
        <v>34677</v>
      </c>
      <c r="B1272" s="574" t="s">
        <v>6809</v>
      </c>
      <c r="C1272" s="574" t="s">
        <v>5564</v>
      </c>
      <c r="D1272" s="582">
        <v>17.059999999999999</v>
      </c>
    </row>
    <row r="1273" spans="1:4" x14ac:dyDescent="0.2">
      <c r="A1273" s="574">
        <v>43126</v>
      </c>
      <c r="B1273" s="574" t="s">
        <v>13578</v>
      </c>
      <c r="C1273" s="574" t="s">
        <v>5564</v>
      </c>
      <c r="D1273" s="582">
        <v>72.89</v>
      </c>
    </row>
    <row r="1274" spans="1:4" x14ac:dyDescent="0.2">
      <c r="A1274" s="574">
        <v>43124</v>
      </c>
      <c r="B1274" s="574" t="s">
        <v>13579</v>
      </c>
      <c r="C1274" s="574" t="s">
        <v>5564</v>
      </c>
      <c r="D1274" s="582">
        <v>85.11</v>
      </c>
    </row>
    <row r="1275" spans="1:4" x14ac:dyDescent="0.2">
      <c r="A1275" s="574">
        <v>43125</v>
      </c>
      <c r="B1275" s="574" t="s">
        <v>13580</v>
      </c>
      <c r="C1275" s="574" t="s">
        <v>5564</v>
      </c>
      <c r="D1275" s="582">
        <v>110.38</v>
      </c>
    </row>
    <row r="1276" spans="1:4" x14ac:dyDescent="0.2">
      <c r="A1276" s="574">
        <v>40623</v>
      </c>
      <c r="B1276" s="574" t="s">
        <v>6810</v>
      </c>
      <c r="C1276" s="574" t="s">
        <v>6022</v>
      </c>
      <c r="D1276" s="582">
        <v>72.09</v>
      </c>
    </row>
    <row r="1277" spans="1:4" x14ac:dyDescent="0.2">
      <c r="A1277" s="574">
        <v>43701</v>
      </c>
      <c r="B1277" s="574" t="s">
        <v>13581</v>
      </c>
      <c r="C1277" s="574" t="s">
        <v>5626</v>
      </c>
      <c r="D1277" s="582">
        <v>26.83</v>
      </c>
    </row>
    <row r="1278" spans="1:4" x14ac:dyDescent="0.2">
      <c r="A1278" s="574">
        <v>12083</v>
      </c>
      <c r="B1278" s="574" t="s">
        <v>6815</v>
      </c>
      <c r="C1278" s="574" t="s">
        <v>5555</v>
      </c>
      <c r="D1278" s="582">
        <v>635.83000000000004</v>
      </c>
    </row>
    <row r="1279" spans="1:4" x14ac:dyDescent="0.2">
      <c r="A1279" s="574">
        <v>12081</v>
      </c>
      <c r="B1279" s="574" t="s">
        <v>6816</v>
      </c>
      <c r="C1279" s="574" t="s">
        <v>5555</v>
      </c>
      <c r="D1279" s="582">
        <v>215.02</v>
      </c>
    </row>
    <row r="1280" spans="1:4" x14ac:dyDescent="0.2">
      <c r="A1280" s="574">
        <v>12082</v>
      </c>
      <c r="B1280" s="574" t="s">
        <v>6817</v>
      </c>
      <c r="C1280" s="574" t="s">
        <v>5555</v>
      </c>
      <c r="D1280" s="582">
        <v>337.93</v>
      </c>
    </row>
    <row r="1281" spans="1:4" x14ac:dyDescent="0.2">
      <c r="A1281" s="574">
        <v>13354</v>
      </c>
      <c r="B1281" s="574" t="s">
        <v>6818</v>
      </c>
      <c r="C1281" s="574" t="s">
        <v>5555</v>
      </c>
      <c r="D1281" s="582">
        <v>504.7</v>
      </c>
    </row>
    <row r="1282" spans="1:4" x14ac:dyDescent="0.2">
      <c r="A1282" s="574">
        <v>14057</v>
      </c>
      <c r="B1282" s="574" t="s">
        <v>6819</v>
      </c>
      <c r="C1282" s="574" t="s">
        <v>5555</v>
      </c>
      <c r="D1282" s="582">
        <v>281.77999999999997</v>
      </c>
    </row>
    <row r="1283" spans="1:4" x14ac:dyDescent="0.2">
      <c r="A1283" s="574">
        <v>14058</v>
      </c>
      <c r="B1283" s="574" t="s">
        <v>6820</v>
      </c>
      <c r="C1283" s="574" t="s">
        <v>5555</v>
      </c>
      <c r="D1283" s="582">
        <v>444.51</v>
      </c>
    </row>
    <row r="1284" spans="1:4" x14ac:dyDescent="0.2">
      <c r="A1284" s="574">
        <v>20971</v>
      </c>
      <c r="B1284" s="574" t="s">
        <v>6821</v>
      </c>
      <c r="C1284" s="574" t="s">
        <v>5555</v>
      </c>
      <c r="D1284" s="582">
        <v>11.99</v>
      </c>
    </row>
    <row r="1285" spans="1:4" x14ac:dyDescent="0.2">
      <c r="A1285" s="574">
        <v>5047</v>
      </c>
      <c r="B1285" s="574" t="s">
        <v>6822</v>
      </c>
      <c r="C1285" s="574" t="s">
        <v>5555</v>
      </c>
      <c r="D1285" s="582">
        <v>302.85000000000002</v>
      </c>
    </row>
    <row r="1286" spans="1:4" x14ac:dyDescent="0.2">
      <c r="A1286" s="574">
        <v>13369</v>
      </c>
      <c r="B1286" s="574" t="s">
        <v>6823</v>
      </c>
      <c r="C1286" s="574" t="s">
        <v>5555</v>
      </c>
      <c r="D1286" s="582">
        <v>328.51</v>
      </c>
    </row>
    <row r="1287" spans="1:4" x14ac:dyDescent="0.2">
      <c r="A1287" s="574">
        <v>13370</v>
      </c>
      <c r="B1287" s="574" t="s">
        <v>6824</v>
      </c>
      <c r="C1287" s="574" t="s">
        <v>5555</v>
      </c>
      <c r="D1287" s="582">
        <v>455.39</v>
      </c>
    </row>
    <row r="1288" spans="1:4" x14ac:dyDescent="0.2">
      <c r="A1288" s="574">
        <v>13279</v>
      </c>
      <c r="B1288" s="574" t="s">
        <v>6825</v>
      </c>
      <c r="C1288" s="574" t="s">
        <v>5626</v>
      </c>
      <c r="D1288" s="582">
        <v>12.72</v>
      </c>
    </row>
    <row r="1289" spans="1:4" x14ac:dyDescent="0.2">
      <c r="A1289" s="574">
        <v>11977</v>
      </c>
      <c r="B1289" s="574" t="s">
        <v>6826</v>
      </c>
      <c r="C1289" s="574" t="s">
        <v>5555</v>
      </c>
      <c r="D1289" s="582">
        <v>6.59</v>
      </c>
    </row>
    <row r="1290" spans="1:4" x14ac:dyDescent="0.2">
      <c r="A1290" s="574">
        <v>11975</v>
      </c>
      <c r="B1290" s="574" t="s">
        <v>6827</v>
      </c>
      <c r="C1290" s="574" t="s">
        <v>5555</v>
      </c>
      <c r="D1290" s="582">
        <v>14.44</v>
      </c>
    </row>
    <row r="1291" spans="1:4" x14ac:dyDescent="0.2">
      <c r="A1291" s="574">
        <v>39746</v>
      </c>
      <c r="B1291" s="574" t="s">
        <v>6828</v>
      </c>
      <c r="C1291" s="574" t="s">
        <v>5555</v>
      </c>
      <c r="D1291" s="582">
        <v>160.72</v>
      </c>
    </row>
    <row r="1292" spans="1:4" x14ac:dyDescent="0.2">
      <c r="A1292" s="574">
        <v>11976</v>
      </c>
      <c r="B1292" s="574" t="s">
        <v>6829</v>
      </c>
      <c r="C1292" s="574" t="s">
        <v>5555</v>
      </c>
      <c r="D1292" s="582">
        <v>0.74</v>
      </c>
    </row>
    <row r="1293" spans="1:4" x14ac:dyDescent="0.2">
      <c r="A1293" s="574">
        <v>1368</v>
      </c>
      <c r="B1293" s="574" t="s">
        <v>6830</v>
      </c>
      <c r="C1293" s="574" t="s">
        <v>5555</v>
      </c>
      <c r="D1293" s="582">
        <v>63</v>
      </c>
    </row>
    <row r="1294" spans="1:4" x14ac:dyDescent="0.2">
      <c r="A1294" s="574">
        <v>1367</v>
      </c>
      <c r="B1294" s="574" t="s">
        <v>6831</v>
      </c>
      <c r="C1294" s="574" t="s">
        <v>5555</v>
      </c>
      <c r="D1294" s="582">
        <v>203.78</v>
      </c>
    </row>
    <row r="1295" spans="1:4" x14ac:dyDescent="0.2">
      <c r="A1295" s="574">
        <v>7608</v>
      </c>
      <c r="B1295" s="574" t="s">
        <v>6832</v>
      </c>
      <c r="C1295" s="574" t="s">
        <v>5555</v>
      </c>
      <c r="D1295" s="582">
        <v>4.25</v>
      </c>
    </row>
    <row r="1296" spans="1:4" x14ac:dyDescent="0.2">
      <c r="A1296" s="574">
        <v>41900</v>
      </c>
      <c r="B1296" s="574" t="s">
        <v>6833</v>
      </c>
      <c r="C1296" s="574" t="s">
        <v>5626</v>
      </c>
      <c r="D1296" s="582">
        <v>2.84</v>
      </c>
    </row>
    <row r="1297" spans="1:4" x14ac:dyDescent="0.2">
      <c r="A1297" s="574">
        <v>41899</v>
      </c>
      <c r="B1297" s="574" t="s">
        <v>6834</v>
      </c>
      <c r="C1297" s="574" t="s">
        <v>6708</v>
      </c>
      <c r="D1297" s="583">
        <v>2867.7</v>
      </c>
    </row>
    <row r="1298" spans="1:4" x14ac:dyDescent="0.2">
      <c r="A1298" s="574">
        <v>1380</v>
      </c>
      <c r="B1298" s="574" t="s">
        <v>6835</v>
      </c>
      <c r="C1298" s="574" t="s">
        <v>5626</v>
      </c>
      <c r="D1298" s="582">
        <v>4.22</v>
      </c>
    </row>
    <row r="1299" spans="1:4" x14ac:dyDescent="0.2">
      <c r="A1299" s="574">
        <v>1375</v>
      </c>
      <c r="B1299" s="574" t="s">
        <v>6836</v>
      </c>
      <c r="C1299" s="574" t="s">
        <v>5626</v>
      </c>
      <c r="D1299" s="582">
        <v>13.05</v>
      </c>
    </row>
    <row r="1300" spans="1:4" x14ac:dyDescent="0.2">
      <c r="A1300" s="574">
        <v>1379</v>
      </c>
      <c r="B1300" s="574" t="s">
        <v>6837</v>
      </c>
      <c r="C1300" s="574" t="s">
        <v>5626</v>
      </c>
      <c r="D1300" s="582">
        <v>0.71</v>
      </c>
    </row>
    <row r="1301" spans="1:4" x14ac:dyDescent="0.2">
      <c r="A1301" s="574">
        <v>10511</v>
      </c>
      <c r="B1301" s="574" t="s">
        <v>6838</v>
      </c>
      <c r="C1301" s="574" t="s">
        <v>6839</v>
      </c>
      <c r="D1301" s="582">
        <v>35.99</v>
      </c>
    </row>
    <row r="1302" spans="1:4" x14ac:dyDescent="0.2">
      <c r="A1302" s="574">
        <v>13284</v>
      </c>
      <c r="B1302" s="574" t="s">
        <v>6840</v>
      </c>
      <c r="C1302" s="574" t="s">
        <v>5626</v>
      </c>
      <c r="D1302" s="582">
        <v>0.6</v>
      </c>
    </row>
    <row r="1303" spans="1:4" x14ac:dyDescent="0.2">
      <c r="A1303" s="574">
        <v>25974</v>
      </c>
      <c r="B1303" s="574" t="s">
        <v>6841</v>
      </c>
      <c r="C1303" s="574" t="s">
        <v>5626</v>
      </c>
      <c r="D1303" s="582">
        <v>2.41</v>
      </c>
    </row>
    <row r="1304" spans="1:4" x14ac:dyDescent="0.2">
      <c r="A1304" s="574">
        <v>1382</v>
      </c>
      <c r="B1304" s="574" t="s">
        <v>6842</v>
      </c>
      <c r="C1304" s="574" t="s">
        <v>6839</v>
      </c>
      <c r="D1304" s="582">
        <v>34.68</v>
      </c>
    </row>
    <row r="1305" spans="1:4" x14ac:dyDescent="0.2">
      <c r="A1305" s="574">
        <v>34753</v>
      </c>
      <c r="B1305" s="574" t="s">
        <v>6843</v>
      </c>
      <c r="C1305" s="574" t="s">
        <v>5626</v>
      </c>
      <c r="D1305" s="582">
        <v>0.69</v>
      </c>
    </row>
    <row r="1306" spans="1:4" x14ac:dyDescent="0.2">
      <c r="A1306" s="574">
        <v>420</v>
      </c>
      <c r="B1306" s="574" t="s">
        <v>6844</v>
      </c>
      <c r="C1306" s="574" t="s">
        <v>5555</v>
      </c>
      <c r="D1306" s="582">
        <v>20.309999999999999</v>
      </c>
    </row>
    <row r="1307" spans="1:4" x14ac:dyDescent="0.2">
      <c r="A1307" s="574">
        <v>12327</v>
      </c>
      <c r="B1307" s="574" t="s">
        <v>6845</v>
      </c>
      <c r="C1307" s="574" t="s">
        <v>5555</v>
      </c>
      <c r="D1307" s="582">
        <v>24.19</v>
      </c>
    </row>
    <row r="1308" spans="1:4" x14ac:dyDescent="0.2">
      <c r="A1308" s="574">
        <v>36148</v>
      </c>
      <c r="B1308" s="574" t="s">
        <v>6846</v>
      </c>
      <c r="C1308" s="574" t="s">
        <v>5555</v>
      </c>
      <c r="D1308" s="582">
        <v>58.8</v>
      </c>
    </row>
    <row r="1309" spans="1:4" x14ac:dyDescent="0.2">
      <c r="A1309" s="574">
        <v>12329</v>
      </c>
      <c r="B1309" s="574" t="s">
        <v>6847</v>
      </c>
      <c r="C1309" s="574" t="s">
        <v>5626</v>
      </c>
      <c r="D1309" s="582">
        <v>90.8</v>
      </c>
    </row>
    <row r="1310" spans="1:4" x14ac:dyDescent="0.2">
      <c r="A1310" s="574">
        <v>1339</v>
      </c>
      <c r="B1310" s="574" t="s">
        <v>6848</v>
      </c>
      <c r="C1310" s="574" t="s">
        <v>5626</v>
      </c>
      <c r="D1310" s="582">
        <v>30.27</v>
      </c>
    </row>
    <row r="1311" spans="1:4" x14ac:dyDescent="0.2">
      <c r="A1311" s="574">
        <v>11849</v>
      </c>
      <c r="B1311" s="574" t="s">
        <v>6849</v>
      </c>
      <c r="C1311" s="574" t="s">
        <v>5628</v>
      </c>
      <c r="D1311" s="582">
        <v>11.47</v>
      </c>
    </row>
    <row r="1312" spans="1:4" x14ac:dyDescent="0.2">
      <c r="A1312" s="574">
        <v>37418</v>
      </c>
      <c r="B1312" s="574" t="s">
        <v>6850</v>
      </c>
      <c r="C1312" s="574" t="s">
        <v>5555</v>
      </c>
      <c r="D1312" s="582">
        <v>15.12</v>
      </c>
    </row>
    <row r="1313" spans="1:4" x14ac:dyDescent="0.2">
      <c r="A1313" s="574">
        <v>37419</v>
      </c>
      <c r="B1313" s="574" t="s">
        <v>6851</v>
      </c>
      <c r="C1313" s="574" t="s">
        <v>5555</v>
      </c>
      <c r="D1313" s="582">
        <v>15.53</v>
      </c>
    </row>
    <row r="1314" spans="1:4" x14ac:dyDescent="0.2">
      <c r="A1314" s="574">
        <v>1427</v>
      </c>
      <c r="B1314" s="574" t="s">
        <v>6852</v>
      </c>
      <c r="C1314" s="574" t="s">
        <v>5555</v>
      </c>
      <c r="D1314" s="582">
        <v>14.07</v>
      </c>
    </row>
    <row r="1315" spans="1:4" x14ac:dyDescent="0.2">
      <c r="A1315" s="574">
        <v>1402</v>
      </c>
      <c r="B1315" s="574" t="s">
        <v>6853</v>
      </c>
      <c r="C1315" s="574" t="s">
        <v>5555</v>
      </c>
      <c r="D1315" s="582">
        <v>4.87</v>
      </c>
    </row>
    <row r="1316" spans="1:4" x14ac:dyDescent="0.2">
      <c r="A1316" s="574">
        <v>1420</v>
      </c>
      <c r="B1316" s="574" t="s">
        <v>6854</v>
      </c>
      <c r="C1316" s="574" t="s">
        <v>5555</v>
      </c>
      <c r="D1316" s="582">
        <v>6.26</v>
      </c>
    </row>
    <row r="1317" spans="1:4" x14ac:dyDescent="0.2">
      <c r="A1317" s="574">
        <v>1419</v>
      </c>
      <c r="B1317" s="574" t="s">
        <v>6855</v>
      </c>
      <c r="C1317" s="574" t="s">
        <v>5555</v>
      </c>
      <c r="D1317" s="582">
        <v>7.56</v>
      </c>
    </row>
    <row r="1318" spans="1:4" x14ac:dyDescent="0.2">
      <c r="A1318" s="574">
        <v>1414</v>
      </c>
      <c r="B1318" s="574" t="s">
        <v>6856</v>
      </c>
      <c r="C1318" s="574" t="s">
        <v>5555</v>
      </c>
      <c r="D1318" s="582">
        <v>7.4</v>
      </c>
    </row>
    <row r="1319" spans="1:4" x14ac:dyDescent="0.2">
      <c r="A1319" s="574">
        <v>1413</v>
      </c>
      <c r="B1319" s="574" t="s">
        <v>6857</v>
      </c>
      <c r="C1319" s="574" t="s">
        <v>5555</v>
      </c>
      <c r="D1319" s="582">
        <v>10.93</v>
      </c>
    </row>
    <row r="1320" spans="1:4" x14ac:dyDescent="0.2">
      <c r="A1320" s="574">
        <v>1412</v>
      </c>
      <c r="B1320" s="574" t="s">
        <v>6858</v>
      </c>
      <c r="C1320" s="574" t="s">
        <v>5555</v>
      </c>
      <c r="D1320" s="582">
        <v>9.26</v>
      </c>
    </row>
    <row r="1321" spans="1:4" x14ac:dyDescent="0.2">
      <c r="A1321" s="574">
        <v>1411</v>
      </c>
      <c r="B1321" s="574" t="s">
        <v>6859</v>
      </c>
      <c r="C1321" s="574" t="s">
        <v>5555</v>
      </c>
      <c r="D1321" s="582">
        <v>16.84</v>
      </c>
    </row>
    <row r="1322" spans="1:4" x14ac:dyDescent="0.2">
      <c r="A1322" s="574">
        <v>1406</v>
      </c>
      <c r="B1322" s="574" t="s">
        <v>6860</v>
      </c>
      <c r="C1322" s="574" t="s">
        <v>5555</v>
      </c>
      <c r="D1322" s="582">
        <v>11.17</v>
      </c>
    </row>
    <row r="1323" spans="1:4" x14ac:dyDescent="0.2">
      <c r="A1323" s="574">
        <v>1407</v>
      </c>
      <c r="B1323" s="574" t="s">
        <v>6861</v>
      </c>
      <c r="C1323" s="574" t="s">
        <v>5555</v>
      </c>
      <c r="D1323" s="582">
        <v>13.93</v>
      </c>
    </row>
    <row r="1324" spans="1:4" x14ac:dyDescent="0.2">
      <c r="A1324" s="574">
        <v>1404</v>
      </c>
      <c r="B1324" s="574" t="s">
        <v>6862</v>
      </c>
      <c r="C1324" s="574" t="s">
        <v>5555</v>
      </c>
      <c r="D1324" s="582">
        <v>14.81</v>
      </c>
    </row>
    <row r="1325" spans="1:4" x14ac:dyDescent="0.2">
      <c r="A1325" s="574">
        <v>11281</v>
      </c>
      <c r="B1325" s="574" t="s">
        <v>6863</v>
      </c>
      <c r="C1325" s="574" t="s">
        <v>5555</v>
      </c>
      <c r="D1325" s="583">
        <v>7805</v>
      </c>
    </row>
    <row r="1326" spans="1:4" x14ac:dyDescent="0.2">
      <c r="A1326" s="574">
        <v>1442</v>
      </c>
      <c r="B1326" s="574" t="s">
        <v>6864</v>
      </c>
      <c r="C1326" s="574" t="s">
        <v>5555</v>
      </c>
      <c r="D1326" s="583">
        <v>6552.24</v>
      </c>
    </row>
    <row r="1327" spans="1:4" x14ac:dyDescent="0.2">
      <c r="A1327" s="574">
        <v>13457</v>
      </c>
      <c r="B1327" s="574" t="s">
        <v>6865</v>
      </c>
      <c r="C1327" s="574" t="s">
        <v>5555</v>
      </c>
      <c r="D1327" s="583">
        <v>5655.79</v>
      </c>
    </row>
    <row r="1328" spans="1:4" x14ac:dyDescent="0.2">
      <c r="A1328" s="574">
        <v>40699</v>
      </c>
      <c r="B1328" s="574" t="s">
        <v>6866</v>
      </c>
      <c r="C1328" s="574" t="s">
        <v>5555</v>
      </c>
      <c r="D1328" s="583">
        <v>4372.1400000000003</v>
      </c>
    </row>
    <row r="1329" spans="1:4" x14ac:dyDescent="0.2">
      <c r="A1329" s="574">
        <v>40701</v>
      </c>
      <c r="B1329" s="574" t="s">
        <v>6867</v>
      </c>
      <c r="C1329" s="574" t="s">
        <v>5555</v>
      </c>
      <c r="D1329" s="583">
        <v>77305.52</v>
      </c>
    </row>
    <row r="1330" spans="1:4" x14ac:dyDescent="0.2">
      <c r="A1330" s="574">
        <v>40700</v>
      </c>
      <c r="B1330" s="574" t="s">
        <v>6868</v>
      </c>
      <c r="C1330" s="574" t="s">
        <v>5555</v>
      </c>
      <c r="D1330" s="583">
        <v>10177.780000000001</v>
      </c>
    </row>
    <row r="1331" spans="1:4" x14ac:dyDescent="0.2">
      <c r="A1331" s="574">
        <v>13458</v>
      </c>
      <c r="B1331" s="574" t="s">
        <v>6869</v>
      </c>
      <c r="C1331" s="574" t="s">
        <v>5555</v>
      </c>
      <c r="D1331" s="583">
        <v>9671.41</v>
      </c>
    </row>
    <row r="1332" spans="1:4" x14ac:dyDescent="0.2">
      <c r="A1332" s="574">
        <v>36524</v>
      </c>
      <c r="B1332" s="574" t="s">
        <v>6870</v>
      </c>
      <c r="C1332" s="574" t="s">
        <v>5555</v>
      </c>
      <c r="D1332" s="583">
        <v>102126.26</v>
      </c>
    </row>
    <row r="1333" spans="1:4" x14ac:dyDescent="0.2">
      <c r="A1333" s="574">
        <v>36526</v>
      </c>
      <c r="B1333" s="574" t="s">
        <v>6871</v>
      </c>
      <c r="C1333" s="574" t="s">
        <v>5555</v>
      </c>
      <c r="D1333" s="583">
        <v>82297.5</v>
      </c>
    </row>
    <row r="1334" spans="1:4" x14ac:dyDescent="0.2">
      <c r="A1334" s="574">
        <v>36523</v>
      </c>
      <c r="B1334" s="574" t="s">
        <v>6872</v>
      </c>
      <c r="C1334" s="574" t="s">
        <v>5555</v>
      </c>
      <c r="D1334" s="583">
        <v>176187.85</v>
      </c>
    </row>
    <row r="1335" spans="1:4" x14ac:dyDescent="0.2">
      <c r="A1335" s="574">
        <v>36527</v>
      </c>
      <c r="B1335" s="574" t="s">
        <v>6873</v>
      </c>
      <c r="C1335" s="574" t="s">
        <v>5555</v>
      </c>
      <c r="D1335" s="583">
        <v>191376.29</v>
      </c>
    </row>
    <row r="1336" spans="1:4" x14ac:dyDescent="0.2">
      <c r="A1336" s="574">
        <v>13803</v>
      </c>
      <c r="B1336" s="574" t="s">
        <v>6874</v>
      </c>
      <c r="C1336" s="574" t="s">
        <v>5555</v>
      </c>
      <c r="D1336" s="583">
        <v>69200</v>
      </c>
    </row>
    <row r="1337" spans="1:4" x14ac:dyDescent="0.2">
      <c r="A1337" s="574">
        <v>38642</v>
      </c>
      <c r="B1337" s="574" t="s">
        <v>6875</v>
      </c>
      <c r="C1337" s="574" t="s">
        <v>5555</v>
      </c>
      <c r="D1337" s="583">
        <v>44557.31</v>
      </c>
    </row>
    <row r="1338" spans="1:4" x14ac:dyDescent="0.2">
      <c r="A1338" s="574">
        <v>36522</v>
      </c>
      <c r="B1338" s="574" t="s">
        <v>6876</v>
      </c>
      <c r="C1338" s="574" t="s">
        <v>5555</v>
      </c>
      <c r="D1338" s="583">
        <v>51819.62</v>
      </c>
    </row>
    <row r="1339" spans="1:4" x14ac:dyDescent="0.2">
      <c r="A1339" s="574">
        <v>36525</v>
      </c>
      <c r="B1339" s="574" t="s">
        <v>6877</v>
      </c>
      <c r="C1339" s="574" t="s">
        <v>5555</v>
      </c>
      <c r="D1339" s="583">
        <v>69398.570000000007</v>
      </c>
    </row>
    <row r="1340" spans="1:4" x14ac:dyDescent="0.2">
      <c r="A1340" s="574">
        <v>41991</v>
      </c>
      <c r="B1340" s="574" t="s">
        <v>6878</v>
      </c>
      <c r="C1340" s="574" t="s">
        <v>5555</v>
      </c>
      <c r="D1340" s="583">
        <v>2564.37</v>
      </c>
    </row>
    <row r="1341" spans="1:4" x14ac:dyDescent="0.2">
      <c r="A1341" s="574">
        <v>34348</v>
      </c>
      <c r="B1341" s="574" t="s">
        <v>6879</v>
      </c>
      <c r="C1341" s="574" t="s">
        <v>5575</v>
      </c>
      <c r="D1341" s="582">
        <v>14.43</v>
      </c>
    </row>
    <row r="1342" spans="1:4" x14ac:dyDescent="0.2">
      <c r="A1342" s="574">
        <v>34347</v>
      </c>
      <c r="B1342" s="574" t="s">
        <v>6880</v>
      </c>
      <c r="C1342" s="574" t="s">
        <v>5575</v>
      </c>
      <c r="D1342" s="582">
        <v>10.32</v>
      </c>
    </row>
    <row r="1343" spans="1:4" x14ac:dyDescent="0.2">
      <c r="A1343" s="574">
        <v>11146</v>
      </c>
      <c r="B1343" s="574" t="s">
        <v>6881</v>
      </c>
      <c r="C1343" s="574" t="s">
        <v>5751</v>
      </c>
      <c r="D1343" s="582">
        <v>455.99</v>
      </c>
    </row>
    <row r="1344" spans="1:4" x14ac:dyDescent="0.2">
      <c r="A1344" s="574">
        <v>11147</v>
      </c>
      <c r="B1344" s="574" t="s">
        <v>6882</v>
      </c>
      <c r="C1344" s="574" t="s">
        <v>5751</v>
      </c>
      <c r="D1344" s="582">
        <v>473.84</v>
      </c>
    </row>
    <row r="1345" spans="1:4" x14ac:dyDescent="0.2">
      <c r="A1345" s="574">
        <v>34872</v>
      </c>
      <c r="B1345" s="574" t="s">
        <v>6883</v>
      </c>
      <c r="C1345" s="574" t="s">
        <v>5751</v>
      </c>
      <c r="D1345" s="582">
        <v>479.16</v>
      </c>
    </row>
    <row r="1346" spans="1:4" x14ac:dyDescent="0.2">
      <c r="A1346" s="574">
        <v>34491</v>
      </c>
      <c r="B1346" s="574" t="s">
        <v>6884</v>
      </c>
      <c r="C1346" s="574" t="s">
        <v>5751</v>
      </c>
      <c r="D1346" s="582">
        <v>493.05</v>
      </c>
    </row>
    <row r="1347" spans="1:4" x14ac:dyDescent="0.2">
      <c r="A1347" s="574">
        <v>34770</v>
      </c>
      <c r="B1347" s="574" t="s">
        <v>6885</v>
      </c>
      <c r="C1347" s="574" t="s">
        <v>6708</v>
      </c>
      <c r="D1347" s="582">
        <v>320.27999999999997</v>
      </c>
    </row>
    <row r="1348" spans="1:4" x14ac:dyDescent="0.2">
      <c r="A1348" s="574">
        <v>1518</v>
      </c>
      <c r="B1348" s="574" t="s">
        <v>6886</v>
      </c>
      <c r="C1348" s="574" t="s">
        <v>6708</v>
      </c>
      <c r="D1348" s="582">
        <v>326.52</v>
      </c>
    </row>
    <row r="1349" spans="1:4" x14ac:dyDescent="0.2">
      <c r="A1349" s="574">
        <v>41965</v>
      </c>
      <c r="B1349" s="574" t="s">
        <v>6887</v>
      </c>
      <c r="C1349" s="574" t="s">
        <v>6708</v>
      </c>
      <c r="D1349" s="582">
        <v>316.33</v>
      </c>
    </row>
    <row r="1350" spans="1:4" x14ac:dyDescent="0.2">
      <c r="A1350" s="574">
        <v>34492</v>
      </c>
      <c r="B1350" s="574" t="s">
        <v>6888</v>
      </c>
      <c r="C1350" s="574" t="s">
        <v>5751</v>
      </c>
      <c r="D1350" s="582">
        <v>405.24</v>
      </c>
    </row>
    <row r="1351" spans="1:4" x14ac:dyDescent="0.2">
      <c r="A1351" s="574">
        <v>1524</v>
      </c>
      <c r="B1351" s="574" t="s">
        <v>6889</v>
      </c>
      <c r="C1351" s="574" t="s">
        <v>5751</v>
      </c>
      <c r="D1351" s="582">
        <v>437.5</v>
      </c>
    </row>
    <row r="1352" spans="1:4" x14ac:dyDescent="0.2">
      <c r="A1352" s="574">
        <v>38404</v>
      </c>
      <c r="B1352" s="574" t="s">
        <v>6890</v>
      </c>
      <c r="C1352" s="574" t="s">
        <v>5751</v>
      </c>
      <c r="D1352" s="582">
        <v>419.75</v>
      </c>
    </row>
    <row r="1353" spans="1:4" x14ac:dyDescent="0.2">
      <c r="A1353" s="574">
        <v>39849</v>
      </c>
      <c r="B1353" s="574" t="s">
        <v>6891</v>
      </c>
      <c r="C1353" s="574" t="s">
        <v>5751</v>
      </c>
      <c r="D1353" s="582">
        <v>481.04</v>
      </c>
    </row>
    <row r="1354" spans="1:4" x14ac:dyDescent="0.2">
      <c r="A1354" s="574">
        <v>38464</v>
      </c>
      <c r="B1354" s="574" t="s">
        <v>6892</v>
      </c>
      <c r="C1354" s="574" t="s">
        <v>5751</v>
      </c>
      <c r="D1354" s="582">
        <v>488.02</v>
      </c>
    </row>
    <row r="1355" spans="1:4" x14ac:dyDescent="0.2">
      <c r="A1355" s="574">
        <v>34493</v>
      </c>
      <c r="B1355" s="574" t="s">
        <v>6893</v>
      </c>
      <c r="C1355" s="574" t="s">
        <v>5751</v>
      </c>
      <c r="D1355" s="582">
        <v>416.66</v>
      </c>
    </row>
    <row r="1356" spans="1:4" x14ac:dyDescent="0.2">
      <c r="A1356" s="574">
        <v>1527</v>
      </c>
      <c r="B1356" s="574" t="s">
        <v>6894</v>
      </c>
      <c r="C1356" s="574" t="s">
        <v>5751</v>
      </c>
      <c r="D1356" s="582">
        <v>451.38</v>
      </c>
    </row>
    <row r="1357" spans="1:4" x14ac:dyDescent="0.2">
      <c r="A1357" s="574">
        <v>38405</v>
      </c>
      <c r="B1357" s="574" t="s">
        <v>6895</v>
      </c>
      <c r="C1357" s="574" t="s">
        <v>5751</v>
      </c>
      <c r="D1357" s="582">
        <v>432.7</v>
      </c>
    </row>
    <row r="1358" spans="1:4" x14ac:dyDescent="0.2">
      <c r="A1358" s="574">
        <v>38408</v>
      </c>
      <c r="B1358" s="574" t="s">
        <v>6896</v>
      </c>
      <c r="C1358" s="574" t="s">
        <v>5751</v>
      </c>
      <c r="D1358" s="582">
        <v>478.95</v>
      </c>
    </row>
    <row r="1359" spans="1:4" x14ac:dyDescent="0.2">
      <c r="A1359" s="574">
        <v>34494</v>
      </c>
      <c r="B1359" s="574" t="s">
        <v>6897</v>
      </c>
      <c r="C1359" s="574" t="s">
        <v>5751</v>
      </c>
      <c r="D1359" s="582">
        <v>430.55</v>
      </c>
    </row>
    <row r="1360" spans="1:4" x14ac:dyDescent="0.2">
      <c r="A1360" s="574">
        <v>1525</v>
      </c>
      <c r="B1360" s="574" t="s">
        <v>6898</v>
      </c>
      <c r="C1360" s="574" t="s">
        <v>5751</v>
      </c>
      <c r="D1360" s="582">
        <v>465.27</v>
      </c>
    </row>
    <row r="1361" spans="1:4" x14ac:dyDescent="0.2">
      <c r="A1361" s="574">
        <v>38406</v>
      </c>
      <c r="B1361" s="574" t="s">
        <v>6899</v>
      </c>
      <c r="C1361" s="574" t="s">
        <v>5751</v>
      </c>
      <c r="D1361" s="582">
        <v>456.9</v>
      </c>
    </row>
    <row r="1362" spans="1:4" x14ac:dyDescent="0.2">
      <c r="A1362" s="574">
        <v>38409</v>
      </c>
      <c r="B1362" s="574" t="s">
        <v>6900</v>
      </c>
      <c r="C1362" s="574" t="s">
        <v>5751</v>
      </c>
      <c r="D1362" s="582">
        <v>482.22</v>
      </c>
    </row>
    <row r="1363" spans="1:4" x14ac:dyDescent="0.2">
      <c r="A1363" s="574">
        <v>43360</v>
      </c>
      <c r="B1363" s="574" t="s">
        <v>13582</v>
      </c>
      <c r="C1363" s="574" t="s">
        <v>5751</v>
      </c>
      <c r="D1363" s="582">
        <v>502.81</v>
      </c>
    </row>
    <row r="1364" spans="1:4" x14ac:dyDescent="0.2">
      <c r="A1364" s="574">
        <v>34495</v>
      </c>
      <c r="B1364" s="574" t="s">
        <v>6901</v>
      </c>
      <c r="C1364" s="574" t="s">
        <v>5751</v>
      </c>
      <c r="D1364" s="582">
        <v>444.44</v>
      </c>
    </row>
    <row r="1365" spans="1:4" x14ac:dyDescent="0.2">
      <c r="A1365" s="574">
        <v>11145</v>
      </c>
      <c r="B1365" s="574" t="s">
        <v>6902</v>
      </c>
      <c r="C1365" s="574" t="s">
        <v>5751</v>
      </c>
      <c r="D1365" s="582">
        <v>479.16</v>
      </c>
    </row>
    <row r="1366" spans="1:4" x14ac:dyDescent="0.2">
      <c r="A1366" s="574">
        <v>34496</v>
      </c>
      <c r="B1366" s="574" t="s">
        <v>6903</v>
      </c>
      <c r="C1366" s="574" t="s">
        <v>5751</v>
      </c>
      <c r="D1366" s="582">
        <v>463.63</v>
      </c>
    </row>
    <row r="1367" spans="1:4" x14ac:dyDescent="0.2">
      <c r="A1367" s="574">
        <v>34479</v>
      </c>
      <c r="B1367" s="574" t="s">
        <v>6904</v>
      </c>
      <c r="C1367" s="574" t="s">
        <v>5751</v>
      </c>
      <c r="D1367" s="582">
        <v>493.05</v>
      </c>
    </row>
    <row r="1368" spans="1:4" x14ac:dyDescent="0.2">
      <c r="A1368" s="574">
        <v>34481</v>
      </c>
      <c r="B1368" s="574" t="s">
        <v>6905</v>
      </c>
      <c r="C1368" s="574" t="s">
        <v>5751</v>
      </c>
      <c r="D1368" s="582">
        <v>515.17999999999995</v>
      </c>
    </row>
    <row r="1369" spans="1:4" x14ac:dyDescent="0.2">
      <c r="A1369" s="574">
        <v>34483</v>
      </c>
      <c r="B1369" s="574" t="s">
        <v>6906</v>
      </c>
      <c r="C1369" s="574" t="s">
        <v>5751</v>
      </c>
      <c r="D1369" s="582">
        <v>550.42999999999995</v>
      </c>
    </row>
    <row r="1370" spans="1:4" x14ac:dyDescent="0.2">
      <c r="A1370" s="574">
        <v>34485</v>
      </c>
      <c r="B1370" s="574" t="s">
        <v>6907</v>
      </c>
      <c r="C1370" s="574" t="s">
        <v>5751</v>
      </c>
      <c r="D1370" s="582">
        <v>588.63</v>
      </c>
    </row>
    <row r="1371" spans="1:4" x14ac:dyDescent="0.2">
      <c r="A1371" s="574">
        <v>14041</v>
      </c>
      <c r="B1371" s="574" t="s">
        <v>6909</v>
      </c>
      <c r="C1371" s="574" t="s">
        <v>5751</v>
      </c>
      <c r="D1371" s="582">
        <v>382.63</v>
      </c>
    </row>
    <row r="1372" spans="1:4" x14ac:dyDescent="0.2">
      <c r="A1372" s="574">
        <v>1523</v>
      </c>
      <c r="B1372" s="574" t="s">
        <v>6910</v>
      </c>
      <c r="C1372" s="574" t="s">
        <v>5751</v>
      </c>
      <c r="D1372" s="582">
        <v>388.88</v>
      </c>
    </row>
    <row r="1373" spans="1:4" x14ac:dyDescent="0.2">
      <c r="A1373" s="574">
        <v>14052</v>
      </c>
      <c r="B1373" s="574" t="s">
        <v>6911</v>
      </c>
      <c r="C1373" s="574" t="s">
        <v>5555</v>
      </c>
      <c r="D1373" s="582">
        <v>11.71</v>
      </c>
    </row>
    <row r="1374" spans="1:4" x14ac:dyDescent="0.2">
      <c r="A1374" s="574">
        <v>14054</v>
      </c>
      <c r="B1374" s="574" t="s">
        <v>6912</v>
      </c>
      <c r="C1374" s="574" t="s">
        <v>5555</v>
      </c>
      <c r="D1374" s="582">
        <v>15.22</v>
      </c>
    </row>
    <row r="1375" spans="1:4" x14ac:dyDescent="0.2">
      <c r="A1375" s="574">
        <v>14053</v>
      </c>
      <c r="B1375" s="574" t="s">
        <v>6913</v>
      </c>
      <c r="C1375" s="574" t="s">
        <v>5555</v>
      </c>
      <c r="D1375" s="582">
        <v>11.89</v>
      </c>
    </row>
    <row r="1376" spans="1:4" x14ac:dyDescent="0.2">
      <c r="A1376" s="574">
        <v>2558</v>
      </c>
      <c r="B1376" s="574" t="s">
        <v>6914</v>
      </c>
      <c r="C1376" s="574" t="s">
        <v>5555</v>
      </c>
      <c r="D1376" s="582">
        <v>8.9499999999999993</v>
      </c>
    </row>
    <row r="1377" spans="1:4" x14ac:dyDescent="0.2">
      <c r="A1377" s="574">
        <v>2560</v>
      </c>
      <c r="B1377" s="574" t="s">
        <v>6915</v>
      </c>
      <c r="C1377" s="574" t="s">
        <v>5555</v>
      </c>
      <c r="D1377" s="582">
        <v>15.75</v>
      </c>
    </row>
    <row r="1378" spans="1:4" x14ac:dyDescent="0.2">
      <c r="A1378" s="574">
        <v>2559</v>
      </c>
      <c r="B1378" s="574" t="s">
        <v>6916</v>
      </c>
      <c r="C1378" s="574" t="s">
        <v>5555</v>
      </c>
      <c r="D1378" s="582">
        <v>12.6</v>
      </c>
    </row>
    <row r="1379" spans="1:4" x14ac:dyDescent="0.2">
      <c r="A1379" s="574">
        <v>2592</v>
      </c>
      <c r="B1379" s="574" t="s">
        <v>6917</v>
      </c>
      <c r="C1379" s="574" t="s">
        <v>5555</v>
      </c>
      <c r="D1379" s="582">
        <v>208.88</v>
      </c>
    </row>
    <row r="1380" spans="1:4" x14ac:dyDescent="0.2">
      <c r="A1380" s="574">
        <v>2566</v>
      </c>
      <c r="B1380" s="574" t="s">
        <v>6918</v>
      </c>
      <c r="C1380" s="574" t="s">
        <v>5555</v>
      </c>
      <c r="D1380" s="582">
        <v>21.02</v>
      </c>
    </row>
    <row r="1381" spans="1:4" x14ac:dyDescent="0.2">
      <c r="A1381" s="574">
        <v>2589</v>
      </c>
      <c r="B1381" s="574" t="s">
        <v>6919</v>
      </c>
      <c r="C1381" s="574" t="s">
        <v>5555</v>
      </c>
      <c r="D1381" s="582">
        <v>27.94</v>
      </c>
    </row>
    <row r="1382" spans="1:4" x14ac:dyDescent="0.2">
      <c r="A1382" s="574">
        <v>2591</v>
      </c>
      <c r="B1382" s="574" t="s">
        <v>6920</v>
      </c>
      <c r="C1382" s="574" t="s">
        <v>5555</v>
      </c>
      <c r="D1382" s="582">
        <v>10.19</v>
      </c>
    </row>
    <row r="1383" spans="1:4" x14ac:dyDescent="0.2">
      <c r="A1383" s="574">
        <v>2590</v>
      </c>
      <c r="B1383" s="574" t="s">
        <v>6921</v>
      </c>
      <c r="C1383" s="574" t="s">
        <v>5555</v>
      </c>
      <c r="D1383" s="582">
        <v>17.14</v>
      </c>
    </row>
    <row r="1384" spans="1:4" x14ac:dyDescent="0.2">
      <c r="A1384" s="574">
        <v>2567</v>
      </c>
      <c r="B1384" s="574" t="s">
        <v>6922</v>
      </c>
      <c r="C1384" s="574" t="s">
        <v>5555</v>
      </c>
      <c r="D1384" s="582">
        <v>40.98</v>
      </c>
    </row>
    <row r="1385" spans="1:4" x14ac:dyDescent="0.2">
      <c r="A1385" s="574">
        <v>2565</v>
      </c>
      <c r="B1385" s="574" t="s">
        <v>6923</v>
      </c>
      <c r="C1385" s="574" t="s">
        <v>5555</v>
      </c>
      <c r="D1385" s="582">
        <v>10.210000000000001</v>
      </c>
    </row>
    <row r="1386" spans="1:4" x14ac:dyDescent="0.2">
      <c r="A1386" s="574">
        <v>2568</v>
      </c>
      <c r="B1386" s="574" t="s">
        <v>6924</v>
      </c>
      <c r="C1386" s="574" t="s">
        <v>5555</v>
      </c>
      <c r="D1386" s="582">
        <v>113.8</v>
      </c>
    </row>
    <row r="1387" spans="1:4" x14ac:dyDescent="0.2">
      <c r="A1387" s="574">
        <v>2594</v>
      </c>
      <c r="B1387" s="574" t="s">
        <v>6925</v>
      </c>
      <c r="C1387" s="574" t="s">
        <v>5555</v>
      </c>
      <c r="D1387" s="582">
        <v>189.59</v>
      </c>
    </row>
    <row r="1388" spans="1:4" x14ac:dyDescent="0.2">
      <c r="A1388" s="574">
        <v>2587</v>
      </c>
      <c r="B1388" s="574" t="s">
        <v>6926</v>
      </c>
      <c r="C1388" s="574" t="s">
        <v>5555</v>
      </c>
      <c r="D1388" s="582">
        <v>32.31</v>
      </c>
    </row>
    <row r="1389" spans="1:4" x14ac:dyDescent="0.2">
      <c r="A1389" s="574">
        <v>2588</v>
      </c>
      <c r="B1389" s="574" t="s">
        <v>6927</v>
      </c>
      <c r="C1389" s="574" t="s">
        <v>5555</v>
      </c>
      <c r="D1389" s="582">
        <v>25.66</v>
      </c>
    </row>
    <row r="1390" spans="1:4" x14ac:dyDescent="0.2">
      <c r="A1390" s="574">
        <v>2569</v>
      </c>
      <c r="B1390" s="574" t="s">
        <v>6928</v>
      </c>
      <c r="C1390" s="574" t="s">
        <v>5555</v>
      </c>
      <c r="D1390" s="582">
        <v>9.89</v>
      </c>
    </row>
    <row r="1391" spans="1:4" x14ac:dyDescent="0.2">
      <c r="A1391" s="574">
        <v>2570</v>
      </c>
      <c r="B1391" s="574" t="s">
        <v>6929</v>
      </c>
      <c r="C1391" s="574" t="s">
        <v>5555</v>
      </c>
      <c r="D1391" s="582">
        <v>16.579999999999998</v>
      </c>
    </row>
    <row r="1392" spans="1:4" x14ac:dyDescent="0.2">
      <c r="A1392" s="574">
        <v>2571</v>
      </c>
      <c r="B1392" s="574" t="s">
        <v>6930</v>
      </c>
      <c r="C1392" s="574" t="s">
        <v>5555</v>
      </c>
      <c r="D1392" s="582">
        <v>49.21</v>
      </c>
    </row>
    <row r="1393" spans="1:4" x14ac:dyDescent="0.2">
      <c r="A1393" s="574">
        <v>2593</v>
      </c>
      <c r="B1393" s="574" t="s">
        <v>6931</v>
      </c>
      <c r="C1393" s="574" t="s">
        <v>5555</v>
      </c>
      <c r="D1393" s="582">
        <v>10.54</v>
      </c>
    </row>
    <row r="1394" spans="1:4" x14ac:dyDescent="0.2">
      <c r="A1394" s="574">
        <v>2572</v>
      </c>
      <c r="B1394" s="574" t="s">
        <v>6932</v>
      </c>
      <c r="C1394" s="574" t="s">
        <v>5555</v>
      </c>
      <c r="D1394" s="582">
        <v>145.53</v>
      </c>
    </row>
    <row r="1395" spans="1:4" x14ac:dyDescent="0.2">
      <c r="A1395" s="574">
        <v>2595</v>
      </c>
      <c r="B1395" s="574" t="s">
        <v>6933</v>
      </c>
      <c r="C1395" s="574" t="s">
        <v>5555</v>
      </c>
      <c r="D1395" s="582">
        <v>227.06</v>
      </c>
    </row>
    <row r="1396" spans="1:4" x14ac:dyDescent="0.2">
      <c r="A1396" s="574">
        <v>2576</v>
      </c>
      <c r="B1396" s="574" t="s">
        <v>6934</v>
      </c>
      <c r="C1396" s="574" t="s">
        <v>5555</v>
      </c>
      <c r="D1396" s="582">
        <v>38.71</v>
      </c>
    </row>
    <row r="1397" spans="1:4" x14ac:dyDescent="0.2">
      <c r="A1397" s="574">
        <v>2575</v>
      </c>
      <c r="B1397" s="574" t="s">
        <v>6935</v>
      </c>
      <c r="C1397" s="574" t="s">
        <v>5555</v>
      </c>
      <c r="D1397" s="582">
        <v>29.1</v>
      </c>
    </row>
    <row r="1398" spans="1:4" x14ac:dyDescent="0.2">
      <c r="A1398" s="574">
        <v>2573</v>
      </c>
      <c r="B1398" s="574" t="s">
        <v>6936</v>
      </c>
      <c r="C1398" s="574" t="s">
        <v>5555</v>
      </c>
      <c r="D1398" s="582">
        <v>12.08</v>
      </c>
    </row>
    <row r="1399" spans="1:4" x14ac:dyDescent="0.2">
      <c r="A1399" s="574">
        <v>2586</v>
      </c>
      <c r="B1399" s="574" t="s">
        <v>6937</v>
      </c>
      <c r="C1399" s="574" t="s">
        <v>5555</v>
      </c>
      <c r="D1399" s="582">
        <v>19.59</v>
      </c>
    </row>
    <row r="1400" spans="1:4" x14ac:dyDescent="0.2">
      <c r="A1400" s="574">
        <v>2577</v>
      </c>
      <c r="B1400" s="574" t="s">
        <v>6938</v>
      </c>
      <c r="C1400" s="574" t="s">
        <v>5555</v>
      </c>
      <c r="D1400" s="582">
        <v>52.45</v>
      </c>
    </row>
    <row r="1401" spans="1:4" x14ac:dyDescent="0.2">
      <c r="A1401" s="574">
        <v>2574</v>
      </c>
      <c r="B1401" s="574" t="s">
        <v>6939</v>
      </c>
      <c r="C1401" s="574" t="s">
        <v>5555</v>
      </c>
      <c r="D1401" s="582">
        <v>12.16</v>
      </c>
    </row>
    <row r="1402" spans="1:4" x14ac:dyDescent="0.2">
      <c r="A1402" s="574">
        <v>2578</v>
      </c>
      <c r="B1402" s="574" t="s">
        <v>6940</v>
      </c>
      <c r="C1402" s="574" t="s">
        <v>5555</v>
      </c>
      <c r="D1402" s="582">
        <v>163.75</v>
      </c>
    </row>
    <row r="1403" spans="1:4" x14ac:dyDescent="0.2">
      <c r="A1403" s="574">
        <v>2585</v>
      </c>
      <c r="B1403" s="574" t="s">
        <v>6941</v>
      </c>
      <c r="C1403" s="574" t="s">
        <v>5555</v>
      </c>
      <c r="D1403" s="582">
        <v>224.71</v>
      </c>
    </row>
    <row r="1404" spans="1:4" x14ac:dyDescent="0.2">
      <c r="A1404" s="574">
        <v>12008</v>
      </c>
      <c r="B1404" s="574" t="s">
        <v>6942</v>
      </c>
      <c r="C1404" s="574" t="s">
        <v>5555</v>
      </c>
      <c r="D1404" s="582">
        <v>120.56</v>
      </c>
    </row>
    <row r="1405" spans="1:4" x14ac:dyDescent="0.2">
      <c r="A1405" s="574">
        <v>2582</v>
      </c>
      <c r="B1405" s="574" t="s">
        <v>6943</v>
      </c>
      <c r="C1405" s="574" t="s">
        <v>5555</v>
      </c>
      <c r="D1405" s="582">
        <v>35.9</v>
      </c>
    </row>
    <row r="1406" spans="1:4" x14ac:dyDescent="0.2">
      <c r="A1406" s="574">
        <v>2597</v>
      </c>
      <c r="B1406" s="574" t="s">
        <v>6944</v>
      </c>
      <c r="C1406" s="574" t="s">
        <v>5555</v>
      </c>
      <c r="D1406" s="582">
        <v>30.77</v>
      </c>
    </row>
    <row r="1407" spans="1:4" x14ac:dyDescent="0.2">
      <c r="A1407" s="574">
        <v>2579</v>
      </c>
      <c r="B1407" s="574" t="s">
        <v>6945</v>
      </c>
      <c r="C1407" s="574" t="s">
        <v>5555</v>
      </c>
      <c r="D1407" s="582">
        <v>14.65</v>
      </c>
    </row>
    <row r="1408" spans="1:4" x14ac:dyDescent="0.2">
      <c r="A1408" s="574">
        <v>2581</v>
      </c>
      <c r="B1408" s="574" t="s">
        <v>6946</v>
      </c>
      <c r="C1408" s="574" t="s">
        <v>5555</v>
      </c>
      <c r="D1408" s="582">
        <v>18.739999999999998</v>
      </c>
    </row>
    <row r="1409" spans="1:4" x14ac:dyDescent="0.2">
      <c r="A1409" s="574">
        <v>2596</v>
      </c>
      <c r="B1409" s="574" t="s">
        <v>6947</v>
      </c>
      <c r="C1409" s="574" t="s">
        <v>5555</v>
      </c>
      <c r="D1409" s="582">
        <v>55.44</v>
      </c>
    </row>
    <row r="1410" spans="1:4" x14ac:dyDescent="0.2">
      <c r="A1410" s="574">
        <v>2580</v>
      </c>
      <c r="B1410" s="574" t="s">
        <v>6948</v>
      </c>
      <c r="C1410" s="574" t="s">
        <v>5555</v>
      </c>
      <c r="D1410" s="582">
        <v>16.05</v>
      </c>
    </row>
    <row r="1411" spans="1:4" x14ac:dyDescent="0.2">
      <c r="A1411" s="574">
        <v>2583</v>
      </c>
      <c r="B1411" s="574" t="s">
        <v>6949</v>
      </c>
      <c r="C1411" s="574" t="s">
        <v>5555</v>
      </c>
      <c r="D1411" s="582">
        <v>134.84</v>
      </c>
    </row>
    <row r="1412" spans="1:4" x14ac:dyDescent="0.2">
      <c r="A1412" s="574">
        <v>2584</v>
      </c>
      <c r="B1412" s="574" t="s">
        <v>6950</v>
      </c>
      <c r="C1412" s="574" t="s">
        <v>5555</v>
      </c>
      <c r="D1412" s="582">
        <v>224.48</v>
      </c>
    </row>
    <row r="1413" spans="1:4" x14ac:dyDescent="0.2">
      <c r="A1413" s="574">
        <v>12010</v>
      </c>
      <c r="B1413" s="574" t="s">
        <v>6951</v>
      </c>
      <c r="C1413" s="574" t="s">
        <v>5555</v>
      </c>
      <c r="D1413" s="582">
        <v>6.61</v>
      </c>
    </row>
    <row r="1414" spans="1:4" x14ac:dyDescent="0.2">
      <c r="A1414" s="574">
        <v>39329</v>
      </c>
      <c r="B1414" s="574" t="s">
        <v>6952</v>
      </c>
      <c r="C1414" s="574" t="s">
        <v>5555</v>
      </c>
      <c r="D1414" s="582">
        <v>6.91</v>
      </c>
    </row>
    <row r="1415" spans="1:4" x14ac:dyDescent="0.2">
      <c r="A1415" s="574">
        <v>39330</v>
      </c>
      <c r="B1415" s="574" t="s">
        <v>6953</v>
      </c>
      <c r="C1415" s="574" t="s">
        <v>5555</v>
      </c>
      <c r="D1415" s="582">
        <v>7.27</v>
      </c>
    </row>
    <row r="1416" spans="1:4" x14ac:dyDescent="0.2">
      <c r="A1416" s="574">
        <v>39332</v>
      </c>
      <c r="B1416" s="574" t="s">
        <v>6954</v>
      </c>
      <c r="C1416" s="574" t="s">
        <v>5555</v>
      </c>
      <c r="D1416" s="582">
        <v>8.1300000000000008</v>
      </c>
    </row>
    <row r="1417" spans="1:4" x14ac:dyDescent="0.2">
      <c r="A1417" s="574">
        <v>39331</v>
      </c>
      <c r="B1417" s="574" t="s">
        <v>6955</v>
      </c>
      <c r="C1417" s="574" t="s">
        <v>5555</v>
      </c>
      <c r="D1417" s="582">
        <v>6.47</v>
      </c>
    </row>
    <row r="1418" spans="1:4" x14ac:dyDescent="0.2">
      <c r="A1418" s="574">
        <v>39333</v>
      </c>
      <c r="B1418" s="574" t="s">
        <v>6956</v>
      </c>
      <c r="C1418" s="574" t="s">
        <v>5555</v>
      </c>
      <c r="D1418" s="582">
        <v>6.31</v>
      </c>
    </row>
    <row r="1419" spans="1:4" x14ac:dyDescent="0.2">
      <c r="A1419" s="574">
        <v>39335</v>
      </c>
      <c r="B1419" s="574" t="s">
        <v>6957</v>
      </c>
      <c r="C1419" s="574" t="s">
        <v>5555</v>
      </c>
      <c r="D1419" s="582">
        <v>7.3</v>
      </c>
    </row>
    <row r="1420" spans="1:4" x14ac:dyDescent="0.2">
      <c r="A1420" s="574">
        <v>39334</v>
      </c>
      <c r="B1420" s="574" t="s">
        <v>6958</v>
      </c>
      <c r="C1420" s="574" t="s">
        <v>5555</v>
      </c>
      <c r="D1420" s="582">
        <v>5.8</v>
      </c>
    </row>
    <row r="1421" spans="1:4" x14ac:dyDescent="0.2">
      <c r="A1421" s="574">
        <v>12016</v>
      </c>
      <c r="B1421" s="574" t="s">
        <v>6959</v>
      </c>
      <c r="C1421" s="574" t="s">
        <v>5555</v>
      </c>
      <c r="D1421" s="582">
        <v>7.28</v>
      </c>
    </row>
    <row r="1422" spans="1:4" x14ac:dyDescent="0.2">
      <c r="A1422" s="574">
        <v>12015</v>
      </c>
      <c r="B1422" s="574" t="s">
        <v>6960</v>
      </c>
      <c r="C1422" s="574" t="s">
        <v>5555</v>
      </c>
      <c r="D1422" s="582">
        <v>8.48</v>
      </c>
    </row>
    <row r="1423" spans="1:4" x14ac:dyDescent="0.2">
      <c r="A1423" s="574">
        <v>12020</v>
      </c>
      <c r="B1423" s="574" t="s">
        <v>6961</v>
      </c>
      <c r="C1423" s="574" t="s">
        <v>5555</v>
      </c>
      <c r="D1423" s="582">
        <v>7.28</v>
      </c>
    </row>
    <row r="1424" spans="1:4" x14ac:dyDescent="0.2">
      <c r="A1424" s="574">
        <v>12019</v>
      </c>
      <c r="B1424" s="574" t="s">
        <v>6962</v>
      </c>
      <c r="C1424" s="574" t="s">
        <v>5555</v>
      </c>
      <c r="D1424" s="582">
        <v>8.48</v>
      </c>
    </row>
    <row r="1425" spans="1:4" x14ac:dyDescent="0.2">
      <c r="A1425" s="574">
        <v>39336</v>
      </c>
      <c r="B1425" s="574" t="s">
        <v>6963</v>
      </c>
      <c r="C1425" s="574" t="s">
        <v>5555</v>
      </c>
      <c r="D1425" s="582">
        <v>7.27</v>
      </c>
    </row>
    <row r="1426" spans="1:4" x14ac:dyDescent="0.2">
      <c r="A1426" s="574">
        <v>39338</v>
      </c>
      <c r="B1426" s="574" t="s">
        <v>6964</v>
      </c>
      <c r="C1426" s="574" t="s">
        <v>5555</v>
      </c>
      <c r="D1426" s="582">
        <v>8.1300000000000008</v>
      </c>
    </row>
    <row r="1427" spans="1:4" x14ac:dyDescent="0.2">
      <c r="A1427" s="574">
        <v>39337</v>
      </c>
      <c r="B1427" s="574" t="s">
        <v>6965</v>
      </c>
      <c r="C1427" s="574" t="s">
        <v>5555</v>
      </c>
      <c r="D1427" s="582">
        <v>6.47</v>
      </c>
    </row>
    <row r="1428" spans="1:4" x14ac:dyDescent="0.2">
      <c r="A1428" s="574">
        <v>39341</v>
      </c>
      <c r="B1428" s="574" t="s">
        <v>6966</v>
      </c>
      <c r="C1428" s="574" t="s">
        <v>5555</v>
      </c>
      <c r="D1428" s="582">
        <v>10.6</v>
      </c>
    </row>
    <row r="1429" spans="1:4" x14ac:dyDescent="0.2">
      <c r="A1429" s="574">
        <v>39340</v>
      </c>
      <c r="B1429" s="574" t="s">
        <v>6967</v>
      </c>
      <c r="C1429" s="574" t="s">
        <v>5555</v>
      </c>
      <c r="D1429" s="582">
        <v>7.78</v>
      </c>
    </row>
    <row r="1430" spans="1:4" x14ac:dyDescent="0.2">
      <c r="A1430" s="574">
        <v>12025</v>
      </c>
      <c r="B1430" s="574" t="s">
        <v>6968</v>
      </c>
      <c r="C1430" s="574" t="s">
        <v>5555</v>
      </c>
      <c r="D1430" s="582">
        <v>8.0399999999999991</v>
      </c>
    </row>
    <row r="1431" spans="1:4" x14ac:dyDescent="0.2">
      <c r="A1431" s="574">
        <v>39342</v>
      </c>
      <c r="B1431" s="574" t="s">
        <v>6969</v>
      </c>
      <c r="C1431" s="574" t="s">
        <v>5555</v>
      </c>
      <c r="D1431" s="582">
        <v>10.6</v>
      </c>
    </row>
    <row r="1432" spans="1:4" x14ac:dyDescent="0.2">
      <c r="A1432" s="574">
        <v>39343</v>
      </c>
      <c r="B1432" s="574" t="s">
        <v>6970</v>
      </c>
      <c r="C1432" s="574" t="s">
        <v>5555</v>
      </c>
      <c r="D1432" s="582">
        <v>8.9499999999999993</v>
      </c>
    </row>
    <row r="1433" spans="1:4" x14ac:dyDescent="0.2">
      <c r="A1433" s="574">
        <v>39345</v>
      </c>
      <c r="B1433" s="574" t="s">
        <v>6971</v>
      </c>
      <c r="C1433" s="574" t="s">
        <v>5555</v>
      </c>
      <c r="D1433" s="582">
        <v>12.11</v>
      </c>
    </row>
    <row r="1434" spans="1:4" x14ac:dyDescent="0.2">
      <c r="A1434" s="574">
        <v>39344</v>
      </c>
      <c r="B1434" s="574" t="s">
        <v>6972</v>
      </c>
      <c r="C1434" s="574" t="s">
        <v>5555</v>
      </c>
      <c r="D1434" s="582">
        <v>8.65</v>
      </c>
    </row>
    <row r="1435" spans="1:4" x14ac:dyDescent="0.2">
      <c r="A1435" s="574">
        <v>12623</v>
      </c>
      <c r="B1435" s="574" t="s">
        <v>6973</v>
      </c>
      <c r="C1435" s="574" t="s">
        <v>5575</v>
      </c>
      <c r="D1435" s="582">
        <v>9.58</v>
      </c>
    </row>
    <row r="1436" spans="1:4" x14ac:dyDescent="0.2">
      <c r="A1436" s="574">
        <v>34498</v>
      </c>
      <c r="B1436" s="574" t="s">
        <v>6974</v>
      </c>
      <c r="C1436" s="574" t="s">
        <v>5555</v>
      </c>
      <c r="D1436" s="582">
        <v>142.54</v>
      </c>
    </row>
    <row r="1437" spans="1:4" x14ac:dyDescent="0.2">
      <c r="A1437" s="574">
        <v>13244</v>
      </c>
      <c r="B1437" s="574" t="s">
        <v>6975</v>
      </c>
      <c r="C1437" s="574" t="s">
        <v>5555</v>
      </c>
      <c r="D1437" s="582">
        <v>60</v>
      </c>
    </row>
    <row r="1438" spans="1:4" x14ac:dyDescent="0.2">
      <c r="A1438" s="574">
        <v>38998</v>
      </c>
      <c r="B1438" s="574" t="s">
        <v>6976</v>
      </c>
      <c r="C1438" s="574" t="s">
        <v>5555</v>
      </c>
      <c r="D1438" s="582">
        <v>7.99</v>
      </c>
    </row>
    <row r="1439" spans="1:4" x14ac:dyDescent="0.2">
      <c r="A1439" s="574">
        <v>38999</v>
      </c>
      <c r="B1439" s="574" t="s">
        <v>6977</v>
      </c>
      <c r="C1439" s="574" t="s">
        <v>5555</v>
      </c>
      <c r="D1439" s="582">
        <v>13.21</v>
      </c>
    </row>
    <row r="1440" spans="1:4" x14ac:dyDescent="0.2">
      <c r="A1440" s="574">
        <v>38996</v>
      </c>
      <c r="B1440" s="574" t="s">
        <v>6978</v>
      </c>
      <c r="C1440" s="574" t="s">
        <v>5555</v>
      </c>
      <c r="D1440" s="582">
        <v>11.54</v>
      </c>
    </row>
    <row r="1441" spans="1:4" x14ac:dyDescent="0.2">
      <c r="A1441" s="574">
        <v>38997</v>
      </c>
      <c r="B1441" s="574" t="s">
        <v>6979</v>
      </c>
      <c r="C1441" s="574" t="s">
        <v>5555</v>
      </c>
      <c r="D1441" s="582">
        <v>18.68</v>
      </c>
    </row>
    <row r="1442" spans="1:4" x14ac:dyDescent="0.2">
      <c r="A1442" s="574">
        <v>39862</v>
      </c>
      <c r="B1442" s="574" t="s">
        <v>6980</v>
      </c>
      <c r="C1442" s="574" t="s">
        <v>5555</v>
      </c>
      <c r="D1442" s="582">
        <v>9.3000000000000007</v>
      </c>
    </row>
    <row r="1443" spans="1:4" x14ac:dyDescent="0.2">
      <c r="A1443" s="574">
        <v>39863</v>
      </c>
      <c r="B1443" s="574" t="s">
        <v>6981</v>
      </c>
      <c r="C1443" s="574" t="s">
        <v>5555</v>
      </c>
      <c r="D1443" s="582">
        <v>9.43</v>
      </c>
    </row>
    <row r="1444" spans="1:4" x14ac:dyDescent="0.2">
      <c r="A1444" s="574">
        <v>39864</v>
      </c>
      <c r="B1444" s="574" t="s">
        <v>6982</v>
      </c>
      <c r="C1444" s="574" t="s">
        <v>5555</v>
      </c>
      <c r="D1444" s="582">
        <v>11.7</v>
      </c>
    </row>
    <row r="1445" spans="1:4" x14ac:dyDescent="0.2">
      <c r="A1445" s="574">
        <v>39865</v>
      </c>
      <c r="B1445" s="574" t="s">
        <v>6983</v>
      </c>
      <c r="C1445" s="574" t="s">
        <v>5555</v>
      </c>
      <c r="D1445" s="582">
        <v>16.5</v>
      </c>
    </row>
    <row r="1446" spans="1:4" x14ac:dyDescent="0.2">
      <c r="A1446" s="574">
        <v>2517</v>
      </c>
      <c r="B1446" s="574" t="s">
        <v>6984</v>
      </c>
      <c r="C1446" s="574" t="s">
        <v>5555</v>
      </c>
      <c r="D1446" s="582">
        <v>22.36</v>
      </c>
    </row>
    <row r="1447" spans="1:4" x14ac:dyDescent="0.2">
      <c r="A1447" s="574">
        <v>2522</v>
      </c>
      <c r="B1447" s="574" t="s">
        <v>6985</v>
      </c>
      <c r="C1447" s="574" t="s">
        <v>5555</v>
      </c>
      <c r="D1447" s="582">
        <v>14.45</v>
      </c>
    </row>
    <row r="1448" spans="1:4" x14ac:dyDescent="0.2">
      <c r="A1448" s="574">
        <v>2548</v>
      </c>
      <c r="B1448" s="574" t="s">
        <v>6986</v>
      </c>
      <c r="C1448" s="574" t="s">
        <v>5555</v>
      </c>
      <c r="D1448" s="582">
        <v>8.89</v>
      </c>
    </row>
    <row r="1449" spans="1:4" x14ac:dyDescent="0.2">
      <c r="A1449" s="574">
        <v>2516</v>
      </c>
      <c r="B1449" s="574" t="s">
        <v>6987</v>
      </c>
      <c r="C1449" s="574" t="s">
        <v>5555</v>
      </c>
      <c r="D1449" s="582">
        <v>11.6</v>
      </c>
    </row>
    <row r="1450" spans="1:4" x14ac:dyDescent="0.2">
      <c r="A1450" s="574">
        <v>2518</v>
      </c>
      <c r="B1450" s="574" t="s">
        <v>6988</v>
      </c>
      <c r="C1450" s="574" t="s">
        <v>5555</v>
      </c>
      <c r="D1450" s="582">
        <v>106.46</v>
      </c>
    </row>
    <row r="1451" spans="1:4" x14ac:dyDescent="0.2">
      <c r="A1451" s="574">
        <v>2521</v>
      </c>
      <c r="B1451" s="574" t="s">
        <v>6989</v>
      </c>
      <c r="C1451" s="574" t="s">
        <v>5555</v>
      </c>
      <c r="D1451" s="582">
        <v>45.32</v>
      </c>
    </row>
    <row r="1452" spans="1:4" x14ac:dyDescent="0.2">
      <c r="A1452" s="574">
        <v>2515</v>
      </c>
      <c r="B1452" s="574" t="s">
        <v>6990</v>
      </c>
      <c r="C1452" s="574" t="s">
        <v>5555</v>
      </c>
      <c r="D1452" s="582">
        <v>9.66</v>
      </c>
    </row>
    <row r="1453" spans="1:4" x14ac:dyDescent="0.2">
      <c r="A1453" s="574">
        <v>2519</v>
      </c>
      <c r="B1453" s="574" t="s">
        <v>6991</v>
      </c>
      <c r="C1453" s="574" t="s">
        <v>5555</v>
      </c>
      <c r="D1453" s="582">
        <v>128.37</v>
      </c>
    </row>
    <row r="1454" spans="1:4" x14ac:dyDescent="0.2">
      <c r="A1454" s="574">
        <v>2520</v>
      </c>
      <c r="B1454" s="574" t="s">
        <v>6992</v>
      </c>
      <c r="C1454" s="574" t="s">
        <v>5555</v>
      </c>
      <c r="D1454" s="582">
        <v>236.26</v>
      </c>
    </row>
    <row r="1455" spans="1:4" x14ac:dyDescent="0.2">
      <c r="A1455" s="574">
        <v>1602</v>
      </c>
      <c r="B1455" s="574" t="s">
        <v>6993</v>
      </c>
      <c r="C1455" s="574" t="s">
        <v>5555</v>
      </c>
      <c r="D1455" s="582">
        <v>28.62</v>
      </c>
    </row>
    <row r="1456" spans="1:4" x14ac:dyDescent="0.2">
      <c r="A1456" s="574">
        <v>1601</v>
      </c>
      <c r="B1456" s="574" t="s">
        <v>6994</v>
      </c>
      <c r="C1456" s="574" t="s">
        <v>5555</v>
      </c>
      <c r="D1456" s="582">
        <v>25.51</v>
      </c>
    </row>
    <row r="1457" spans="1:4" x14ac:dyDescent="0.2">
      <c r="A1457" s="574">
        <v>1598</v>
      </c>
      <c r="B1457" s="574" t="s">
        <v>6995</v>
      </c>
      <c r="C1457" s="574" t="s">
        <v>5555</v>
      </c>
      <c r="D1457" s="582">
        <v>7.55</v>
      </c>
    </row>
    <row r="1458" spans="1:4" x14ac:dyDescent="0.2">
      <c r="A1458" s="574">
        <v>1600</v>
      </c>
      <c r="B1458" s="574" t="s">
        <v>6996</v>
      </c>
      <c r="C1458" s="574" t="s">
        <v>5555</v>
      </c>
      <c r="D1458" s="582">
        <v>11.14</v>
      </c>
    </row>
    <row r="1459" spans="1:4" x14ac:dyDescent="0.2">
      <c r="A1459" s="574">
        <v>1603</v>
      </c>
      <c r="B1459" s="574" t="s">
        <v>6997</v>
      </c>
      <c r="C1459" s="574" t="s">
        <v>5555</v>
      </c>
      <c r="D1459" s="582">
        <v>43.22</v>
      </c>
    </row>
    <row r="1460" spans="1:4" x14ac:dyDescent="0.2">
      <c r="A1460" s="574">
        <v>1599</v>
      </c>
      <c r="B1460" s="574" t="s">
        <v>6998</v>
      </c>
      <c r="C1460" s="574" t="s">
        <v>5555</v>
      </c>
      <c r="D1460" s="582">
        <v>8.76</v>
      </c>
    </row>
    <row r="1461" spans="1:4" x14ac:dyDescent="0.2">
      <c r="A1461" s="574">
        <v>1597</v>
      </c>
      <c r="B1461" s="574" t="s">
        <v>6999</v>
      </c>
      <c r="C1461" s="574" t="s">
        <v>5555</v>
      </c>
      <c r="D1461" s="582">
        <v>7.1</v>
      </c>
    </row>
    <row r="1462" spans="1:4" x14ac:dyDescent="0.2">
      <c r="A1462" s="574">
        <v>39600</v>
      </c>
      <c r="B1462" s="574" t="s">
        <v>7000</v>
      </c>
      <c r="C1462" s="574" t="s">
        <v>5555</v>
      </c>
      <c r="D1462" s="582">
        <v>8.99</v>
      </c>
    </row>
    <row r="1463" spans="1:4" x14ac:dyDescent="0.2">
      <c r="A1463" s="574">
        <v>39601</v>
      </c>
      <c r="B1463" s="574" t="s">
        <v>7001</v>
      </c>
      <c r="C1463" s="574" t="s">
        <v>5555</v>
      </c>
      <c r="D1463" s="582">
        <v>15.63</v>
      </c>
    </row>
    <row r="1464" spans="1:4" x14ac:dyDescent="0.2">
      <c r="A1464" s="574">
        <v>39602</v>
      </c>
      <c r="B1464" s="574" t="s">
        <v>7002</v>
      </c>
      <c r="C1464" s="574" t="s">
        <v>5555</v>
      </c>
      <c r="D1464" s="582">
        <v>1.02</v>
      </c>
    </row>
    <row r="1465" spans="1:4" x14ac:dyDescent="0.2">
      <c r="A1465" s="574">
        <v>39603</v>
      </c>
      <c r="B1465" s="574" t="s">
        <v>7003</v>
      </c>
      <c r="C1465" s="574" t="s">
        <v>5555</v>
      </c>
      <c r="D1465" s="582">
        <v>1.76</v>
      </c>
    </row>
    <row r="1466" spans="1:4" x14ac:dyDescent="0.2">
      <c r="A1466" s="574">
        <v>11821</v>
      </c>
      <c r="B1466" s="574" t="s">
        <v>7004</v>
      </c>
      <c r="C1466" s="574" t="s">
        <v>5555</v>
      </c>
      <c r="D1466" s="582">
        <v>5.83</v>
      </c>
    </row>
    <row r="1467" spans="1:4" x14ac:dyDescent="0.2">
      <c r="A1467" s="574">
        <v>1562</v>
      </c>
      <c r="B1467" s="574" t="s">
        <v>7005</v>
      </c>
      <c r="C1467" s="574" t="s">
        <v>5555</v>
      </c>
      <c r="D1467" s="582">
        <v>9.5500000000000007</v>
      </c>
    </row>
    <row r="1468" spans="1:4" x14ac:dyDescent="0.2">
      <c r="A1468" s="574">
        <v>1563</v>
      </c>
      <c r="B1468" s="574" t="s">
        <v>7006</v>
      </c>
      <c r="C1468" s="574" t="s">
        <v>5555</v>
      </c>
      <c r="D1468" s="582">
        <v>12.81</v>
      </c>
    </row>
    <row r="1469" spans="1:4" x14ac:dyDescent="0.2">
      <c r="A1469" s="574">
        <v>11856</v>
      </c>
      <c r="B1469" s="574" t="s">
        <v>7007</v>
      </c>
      <c r="C1469" s="574" t="s">
        <v>5555</v>
      </c>
      <c r="D1469" s="582">
        <v>3.82</v>
      </c>
    </row>
    <row r="1470" spans="1:4" x14ac:dyDescent="0.2">
      <c r="A1470" s="574">
        <v>11857</v>
      </c>
      <c r="B1470" s="574" t="s">
        <v>7008</v>
      </c>
      <c r="C1470" s="574" t="s">
        <v>5555</v>
      </c>
      <c r="D1470" s="582">
        <v>20.100000000000001</v>
      </c>
    </row>
    <row r="1471" spans="1:4" x14ac:dyDescent="0.2">
      <c r="A1471" s="574">
        <v>11858</v>
      </c>
      <c r="B1471" s="574" t="s">
        <v>7009</v>
      </c>
      <c r="C1471" s="574" t="s">
        <v>5555</v>
      </c>
      <c r="D1471" s="582">
        <v>24.95</v>
      </c>
    </row>
    <row r="1472" spans="1:4" x14ac:dyDescent="0.2">
      <c r="A1472" s="574">
        <v>1539</v>
      </c>
      <c r="B1472" s="574" t="s">
        <v>7010</v>
      </c>
      <c r="C1472" s="574" t="s">
        <v>5555</v>
      </c>
      <c r="D1472" s="582">
        <v>4.49</v>
      </c>
    </row>
    <row r="1473" spans="1:4" x14ac:dyDescent="0.2">
      <c r="A1473" s="574">
        <v>11859</v>
      </c>
      <c r="B1473" s="574" t="s">
        <v>7011</v>
      </c>
      <c r="C1473" s="574" t="s">
        <v>5555</v>
      </c>
      <c r="D1473" s="582">
        <v>33.94</v>
      </c>
    </row>
    <row r="1474" spans="1:4" x14ac:dyDescent="0.2">
      <c r="A1474" s="574">
        <v>1550</v>
      </c>
      <c r="B1474" s="574" t="s">
        <v>7012</v>
      </c>
      <c r="C1474" s="574" t="s">
        <v>5555</v>
      </c>
      <c r="D1474" s="582">
        <v>4.7300000000000004</v>
      </c>
    </row>
    <row r="1475" spans="1:4" x14ac:dyDescent="0.2">
      <c r="A1475" s="574">
        <v>11854</v>
      </c>
      <c r="B1475" s="574" t="s">
        <v>7013</v>
      </c>
      <c r="C1475" s="574" t="s">
        <v>5555</v>
      </c>
      <c r="D1475" s="582">
        <v>5.91</v>
      </c>
    </row>
    <row r="1476" spans="1:4" x14ac:dyDescent="0.2">
      <c r="A1476" s="574">
        <v>11862</v>
      </c>
      <c r="B1476" s="574" t="s">
        <v>7014</v>
      </c>
      <c r="C1476" s="574" t="s">
        <v>5555</v>
      </c>
      <c r="D1476" s="582">
        <v>8.3000000000000007</v>
      </c>
    </row>
    <row r="1477" spans="1:4" x14ac:dyDescent="0.2">
      <c r="A1477" s="574">
        <v>11863</v>
      </c>
      <c r="B1477" s="574" t="s">
        <v>7015</v>
      </c>
      <c r="C1477" s="574" t="s">
        <v>5555</v>
      </c>
      <c r="D1477" s="582">
        <v>3.35</v>
      </c>
    </row>
    <row r="1478" spans="1:4" x14ac:dyDescent="0.2">
      <c r="A1478" s="574">
        <v>11855</v>
      </c>
      <c r="B1478" s="574" t="s">
        <v>7016</v>
      </c>
      <c r="C1478" s="574" t="s">
        <v>5555</v>
      </c>
      <c r="D1478" s="582">
        <v>12.39</v>
      </c>
    </row>
    <row r="1479" spans="1:4" x14ac:dyDescent="0.2">
      <c r="A1479" s="574">
        <v>11864</v>
      </c>
      <c r="B1479" s="574" t="s">
        <v>7017</v>
      </c>
      <c r="C1479" s="574" t="s">
        <v>5555</v>
      </c>
      <c r="D1479" s="582">
        <v>18.73</v>
      </c>
    </row>
    <row r="1480" spans="1:4" x14ac:dyDescent="0.2">
      <c r="A1480" s="574">
        <v>2527</v>
      </c>
      <c r="B1480" s="574" t="s">
        <v>7018</v>
      </c>
      <c r="C1480" s="574" t="s">
        <v>5555</v>
      </c>
      <c r="D1480" s="582">
        <v>8</v>
      </c>
    </row>
    <row r="1481" spans="1:4" x14ac:dyDescent="0.2">
      <c r="A1481" s="574">
        <v>2526</v>
      </c>
      <c r="B1481" s="574" t="s">
        <v>7019</v>
      </c>
      <c r="C1481" s="574" t="s">
        <v>5555</v>
      </c>
      <c r="D1481" s="582">
        <v>5.13</v>
      </c>
    </row>
    <row r="1482" spans="1:4" x14ac:dyDescent="0.2">
      <c r="A1482" s="574">
        <v>2487</v>
      </c>
      <c r="B1482" s="574" t="s">
        <v>7020</v>
      </c>
      <c r="C1482" s="574" t="s">
        <v>5555</v>
      </c>
      <c r="D1482" s="582">
        <v>1.75</v>
      </c>
    </row>
    <row r="1483" spans="1:4" x14ac:dyDescent="0.2">
      <c r="A1483" s="574">
        <v>2483</v>
      </c>
      <c r="B1483" s="574" t="s">
        <v>7021</v>
      </c>
      <c r="C1483" s="574" t="s">
        <v>5555</v>
      </c>
      <c r="D1483" s="582">
        <v>3.65</v>
      </c>
    </row>
    <row r="1484" spans="1:4" x14ac:dyDescent="0.2">
      <c r="A1484" s="574">
        <v>2528</v>
      </c>
      <c r="B1484" s="574" t="s">
        <v>7022</v>
      </c>
      <c r="C1484" s="574" t="s">
        <v>5555</v>
      </c>
      <c r="D1484" s="582">
        <v>20.14</v>
      </c>
    </row>
    <row r="1485" spans="1:4" x14ac:dyDescent="0.2">
      <c r="A1485" s="574">
        <v>2489</v>
      </c>
      <c r="B1485" s="574" t="s">
        <v>7023</v>
      </c>
      <c r="C1485" s="574" t="s">
        <v>5555</v>
      </c>
      <c r="D1485" s="582">
        <v>8.8699999999999992</v>
      </c>
    </row>
    <row r="1486" spans="1:4" x14ac:dyDescent="0.2">
      <c r="A1486" s="574">
        <v>2488</v>
      </c>
      <c r="B1486" s="574" t="s">
        <v>7024</v>
      </c>
      <c r="C1486" s="574" t="s">
        <v>5555</v>
      </c>
      <c r="D1486" s="582">
        <v>2.0499999999999998</v>
      </c>
    </row>
    <row r="1487" spans="1:4" x14ac:dyDescent="0.2">
      <c r="A1487" s="574">
        <v>2484</v>
      </c>
      <c r="B1487" s="574" t="s">
        <v>7025</v>
      </c>
      <c r="C1487" s="574" t="s">
        <v>5555</v>
      </c>
      <c r="D1487" s="582">
        <v>29.26</v>
      </c>
    </row>
    <row r="1488" spans="1:4" x14ac:dyDescent="0.2">
      <c r="A1488" s="574">
        <v>2485</v>
      </c>
      <c r="B1488" s="574" t="s">
        <v>7026</v>
      </c>
      <c r="C1488" s="574" t="s">
        <v>5555</v>
      </c>
      <c r="D1488" s="582">
        <v>45.86</v>
      </c>
    </row>
    <row r="1489" spans="1:4" x14ac:dyDescent="0.2">
      <c r="A1489" s="574">
        <v>38005</v>
      </c>
      <c r="B1489" s="574" t="s">
        <v>7027</v>
      </c>
      <c r="C1489" s="574" t="s">
        <v>5555</v>
      </c>
      <c r="D1489" s="582">
        <v>14.55</v>
      </c>
    </row>
    <row r="1490" spans="1:4" x14ac:dyDescent="0.2">
      <c r="A1490" s="574">
        <v>38006</v>
      </c>
      <c r="B1490" s="574" t="s">
        <v>7028</v>
      </c>
      <c r="C1490" s="574" t="s">
        <v>5555</v>
      </c>
      <c r="D1490" s="582">
        <v>17.86</v>
      </c>
    </row>
    <row r="1491" spans="1:4" x14ac:dyDescent="0.2">
      <c r="A1491" s="574">
        <v>38428</v>
      </c>
      <c r="B1491" s="574" t="s">
        <v>7029</v>
      </c>
      <c r="C1491" s="574" t="s">
        <v>5555</v>
      </c>
      <c r="D1491" s="582">
        <v>16.73</v>
      </c>
    </row>
    <row r="1492" spans="1:4" x14ac:dyDescent="0.2">
      <c r="A1492" s="574">
        <v>38007</v>
      </c>
      <c r="B1492" s="574" t="s">
        <v>7030</v>
      </c>
      <c r="C1492" s="574" t="s">
        <v>5555</v>
      </c>
      <c r="D1492" s="582">
        <v>27.34</v>
      </c>
    </row>
    <row r="1493" spans="1:4" x14ac:dyDescent="0.2">
      <c r="A1493" s="574">
        <v>38008</v>
      </c>
      <c r="B1493" s="574" t="s">
        <v>7031</v>
      </c>
      <c r="C1493" s="574" t="s">
        <v>5555</v>
      </c>
      <c r="D1493" s="582">
        <v>110.1</v>
      </c>
    </row>
    <row r="1494" spans="1:4" x14ac:dyDescent="0.2">
      <c r="A1494" s="574">
        <v>38009</v>
      </c>
      <c r="B1494" s="574" t="s">
        <v>7032</v>
      </c>
      <c r="C1494" s="574" t="s">
        <v>5555</v>
      </c>
      <c r="D1494" s="582">
        <v>134.56</v>
      </c>
    </row>
    <row r="1495" spans="1:4" x14ac:dyDescent="0.2">
      <c r="A1495" s="574">
        <v>39279</v>
      </c>
      <c r="B1495" s="574" t="s">
        <v>7033</v>
      </c>
      <c r="C1495" s="574" t="s">
        <v>5555</v>
      </c>
      <c r="D1495" s="582">
        <v>10.52</v>
      </c>
    </row>
    <row r="1496" spans="1:4" x14ac:dyDescent="0.2">
      <c r="A1496" s="574">
        <v>38845</v>
      </c>
      <c r="B1496" s="574" t="s">
        <v>7034</v>
      </c>
      <c r="C1496" s="574" t="s">
        <v>5555</v>
      </c>
      <c r="D1496" s="582">
        <v>15.23</v>
      </c>
    </row>
    <row r="1497" spans="1:4" x14ac:dyDescent="0.2">
      <c r="A1497" s="574">
        <v>39280</v>
      </c>
      <c r="B1497" s="574" t="s">
        <v>7035</v>
      </c>
      <c r="C1497" s="574" t="s">
        <v>5555</v>
      </c>
      <c r="D1497" s="582">
        <v>13.65</v>
      </c>
    </row>
    <row r="1498" spans="1:4" x14ac:dyDescent="0.2">
      <c r="A1498" s="574">
        <v>39281</v>
      </c>
      <c r="B1498" s="574" t="s">
        <v>7036</v>
      </c>
      <c r="C1498" s="574" t="s">
        <v>5555</v>
      </c>
      <c r="D1498" s="582">
        <v>17.96</v>
      </c>
    </row>
    <row r="1499" spans="1:4" x14ac:dyDescent="0.2">
      <c r="A1499" s="574">
        <v>38849</v>
      </c>
      <c r="B1499" s="574" t="s">
        <v>7037</v>
      </c>
      <c r="C1499" s="574" t="s">
        <v>5555</v>
      </c>
      <c r="D1499" s="582">
        <v>15.39</v>
      </c>
    </row>
    <row r="1500" spans="1:4" x14ac:dyDescent="0.2">
      <c r="A1500" s="574">
        <v>39282</v>
      </c>
      <c r="B1500" s="574" t="s">
        <v>7038</v>
      </c>
      <c r="C1500" s="574" t="s">
        <v>5555</v>
      </c>
      <c r="D1500" s="582">
        <v>18.39</v>
      </c>
    </row>
    <row r="1501" spans="1:4" x14ac:dyDescent="0.2">
      <c r="A1501" s="574">
        <v>38852</v>
      </c>
      <c r="B1501" s="574" t="s">
        <v>7039</v>
      </c>
      <c r="C1501" s="574" t="s">
        <v>5555</v>
      </c>
      <c r="D1501" s="582">
        <v>25.02</v>
      </c>
    </row>
    <row r="1502" spans="1:4" x14ac:dyDescent="0.2">
      <c r="A1502" s="574">
        <v>38844</v>
      </c>
      <c r="B1502" s="574" t="s">
        <v>7040</v>
      </c>
      <c r="C1502" s="574" t="s">
        <v>5555</v>
      </c>
      <c r="D1502" s="582">
        <v>7.69</v>
      </c>
    </row>
    <row r="1503" spans="1:4" x14ac:dyDescent="0.2">
      <c r="A1503" s="574">
        <v>38846</v>
      </c>
      <c r="B1503" s="574" t="s">
        <v>7041</v>
      </c>
      <c r="C1503" s="574" t="s">
        <v>5555</v>
      </c>
      <c r="D1503" s="582">
        <v>8.41</v>
      </c>
    </row>
    <row r="1504" spans="1:4" x14ac:dyDescent="0.2">
      <c r="A1504" s="574">
        <v>38847</v>
      </c>
      <c r="B1504" s="574" t="s">
        <v>7042</v>
      </c>
      <c r="C1504" s="574" t="s">
        <v>5555</v>
      </c>
      <c r="D1504" s="582">
        <v>10.35</v>
      </c>
    </row>
    <row r="1505" spans="1:4" x14ac:dyDescent="0.2">
      <c r="A1505" s="574">
        <v>38850</v>
      </c>
      <c r="B1505" s="574" t="s">
        <v>7043</v>
      </c>
      <c r="C1505" s="574" t="s">
        <v>5555</v>
      </c>
      <c r="D1505" s="582">
        <v>14.38</v>
      </c>
    </row>
    <row r="1506" spans="1:4" x14ac:dyDescent="0.2">
      <c r="A1506" s="574">
        <v>38848</v>
      </c>
      <c r="B1506" s="574" t="s">
        <v>7044</v>
      </c>
      <c r="C1506" s="574" t="s">
        <v>5555</v>
      </c>
      <c r="D1506" s="582">
        <v>12.03</v>
      </c>
    </row>
    <row r="1507" spans="1:4" x14ac:dyDescent="0.2">
      <c r="A1507" s="574">
        <v>38851</v>
      </c>
      <c r="B1507" s="574" t="s">
        <v>7045</v>
      </c>
      <c r="C1507" s="574" t="s">
        <v>5555</v>
      </c>
      <c r="D1507" s="582">
        <v>21.86</v>
      </c>
    </row>
    <row r="1508" spans="1:4" x14ac:dyDescent="0.2">
      <c r="A1508" s="574">
        <v>38860</v>
      </c>
      <c r="B1508" s="574" t="s">
        <v>7046</v>
      </c>
      <c r="C1508" s="574" t="s">
        <v>5555</v>
      </c>
      <c r="D1508" s="582">
        <v>6.18</v>
      </c>
    </row>
    <row r="1509" spans="1:4" x14ac:dyDescent="0.2">
      <c r="A1509" s="574">
        <v>38861</v>
      </c>
      <c r="B1509" s="574" t="s">
        <v>7047</v>
      </c>
      <c r="C1509" s="574" t="s">
        <v>5555</v>
      </c>
      <c r="D1509" s="582">
        <v>8.32</v>
      </c>
    </row>
    <row r="1510" spans="1:4" x14ac:dyDescent="0.2">
      <c r="A1510" s="574">
        <v>38862</v>
      </c>
      <c r="B1510" s="574" t="s">
        <v>7048</v>
      </c>
      <c r="C1510" s="574" t="s">
        <v>5555</v>
      </c>
      <c r="D1510" s="582">
        <v>7.01</v>
      </c>
    </row>
    <row r="1511" spans="1:4" x14ac:dyDescent="0.2">
      <c r="A1511" s="574">
        <v>38863</v>
      </c>
      <c r="B1511" s="574" t="s">
        <v>7049</v>
      </c>
      <c r="C1511" s="574" t="s">
        <v>5555</v>
      </c>
      <c r="D1511" s="582">
        <v>8.0500000000000007</v>
      </c>
    </row>
    <row r="1512" spans="1:4" x14ac:dyDescent="0.2">
      <c r="A1512" s="574">
        <v>38865</v>
      </c>
      <c r="B1512" s="574" t="s">
        <v>7050</v>
      </c>
      <c r="C1512" s="574" t="s">
        <v>5555</v>
      </c>
      <c r="D1512" s="582">
        <v>10.94</v>
      </c>
    </row>
    <row r="1513" spans="1:4" x14ac:dyDescent="0.2">
      <c r="A1513" s="574">
        <v>38864</v>
      </c>
      <c r="B1513" s="574" t="s">
        <v>7051</v>
      </c>
      <c r="C1513" s="574" t="s">
        <v>5555</v>
      </c>
      <c r="D1513" s="582">
        <v>16.72</v>
      </c>
    </row>
    <row r="1514" spans="1:4" x14ac:dyDescent="0.2">
      <c r="A1514" s="574">
        <v>38866</v>
      </c>
      <c r="B1514" s="574" t="s">
        <v>7052</v>
      </c>
      <c r="C1514" s="574" t="s">
        <v>5555</v>
      </c>
      <c r="D1514" s="582">
        <v>11.77</v>
      </c>
    </row>
    <row r="1515" spans="1:4" x14ac:dyDescent="0.2">
      <c r="A1515" s="574">
        <v>38868</v>
      </c>
      <c r="B1515" s="574" t="s">
        <v>7053</v>
      </c>
      <c r="C1515" s="574" t="s">
        <v>5555</v>
      </c>
      <c r="D1515" s="582">
        <v>19.62</v>
      </c>
    </row>
    <row r="1516" spans="1:4" x14ac:dyDescent="0.2">
      <c r="A1516" s="574">
        <v>38853</v>
      </c>
      <c r="B1516" s="574" t="s">
        <v>7054</v>
      </c>
      <c r="C1516" s="574" t="s">
        <v>5555</v>
      </c>
      <c r="D1516" s="582">
        <v>6.34</v>
      </c>
    </row>
    <row r="1517" spans="1:4" x14ac:dyDescent="0.2">
      <c r="A1517" s="574">
        <v>38854</v>
      </c>
      <c r="B1517" s="574" t="s">
        <v>7055</v>
      </c>
      <c r="C1517" s="574" t="s">
        <v>5555</v>
      </c>
      <c r="D1517" s="582">
        <v>8.66</v>
      </c>
    </row>
    <row r="1518" spans="1:4" x14ac:dyDescent="0.2">
      <c r="A1518" s="574">
        <v>38855</v>
      </c>
      <c r="B1518" s="574" t="s">
        <v>7056</v>
      </c>
      <c r="C1518" s="574" t="s">
        <v>5555</v>
      </c>
      <c r="D1518" s="582">
        <v>6.42</v>
      </c>
    </row>
    <row r="1519" spans="1:4" x14ac:dyDescent="0.2">
      <c r="A1519" s="574">
        <v>38856</v>
      </c>
      <c r="B1519" s="574" t="s">
        <v>7057</v>
      </c>
      <c r="C1519" s="574" t="s">
        <v>5555</v>
      </c>
      <c r="D1519" s="582">
        <v>10.32</v>
      </c>
    </row>
    <row r="1520" spans="1:4" x14ac:dyDescent="0.2">
      <c r="A1520" s="574">
        <v>38857</v>
      </c>
      <c r="B1520" s="574" t="s">
        <v>7058</v>
      </c>
      <c r="C1520" s="574" t="s">
        <v>5555</v>
      </c>
      <c r="D1520" s="582">
        <v>13.65</v>
      </c>
    </row>
    <row r="1521" spans="1:4" x14ac:dyDescent="0.2">
      <c r="A1521" s="574">
        <v>38858</v>
      </c>
      <c r="B1521" s="574" t="s">
        <v>7059</v>
      </c>
      <c r="C1521" s="574" t="s">
        <v>5555</v>
      </c>
      <c r="D1521" s="582">
        <v>12.41</v>
      </c>
    </row>
    <row r="1522" spans="1:4" x14ac:dyDescent="0.2">
      <c r="A1522" s="574">
        <v>38859</v>
      </c>
      <c r="B1522" s="574" t="s">
        <v>7060</v>
      </c>
      <c r="C1522" s="574" t="s">
        <v>5555</v>
      </c>
      <c r="D1522" s="582">
        <v>20.100000000000001</v>
      </c>
    </row>
    <row r="1523" spans="1:4" x14ac:dyDescent="0.2">
      <c r="A1523" s="574">
        <v>1607</v>
      </c>
      <c r="B1523" s="574" t="s">
        <v>7061</v>
      </c>
      <c r="C1523" s="574" t="s">
        <v>7062</v>
      </c>
      <c r="D1523" s="582">
        <v>0.15</v>
      </c>
    </row>
    <row r="1524" spans="1:4" x14ac:dyDescent="0.2">
      <c r="A1524" s="574">
        <v>11467</v>
      </c>
      <c r="B1524" s="574" t="s">
        <v>7063</v>
      </c>
      <c r="C1524" s="574" t="s">
        <v>5555</v>
      </c>
      <c r="D1524" s="582">
        <v>12.76</v>
      </c>
    </row>
    <row r="1525" spans="1:4" x14ac:dyDescent="0.2">
      <c r="A1525" s="574">
        <v>38169</v>
      </c>
      <c r="B1525" s="574" t="s">
        <v>7064</v>
      </c>
      <c r="C1525" s="574" t="s">
        <v>7062</v>
      </c>
      <c r="D1525" s="582">
        <v>63.23</v>
      </c>
    </row>
    <row r="1526" spans="1:4" x14ac:dyDescent="0.2">
      <c r="A1526" s="574">
        <v>6142</v>
      </c>
      <c r="B1526" s="574" t="s">
        <v>7065</v>
      </c>
      <c r="C1526" s="574" t="s">
        <v>5555</v>
      </c>
      <c r="D1526" s="582">
        <v>6.05</v>
      </c>
    </row>
    <row r="1527" spans="1:4" x14ac:dyDescent="0.2">
      <c r="A1527" s="574">
        <v>11686</v>
      </c>
      <c r="B1527" s="574" t="s">
        <v>7066</v>
      </c>
      <c r="C1527" s="574" t="s">
        <v>5555</v>
      </c>
      <c r="D1527" s="582">
        <v>8.4</v>
      </c>
    </row>
    <row r="1528" spans="1:4" x14ac:dyDescent="0.2">
      <c r="A1528" s="574">
        <v>37598</v>
      </c>
      <c r="B1528" s="574" t="s">
        <v>7067</v>
      </c>
      <c r="C1528" s="574" t="s">
        <v>5555</v>
      </c>
      <c r="D1528" s="582">
        <v>22.83</v>
      </c>
    </row>
    <row r="1529" spans="1:4" x14ac:dyDescent="0.2">
      <c r="A1529" s="574">
        <v>25398</v>
      </c>
      <c r="B1529" s="574" t="s">
        <v>7068</v>
      </c>
      <c r="C1529" s="574" t="s">
        <v>5555</v>
      </c>
      <c r="D1529" s="583">
        <v>2122.5100000000002</v>
      </c>
    </row>
    <row r="1530" spans="1:4" x14ac:dyDescent="0.2">
      <c r="A1530" s="574">
        <v>25399</v>
      </c>
      <c r="B1530" s="574" t="s">
        <v>7069</v>
      </c>
      <c r="C1530" s="574" t="s">
        <v>5555</v>
      </c>
      <c r="D1530" s="583">
        <v>1288.55</v>
      </c>
    </row>
    <row r="1531" spans="1:4" x14ac:dyDescent="0.2">
      <c r="A1531" s="574">
        <v>43440</v>
      </c>
      <c r="B1531" s="574" t="s">
        <v>13583</v>
      </c>
      <c r="C1531" s="574" t="s">
        <v>5555</v>
      </c>
      <c r="D1531" s="582">
        <v>243.52</v>
      </c>
    </row>
    <row r="1532" spans="1:4" x14ac:dyDescent="0.2">
      <c r="A1532" s="574">
        <v>10667</v>
      </c>
      <c r="B1532" s="574" t="s">
        <v>7070</v>
      </c>
      <c r="C1532" s="574" t="s">
        <v>5555</v>
      </c>
      <c r="D1532" s="583">
        <v>11245</v>
      </c>
    </row>
    <row r="1533" spans="1:4" x14ac:dyDescent="0.2">
      <c r="A1533" s="574">
        <v>1613</v>
      </c>
      <c r="B1533" s="574" t="s">
        <v>7071</v>
      </c>
      <c r="C1533" s="574" t="s">
        <v>5555</v>
      </c>
      <c r="D1533" s="583">
        <v>1147.33</v>
      </c>
    </row>
    <row r="1534" spans="1:4" x14ac:dyDescent="0.2">
      <c r="A1534" s="574">
        <v>1626</v>
      </c>
      <c r="B1534" s="574" t="s">
        <v>7072</v>
      </c>
      <c r="C1534" s="574" t="s">
        <v>5555</v>
      </c>
      <c r="D1534" s="583">
        <v>1715.98</v>
      </c>
    </row>
    <row r="1535" spans="1:4" x14ac:dyDescent="0.2">
      <c r="A1535" s="574">
        <v>1625</v>
      </c>
      <c r="B1535" s="574" t="s">
        <v>7073</v>
      </c>
      <c r="C1535" s="574" t="s">
        <v>5555</v>
      </c>
      <c r="D1535" s="582">
        <v>119.85</v>
      </c>
    </row>
    <row r="1536" spans="1:4" x14ac:dyDescent="0.2">
      <c r="A1536" s="574">
        <v>1622</v>
      </c>
      <c r="B1536" s="574" t="s">
        <v>7074</v>
      </c>
      <c r="C1536" s="574" t="s">
        <v>5555</v>
      </c>
      <c r="D1536" s="583">
        <v>3872.26</v>
      </c>
    </row>
    <row r="1537" spans="1:4" x14ac:dyDescent="0.2">
      <c r="A1537" s="574">
        <v>1620</v>
      </c>
      <c r="B1537" s="574" t="s">
        <v>7075</v>
      </c>
      <c r="C1537" s="574" t="s">
        <v>5555</v>
      </c>
      <c r="D1537" s="582">
        <v>252.47</v>
      </c>
    </row>
    <row r="1538" spans="1:4" x14ac:dyDescent="0.2">
      <c r="A1538" s="574">
        <v>1629</v>
      </c>
      <c r="B1538" s="574" t="s">
        <v>7076</v>
      </c>
      <c r="C1538" s="574" t="s">
        <v>5555</v>
      </c>
      <c r="D1538" s="583">
        <v>9424.16</v>
      </c>
    </row>
    <row r="1539" spans="1:4" x14ac:dyDescent="0.2">
      <c r="A1539" s="574">
        <v>1627</v>
      </c>
      <c r="B1539" s="574" t="s">
        <v>7077</v>
      </c>
      <c r="C1539" s="574" t="s">
        <v>5555</v>
      </c>
      <c r="D1539" s="582">
        <v>482.6</v>
      </c>
    </row>
    <row r="1540" spans="1:4" x14ac:dyDescent="0.2">
      <c r="A1540" s="574">
        <v>1623</v>
      </c>
      <c r="B1540" s="574" t="s">
        <v>7078</v>
      </c>
      <c r="C1540" s="574" t="s">
        <v>5555</v>
      </c>
      <c r="D1540" s="582">
        <v>97.74</v>
      </c>
    </row>
    <row r="1541" spans="1:4" x14ac:dyDescent="0.2">
      <c r="A1541" s="574">
        <v>1619</v>
      </c>
      <c r="B1541" s="574" t="s">
        <v>7079</v>
      </c>
      <c r="C1541" s="574" t="s">
        <v>5555</v>
      </c>
      <c r="D1541" s="582">
        <v>134.44999999999999</v>
      </c>
    </row>
    <row r="1542" spans="1:4" x14ac:dyDescent="0.2">
      <c r="A1542" s="574">
        <v>1630</v>
      </c>
      <c r="B1542" s="574" t="s">
        <v>7080</v>
      </c>
      <c r="C1542" s="574" t="s">
        <v>5555</v>
      </c>
      <c r="D1542" s="583">
        <v>2960.42</v>
      </c>
    </row>
    <row r="1543" spans="1:4" x14ac:dyDescent="0.2">
      <c r="A1543" s="574">
        <v>1616</v>
      </c>
      <c r="B1543" s="574" t="s">
        <v>7081</v>
      </c>
      <c r="C1543" s="574" t="s">
        <v>5555</v>
      </c>
      <c r="D1543" s="583">
        <v>4553.18</v>
      </c>
    </row>
    <row r="1544" spans="1:4" x14ac:dyDescent="0.2">
      <c r="A1544" s="574">
        <v>1614</v>
      </c>
      <c r="B1544" s="574" t="s">
        <v>7082</v>
      </c>
      <c r="C1544" s="574" t="s">
        <v>5555</v>
      </c>
      <c r="D1544" s="582">
        <v>208.09</v>
      </c>
    </row>
    <row r="1545" spans="1:4" x14ac:dyDescent="0.2">
      <c r="A1545" s="574">
        <v>1617</v>
      </c>
      <c r="B1545" s="574" t="s">
        <v>7083</v>
      </c>
      <c r="C1545" s="574" t="s">
        <v>5555</v>
      </c>
      <c r="D1545" s="583">
        <v>5435.51</v>
      </c>
    </row>
    <row r="1546" spans="1:4" x14ac:dyDescent="0.2">
      <c r="A1546" s="574">
        <v>1621</v>
      </c>
      <c r="B1546" s="574" t="s">
        <v>7084</v>
      </c>
      <c r="C1546" s="574" t="s">
        <v>5555</v>
      </c>
      <c r="D1546" s="582">
        <v>372.17</v>
      </c>
    </row>
    <row r="1547" spans="1:4" x14ac:dyDescent="0.2">
      <c r="A1547" s="574">
        <v>1624</v>
      </c>
      <c r="B1547" s="574" t="s">
        <v>7085</v>
      </c>
      <c r="C1547" s="574" t="s">
        <v>5555</v>
      </c>
      <c r="D1547" s="583">
        <v>13360.76</v>
      </c>
    </row>
    <row r="1548" spans="1:4" x14ac:dyDescent="0.2">
      <c r="A1548" s="574">
        <v>1615</v>
      </c>
      <c r="B1548" s="574" t="s">
        <v>7086</v>
      </c>
      <c r="C1548" s="574" t="s">
        <v>5555</v>
      </c>
      <c r="D1548" s="582">
        <v>698.88</v>
      </c>
    </row>
    <row r="1549" spans="1:4" x14ac:dyDescent="0.2">
      <c r="A1549" s="574">
        <v>1612</v>
      </c>
      <c r="B1549" s="574" t="s">
        <v>7087</v>
      </c>
      <c r="C1549" s="574" t="s">
        <v>5555</v>
      </c>
      <c r="D1549" s="582">
        <v>92.05</v>
      </c>
    </row>
    <row r="1550" spans="1:4" x14ac:dyDescent="0.2">
      <c r="A1550" s="574">
        <v>1618</v>
      </c>
      <c r="B1550" s="574" t="s">
        <v>7088</v>
      </c>
      <c r="C1550" s="574" t="s">
        <v>5555</v>
      </c>
      <c r="D1550" s="582">
        <v>960.37</v>
      </c>
    </row>
    <row r="1551" spans="1:4" x14ac:dyDescent="0.2">
      <c r="A1551" s="574">
        <v>14211</v>
      </c>
      <c r="B1551" s="574" t="s">
        <v>7089</v>
      </c>
      <c r="C1551" s="574" t="s">
        <v>5555</v>
      </c>
      <c r="D1551" s="582">
        <v>27.52</v>
      </c>
    </row>
    <row r="1552" spans="1:4" x14ac:dyDescent="0.2">
      <c r="A1552" s="574">
        <v>34500</v>
      </c>
      <c r="B1552" s="574" t="s">
        <v>7090</v>
      </c>
      <c r="C1552" s="574" t="s">
        <v>5566</v>
      </c>
      <c r="D1552" s="582">
        <v>126.59</v>
      </c>
    </row>
    <row r="1553" spans="1:4" x14ac:dyDescent="0.2">
      <c r="A1553" s="574">
        <v>40934</v>
      </c>
      <c r="B1553" s="574" t="s">
        <v>7091</v>
      </c>
      <c r="C1553" s="574" t="s">
        <v>5755</v>
      </c>
      <c r="D1553" s="583">
        <v>22129.73</v>
      </c>
    </row>
    <row r="1554" spans="1:4" x14ac:dyDescent="0.2">
      <c r="A1554" s="574">
        <v>5328</v>
      </c>
      <c r="B1554" s="574" t="s">
        <v>7092</v>
      </c>
      <c r="C1554" s="574" t="s">
        <v>5555</v>
      </c>
      <c r="D1554" s="582">
        <v>4.3600000000000003</v>
      </c>
    </row>
    <row r="1555" spans="1:4" x14ac:dyDescent="0.2">
      <c r="A1555" s="574">
        <v>38200</v>
      </c>
      <c r="B1555" s="574" t="s">
        <v>7093</v>
      </c>
      <c r="C1555" s="574" t="s">
        <v>7094</v>
      </c>
      <c r="D1555" s="582">
        <v>522.86</v>
      </c>
    </row>
    <row r="1556" spans="1:4" x14ac:dyDescent="0.2">
      <c r="A1556" s="574">
        <v>39269</v>
      </c>
      <c r="B1556" s="574" t="s">
        <v>7095</v>
      </c>
      <c r="C1556" s="574" t="s">
        <v>5575</v>
      </c>
      <c r="D1556" s="582">
        <v>0.83</v>
      </c>
    </row>
    <row r="1557" spans="1:4" x14ac:dyDescent="0.2">
      <c r="A1557" s="574">
        <v>11889</v>
      </c>
      <c r="B1557" s="574" t="s">
        <v>7096</v>
      </c>
      <c r="C1557" s="574" t="s">
        <v>5575</v>
      </c>
      <c r="D1557" s="582">
        <v>1.1499999999999999</v>
      </c>
    </row>
    <row r="1558" spans="1:4" x14ac:dyDescent="0.2">
      <c r="A1558" s="574">
        <v>39270</v>
      </c>
      <c r="B1558" s="574" t="s">
        <v>7097</v>
      </c>
      <c r="C1558" s="574" t="s">
        <v>5575</v>
      </c>
      <c r="D1558" s="582">
        <v>1.37</v>
      </c>
    </row>
    <row r="1559" spans="1:4" x14ac:dyDescent="0.2">
      <c r="A1559" s="574">
        <v>11890</v>
      </c>
      <c r="B1559" s="574" t="s">
        <v>7098</v>
      </c>
      <c r="C1559" s="574" t="s">
        <v>5575</v>
      </c>
      <c r="D1559" s="582">
        <v>1.79</v>
      </c>
    </row>
    <row r="1560" spans="1:4" x14ac:dyDescent="0.2">
      <c r="A1560" s="574">
        <v>11891</v>
      </c>
      <c r="B1560" s="574" t="s">
        <v>7099</v>
      </c>
      <c r="C1560" s="574" t="s">
        <v>5575</v>
      </c>
      <c r="D1560" s="582">
        <v>2.95</v>
      </c>
    </row>
    <row r="1561" spans="1:4" x14ac:dyDescent="0.2">
      <c r="A1561" s="574">
        <v>11892</v>
      </c>
      <c r="B1561" s="574" t="s">
        <v>7100</v>
      </c>
      <c r="C1561" s="574" t="s">
        <v>5575</v>
      </c>
      <c r="D1561" s="582">
        <v>4.54</v>
      </c>
    </row>
    <row r="1562" spans="1:4" x14ac:dyDescent="0.2">
      <c r="A1562" s="574">
        <v>37601</v>
      </c>
      <c r="B1562" s="574" t="s">
        <v>7101</v>
      </c>
      <c r="C1562" s="574" t="s">
        <v>5575</v>
      </c>
      <c r="D1562" s="582">
        <v>5.07</v>
      </c>
    </row>
    <row r="1563" spans="1:4" x14ac:dyDescent="0.2">
      <c r="A1563" s="574">
        <v>1634</v>
      </c>
      <c r="B1563" s="574" t="s">
        <v>7102</v>
      </c>
      <c r="C1563" s="574" t="s">
        <v>5575</v>
      </c>
      <c r="D1563" s="582">
        <v>5.24</v>
      </c>
    </row>
    <row r="1564" spans="1:4" x14ac:dyDescent="0.2">
      <c r="A1564" s="574">
        <v>5086</v>
      </c>
      <c r="B1564" s="574" t="s">
        <v>7103</v>
      </c>
      <c r="C1564" s="574" t="s">
        <v>5626</v>
      </c>
      <c r="D1564" s="582">
        <v>26.18</v>
      </c>
    </row>
    <row r="1565" spans="1:4" x14ac:dyDescent="0.2">
      <c r="A1565" s="574">
        <v>11280</v>
      </c>
      <c r="B1565" s="574" t="s">
        <v>7104</v>
      </c>
      <c r="C1565" s="574" t="s">
        <v>5555</v>
      </c>
      <c r="D1565" s="583">
        <v>9049.19</v>
      </c>
    </row>
    <row r="1566" spans="1:4" x14ac:dyDescent="0.2">
      <c r="A1566" s="574">
        <v>40519</v>
      </c>
      <c r="B1566" s="574" t="s">
        <v>7105</v>
      </c>
      <c r="C1566" s="574" t="s">
        <v>5555</v>
      </c>
      <c r="D1566" s="583">
        <v>74598.44</v>
      </c>
    </row>
    <row r="1567" spans="1:4" x14ac:dyDescent="0.2">
      <c r="A1567" s="574">
        <v>39869</v>
      </c>
      <c r="B1567" s="574" t="s">
        <v>7106</v>
      </c>
      <c r="C1567" s="574" t="s">
        <v>5555</v>
      </c>
      <c r="D1567" s="582">
        <v>9.24</v>
      </c>
    </row>
    <row r="1568" spans="1:4" x14ac:dyDescent="0.2">
      <c r="A1568" s="574">
        <v>39870</v>
      </c>
      <c r="B1568" s="574" t="s">
        <v>7107</v>
      </c>
      <c r="C1568" s="574" t="s">
        <v>5555</v>
      </c>
      <c r="D1568" s="582">
        <v>14.13</v>
      </c>
    </row>
    <row r="1569" spans="1:4" x14ac:dyDescent="0.2">
      <c r="A1569" s="574">
        <v>39871</v>
      </c>
      <c r="B1569" s="574" t="s">
        <v>7108</v>
      </c>
      <c r="C1569" s="574" t="s">
        <v>5555</v>
      </c>
      <c r="D1569" s="582">
        <v>15.84</v>
      </c>
    </row>
    <row r="1570" spans="1:4" x14ac:dyDescent="0.2">
      <c r="A1570" s="574">
        <v>12722</v>
      </c>
      <c r="B1570" s="574" t="s">
        <v>7109</v>
      </c>
      <c r="C1570" s="574" t="s">
        <v>5555</v>
      </c>
      <c r="D1570" s="582">
        <v>530</v>
      </c>
    </row>
    <row r="1571" spans="1:4" x14ac:dyDescent="0.2">
      <c r="A1571" s="574">
        <v>12714</v>
      </c>
      <c r="B1571" s="574" t="s">
        <v>7110</v>
      </c>
      <c r="C1571" s="574" t="s">
        <v>5555</v>
      </c>
      <c r="D1571" s="582">
        <v>3.46</v>
      </c>
    </row>
    <row r="1572" spans="1:4" x14ac:dyDescent="0.2">
      <c r="A1572" s="574">
        <v>12715</v>
      </c>
      <c r="B1572" s="574" t="s">
        <v>7111</v>
      </c>
      <c r="C1572" s="574" t="s">
        <v>5555</v>
      </c>
      <c r="D1572" s="582">
        <v>7.81</v>
      </c>
    </row>
    <row r="1573" spans="1:4" x14ac:dyDescent="0.2">
      <c r="A1573" s="574">
        <v>12716</v>
      </c>
      <c r="B1573" s="574" t="s">
        <v>7112</v>
      </c>
      <c r="C1573" s="574" t="s">
        <v>5555</v>
      </c>
      <c r="D1573" s="582">
        <v>13.41</v>
      </c>
    </row>
    <row r="1574" spans="1:4" x14ac:dyDescent="0.2">
      <c r="A1574" s="574">
        <v>12717</v>
      </c>
      <c r="B1574" s="574" t="s">
        <v>7113</v>
      </c>
      <c r="C1574" s="574" t="s">
        <v>5555</v>
      </c>
      <c r="D1574" s="582">
        <v>26.36</v>
      </c>
    </row>
    <row r="1575" spans="1:4" x14ac:dyDescent="0.2">
      <c r="A1575" s="574">
        <v>12718</v>
      </c>
      <c r="B1575" s="574" t="s">
        <v>7114</v>
      </c>
      <c r="C1575" s="574" t="s">
        <v>5555</v>
      </c>
      <c r="D1575" s="582">
        <v>40.46</v>
      </c>
    </row>
    <row r="1576" spans="1:4" x14ac:dyDescent="0.2">
      <c r="A1576" s="574">
        <v>12719</v>
      </c>
      <c r="B1576" s="574" t="s">
        <v>7115</v>
      </c>
      <c r="C1576" s="574" t="s">
        <v>5555</v>
      </c>
      <c r="D1576" s="582">
        <v>64.239999999999995</v>
      </c>
    </row>
    <row r="1577" spans="1:4" x14ac:dyDescent="0.2">
      <c r="A1577" s="574">
        <v>12720</v>
      </c>
      <c r="B1577" s="574" t="s">
        <v>7116</v>
      </c>
      <c r="C1577" s="574" t="s">
        <v>5555</v>
      </c>
      <c r="D1577" s="582">
        <v>223.68</v>
      </c>
    </row>
    <row r="1578" spans="1:4" x14ac:dyDescent="0.2">
      <c r="A1578" s="574">
        <v>12721</v>
      </c>
      <c r="B1578" s="574" t="s">
        <v>7117</v>
      </c>
      <c r="C1578" s="574" t="s">
        <v>5555</v>
      </c>
      <c r="D1578" s="582">
        <v>214.49</v>
      </c>
    </row>
    <row r="1579" spans="1:4" x14ac:dyDescent="0.2">
      <c r="A1579" s="574">
        <v>3468</v>
      </c>
      <c r="B1579" s="574" t="s">
        <v>7118</v>
      </c>
      <c r="C1579" s="574" t="s">
        <v>5555</v>
      </c>
      <c r="D1579" s="582">
        <v>25.49</v>
      </c>
    </row>
    <row r="1580" spans="1:4" x14ac:dyDescent="0.2">
      <c r="A1580" s="574">
        <v>3465</v>
      </c>
      <c r="B1580" s="574" t="s">
        <v>7119</v>
      </c>
      <c r="C1580" s="574" t="s">
        <v>5555</v>
      </c>
      <c r="D1580" s="582">
        <v>25.49</v>
      </c>
    </row>
    <row r="1581" spans="1:4" x14ac:dyDescent="0.2">
      <c r="A1581" s="574">
        <v>12403</v>
      </c>
      <c r="B1581" s="574" t="s">
        <v>7120</v>
      </c>
      <c r="C1581" s="574" t="s">
        <v>5555</v>
      </c>
      <c r="D1581" s="582">
        <v>18.16</v>
      </c>
    </row>
    <row r="1582" spans="1:4" x14ac:dyDescent="0.2">
      <c r="A1582" s="574">
        <v>3463</v>
      </c>
      <c r="B1582" s="574" t="s">
        <v>7121</v>
      </c>
      <c r="C1582" s="574" t="s">
        <v>5555</v>
      </c>
      <c r="D1582" s="582">
        <v>10.61</v>
      </c>
    </row>
    <row r="1583" spans="1:4" x14ac:dyDescent="0.2">
      <c r="A1583" s="574">
        <v>3464</v>
      </c>
      <c r="B1583" s="574" t="s">
        <v>7122</v>
      </c>
      <c r="C1583" s="574" t="s">
        <v>5555</v>
      </c>
      <c r="D1583" s="582">
        <v>10.61</v>
      </c>
    </row>
    <row r="1584" spans="1:4" x14ac:dyDescent="0.2">
      <c r="A1584" s="574">
        <v>3466</v>
      </c>
      <c r="B1584" s="574" t="s">
        <v>7123</v>
      </c>
      <c r="C1584" s="574" t="s">
        <v>5555</v>
      </c>
      <c r="D1584" s="582">
        <v>64.73</v>
      </c>
    </row>
    <row r="1585" spans="1:4" x14ac:dyDescent="0.2">
      <c r="A1585" s="574">
        <v>3467</v>
      </c>
      <c r="B1585" s="574" t="s">
        <v>7124</v>
      </c>
      <c r="C1585" s="574" t="s">
        <v>5555</v>
      </c>
      <c r="D1585" s="582">
        <v>36.56</v>
      </c>
    </row>
    <row r="1586" spans="1:4" x14ac:dyDescent="0.2">
      <c r="A1586" s="574">
        <v>3462</v>
      </c>
      <c r="B1586" s="574" t="s">
        <v>7125</v>
      </c>
      <c r="C1586" s="574" t="s">
        <v>5555</v>
      </c>
      <c r="D1586" s="582">
        <v>7</v>
      </c>
    </row>
    <row r="1587" spans="1:4" x14ac:dyDescent="0.2">
      <c r="A1587" s="574">
        <v>3446</v>
      </c>
      <c r="B1587" s="574" t="s">
        <v>7126</v>
      </c>
      <c r="C1587" s="574" t="s">
        <v>5555</v>
      </c>
      <c r="D1587" s="582">
        <v>21.55</v>
      </c>
    </row>
    <row r="1588" spans="1:4" x14ac:dyDescent="0.2">
      <c r="A1588" s="574">
        <v>3445</v>
      </c>
      <c r="B1588" s="574" t="s">
        <v>7127</v>
      </c>
      <c r="C1588" s="574" t="s">
        <v>5555</v>
      </c>
      <c r="D1588" s="582">
        <v>17.59</v>
      </c>
    </row>
    <row r="1589" spans="1:4" x14ac:dyDescent="0.2">
      <c r="A1589" s="574">
        <v>3441</v>
      </c>
      <c r="B1589" s="574" t="s">
        <v>7128</v>
      </c>
      <c r="C1589" s="574" t="s">
        <v>5555</v>
      </c>
      <c r="D1589" s="582">
        <v>4.96</v>
      </c>
    </row>
    <row r="1590" spans="1:4" x14ac:dyDescent="0.2">
      <c r="A1590" s="574">
        <v>3444</v>
      </c>
      <c r="B1590" s="574" t="s">
        <v>7129</v>
      </c>
      <c r="C1590" s="574" t="s">
        <v>5555</v>
      </c>
      <c r="D1590" s="582">
        <v>10.83</v>
      </c>
    </row>
    <row r="1591" spans="1:4" x14ac:dyDescent="0.2">
      <c r="A1591" s="574">
        <v>12402</v>
      </c>
      <c r="B1591" s="574" t="s">
        <v>7130</v>
      </c>
      <c r="C1591" s="574" t="s">
        <v>5555</v>
      </c>
      <c r="D1591" s="582">
        <v>60.58</v>
      </c>
    </row>
    <row r="1592" spans="1:4" x14ac:dyDescent="0.2">
      <c r="A1592" s="574">
        <v>3447</v>
      </c>
      <c r="B1592" s="574" t="s">
        <v>7131</v>
      </c>
      <c r="C1592" s="574" t="s">
        <v>5555</v>
      </c>
      <c r="D1592" s="582">
        <v>31.34</v>
      </c>
    </row>
    <row r="1593" spans="1:4" x14ac:dyDescent="0.2">
      <c r="A1593" s="574">
        <v>3442</v>
      </c>
      <c r="B1593" s="574" t="s">
        <v>7132</v>
      </c>
      <c r="C1593" s="574" t="s">
        <v>5555</v>
      </c>
      <c r="D1593" s="582">
        <v>7.42</v>
      </c>
    </row>
    <row r="1594" spans="1:4" x14ac:dyDescent="0.2">
      <c r="A1594" s="574">
        <v>3448</v>
      </c>
      <c r="B1594" s="574" t="s">
        <v>7133</v>
      </c>
      <c r="C1594" s="574" t="s">
        <v>5555</v>
      </c>
      <c r="D1594" s="582">
        <v>88.57</v>
      </c>
    </row>
    <row r="1595" spans="1:4" x14ac:dyDescent="0.2">
      <c r="A1595" s="574">
        <v>3449</v>
      </c>
      <c r="B1595" s="574" t="s">
        <v>7134</v>
      </c>
      <c r="C1595" s="574" t="s">
        <v>5555</v>
      </c>
      <c r="D1595" s="582">
        <v>155.19999999999999</v>
      </c>
    </row>
    <row r="1596" spans="1:4" x14ac:dyDescent="0.2">
      <c r="A1596" s="574">
        <v>37438</v>
      </c>
      <c r="B1596" s="574" t="s">
        <v>7135</v>
      </c>
      <c r="C1596" s="574" t="s">
        <v>5555</v>
      </c>
      <c r="D1596" s="582">
        <v>171.49</v>
      </c>
    </row>
    <row r="1597" spans="1:4" x14ac:dyDescent="0.2">
      <c r="A1597" s="574">
        <v>37439</v>
      </c>
      <c r="B1597" s="574" t="s">
        <v>7136</v>
      </c>
      <c r="C1597" s="574" t="s">
        <v>5555</v>
      </c>
      <c r="D1597" s="583">
        <v>1121.22</v>
      </c>
    </row>
    <row r="1598" spans="1:4" x14ac:dyDescent="0.2">
      <c r="A1598" s="574">
        <v>37435</v>
      </c>
      <c r="B1598" s="574" t="s">
        <v>7137</v>
      </c>
      <c r="C1598" s="574" t="s">
        <v>5555</v>
      </c>
      <c r="D1598" s="582">
        <v>20.149999999999999</v>
      </c>
    </row>
    <row r="1599" spans="1:4" x14ac:dyDescent="0.2">
      <c r="A1599" s="574">
        <v>37436</v>
      </c>
      <c r="B1599" s="574" t="s">
        <v>7138</v>
      </c>
      <c r="C1599" s="574" t="s">
        <v>5555</v>
      </c>
      <c r="D1599" s="582">
        <v>23.78</v>
      </c>
    </row>
    <row r="1600" spans="1:4" x14ac:dyDescent="0.2">
      <c r="A1600" s="574">
        <v>37437</v>
      </c>
      <c r="B1600" s="574" t="s">
        <v>7139</v>
      </c>
      <c r="C1600" s="574" t="s">
        <v>5555</v>
      </c>
      <c r="D1600" s="582">
        <v>34.4</v>
      </c>
    </row>
    <row r="1601" spans="1:4" x14ac:dyDescent="0.2">
      <c r="A1601" s="574">
        <v>3473</v>
      </c>
      <c r="B1601" s="574" t="s">
        <v>7140</v>
      </c>
      <c r="C1601" s="574" t="s">
        <v>5555</v>
      </c>
      <c r="D1601" s="582">
        <v>24.37</v>
      </c>
    </row>
    <row r="1602" spans="1:4" x14ac:dyDescent="0.2">
      <c r="A1602" s="574">
        <v>3474</v>
      </c>
      <c r="B1602" s="574" t="s">
        <v>7141</v>
      </c>
      <c r="C1602" s="574" t="s">
        <v>5555</v>
      </c>
      <c r="D1602" s="582">
        <v>20.079999999999998</v>
      </c>
    </row>
    <row r="1603" spans="1:4" x14ac:dyDescent="0.2">
      <c r="A1603" s="574">
        <v>3450</v>
      </c>
      <c r="B1603" s="574" t="s">
        <v>7142</v>
      </c>
      <c r="C1603" s="574" t="s">
        <v>5555</v>
      </c>
      <c r="D1603" s="582">
        <v>5.82</v>
      </c>
    </row>
    <row r="1604" spans="1:4" x14ac:dyDescent="0.2">
      <c r="A1604" s="574">
        <v>3443</v>
      </c>
      <c r="B1604" s="574" t="s">
        <v>7143</v>
      </c>
      <c r="C1604" s="574" t="s">
        <v>5555</v>
      </c>
      <c r="D1604" s="582">
        <v>12.49</v>
      </c>
    </row>
    <row r="1605" spans="1:4" x14ac:dyDescent="0.2">
      <c r="A1605" s="574">
        <v>3453</v>
      </c>
      <c r="B1605" s="574" t="s">
        <v>7144</v>
      </c>
      <c r="C1605" s="574" t="s">
        <v>5555</v>
      </c>
      <c r="D1605" s="582">
        <v>71.13</v>
      </c>
    </row>
    <row r="1606" spans="1:4" x14ac:dyDescent="0.2">
      <c r="A1606" s="574">
        <v>3452</v>
      </c>
      <c r="B1606" s="574" t="s">
        <v>7145</v>
      </c>
      <c r="C1606" s="574" t="s">
        <v>5555</v>
      </c>
      <c r="D1606" s="582">
        <v>35.11</v>
      </c>
    </row>
    <row r="1607" spans="1:4" x14ac:dyDescent="0.2">
      <c r="A1607" s="574">
        <v>3451</v>
      </c>
      <c r="B1607" s="574" t="s">
        <v>7146</v>
      </c>
      <c r="C1607" s="574" t="s">
        <v>5555</v>
      </c>
      <c r="D1607" s="582">
        <v>6.96</v>
      </c>
    </row>
    <row r="1608" spans="1:4" x14ac:dyDescent="0.2">
      <c r="A1608" s="574">
        <v>3454</v>
      </c>
      <c r="B1608" s="574" t="s">
        <v>7147</v>
      </c>
      <c r="C1608" s="574" t="s">
        <v>5555</v>
      </c>
      <c r="D1608" s="582">
        <v>108.18</v>
      </c>
    </row>
    <row r="1609" spans="1:4" x14ac:dyDescent="0.2">
      <c r="A1609" s="574">
        <v>3458</v>
      </c>
      <c r="B1609" s="574" t="s">
        <v>7148</v>
      </c>
      <c r="C1609" s="574" t="s">
        <v>5555</v>
      </c>
      <c r="D1609" s="582">
        <v>19.53</v>
      </c>
    </row>
    <row r="1610" spans="1:4" x14ac:dyDescent="0.2">
      <c r="A1610" s="574">
        <v>3457</v>
      </c>
      <c r="B1610" s="574" t="s">
        <v>7149</v>
      </c>
      <c r="C1610" s="574" t="s">
        <v>5555</v>
      </c>
      <c r="D1610" s="582">
        <v>14.66</v>
      </c>
    </row>
    <row r="1611" spans="1:4" x14ac:dyDescent="0.2">
      <c r="A1611" s="574">
        <v>3455</v>
      </c>
      <c r="B1611" s="574" t="s">
        <v>7150</v>
      </c>
      <c r="C1611" s="574" t="s">
        <v>5555</v>
      </c>
      <c r="D1611" s="582">
        <v>4.16</v>
      </c>
    </row>
    <row r="1612" spans="1:4" x14ac:dyDescent="0.2">
      <c r="A1612" s="574">
        <v>3472</v>
      </c>
      <c r="B1612" s="574" t="s">
        <v>7151</v>
      </c>
      <c r="C1612" s="574" t="s">
        <v>5555</v>
      </c>
      <c r="D1612" s="582">
        <v>9.35</v>
      </c>
    </row>
    <row r="1613" spans="1:4" x14ac:dyDescent="0.2">
      <c r="A1613" s="574">
        <v>3470</v>
      </c>
      <c r="B1613" s="574" t="s">
        <v>7152</v>
      </c>
      <c r="C1613" s="574" t="s">
        <v>5555</v>
      </c>
      <c r="D1613" s="582">
        <v>54.54</v>
      </c>
    </row>
    <row r="1614" spans="1:4" x14ac:dyDescent="0.2">
      <c r="A1614" s="574">
        <v>3471</v>
      </c>
      <c r="B1614" s="574" t="s">
        <v>7153</v>
      </c>
      <c r="C1614" s="574" t="s">
        <v>5555</v>
      </c>
      <c r="D1614" s="582">
        <v>29.97</v>
      </c>
    </row>
    <row r="1615" spans="1:4" x14ac:dyDescent="0.2">
      <c r="A1615" s="574">
        <v>3456</v>
      </c>
      <c r="B1615" s="574" t="s">
        <v>7154</v>
      </c>
      <c r="C1615" s="574" t="s">
        <v>5555</v>
      </c>
      <c r="D1615" s="582">
        <v>6.23</v>
      </c>
    </row>
    <row r="1616" spans="1:4" x14ac:dyDescent="0.2">
      <c r="A1616" s="574">
        <v>3459</v>
      </c>
      <c r="B1616" s="574" t="s">
        <v>7155</v>
      </c>
      <c r="C1616" s="574" t="s">
        <v>5555</v>
      </c>
      <c r="D1616" s="582">
        <v>76.930000000000007</v>
      </c>
    </row>
    <row r="1617" spans="1:4" x14ac:dyDescent="0.2">
      <c r="A1617" s="574">
        <v>3469</v>
      </c>
      <c r="B1617" s="574" t="s">
        <v>7156</v>
      </c>
      <c r="C1617" s="574" t="s">
        <v>5555</v>
      </c>
      <c r="D1617" s="582">
        <v>146.30000000000001</v>
      </c>
    </row>
    <row r="1618" spans="1:4" x14ac:dyDescent="0.2">
      <c r="A1618" s="574">
        <v>3460</v>
      </c>
      <c r="B1618" s="574" t="s">
        <v>7157</v>
      </c>
      <c r="C1618" s="574" t="s">
        <v>5555</v>
      </c>
      <c r="D1618" s="582">
        <v>213.48</v>
      </c>
    </row>
    <row r="1619" spans="1:4" x14ac:dyDescent="0.2">
      <c r="A1619" s="574">
        <v>3461</v>
      </c>
      <c r="B1619" s="574" t="s">
        <v>7158</v>
      </c>
      <c r="C1619" s="574" t="s">
        <v>5555</v>
      </c>
      <c r="D1619" s="582">
        <v>545.64</v>
      </c>
    </row>
    <row r="1620" spans="1:4" x14ac:dyDescent="0.2">
      <c r="A1620" s="574">
        <v>37433</v>
      </c>
      <c r="B1620" s="574" t="s">
        <v>7159</v>
      </c>
      <c r="C1620" s="574" t="s">
        <v>5555</v>
      </c>
      <c r="D1620" s="582">
        <v>171.49</v>
      </c>
    </row>
    <row r="1621" spans="1:4" x14ac:dyDescent="0.2">
      <c r="A1621" s="574">
        <v>37430</v>
      </c>
      <c r="B1621" s="574" t="s">
        <v>7160</v>
      </c>
      <c r="C1621" s="574" t="s">
        <v>5555</v>
      </c>
      <c r="D1621" s="582">
        <v>21.49</v>
      </c>
    </row>
    <row r="1622" spans="1:4" x14ac:dyDescent="0.2">
      <c r="A1622" s="574">
        <v>37434</v>
      </c>
      <c r="B1622" s="574" t="s">
        <v>7161</v>
      </c>
      <c r="C1622" s="574" t="s">
        <v>5555</v>
      </c>
      <c r="D1622" s="583">
        <v>1599.02</v>
      </c>
    </row>
    <row r="1623" spans="1:4" x14ac:dyDescent="0.2">
      <c r="A1623" s="574">
        <v>37431</v>
      </c>
      <c r="B1623" s="574" t="s">
        <v>7162</v>
      </c>
      <c r="C1623" s="574" t="s">
        <v>5555</v>
      </c>
      <c r="D1623" s="582">
        <v>29.15</v>
      </c>
    </row>
    <row r="1624" spans="1:4" x14ac:dyDescent="0.2">
      <c r="A1624" s="574">
        <v>37432</v>
      </c>
      <c r="B1624" s="574" t="s">
        <v>7163</v>
      </c>
      <c r="C1624" s="574" t="s">
        <v>5555</v>
      </c>
      <c r="D1624" s="582">
        <v>53.77</v>
      </c>
    </row>
    <row r="1625" spans="1:4" x14ac:dyDescent="0.2">
      <c r="A1625" s="574">
        <v>37413</v>
      </c>
      <c r="B1625" s="574" t="s">
        <v>7164</v>
      </c>
      <c r="C1625" s="574" t="s">
        <v>5555</v>
      </c>
      <c r="D1625" s="582">
        <v>3.46</v>
      </c>
    </row>
    <row r="1626" spans="1:4" x14ac:dyDescent="0.2">
      <c r="A1626" s="574">
        <v>37414</v>
      </c>
      <c r="B1626" s="574" t="s">
        <v>7165</v>
      </c>
      <c r="C1626" s="574" t="s">
        <v>5555</v>
      </c>
      <c r="D1626" s="582">
        <v>3.93</v>
      </c>
    </row>
    <row r="1627" spans="1:4" x14ac:dyDescent="0.2">
      <c r="A1627" s="574">
        <v>37415</v>
      </c>
      <c r="B1627" s="574" t="s">
        <v>7166</v>
      </c>
      <c r="C1627" s="574" t="s">
        <v>5555</v>
      </c>
      <c r="D1627" s="582">
        <v>7.15</v>
      </c>
    </row>
    <row r="1628" spans="1:4" x14ac:dyDescent="0.2">
      <c r="A1628" s="574">
        <v>37416</v>
      </c>
      <c r="B1628" s="574" t="s">
        <v>7167</v>
      </c>
      <c r="C1628" s="574" t="s">
        <v>5555</v>
      </c>
      <c r="D1628" s="582">
        <v>3.24</v>
      </c>
    </row>
    <row r="1629" spans="1:4" x14ac:dyDescent="0.2">
      <c r="A1629" s="574">
        <v>37417</v>
      </c>
      <c r="B1629" s="574" t="s">
        <v>7168</v>
      </c>
      <c r="C1629" s="574" t="s">
        <v>5555</v>
      </c>
      <c r="D1629" s="582">
        <v>4.66</v>
      </c>
    </row>
    <row r="1630" spans="1:4" x14ac:dyDescent="0.2">
      <c r="A1630" s="574">
        <v>34519</v>
      </c>
      <c r="B1630" s="574" t="s">
        <v>7172</v>
      </c>
      <c r="C1630" s="574" t="s">
        <v>5555</v>
      </c>
      <c r="D1630" s="582">
        <v>71.819999999999993</v>
      </c>
    </row>
    <row r="1631" spans="1:4" x14ac:dyDescent="0.2">
      <c r="A1631" s="574">
        <v>10510</v>
      </c>
      <c r="B1631" s="574" t="s">
        <v>7173</v>
      </c>
      <c r="C1631" s="574" t="s">
        <v>5555</v>
      </c>
      <c r="D1631" s="582">
        <v>73.930000000000007</v>
      </c>
    </row>
    <row r="1632" spans="1:4" x14ac:dyDescent="0.2">
      <c r="A1632" s="574">
        <v>1649</v>
      </c>
      <c r="B1632" s="574" t="s">
        <v>7174</v>
      </c>
      <c r="C1632" s="574" t="s">
        <v>5555</v>
      </c>
      <c r="D1632" s="582">
        <v>46.06</v>
      </c>
    </row>
    <row r="1633" spans="1:4" x14ac:dyDescent="0.2">
      <c r="A1633" s="574">
        <v>1653</v>
      </c>
      <c r="B1633" s="574" t="s">
        <v>7175</v>
      </c>
      <c r="C1633" s="574" t="s">
        <v>5555</v>
      </c>
      <c r="D1633" s="582">
        <v>36.08</v>
      </c>
    </row>
    <row r="1634" spans="1:4" x14ac:dyDescent="0.2">
      <c r="A1634" s="574">
        <v>1647</v>
      </c>
      <c r="B1634" s="574" t="s">
        <v>7176</v>
      </c>
      <c r="C1634" s="574" t="s">
        <v>5555</v>
      </c>
      <c r="D1634" s="582">
        <v>12.92</v>
      </c>
    </row>
    <row r="1635" spans="1:4" x14ac:dyDescent="0.2">
      <c r="A1635" s="574">
        <v>1648</v>
      </c>
      <c r="B1635" s="574" t="s">
        <v>7177</v>
      </c>
      <c r="C1635" s="574" t="s">
        <v>5555</v>
      </c>
      <c r="D1635" s="582">
        <v>24.81</v>
      </c>
    </row>
    <row r="1636" spans="1:4" x14ac:dyDescent="0.2">
      <c r="A1636" s="574">
        <v>1651</v>
      </c>
      <c r="B1636" s="574" t="s">
        <v>7178</v>
      </c>
      <c r="C1636" s="574" t="s">
        <v>5555</v>
      </c>
      <c r="D1636" s="582">
        <v>115.09</v>
      </c>
    </row>
    <row r="1637" spans="1:4" x14ac:dyDescent="0.2">
      <c r="A1637" s="574">
        <v>1650</v>
      </c>
      <c r="B1637" s="574" t="s">
        <v>7179</v>
      </c>
      <c r="C1637" s="574" t="s">
        <v>5555</v>
      </c>
      <c r="D1637" s="582">
        <v>63.61</v>
      </c>
    </row>
    <row r="1638" spans="1:4" x14ac:dyDescent="0.2">
      <c r="A1638" s="574">
        <v>1654</v>
      </c>
      <c r="B1638" s="574" t="s">
        <v>7180</v>
      </c>
      <c r="C1638" s="574" t="s">
        <v>5555</v>
      </c>
      <c r="D1638" s="582">
        <v>17.73</v>
      </c>
    </row>
    <row r="1639" spans="1:4" x14ac:dyDescent="0.2">
      <c r="A1639" s="574">
        <v>1652</v>
      </c>
      <c r="B1639" s="574" t="s">
        <v>7181</v>
      </c>
      <c r="C1639" s="574" t="s">
        <v>5555</v>
      </c>
      <c r="D1639" s="582">
        <v>165.18</v>
      </c>
    </row>
    <row r="1640" spans="1:4" x14ac:dyDescent="0.2">
      <c r="A1640" s="574">
        <v>1747</v>
      </c>
      <c r="B1640" s="574" t="s">
        <v>7182</v>
      </c>
      <c r="C1640" s="574" t="s">
        <v>5555</v>
      </c>
      <c r="D1640" s="582">
        <v>167.51</v>
      </c>
    </row>
    <row r="1641" spans="1:4" x14ac:dyDescent="0.2">
      <c r="A1641" s="574">
        <v>1744</v>
      </c>
      <c r="B1641" s="574" t="s">
        <v>7183</v>
      </c>
      <c r="C1641" s="574" t="s">
        <v>5555</v>
      </c>
      <c r="D1641" s="582">
        <v>116.03</v>
      </c>
    </row>
    <row r="1642" spans="1:4" x14ac:dyDescent="0.2">
      <c r="A1642" s="574">
        <v>1743</v>
      </c>
      <c r="B1642" s="574" t="s">
        <v>7184</v>
      </c>
      <c r="C1642" s="574" t="s">
        <v>5555</v>
      </c>
      <c r="D1642" s="582">
        <v>152.36000000000001</v>
      </c>
    </row>
    <row r="1643" spans="1:4" x14ac:dyDescent="0.2">
      <c r="A1643" s="574">
        <v>39640</v>
      </c>
      <c r="B1643" s="574" t="s">
        <v>7186</v>
      </c>
      <c r="C1643" s="574" t="s">
        <v>5555</v>
      </c>
      <c r="D1643" s="582">
        <v>5.73</v>
      </c>
    </row>
    <row r="1644" spans="1:4" x14ac:dyDescent="0.2">
      <c r="A1644" s="574">
        <v>11013</v>
      </c>
      <c r="B1644" s="574" t="s">
        <v>7187</v>
      </c>
      <c r="C1644" s="574" t="s">
        <v>5555</v>
      </c>
      <c r="D1644" s="582">
        <v>11.8</v>
      </c>
    </row>
    <row r="1645" spans="1:4" x14ac:dyDescent="0.2">
      <c r="A1645" s="574">
        <v>11017</v>
      </c>
      <c r="B1645" s="574" t="s">
        <v>7188</v>
      </c>
      <c r="C1645" s="574" t="s">
        <v>5555</v>
      </c>
      <c r="D1645" s="582">
        <v>5.03</v>
      </c>
    </row>
    <row r="1646" spans="1:4" x14ac:dyDescent="0.2">
      <c r="A1646" s="574">
        <v>20236</v>
      </c>
      <c r="B1646" s="574" t="s">
        <v>7189</v>
      </c>
      <c r="C1646" s="574" t="s">
        <v>5555</v>
      </c>
      <c r="D1646" s="582">
        <v>22.17</v>
      </c>
    </row>
    <row r="1647" spans="1:4" x14ac:dyDescent="0.2">
      <c r="A1647" s="574">
        <v>7215</v>
      </c>
      <c r="B1647" s="574" t="s">
        <v>7190</v>
      </c>
      <c r="C1647" s="574" t="s">
        <v>5555</v>
      </c>
      <c r="D1647" s="582">
        <v>18.98</v>
      </c>
    </row>
    <row r="1648" spans="1:4" x14ac:dyDescent="0.2">
      <c r="A1648" s="574">
        <v>7216</v>
      </c>
      <c r="B1648" s="574" t="s">
        <v>7191</v>
      </c>
      <c r="C1648" s="574" t="s">
        <v>5555</v>
      </c>
      <c r="D1648" s="582">
        <v>79.36</v>
      </c>
    </row>
    <row r="1649" spans="1:4" x14ac:dyDescent="0.2">
      <c r="A1649" s="574">
        <v>20235</v>
      </c>
      <c r="B1649" s="574" t="s">
        <v>7192</v>
      </c>
      <c r="C1649" s="574" t="s">
        <v>5555</v>
      </c>
      <c r="D1649" s="582">
        <v>40.119999999999997</v>
      </c>
    </row>
    <row r="1650" spans="1:4" x14ac:dyDescent="0.2">
      <c r="A1650" s="574">
        <v>7181</v>
      </c>
      <c r="B1650" s="574" t="s">
        <v>7193</v>
      </c>
      <c r="C1650" s="574" t="s">
        <v>5555</v>
      </c>
      <c r="D1650" s="582">
        <v>5.69</v>
      </c>
    </row>
    <row r="1651" spans="1:4" x14ac:dyDescent="0.2">
      <c r="A1651" s="574">
        <v>40742</v>
      </c>
      <c r="B1651" s="574" t="s">
        <v>13584</v>
      </c>
      <c r="C1651" s="574" t="s">
        <v>5555</v>
      </c>
      <c r="D1651" s="582">
        <v>9.01</v>
      </c>
    </row>
    <row r="1652" spans="1:4" x14ac:dyDescent="0.2">
      <c r="A1652" s="574">
        <v>7214</v>
      </c>
      <c r="B1652" s="574" t="s">
        <v>7195</v>
      </c>
      <c r="C1652" s="574" t="s">
        <v>5555</v>
      </c>
      <c r="D1652" s="582">
        <v>27.19</v>
      </c>
    </row>
    <row r="1653" spans="1:4" x14ac:dyDescent="0.2">
      <c r="A1653" s="574">
        <v>7219</v>
      </c>
      <c r="B1653" s="574" t="s">
        <v>7196</v>
      </c>
      <c r="C1653" s="574" t="s">
        <v>5555</v>
      </c>
      <c r="D1653" s="582">
        <v>28.14</v>
      </c>
    </row>
    <row r="1654" spans="1:4" x14ac:dyDescent="0.2">
      <c r="A1654" s="574">
        <v>37972</v>
      </c>
      <c r="B1654" s="574" t="s">
        <v>7197</v>
      </c>
      <c r="C1654" s="574" t="s">
        <v>5555</v>
      </c>
      <c r="D1654" s="582">
        <v>5.21</v>
      </c>
    </row>
    <row r="1655" spans="1:4" x14ac:dyDescent="0.2">
      <c r="A1655" s="574">
        <v>37973</v>
      </c>
      <c r="B1655" s="574" t="s">
        <v>7198</v>
      </c>
      <c r="C1655" s="574" t="s">
        <v>5555</v>
      </c>
      <c r="D1655" s="582">
        <v>8.34</v>
      </c>
    </row>
    <row r="1656" spans="1:4" x14ac:dyDescent="0.2">
      <c r="A1656" s="574">
        <v>37971</v>
      </c>
      <c r="B1656" s="574" t="s">
        <v>7199</v>
      </c>
      <c r="C1656" s="574" t="s">
        <v>5555</v>
      </c>
      <c r="D1656" s="582">
        <v>3.13</v>
      </c>
    </row>
    <row r="1657" spans="1:4" x14ac:dyDescent="0.2">
      <c r="A1657" s="574">
        <v>20094</v>
      </c>
      <c r="B1657" s="574" t="s">
        <v>7200</v>
      </c>
      <c r="C1657" s="574" t="s">
        <v>5555</v>
      </c>
      <c r="D1657" s="582">
        <v>13.01</v>
      </c>
    </row>
    <row r="1658" spans="1:4" x14ac:dyDescent="0.2">
      <c r="A1658" s="574">
        <v>20095</v>
      </c>
      <c r="B1658" s="574" t="s">
        <v>7201</v>
      </c>
      <c r="C1658" s="574" t="s">
        <v>5555</v>
      </c>
      <c r="D1658" s="582">
        <v>16.57</v>
      </c>
    </row>
    <row r="1659" spans="1:4" x14ac:dyDescent="0.2">
      <c r="A1659" s="574">
        <v>1954</v>
      </c>
      <c r="B1659" s="574" t="s">
        <v>7202</v>
      </c>
      <c r="C1659" s="574" t="s">
        <v>5555</v>
      </c>
      <c r="D1659" s="582">
        <v>109.89</v>
      </c>
    </row>
    <row r="1660" spans="1:4" x14ac:dyDescent="0.2">
      <c r="A1660" s="574">
        <v>1926</v>
      </c>
      <c r="B1660" s="574" t="s">
        <v>7203</v>
      </c>
      <c r="C1660" s="574" t="s">
        <v>5555</v>
      </c>
      <c r="D1660" s="582">
        <v>1.45</v>
      </c>
    </row>
    <row r="1661" spans="1:4" x14ac:dyDescent="0.2">
      <c r="A1661" s="574">
        <v>1927</v>
      </c>
      <c r="B1661" s="574" t="s">
        <v>7204</v>
      </c>
      <c r="C1661" s="574" t="s">
        <v>5555</v>
      </c>
      <c r="D1661" s="582">
        <v>1.91</v>
      </c>
    </row>
    <row r="1662" spans="1:4" x14ac:dyDescent="0.2">
      <c r="A1662" s="574">
        <v>1923</v>
      </c>
      <c r="B1662" s="574" t="s">
        <v>7205</v>
      </c>
      <c r="C1662" s="574" t="s">
        <v>5555</v>
      </c>
      <c r="D1662" s="582">
        <v>3.13</v>
      </c>
    </row>
    <row r="1663" spans="1:4" x14ac:dyDescent="0.2">
      <c r="A1663" s="574">
        <v>1929</v>
      </c>
      <c r="B1663" s="574" t="s">
        <v>7206</v>
      </c>
      <c r="C1663" s="574" t="s">
        <v>5555</v>
      </c>
      <c r="D1663" s="582">
        <v>5.13</v>
      </c>
    </row>
    <row r="1664" spans="1:4" x14ac:dyDescent="0.2">
      <c r="A1664" s="574">
        <v>1930</v>
      </c>
      <c r="B1664" s="574" t="s">
        <v>7207</v>
      </c>
      <c r="C1664" s="574" t="s">
        <v>5555</v>
      </c>
      <c r="D1664" s="582">
        <v>9.9499999999999993</v>
      </c>
    </row>
    <row r="1665" spans="1:4" x14ac:dyDescent="0.2">
      <c r="A1665" s="574">
        <v>1924</v>
      </c>
      <c r="B1665" s="574" t="s">
        <v>7208</v>
      </c>
      <c r="C1665" s="574" t="s">
        <v>5555</v>
      </c>
      <c r="D1665" s="582">
        <v>17.149999999999999</v>
      </c>
    </row>
    <row r="1666" spans="1:4" x14ac:dyDescent="0.2">
      <c r="A1666" s="574">
        <v>1922</v>
      </c>
      <c r="B1666" s="574" t="s">
        <v>7209</v>
      </c>
      <c r="C1666" s="574" t="s">
        <v>5555</v>
      </c>
      <c r="D1666" s="582">
        <v>25.48</v>
      </c>
    </row>
    <row r="1667" spans="1:4" x14ac:dyDescent="0.2">
      <c r="A1667" s="574">
        <v>1953</v>
      </c>
      <c r="B1667" s="574" t="s">
        <v>7210</v>
      </c>
      <c r="C1667" s="574" t="s">
        <v>5555</v>
      </c>
      <c r="D1667" s="582">
        <v>44.52</v>
      </c>
    </row>
    <row r="1668" spans="1:4" x14ac:dyDescent="0.2">
      <c r="A1668" s="574">
        <v>1962</v>
      </c>
      <c r="B1668" s="574" t="s">
        <v>7211</v>
      </c>
      <c r="C1668" s="574" t="s">
        <v>5555</v>
      </c>
      <c r="D1668" s="582">
        <v>145.66999999999999</v>
      </c>
    </row>
    <row r="1669" spans="1:4" x14ac:dyDescent="0.2">
      <c r="A1669" s="574">
        <v>1955</v>
      </c>
      <c r="B1669" s="574" t="s">
        <v>7212</v>
      </c>
      <c r="C1669" s="574" t="s">
        <v>5555</v>
      </c>
      <c r="D1669" s="582">
        <v>1.92</v>
      </c>
    </row>
    <row r="1670" spans="1:4" x14ac:dyDescent="0.2">
      <c r="A1670" s="574">
        <v>1956</v>
      </c>
      <c r="B1670" s="574" t="s">
        <v>7213</v>
      </c>
      <c r="C1670" s="574" t="s">
        <v>5555</v>
      </c>
      <c r="D1670" s="582">
        <v>2.48</v>
      </c>
    </row>
    <row r="1671" spans="1:4" x14ac:dyDescent="0.2">
      <c r="A1671" s="574">
        <v>1957</v>
      </c>
      <c r="B1671" s="574" t="s">
        <v>7214</v>
      </c>
      <c r="C1671" s="574" t="s">
        <v>5555</v>
      </c>
      <c r="D1671" s="582">
        <v>5.64</v>
      </c>
    </row>
    <row r="1672" spans="1:4" x14ac:dyDescent="0.2">
      <c r="A1672" s="574">
        <v>1958</v>
      </c>
      <c r="B1672" s="574" t="s">
        <v>7215</v>
      </c>
      <c r="C1672" s="574" t="s">
        <v>5555</v>
      </c>
      <c r="D1672" s="582">
        <v>10.02</v>
      </c>
    </row>
    <row r="1673" spans="1:4" x14ac:dyDescent="0.2">
      <c r="A1673" s="574">
        <v>1959</v>
      </c>
      <c r="B1673" s="574" t="s">
        <v>7216</v>
      </c>
      <c r="C1673" s="574" t="s">
        <v>5555</v>
      </c>
      <c r="D1673" s="582">
        <v>12.22</v>
      </c>
    </row>
    <row r="1674" spans="1:4" x14ac:dyDescent="0.2">
      <c r="A1674" s="574">
        <v>1925</v>
      </c>
      <c r="B1674" s="574" t="s">
        <v>7217</v>
      </c>
      <c r="C1674" s="574" t="s">
        <v>5555</v>
      </c>
      <c r="D1674" s="582">
        <v>30.2</v>
      </c>
    </row>
    <row r="1675" spans="1:4" x14ac:dyDescent="0.2">
      <c r="A1675" s="574">
        <v>1960</v>
      </c>
      <c r="B1675" s="574" t="s">
        <v>7218</v>
      </c>
      <c r="C1675" s="574" t="s">
        <v>5555</v>
      </c>
      <c r="D1675" s="582">
        <v>42.94</v>
      </c>
    </row>
    <row r="1676" spans="1:4" x14ac:dyDescent="0.2">
      <c r="A1676" s="574">
        <v>1961</v>
      </c>
      <c r="B1676" s="574" t="s">
        <v>7219</v>
      </c>
      <c r="C1676" s="574" t="s">
        <v>5555</v>
      </c>
      <c r="D1676" s="582">
        <v>61.7</v>
      </c>
    </row>
    <row r="1677" spans="1:4" x14ac:dyDescent="0.2">
      <c r="A1677" s="574">
        <v>38426</v>
      </c>
      <c r="B1677" s="574" t="s">
        <v>7220</v>
      </c>
      <c r="C1677" s="574" t="s">
        <v>5555</v>
      </c>
      <c r="D1677" s="582">
        <v>15.87</v>
      </c>
    </row>
    <row r="1678" spans="1:4" x14ac:dyDescent="0.2">
      <c r="A1678" s="574">
        <v>38423</v>
      </c>
      <c r="B1678" s="574" t="s">
        <v>7221</v>
      </c>
      <c r="C1678" s="574" t="s">
        <v>5555</v>
      </c>
      <c r="D1678" s="582">
        <v>36</v>
      </c>
    </row>
    <row r="1679" spans="1:4" x14ac:dyDescent="0.2">
      <c r="A1679" s="574">
        <v>38421</v>
      </c>
      <c r="B1679" s="574" t="s">
        <v>7222</v>
      </c>
      <c r="C1679" s="574" t="s">
        <v>5555</v>
      </c>
      <c r="D1679" s="582">
        <v>16.989999999999998</v>
      </c>
    </row>
    <row r="1680" spans="1:4" x14ac:dyDescent="0.2">
      <c r="A1680" s="574">
        <v>38422</v>
      </c>
      <c r="B1680" s="574" t="s">
        <v>7223</v>
      </c>
      <c r="C1680" s="574" t="s">
        <v>5555</v>
      </c>
      <c r="D1680" s="582">
        <v>24.84</v>
      </c>
    </row>
    <row r="1681" spans="1:4" x14ac:dyDescent="0.2">
      <c r="A1681" s="574">
        <v>39866</v>
      </c>
      <c r="B1681" s="574" t="s">
        <v>7224</v>
      </c>
      <c r="C1681" s="574" t="s">
        <v>5555</v>
      </c>
      <c r="D1681" s="582">
        <v>12.23</v>
      </c>
    </row>
    <row r="1682" spans="1:4" x14ac:dyDescent="0.2">
      <c r="A1682" s="574">
        <v>39867</v>
      </c>
      <c r="B1682" s="574" t="s">
        <v>7225</v>
      </c>
      <c r="C1682" s="574" t="s">
        <v>5555</v>
      </c>
      <c r="D1682" s="582">
        <v>27.2</v>
      </c>
    </row>
    <row r="1683" spans="1:4" x14ac:dyDescent="0.2">
      <c r="A1683" s="574">
        <v>39868</v>
      </c>
      <c r="B1683" s="574" t="s">
        <v>7226</v>
      </c>
      <c r="C1683" s="574" t="s">
        <v>5555</v>
      </c>
      <c r="D1683" s="582">
        <v>49</v>
      </c>
    </row>
    <row r="1684" spans="1:4" x14ac:dyDescent="0.2">
      <c r="A1684" s="574">
        <v>37999</v>
      </c>
      <c r="B1684" s="574" t="s">
        <v>7227</v>
      </c>
      <c r="C1684" s="574" t="s">
        <v>5555</v>
      </c>
      <c r="D1684" s="582">
        <v>5</v>
      </c>
    </row>
    <row r="1685" spans="1:4" x14ac:dyDescent="0.2">
      <c r="A1685" s="574">
        <v>38000</v>
      </c>
      <c r="B1685" s="574" t="s">
        <v>7228</v>
      </c>
      <c r="C1685" s="574" t="s">
        <v>5555</v>
      </c>
      <c r="D1685" s="582">
        <v>6.61</v>
      </c>
    </row>
    <row r="1686" spans="1:4" x14ac:dyDescent="0.2">
      <c r="A1686" s="574">
        <v>38129</v>
      </c>
      <c r="B1686" s="574" t="s">
        <v>7229</v>
      </c>
      <c r="C1686" s="574" t="s">
        <v>5555</v>
      </c>
      <c r="D1686" s="582">
        <v>3.34</v>
      </c>
    </row>
    <row r="1687" spans="1:4" x14ac:dyDescent="0.2">
      <c r="A1687" s="574">
        <v>38025</v>
      </c>
      <c r="B1687" s="574" t="s">
        <v>7230</v>
      </c>
      <c r="C1687" s="574" t="s">
        <v>5555</v>
      </c>
      <c r="D1687" s="582">
        <v>5.57</v>
      </c>
    </row>
    <row r="1688" spans="1:4" x14ac:dyDescent="0.2">
      <c r="A1688" s="574">
        <v>38026</v>
      </c>
      <c r="B1688" s="574" t="s">
        <v>7231</v>
      </c>
      <c r="C1688" s="574" t="s">
        <v>5555</v>
      </c>
      <c r="D1688" s="582">
        <v>14.93</v>
      </c>
    </row>
    <row r="1689" spans="1:4" x14ac:dyDescent="0.2">
      <c r="A1689" s="574">
        <v>1858</v>
      </c>
      <c r="B1689" s="574" t="s">
        <v>7232</v>
      </c>
      <c r="C1689" s="574" t="s">
        <v>5555</v>
      </c>
      <c r="D1689" s="582">
        <v>18.22</v>
      </c>
    </row>
    <row r="1690" spans="1:4" x14ac:dyDescent="0.2">
      <c r="A1690" s="574">
        <v>1844</v>
      </c>
      <c r="B1690" s="574" t="s">
        <v>7233</v>
      </c>
      <c r="C1690" s="574" t="s">
        <v>5555</v>
      </c>
      <c r="D1690" s="582">
        <v>67.19</v>
      </c>
    </row>
    <row r="1691" spans="1:4" x14ac:dyDescent="0.2">
      <c r="A1691" s="574">
        <v>1863</v>
      </c>
      <c r="B1691" s="574" t="s">
        <v>7234</v>
      </c>
      <c r="C1691" s="574" t="s">
        <v>5555</v>
      </c>
      <c r="D1691" s="582">
        <v>26.44</v>
      </c>
    </row>
    <row r="1692" spans="1:4" x14ac:dyDescent="0.2">
      <c r="A1692" s="574">
        <v>1865</v>
      </c>
      <c r="B1692" s="574" t="s">
        <v>7235</v>
      </c>
      <c r="C1692" s="574" t="s">
        <v>5555</v>
      </c>
      <c r="D1692" s="582">
        <v>96.48</v>
      </c>
    </row>
    <row r="1693" spans="1:4" x14ac:dyDescent="0.2">
      <c r="A1693" s="574">
        <v>36355</v>
      </c>
      <c r="B1693" s="574" t="s">
        <v>7236</v>
      </c>
      <c r="C1693" s="574" t="s">
        <v>5555</v>
      </c>
      <c r="D1693" s="582">
        <v>4.42</v>
      </c>
    </row>
    <row r="1694" spans="1:4" x14ac:dyDescent="0.2">
      <c r="A1694" s="574">
        <v>36356</v>
      </c>
      <c r="B1694" s="574" t="s">
        <v>7237</v>
      </c>
      <c r="C1694" s="574" t="s">
        <v>5555</v>
      </c>
      <c r="D1694" s="582">
        <v>7.43</v>
      </c>
    </row>
    <row r="1695" spans="1:4" x14ac:dyDescent="0.2">
      <c r="A1695" s="574">
        <v>1932</v>
      </c>
      <c r="B1695" s="574" t="s">
        <v>7238</v>
      </c>
      <c r="C1695" s="574" t="s">
        <v>5555</v>
      </c>
      <c r="D1695" s="582">
        <v>6.13</v>
      </c>
    </row>
    <row r="1696" spans="1:4" x14ac:dyDescent="0.2">
      <c r="A1696" s="574">
        <v>1933</v>
      </c>
      <c r="B1696" s="574" t="s">
        <v>7239</v>
      </c>
      <c r="C1696" s="574" t="s">
        <v>5555</v>
      </c>
      <c r="D1696" s="582">
        <v>2.7</v>
      </c>
    </row>
    <row r="1697" spans="1:4" x14ac:dyDescent="0.2">
      <c r="A1697" s="574">
        <v>1951</v>
      </c>
      <c r="B1697" s="574" t="s">
        <v>7240</v>
      </c>
      <c r="C1697" s="574" t="s">
        <v>5555</v>
      </c>
      <c r="D1697" s="582">
        <v>11.99</v>
      </c>
    </row>
    <row r="1698" spans="1:4" x14ac:dyDescent="0.2">
      <c r="A1698" s="574">
        <v>1966</v>
      </c>
      <c r="B1698" s="574" t="s">
        <v>7241</v>
      </c>
      <c r="C1698" s="574" t="s">
        <v>5555</v>
      </c>
      <c r="D1698" s="582">
        <v>13.8</v>
      </c>
    </row>
    <row r="1699" spans="1:4" x14ac:dyDescent="0.2">
      <c r="A1699" s="574">
        <v>1952</v>
      </c>
      <c r="B1699" s="574" t="s">
        <v>7242</v>
      </c>
      <c r="C1699" s="574" t="s">
        <v>5555</v>
      </c>
      <c r="D1699" s="582">
        <v>51.83</v>
      </c>
    </row>
    <row r="1700" spans="1:4" x14ac:dyDescent="0.2">
      <c r="A1700" s="574">
        <v>20104</v>
      </c>
      <c r="B1700" s="574" t="s">
        <v>7243</v>
      </c>
      <c r="C1700" s="574" t="s">
        <v>5555</v>
      </c>
      <c r="D1700" s="582">
        <v>382.98</v>
      </c>
    </row>
    <row r="1701" spans="1:4" x14ac:dyDescent="0.2">
      <c r="A1701" s="574">
        <v>20105</v>
      </c>
      <c r="B1701" s="574" t="s">
        <v>7244</v>
      </c>
      <c r="C1701" s="574" t="s">
        <v>5555</v>
      </c>
      <c r="D1701" s="582">
        <v>596.52</v>
      </c>
    </row>
    <row r="1702" spans="1:4" x14ac:dyDescent="0.2">
      <c r="A1702" s="574">
        <v>1965</v>
      </c>
      <c r="B1702" s="574" t="s">
        <v>7245</v>
      </c>
      <c r="C1702" s="574" t="s">
        <v>5555</v>
      </c>
      <c r="D1702" s="582">
        <v>27.98</v>
      </c>
    </row>
    <row r="1703" spans="1:4" x14ac:dyDescent="0.2">
      <c r="A1703" s="574">
        <v>10765</v>
      </c>
      <c r="B1703" s="574" t="s">
        <v>7246</v>
      </c>
      <c r="C1703" s="574" t="s">
        <v>5555</v>
      </c>
      <c r="D1703" s="582">
        <v>7.07</v>
      </c>
    </row>
    <row r="1704" spans="1:4" x14ac:dyDescent="0.2">
      <c r="A1704" s="574">
        <v>10767</v>
      </c>
      <c r="B1704" s="574" t="s">
        <v>7247</v>
      </c>
      <c r="C1704" s="574" t="s">
        <v>5555</v>
      </c>
      <c r="D1704" s="582">
        <v>23.17</v>
      </c>
    </row>
    <row r="1705" spans="1:4" x14ac:dyDescent="0.2">
      <c r="A1705" s="574">
        <v>1970</v>
      </c>
      <c r="B1705" s="574" t="s">
        <v>7248</v>
      </c>
      <c r="C1705" s="574" t="s">
        <v>5555</v>
      </c>
      <c r="D1705" s="582">
        <v>29.04</v>
      </c>
    </row>
    <row r="1706" spans="1:4" x14ac:dyDescent="0.2">
      <c r="A1706" s="574">
        <v>1967</v>
      </c>
      <c r="B1706" s="574" t="s">
        <v>7249</v>
      </c>
      <c r="C1706" s="574" t="s">
        <v>5555</v>
      </c>
      <c r="D1706" s="582">
        <v>3.23</v>
      </c>
    </row>
    <row r="1707" spans="1:4" x14ac:dyDescent="0.2">
      <c r="A1707" s="574">
        <v>1968</v>
      </c>
      <c r="B1707" s="574" t="s">
        <v>7250</v>
      </c>
      <c r="C1707" s="574" t="s">
        <v>5555</v>
      </c>
      <c r="D1707" s="582">
        <v>6.77</v>
      </c>
    </row>
    <row r="1708" spans="1:4" x14ac:dyDescent="0.2">
      <c r="A1708" s="574">
        <v>1969</v>
      </c>
      <c r="B1708" s="574" t="s">
        <v>7251</v>
      </c>
      <c r="C1708" s="574" t="s">
        <v>5555</v>
      </c>
      <c r="D1708" s="582">
        <v>19.920000000000002</v>
      </c>
    </row>
    <row r="1709" spans="1:4" x14ac:dyDescent="0.2">
      <c r="A1709" s="574">
        <v>1839</v>
      </c>
      <c r="B1709" s="574" t="s">
        <v>7252</v>
      </c>
      <c r="C1709" s="574" t="s">
        <v>5555</v>
      </c>
      <c r="D1709" s="582">
        <v>100.81</v>
      </c>
    </row>
    <row r="1710" spans="1:4" x14ac:dyDescent="0.2">
      <c r="A1710" s="574">
        <v>1835</v>
      </c>
      <c r="B1710" s="574" t="s">
        <v>7253</v>
      </c>
      <c r="C1710" s="574" t="s">
        <v>5555</v>
      </c>
      <c r="D1710" s="582">
        <v>21.43</v>
      </c>
    </row>
    <row r="1711" spans="1:4" x14ac:dyDescent="0.2">
      <c r="A1711" s="574">
        <v>1823</v>
      </c>
      <c r="B1711" s="574" t="s">
        <v>7254</v>
      </c>
      <c r="C1711" s="574" t="s">
        <v>5555</v>
      </c>
      <c r="D1711" s="582">
        <v>41.44</v>
      </c>
    </row>
    <row r="1712" spans="1:4" x14ac:dyDescent="0.2">
      <c r="A1712" s="574">
        <v>1827</v>
      </c>
      <c r="B1712" s="574" t="s">
        <v>7255</v>
      </c>
      <c r="C1712" s="574" t="s">
        <v>5555</v>
      </c>
      <c r="D1712" s="582">
        <v>99.83</v>
      </c>
    </row>
    <row r="1713" spans="1:4" x14ac:dyDescent="0.2">
      <c r="A1713" s="574">
        <v>1831</v>
      </c>
      <c r="B1713" s="574" t="s">
        <v>7256</v>
      </c>
      <c r="C1713" s="574" t="s">
        <v>5555</v>
      </c>
      <c r="D1713" s="582">
        <v>21.79</v>
      </c>
    </row>
    <row r="1714" spans="1:4" x14ac:dyDescent="0.2">
      <c r="A1714" s="574">
        <v>1825</v>
      </c>
      <c r="B1714" s="574" t="s">
        <v>7257</v>
      </c>
      <c r="C1714" s="574" t="s">
        <v>5555</v>
      </c>
      <c r="D1714" s="582">
        <v>53.78</v>
      </c>
    </row>
    <row r="1715" spans="1:4" x14ac:dyDescent="0.2">
      <c r="A1715" s="574">
        <v>1828</v>
      </c>
      <c r="B1715" s="574" t="s">
        <v>7258</v>
      </c>
      <c r="C1715" s="574" t="s">
        <v>5555</v>
      </c>
      <c r="D1715" s="582">
        <v>121.83</v>
      </c>
    </row>
    <row r="1716" spans="1:4" x14ac:dyDescent="0.2">
      <c r="A1716" s="574">
        <v>1845</v>
      </c>
      <c r="B1716" s="574" t="s">
        <v>7259</v>
      </c>
      <c r="C1716" s="574" t="s">
        <v>5555</v>
      </c>
      <c r="D1716" s="582">
        <v>27.31</v>
      </c>
    </row>
    <row r="1717" spans="1:4" x14ac:dyDescent="0.2">
      <c r="A1717" s="574">
        <v>1824</v>
      </c>
      <c r="B1717" s="574" t="s">
        <v>7260</v>
      </c>
      <c r="C1717" s="574" t="s">
        <v>5555</v>
      </c>
      <c r="D1717" s="582">
        <v>64.48</v>
      </c>
    </row>
    <row r="1718" spans="1:4" x14ac:dyDescent="0.2">
      <c r="A1718" s="574">
        <v>1941</v>
      </c>
      <c r="B1718" s="574" t="s">
        <v>7261</v>
      </c>
      <c r="C1718" s="574" t="s">
        <v>5555</v>
      </c>
      <c r="D1718" s="582">
        <v>21.53</v>
      </c>
    </row>
    <row r="1719" spans="1:4" x14ac:dyDescent="0.2">
      <c r="A1719" s="574">
        <v>1940</v>
      </c>
      <c r="B1719" s="574" t="s">
        <v>7262</v>
      </c>
      <c r="C1719" s="574" t="s">
        <v>5555</v>
      </c>
      <c r="D1719" s="582">
        <v>16.27</v>
      </c>
    </row>
    <row r="1720" spans="1:4" x14ac:dyDescent="0.2">
      <c r="A1720" s="574">
        <v>1937</v>
      </c>
      <c r="B1720" s="574" t="s">
        <v>7263</v>
      </c>
      <c r="C1720" s="574" t="s">
        <v>5555</v>
      </c>
      <c r="D1720" s="582">
        <v>3.37</v>
      </c>
    </row>
    <row r="1721" spans="1:4" x14ac:dyDescent="0.2">
      <c r="A1721" s="574">
        <v>1939</v>
      </c>
      <c r="B1721" s="574" t="s">
        <v>7264</v>
      </c>
      <c r="C1721" s="574" t="s">
        <v>5555</v>
      </c>
      <c r="D1721" s="582">
        <v>6.69</v>
      </c>
    </row>
    <row r="1722" spans="1:4" x14ac:dyDescent="0.2">
      <c r="A1722" s="574">
        <v>1942</v>
      </c>
      <c r="B1722" s="574" t="s">
        <v>7265</v>
      </c>
      <c r="C1722" s="574" t="s">
        <v>5555</v>
      </c>
      <c r="D1722" s="582">
        <v>30.72</v>
      </c>
    </row>
    <row r="1723" spans="1:4" x14ac:dyDescent="0.2">
      <c r="A1723" s="574">
        <v>1938</v>
      </c>
      <c r="B1723" s="574" t="s">
        <v>7266</v>
      </c>
      <c r="C1723" s="574" t="s">
        <v>5555</v>
      </c>
      <c r="D1723" s="582">
        <v>4.28</v>
      </c>
    </row>
    <row r="1724" spans="1:4" x14ac:dyDescent="0.2">
      <c r="A1724" s="574">
        <v>42692</v>
      </c>
      <c r="B1724" s="574" t="s">
        <v>7267</v>
      </c>
      <c r="C1724" s="574" t="s">
        <v>5555</v>
      </c>
      <c r="D1724" s="582">
        <v>214.07</v>
      </c>
    </row>
    <row r="1725" spans="1:4" x14ac:dyDescent="0.2">
      <c r="A1725" s="574">
        <v>42693</v>
      </c>
      <c r="B1725" s="574" t="s">
        <v>7268</v>
      </c>
      <c r="C1725" s="574" t="s">
        <v>5555</v>
      </c>
      <c r="D1725" s="582">
        <v>352.13</v>
      </c>
    </row>
    <row r="1726" spans="1:4" x14ac:dyDescent="0.2">
      <c r="A1726" s="574">
        <v>42695</v>
      </c>
      <c r="B1726" s="574" t="s">
        <v>7269</v>
      </c>
      <c r="C1726" s="574" t="s">
        <v>5555</v>
      </c>
      <c r="D1726" s="582">
        <v>267.74</v>
      </c>
    </row>
    <row r="1727" spans="1:4" x14ac:dyDescent="0.2">
      <c r="A1727" s="574">
        <v>42694</v>
      </c>
      <c r="B1727" s="574" t="s">
        <v>7270</v>
      </c>
      <c r="C1727" s="574" t="s">
        <v>5555</v>
      </c>
      <c r="D1727" s="582">
        <v>395.82</v>
      </c>
    </row>
    <row r="1728" spans="1:4" x14ac:dyDescent="0.2">
      <c r="A1728" s="574">
        <v>20097</v>
      </c>
      <c r="B1728" s="574" t="s">
        <v>7271</v>
      </c>
      <c r="C1728" s="574" t="s">
        <v>5555</v>
      </c>
      <c r="D1728" s="582">
        <v>27.43</v>
      </c>
    </row>
    <row r="1729" spans="1:4" x14ac:dyDescent="0.2">
      <c r="A1729" s="574">
        <v>20098</v>
      </c>
      <c r="B1729" s="574" t="s">
        <v>7272</v>
      </c>
      <c r="C1729" s="574" t="s">
        <v>5555</v>
      </c>
      <c r="D1729" s="582">
        <v>92.51</v>
      </c>
    </row>
    <row r="1730" spans="1:4" x14ac:dyDescent="0.2">
      <c r="A1730" s="574">
        <v>20096</v>
      </c>
      <c r="B1730" s="574" t="s">
        <v>7273</v>
      </c>
      <c r="C1730" s="574" t="s">
        <v>5555</v>
      </c>
      <c r="D1730" s="582">
        <v>17.95</v>
      </c>
    </row>
    <row r="1731" spans="1:4" x14ac:dyDescent="0.2">
      <c r="A1731" s="574">
        <v>1964</v>
      </c>
      <c r="B1731" s="574" t="s">
        <v>7274</v>
      </c>
      <c r="C1731" s="574" t="s">
        <v>5555</v>
      </c>
      <c r="D1731" s="582">
        <v>16.59</v>
      </c>
    </row>
    <row r="1732" spans="1:4" x14ac:dyDescent="0.2">
      <c r="A1732" s="574">
        <v>1880</v>
      </c>
      <c r="B1732" s="574" t="s">
        <v>7275</v>
      </c>
      <c r="C1732" s="574" t="s">
        <v>5555</v>
      </c>
      <c r="D1732" s="582">
        <v>2.16</v>
      </c>
    </row>
    <row r="1733" spans="1:4" x14ac:dyDescent="0.2">
      <c r="A1733" s="574">
        <v>39274</v>
      </c>
      <c r="B1733" s="574" t="s">
        <v>7276</v>
      </c>
      <c r="C1733" s="574" t="s">
        <v>5555</v>
      </c>
      <c r="D1733" s="582">
        <v>1.67</v>
      </c>
    </row>
    <row r="1734" spans="1:4" x14ac:dyDescent="0.2">
      <c r="A1734" s="574">
        <v>2628</v>
      </c>
      <c r="B1734" s="574" t="s">
        <v>7277</v>
      </c>
      <c r="C1734" s="574" t="s">
        <v>5555</v>
      </c>
      <c r="D1734" s="582">
        <v>199.84</v>
      </c>
    </row>
    <row r="1735" spans="1:4" x14ac:dyDescent="0.2">
      <c r="A1735" s="574">
        <v>2622</v>
      </c>
      <c r="B1735" s="574" t="s">
        <v>7278</v>
      </c>
      <c r="C1735" s="574" t="s">
        <v>5555</v>
      </c>
      <c r="D1735" s="582">
        <v>4.74</v>
      </c>
    </row>
    <row r="1736" spans="1:4" x14ac:dyDescent="0.2">
      <c r="A1736" s="574">
        <v>2623</v>
      </c>
      <c r="B1736" s="574" t="s">
        <v>7279</v>
      </c>
      <c r="C1736" s="574" t="s">
        <v>5555</v>
      </c>
      <c r="D1736" s="582">
        <v>5.71</v>
      </c>
    </row>
    <row r="1737" spans="1:4" x14ac:dyDescent="0.2">
      <c r="A1737" s="574">
        <v>2624</v>
      </c>
      <c r="B1737" s="574" t="s">
        <v>7280</v>
      </c>
      <c r="C1737" s="574" t="s">
        <v>5555</v>
      </c>
      <c r="D1737" s="582">
        <v>9.08</v>
      </c>
    </row>
    <row r="1738" spans="1:4" x14ac:dyDescent="0.2">
      <c r="A1738" s="574">
        <v>2625</v>
      </c>
      <c r="B1738" s="574" t="s">
        <v>7281</v>
      </c>
      <c r="C1738" s="574" t="s">
        <v>5555</v>
      </c>
      <c r="D1738" s="582">
        <v>19.170000000000002</v>
      </c>
    </row>
    <row r="1739" spans="1:4" x14ac:dyDescent="0.2">
      <c r="A1739" s="574">
        <v>2626</v>
      </c>
      <c r="B1739" s="574" t="s">
        <v>7282</v>
      </c>
      <c r="C1739" s="574" t="s">
        <v>5555</v>
      </c>
      <c r="D1739" s="582">
        <v>28.09</v>
      </c>
    </row>
    <row r="1740" spans="1:4" x14ac:dyDescent="0.2">
      <c r="A1740" s="574">
        <v>2630</v>
      </c>
      <c r="B1740" s="574" t="s">
        <v>7283</v>
      </c>
      <c r="C1740" s="574" t="s">
        <v>5555</v>
      </c>
      <c r="D1740" s="582">
        <v>42.73</v>
      </c>
    </row>
    <row r="1741" spans="1:4" x14ac:dyDescent="0.2">
      <c r="A1741" s="574">
        <v>2627</v>
      </c>
      <c r="B1741" s="574" t="s">
        <v>7284</v>
      </c>
      <c r="C1741" s="574" t="s">
        <v>5555</v>
      </c>
      <c r="D1741" s="582">
        <v>75.27</v>
      </c>
    </row>
    <row r="1742" spans="1:4" x14ac:dyDescent="0.2">
      <c r="A1742" s="574">
        <v>2629</v>
      </c>
      <c r="B1742" s="574" t="s">
        <v>7285</v>
      </c>
      <c r="C1742" s="574" t="s">
        <v>5555</v>
      </c>
      <c r="D1742" s="582">
        <v>101.81</v>
      </c>
    </row>
    <row r="1743" spans="1:4" x14ac:dyDescent="0.2">
      <c r="A1743" s="574">
        <v>12033</v>
      </c>
      <c r="B1743" s="574" t="s">
        <v>7286</v>
      </c>
      <c r="C1743" s="574" t="s">
        <v>5555</v>
      </c>
      <c r="D1743" s="582">
        <v>6.9</v>
      </c>
    </row>
    <row r="1744" spans="1:4" x14ac:dyDescent="0.2">
      <c r="A1744" s="574">
        <v>40408</v>
      </c>
      <c r="B1744" s="574" t="s">
        <v>7287</v>
      </c>
      <c r="C1744" s="574" t="s">
        <v>5555</v>
      </c>
      <c r="D1744" s="582">
        <v>4.53</v>
      </c>
    </row>
    <row r="1745" spans="1:4" x14ac:dyDescent="0.2">
      <c r="A1745" s="574">
        <v>40409</v>
      </c>
      <c r="B1745" s="574" t="s">
        <v>7288</v>
      </c>
      <c r="C1745" s="574" t="s">
        <v>5555</v>
      </c>
      <c r="D1745" s="582">
        <v>1.6</v>
      </c>
    </row>
    <row r="1746" spans="1:4" x14ac:dyDescent="0.2">
      <c r="A1746" s="574">
        <v>39276</v>
      </c>
      <c r="B1746" s="574" t="s">
        <v>7289</v>
      </c>
      <c r="C1746" s="574" t="s">
        <v>5555</v>
      </c>
      <c r="D1746" s="582">
        <v>4.09</v>
      </c>
    </row>
    <row r="1747" spans="1:4" x14ac:dyDescent="0.2">
      <c r="A1747" s="574">
        <v>39277</v>
      </c>
      <c r="B1747" s="574" t="s">
        <v>7290</v>
      </c>
      <c r="C1747" s="574" t="s">
        <v>5555</v>
      </c>
      <c r="D1747" s="582">
        <v>11.03</v>
      </c>
    </row>
    <row r="1748" spans="1:4" x14ac:dyDescent="0.2">
      <c r="A1748" s="574">
        <v>12034</v>
      </c>
      <c r="B1748" s="574" t="s">
        <v>7291</v>
      </c>
      <c r="C1748" s="574" t="s">
        <v>5555</v>
      </c>
      <c r="D1748" s="582">
        <v>3.13</v>
      </c>
    </row>
    <row r="1749" spans="1:4" x14ac:dyDescent="0.2">
      <c r="A1749" s="574">
        <v>39879</v>
      </c>
      <c r="B1749" s="574" t="s">
        <v>7292</v>
      </c>
      <c r="C1749" s="574" t="s">
        <v>5555</v>
      </c>
      <c r="D1749" s="582">
        <v>3.44</v>
      </c>
    </row>
    <row r="1750" spans="1:4" x14ac:dyDescent="0.2">
      <c r="A1750" s="574">
        <v>39880</v>
      </c>
      <c r="B1750" s="574" t="s">
        <v>7293</v>
      </c>
      <c r="C1750" s="574" t="s">
        <v>5555</v>
      </c>
      <c r="D1750" s="582">
        <v>7.61</v>
      </c>
    </row>
    <row r="1751" spans="1:4" x14ac:dyDescent="0.2">
      <c r="A1751" s="574">
        <v>39881</v>
      </c>
      <c r="B1751" s="574" t="s">
        <v>7294</v>
      </c>
      <c r="C1751" s="574" t="s">
        <v>5555</v>
      </c>
      <c r="D1751" s="582">
        <v>12.22</v>
      </c>
    </row>
    <row r="1752" spans="1:4" x14ac:dyDescent="0.2">
      <c r="A1752" s="574">
        <v>39882</v>
      </c>
      <c r="B1752" s="574" t="s">
        <v>7295</v>
      </c>
      <c r="C1752" s="574" t="s">
        <v>5555</v>
      </c>
      <c r="D1752" s="582">
        <v>32.200000000000003</v>
      </c>
    </row>
    <row r="1753" spans="1:4" x14ac:dyDescent="0.2">
      <c r="A1753" s="574">
        <v>39883</v>
      </c>
      <c r="B1753" s="574" t="s">
        <v>7296</v>
      </c>
      <c r="C1753" s="574" t="s">
        <v>5555</v>
      </c>
      <c r="D1753" s="582">
        <v>51.41</v>
      </c>
    </row>
    <row r="1754" spans="1:4" x14ac:dyDescent="0.2">
      <c r="A1754" s="574">
        <v>39884</v>
      </c>
      <c r="B1754" s="574" t="s">
        <v>7297</v>
      </c>
      <c r="C1754" s="574" t="s">
        <v>5555</v>
      </c>
      <c r="D1754" s="582">
        <v>76.37</v>
      </c>
    </row>
    <row r="1755" spans="1:4" x14ac:dyDescent="0.2">
      <c r="A1755" s="574">
        <v>39885</v>
      </c>
      <c r="B1755" s="574" t="s">
        <v>7298</v>
      </c>
      <c r="C1755" s="574" t="s">
        <v>5555</v>
      </c>
      <c r="D1755" s="582">
        <v>181.5</v>
      </c>
    </row>
    <row r="1756" spans="1:4" x14ac:dyDescent="0.2">
      <c r="A1756" s="574">
        <v>1777</v>
      </c>
      <c r="B1756" s="574" t="s">
        <v>7299</v>
      </c>
      <c r="C1756" s="574" t="s">
        <v>5555</v>
      </c>
      <c r="D1756" s="582">
        <v>49.66</v>
      </c>
    </row>
    <row r="1757" spans="1:4" x14ac:dyDescent="0.2">
      <c r="A1757" s="574">
        <v>1819</v>
      </c>
      <c r="B1757" s="574" t="s">
        <v>7300</v>
      </c>
      <c r="C1757" s="574" t="s">
        <v>5555</v>
      </c>
      <c r="D1757" s="582">
        <v>36.130000000000003</v>
      </c>
    </row>
    <row r="1758" spans="1:4" x14ac:dyDescent="0.2">
      <c r="A1758" s="574">
        <v>1775</v>
      </c>
      <c r="B1758" s="574" t="s">
        <v>7301</v>
      </c>
      <c r="C1758" s="574" t="s">
        <v>5555</v>
      </c>
      <c r="D1758" s="582">
        <v>10.8</v>
      </c>
    </row>
    <row r="1759" spans="1:4" x14ac:dyDescent="0.2">
      <c r="A1759" s="574">
        <v>1776</v>
      </c>
      <c r="B1759" s="574" t="s">
        <v>7302</v>
      </c>
      <c r="C1759" s="574" t="s">
        <v>5555</v>
      </c>
      <c r="D1759" s="582">
        <v>29.4</v>
      </c>
    </row>
    <row r="1760" spans="1:4" x14ac:dyDescent="0.2">
      <c r="A1760" s="574">
        <v>1778</v>
      </c>
      <c r="B1760" s="574" t="s">
        <v>7303</v>
      </c>
      <c r="C1760" s="574" t="s">
        <v>5555</v>
      </c>
      <c r="D1760" s="582">
        <v>120.22</v>
      </c>
    </row>
    <row r="1761" spans="1:4" x14ac:dyDescent="0.2">
      <c r="A1761" s="574">
        <v>1818</v>
      </c>
      <c r="B1761" s="574" t="s">
        <v>7304</v>
      </c>
      <c r="C1761" s="574" t="s">
        <v>5555</v>
      </c>
      <c r="D1761" s="582">
        <v>79.8</v>
      </c>
    </row>
    <row r="1762" spans="1:4" x14ac:dyDescent="0.2">
      <c r="A1762" s="574">
        <v>1820</v>
      </c>
      <c r="B1762" s="574" t="s">
        <v>7305</v>
      </c>
      <c r="C1762" s="574" t="s">
        <v>5555</v>
      </c>
      <c r="D1762" s="582">
        <v>15.6</v>
      </c>
    </row>
    <row r="1763" spans="1:4" x14ac:dyDescent="0.2">
      <c r="A1763" s="574">
        <v>1779</v>
      </c>
      <c r="B1763" s="574" t="s">
        <v>7306</v>
      </c>
      <c r="C1763" s="574" t="s">
        <v>5555</v>
      </c>
      <c r="D1763" s="582">
        <v>174.84</v>
      </c>
    </row>
    <row r="1764" spans="1:4" x14ac:dyDescent="0.2">
      <c r="A1764" s="574">
        <v>1780</v>
      </c>
      <c r="B1764" s="574" t="s">
        <v>7307</v>
      </c>
      <c r="C1764" s="574" t="s">
        <v>5555</v>
      </c>
      <c r="D1764" s="582">
        <v>360.44</v>
      </c>
    </row>
    <row r="1765" spans="1:4" x14ac:dyDescent="0.2">
      <c r="A1765" s="574">
        <v>1783</v>
      </c>
      <c r="B1765" s="574" t="s">
        <v>7308</v>
      </c>
      <c r="C1765" s="574" t="s">
        <v>5555</v>
      </c>
      <c r="D1765" s="582">
        <v>38.11</v>
      </c>
    </row>
    <row r="1766" spans="1:4" x14ac:dyDescent="0.2">
      <c r="A1766" s="574">
        <v>1782</v>
      </c>
      <c r="B1766" s="574" t="s">
        <v>7309</v>
      </c>
      <c r="C1766" s="574" t="s">
        <v>5555</v>
      </c>
      <c r="D1766" s="582">
        <v>30.13</v>
      </c>
    </row>
    <row r="1767" spans="1:4" x14ac:dyDescent="0.2">
      <c r="A1767" s="574">
        <v>1817</v>
      </c>
      <c r="B1767" s="574" t="s">
        <v>7310</v>
      </c>
      <c r="C1767" s="574" t="s">
        <v>5555</v>
      </c>
      <c r="D1767" s="582">
        <v>8.98</v>
      </c>
    </row>
    <row r="1768" spans="1:4" x14ac:dyDescent="0.2">
      <c r="A1768" s="574">
        <v>1781</v>
      </c>
      <c r="B1768" s="574" t="s">
        <v>7311</v>
      </c>
      <c r="C1768" s="574" t="s">
        <v>5555</v>
      </c>
      <c r="D1768" s="582">
        <v>19.63</v>
      </c>
    </row>
    <row r="1769" spans="1:4" x14ac:dyDescent="0.2">
      <c r="A1769" s="574">
        <v>1784</v>
      </c>
      <c r="B1769" s="574" t="s">
        <v>7312</v>
      </c>
      <c r="C1769" s="574" t="s">
        <v>5555</v>
      </c>
      <c r="D1769" s="582">
        <v>107.61</v>
      </c>
    </row>
    <row r="1770" spans="1:4" x14ac:dyDescent="0.2">
      <c r="A1770" s="574">
        <v>1810</v>
      </c>
      <c r="B1770" s="574" t="s">
        <v>7313</v>
      </c>
      <c r="C1770" s="574" t="s">
        <v>5555</v>
      </c>
      <c r="D1770" s="582">
        <v>59.69</v>
      </c>
    </row>
    <row r="1771" spans="1:4" x14ac:dyDescent="0.2">
      <c r="A1771" s="574">
        <v>1811</v>
      </c>
      <c r="B1771" s="574" t="s">
        <v>7314</v>
      </c>
      <c r="C1771" s="574" t="s">
        <v>5555</v>
      </c>
      <c r="D1771" s="582">
        <v>12.91</v>
      </c>
    </row>
    <row r="1772" spans="1:4" x14ac:dyDescent="0.2">
      <c r="A1772" s="574">
        <v>1812</v>
      </c>
      <c r="B1772" s="574" t="s">
        <v>7315</v>
      </c>
      <c r="C1772" s="574" t="s">
        <v>5555</v>
      </c>
      <c r="D1772" s="582">
        <v>150.68</v>
      </c>
    </row>
    <row r="1773" spans="1:4" x14ac:dyDescent="0.2">
      <c r="A1773" s="574">
        <v>40386</v>
      </c>
      <c r="B1773" s="574" t="s">
        <v>7316</v>
      </c>
      <c r="C1773" s="574" t="s">
        <v>5555</v>
      </c>
      <c r="D1773" s="582">
        <v>50.16</v>
      </c>
    </row>
    <row r="1774" spans="1:4" x14ac:dyDescent="0.2">
      <c r="A1774" s="574">
        <v>40384</v>
      </c>
      <c r="B1774" s="574" t="s">
        <v>7317</v>
      </c>
      <c r="C1774" s="574" t="s">
        <v>5555</v>
      </c>
      <c r="D1774" s="582">
        <v>34.340000000000003</v>
      </c>
    </row>
    <row r="1775" spans="1:4" x14ac:dyDescent="0.2">
      <c r="A1775" s="574">
        <v>40379</v>
      </c>
      <c r="B1775" s="574" t="s">
        <v>7318</v>
      </c>
      <c r="C1775" s="574" t="s">
        <v>5555</v>
      </c>
      <c r="D1775" s="582">
        <v>11.87</v>
      </c>
    </row>
    <row r="1776" spans="1:4" x14ac:dyDescent="0.2">
      <c r="A1776" s="574">
        <v>40423</v>
      </c>
      <c r="B1776" s="574" t="s">
        <v>7319</v>
      </c>
      <c r="C1776" s="574" t="s">
        <v>5555</v>
      </c>
      <c r="D1776" s="582">
        <v>22.47</v>
      </c>
    </row>
    <row r="1777" spans="1:4" x14ac:dyDescent="0.2">
      <c r="A1777" s="574">
        <v>40389</v>
      </c>
      <c r="B1777" s="574" t="s">
        <v>7320</v>
      </c>
      <c r="C1777" s="574" t="s">
        <v>5555</v>
      </c>
      <c r="D1777" s="582">
        <v>142.49</v>
      </c>
    </row>
    <row r="1778" spans="1:4" x14ac:dyDescent="0.2">
      <c r="A1778" s="574">
        <v>40388</v>
      </c>
      <c r="B1778" s="574" t="s">
        <v>7321</v>
      </c>
      <c r="C1778" s="574" t="s">
        <v>5555</v>
      </c>
      <c r="D1778" s="582">
        <v>71.319999999999993</v>
      </c>
    </row>
    <row r="1779" spans="1:4" x14ac:dyDescent="0.2">
      <c r="A1779" s="574">
        <v>40381</v>
      </c>
      <c r="B1779" s="574" t="s">
        <v>7322</v>
      </c>
      <c r="C1779" s="574" t="s">
        <v>5555</v>
      </c>
      <c r="D1779" s="582">
        <v>15.83</v>
      </c>
    </row>
    <row r="1780" spans="1:4" x14ac:dyDescent="0.2">
      <c r="A1780" s="574">
        <v>40391</v>
      </c>
      <c r="B1780" s="574" t="s">
        <v>7323</v>
      </c>
      <c r="C1780" s="574" t="s">
        <v>5555</v>
      </c>
      <c r="D1780" s="582">
        <v>369.84</v>
      </c>
    </row>
    <row r="1781" spans="1:4" x14ac:dyDescent="0.2">
      <c r="A1781" s="574">
        <v>40414</v>
      </c>
      <c r="B1781" s="574" t="s">
        <v>7324</v>
      </c>
      <c r="C1781" s="574" t="s">
        <v>5555</v>
      </c>
      <c r="D1781" s="582">
        <v>18.059999999999999</v>
      </c>
    </row>
    <row r="1782" spans="1:4" x14ac:dyDescent="0.2">
      <c r="A1782" s="574">
        <v>40416</v>
      </c>
      <c r="B1782" s="574" t="s">
        <v>7325</v>
      </c>
      <c r="C1782" s="574" t="s">
        <v>5555</v>
      </c>
      <c r="D1782" s="582">
        <v>24.96</v>
      </c>
    </row>
    <row r="1783" spans="1:4" x14ac:dyDescent="0.2">
      <c r="A1783" s="574">
        <v>40418</v>
      </c>
      <c r="B1783" s="574" t="s">
        <v>7326</v>
      </c>
      <c r="C1783" s="574" t="s">
        <v>5555</v>
      </c>
      <c r="D1783" s="582">
        <v>29.77</v>
      </c>
    </row>
    <row r="1784" spans="1:4" x14ac:dyDescent="0.2">
      <c r="A1784" s="574">
        <v>2609</v>
      </c>
      <c r="B1784" s="574" t="s">
        <v>7329</v>
      </c>
      <c r="C1784" s="574" t="s">
        <v>5555</v>
      </c>
      <c r="D1784" s="582">
        <v>4.46</v>
      </c>
    </row>
    <row r="1785" spans="1:4" x14ac:dyDescent="0.2">
      <c r="A1785" s="574">
        <v>2634</v>
      </c>
      <c r="B1785" s="574" t="s">
        <v>7330</v>
      </c>
      <c r="C1785" s="574" t="s">
        <v>5555</v>
      </c>
      <c r="D1785" s="582">
        <v>5.85</v>
      </c>
    </row>
    <row r="1786" spans="1:4" x14ac:dyDescent="0.2">
      <c r="A1786" s="574">
        <v>2611</v>
      </c>
      <c r="B1786" s="574" t="s">
        <v>7331</v>
      </c>
      <c r="C1786" s="574" t="s">
        <v>5555</v>
      </c>
      <c r="D1786" s="582">
        <v>16.5</v>
      </c>
    </row>
    <row r="1787" spans="1:4" x14ac:dyDescent="0.2">
      <c r="A1787" s="574">
        <v>34359</v>
      </c>
      <c r="B1787" s="574" t="s">
        <v>7335</v>
      </c>
      <c r="C1787" s="574" t="s">
        <v>5555</v>
      </c>
      <c r="D1787" s="582">
        <v>7.53</v>
      </c>
    </row>
    <row r="1788" spans="1:4" x14ac:dyDescent="0.2">
      <c r="A1788" s="574">
        <v>1789</v>
      </c>
      <c r="B1788" s="574" t="s">
        <v>7336</v>
      </c>
      <c r="C1788" s="574" t="s">
        <v>5555</v>
      </c>
      <c r="D1788" s="582">
        <v>47.67</v>
      </c>
    </row>
    <row r="1789" spans="1:4" x14ac:dyDescent="0.2">
      <c r="A1789" s="574">
        <v>1788</v>
      </c>
      <c r="B1789" s="574" t="s">
        <v>7337</v>
      </c>
      <c r="C1789" s="574" t="s">
        <v>5555</v>
      </c>
      <c r="D1789" s="582">
        <v>38.21</v>
      </c>
    </row>
    <row r="1790" spans="1:4" x14ac:dyDescent="0.2">
      <c r="A1790" s="574">
        <v>1786</v>
      </c>
      <c r="B1790" s="574" t="s">
        <v>7338</v>
      </c>
      <c r="C1790" s="574" t="s">
        <v>5555</v>
      </c>
      <c r="D1790" s="582">
        <v>9.48</v>
      </c>
    </row>
    <row r="1791" spans="1:4" x14ac:dyDescent="0.2">
      <c r="A1791" s="574">
        <v>1787</v>
      </c>
      <c r="B1791" s="574" t="s">
        <v>7339</v>
      </c>
      <c r="C1791" s="574" t="s">
        <v>5555</v>
      </c>
      <c r="D1791" s="582">
        <v>22.72</v>
      </c>
    </row>
    <row r="1792" spans="1:4" x14ac:dyDescent="0.2">
      <c r="A1792" s="574">
        <v>1791</v>
      </c>
      <c r="B1792" s="574" t="s">
        <v>7340</v>
      </c>
      <c r="C1792" s="574" t="s">
        <v>5555</v>
      </c>
      <c r="D1792" s="582">
        <v>137.76</v>
      </c>
    </row>
    <row r="1793" spans="1:4" x14ac:dyDescent="0.2">
      <c r="A1793" s="574">
        <v>1790</v>
      </c>
      <c r="B1793" s="574" t="s">
        <v>7341</v>
      </c>
      <c r="C1793" s="574" t="s">
        <v>5555</v>
      </c>
      <c r="D1793" s="582">
        <v>79.38</v>
      </c>
    </row>
    <row r="1794" spans="1:4" x14ac:dyDescent="0.2">
      <c r="A1794" s="574">
        <v>1813</v>
      </c>
      <c r="B1794" s="574" t="s">
        <v>7342</v>
      </c>
      <c r="C1794" s="574" t="s">
        <v>5555</v>
      </c>
      <c r="D1794" s="582">
        <v>15.05</v>
      </c>
    </row>
    <row r="1795" spans="1:4" x14ac:dyDescent="0.2">
      <c r="A1795" s="574">
        <v>1792</v>
      </c>
      <c r="B1795" s="574" t="s">
        <v>7343</v>
      </c>
      <c r="C1795" s="574" t="s">
        <v>5555</v>
      </c>
      <c r="D1795" s="582">
        <v>185.96</v>
      </c>
    </row>
    <row r="1796" spans="1:4" x14ac:dyDescent="0.2">
      <c r="A1796" s="574">
        <v>1793</v>
      </c>
      <c r="B1796" s="574" t="s">
        <v>7344</v>
      </c>
      <c r="C1796" s="574" t="s">
        <v>5555</v>
      </c>
      <c r="D1796" s="582">
        <v>375.76</v>
      </c>
    </row>
    <row r="1797" spans="1:4" x14ac:dyDescent="0.2">
      <c r="A1797" s="574">
        <v>1809</v>
      </c>
      <c r="B1797" s="574" t="s">
        <v>7345</v>
      </c>
      <c r="C1797" s="574" t="s">
        <v>5555</v>
      </c>
      <c r="D1797" s="582">
        <v>44.69</v>
      </c>
    </row>
    <row r="1798" spans="1:4" x14ac:dyDescent="0.2">
      <c r="A1798" s="574">
        <v>1814</v>
      </c>
      <c r="B1798" s="574" t="s">
        <v>7346</v>
      </c>
      <c r="C1798" s="574" t="s">
        <v>5555</v>
      </c>
      <c r="D1798" s="582">
        <v>36.71</v>
      </c>
    </row>
    <row r="1799" spans="1:4" x14ac:dyDescent="0.2">
      <c r="A1799" s="574">
        <v>1803</v>
      </c>
      <c r="B1799" s="574" t="s">
        <v>7347</v>
      </c>
      <c r="C1799" s="574" t="s">
        <v>5555</v>
      </c>
      <c r="D1799" s="582">
        <v>9.2799999999999994</v>
      </c>
    </row>
    <row r="1800" spans="1:4" x14ac:dyDescent="0.2">
      <c r="A1800" s="574">
        <v>1805</v>
      </c>
      <c r="B1800" s="574" t="s">
        <v>7348</v>
      </c>
      <c r="C1800" s="574" t="s">
        <v>5555</v>
      </c>
      <c r="D1800" s="582">
        <v>21.3</v>
      </c>
    </row>
    <row r="1801" spans="1:4" x14ac:dyDescent="0.2">
      <c r="A1801" s="574">
        <v>1821</v>
      </c>
      <c r="B1801" s="574" t="s">
        <v>7349</v>
      </c>
      <c r="C1801" s="574" t="s">
        <v>5555</v>
      </c>
      <c r="D1801" s="582">
        <v>125.87</v>
      </c>
    </row>
    <row r="1802" spans="1:4" x14ac:dyDescent="0.2">
      <c r="A1802" s="574">
        <v>1806</v>
      </c>
      <c r="B1802" s="574" t="s">
        <v>7350</v>
      </c>
      <c r="C1802" s="574" t="s">
        <v>5555</v>
      </c>
      <c r="D1802" s="582">
        <v>74.92</v>
      </c>
    </row>
    <row r="1803" spans="1:4" x14ac:dyDescent="0.2">
      <c r="A1803" s="574">
        <v>1804</v>
      </c>
      <c r="B1803" s="574" t="s">
        <v>7351</v>
      </c>
      <c r="C1803" s="574" t="s">
        <v>5555</v>
      </c>
      <c r="D1803" s="582">
        <v>13.2</v>
      </c>
    </row>
    <row r="1804" spans="1:4" x14ac:dyDescent="0.2">
      <c r="A1804" s="574">
        <v>1807</v>
      </c>
      <c r="B1804" s="574" t="s">
        <v>7352</v>
      </c>
      <c r="C1804" s="574" t="s">
        <v>5555</v>
      </c>
      <c r="D1804" s="582">
        <v>180.01</v>
      </c>
    </row>
    <row r="1805" spans="1:4" x14ac:dyDescent="0.2">
      <c r="A1805" s="574">
        <v>1808</v>
      </c>
      <c r="B1805" s="574" t="s">
        <v>7353</v>
      </c>
      <c r="C1805" s="574" t="s">
        <v>5555</v>
      </c>
      <c r="D1805" s="582">
        <v>360.89</v>
      </c>
    </row>
    <row r="1806" spans="1:4" x14ac:dyDescent="0.2">
      <c r="A1806" s="574">
        <v>1797</v>
      </c>
      <c r="B1806" s="574" t="s">
        <v>7354</v>
      </c>
      <c r="C1806" s="574" t="s">
        <v>5555</v>
      </c>
      <c r="D1806" s="582">
        <v>54.12</v>
      </c>
    </row>
    <row r="1807" spans="1:4" x14ac:dyDescent="0.2">
      <c r="A1807" s="574">
        <v>1796</v>
      </c>
      <c r="B1807" s="574" t="s">
        <v>7355</v>
      </c>
      <c r="C1807" s="574" t="s">
        <v>5555</v>
      </c>
      <c r="D1807" s="582">
        <v>41.52</v>
      </c>
    </row>
    <row r="1808" spans="1:4" x14ac:dyDescent="0.2">
      <c r="A1808" s="574">
        <v>1794</v>
      </c>
      <c r="B1808" s="574" t="s">
        <v>7356</v>
      </c>
      <c r="C1808" s="574" t="s">
        <v>5555</v>
      </c>
      <c r="D1808" s="582">
        <v>9.91</v>
      </c>
    </row>
    <row r="1809" spans="1:4" x14ac:dyDescent="0.2">
      <c r="A1809" s="574">
        <v>1816</v>
      </c>
      <c r="B1809" s="574" t="s">
        <v>7357</v>
      </c>
      <c r="C1809" s="574" t="s">
        <v>5555</v>
      </c>
      <c r="D1809" s="582">
        <v>22.35</v>
      </c>
    </row>
    <row r="1810" spans="1:4" x14ac:dyDescent="0.2">
      <c r="A1810" s="574">
        <v>1815</v>
      </c>
      <c r="B1810" s="574" t="s">
        <v>7358</v>
      </c>
      <c r="C1810" s="574" t="s">
        <v>5555</v>
      </c>
      <c r="D1810" s="582">
        <v>171.62</v>
      </c>
    </row>
    <row r="1811" spans="1:4" x14ac:dyDescent="0.2">
      <c r="A1811" s="574">
        <v>1798</v>
      </c>
      <c r="B1811" s="574" t="s">
        <v>7359</v>
      </c>
      <c r="C1811" s="574" t="s">
        <v>5555</v>
      </c>
      <c r="D1811" s="582">
        <v>76.790000000000006</v>
      </c>
    </row>
    <row r="1812" spans="1:4" x14ac:dyDescent="0.2">
      <c r="A1812" s="574">
        <v>1795</v>
      </c>
      <c r="B1812" s="574" t="s">
        <v>7360</v>
      </c>
      <c r="C1812" s="574" t="s">
        <v>5555</v>
      </c>
      <c r="D1812" s="582">
        <v>13.73</v>
      </c>
    </row>
    <row r="1813" spans="1:4" x14ac:dyDescent="0.2">
      <c r="A1813" s="574">
        <v>1799</v>
      </c>
      <c r="B1813" s="574" t="s">
        <v>7361</v>
      </c>
      <c r="C1813" s="574" t="s">
        <v>5555</v>
      </c>
      <c r="D1813" s="582">
        <v>223.51</v>
      </c>
    </row>
    <row r="1814" spans="1:4" x14ac:dyDescent="0.2">
      <c r="A1814" s="574">
        <v>1800</v>
      </c>
      <c r="B1814" s="574" t="s">
        <v>7362</v>
      </c>
      <c r="C1814" s="574" t="s">
        <v>5555</v>
      </c>
      <c r="D1814" s="582">
        <v>426.73</v>
      </c>
    </row>
    <row r="1815" spans="1:4" x14ac:dyDescent="0.2">
      <c r="A1815" s="574">
        <v>1802</v>
      </c>
      <c r="B1815" s="574" t="s">
        <v>7363</v>
      </c>
      <c r="C1815" s="574" t="s">
        <v>5555</v>
      </c>
      <c r="D1815" s="583">
        <v>1067.42</v>
      </c>
    </row>
    <row r="1816" spans="1:4" x14ac:dyDescent="0.2">
      <c r="A1816" s="574">
        <v>40385</v>
      </c>
      <c r="B1816" s="574" t="s">
        <v>7364</v>
      </c>
      <c r="C1816" s="574" t="s">
        <v>5555</v>
      </c>
      <c r="D1816" s="582">
        <v>50.16</v>
      </c>
    </row>
    <row r="1817" spans="1:4" x14ac:dyDescent="0.2">
      <c r="A1817" s="574">
        <v>40383</v>
      </c>
      <c r="B1817" s="574" t="s">
        <v>7365</v>
      </c>
      <c r="C1817" s="574" t="s">
        <v>5555</v>
      </c>
      <c r="D1817" s="582">
        <v>34.340000000000003</v>
      </c>
    </row>
    <row r="1818" spans="1:4" x14ac:dyDescent="0.2">
      <c r="A1818" s="574">
        <v>40378</v>
      </c>
      <c r="B1818" s="574" t="s">
        <v>7366</v>
      </c>
      <c r="C1818" s="574" t="s">
        <v>5555</v>
      </c>
      <c r="D1818" s="582">
        <v>11.87</v>
      </c>
    </row>
    <row r="1819" spans="1:4" x14ac:dyDescent="0.2">
      <c r="A1819" s="574">
        <v>40382</v>
      </c>
      <c r="B1819" s="574" t="s">
        <v>7367</v>
      </c>
      <c r="C1819" s="574" t="s">
        <v>5555</v>
      </c>
      <c r="D1819" s="582">
        <v>22.47</v>
      </c>
    </row>
    <row r="1820" spans="1:4" x14ac:dyDescent="0.2">
      <c r="A1820" s="574">
        <v>40422</v>
      </c>
      <c r="B1820" s="574" t="s">
        <v>7368</v>
      </c>
      <c r="C1820" s="574" t="s">
        <v>5555</v>
      </c>
      <c r="D1820" s="582">
        <v>153.07</v>
      </c>
    </row>
    <row r="1821" spans="1:4" x14ac:dyDescent="0.2">
      <c r="A1821" s="574">
        <v>40387</v>
      </c>
      <c r="B1821" s="574" t="s">
        <v>7369</v>
      </c>
      <c r="C1821" s="574" t="s">
        <v>5555</v>
      </c>
      <c r="D1821" s="582">
        <v>77.94</v>
      </c>
    </row>
    <row r="1822" spans="1:4" x14ac:dyDescent="0.2">
      <c r="A1822" s="574">
        <v>40380</v>
      </c>
      <c r="B1822" s="574" t="s">
        <v>7370</v>
      </c>
      <c r="C1822" s="574" t="s">
        <v>5555</v>
      </c>
      <c r="D1822" s="582">
        <v>15.83</v>
      </c>
    </row>
    <row r="1823" spans="1:4" x14ac:dyDescent="0.2">
      <c r="A1823" s="574">
        <v>40390</v>
      </c>
      <c r="B1823" s="574" t="s">
        <v>7371</v>
      </c>
      <c r="C1823" s="574" t="s">
        <v>5555</v>
      </c>
      <c r="D1823" s="582">
        <v>322.38</v>
      </c>
    </row>
    <row r="1824" spans="1:4" x14ac:dyDescent="0.2">
      <c r="A1824" s="574">
        <v>40413</v>
      </c>
      <c r="B1824" s="574" t="s">
        <v>7372</v>
      </c>
      <c r="C1824" s="574" t="s">
        <v>5555</v>
      </c>
      <c r="D1824" s="582">
        <v>19.62</v>
      </c>
    </row>
    <row r="1825" spans="1:4" x14ac:dyDescent="0.2">
      <c r="A1825" s="574">
        <v>40415</v>
      </c>
      <c r="B1825" s="574" t="s">
        <v>7373</v>
      </c>
      <c r="C1825" s="574" t="s">
        <v>5555</v>
      </c>
      <c r="D1825" s="582">
        <v>27.96</v>
      </c>
    </row>
    <row r="1826" spans="1:4" x14ac:dyDescent="0.2">
      <c r="A1826" s="574">
        <v>40417</v>
      </c>
      <c r="B1826" s="574" t="s">
        <v>7374</v>
      </c>
      <c r="C1826" s="574" t="s">
        <v>5555</v>
      </c>
      <c r="D1826" s="582">
        <v>32.979999999999997</v>
      </c>
    </row>
    <row r="1827" spans="1:4" x14ac:dyDescent="0.2">
      <c r="A1827" s="574">
        <v>39271</v>
      </c>
      <c r="B1827" s="574" t="s">
        <v>7375</v>
      </c>
      <c r="C1827" s="574" t="s">
        <v>5555</v>
      </c>
      <c r="D1827" s="582">
        <v>1.39</v>
      </c>
    </row>
    <row r="1828" spans="1:4" x14ac:dyDescent="0.2">
      <c r="A1828" s="574">
        <v>39273</v>
      </c>
      <c r="B1828" s="574" t="s">
        <v>7376</v>
      </c>
      <c r="C1828" s="574" t="s">
        <v>5555</v>
      </c>
      <c r="D1828" s="582">
        <v>2.36</v>
      </c>
    </row>
    <row r="1829" spans="1:4" x14ac:dyDescent="0.2">
      <c r="A1829" s="574">
        <v>39272</v>
      </c>
      <c r="B1829" s="574" t="s">
        <v>7377</v>
      </c>
      <c r="C1829" s="574" t="s">
        <v>5555</v>
      </c>
      <c r="D1829" s="582">
        <v>1.71</v>
      </c>
    </row>
    <row r="1830" spans="1:4" x14ac:dyDescent="0.2">
      <c r="A1830" s="574">
        <v>1875</v>
      </c>
      <c r="B1830" s="574" t="s">
        <v>7378</v>
      </c>
      <c r="C1830" s="574" t="s">
        <v>5555</v>
      </c>
      <c r="D1830" s="582">
        <v>3.77</v>
      </c>
    </row>
    <row r="1831" spans="1:4" x14ac:dyDescent="0.2">
      <c r="A1831" s="574">
        <v>1874</v>
      </c>
      <c r="B1831" s="574" t="s">
        <v>7379</v>
      </c>
      <c r="C1831" s="574" t="s">
        <v>5555</v>
      </c>
      <c r="D1831" s="582">
        <v>3.11</v>
      </c>
    </row>
    <row r="1832" spans="1:4" x14ac:dyDescent="0.2">
      <c r="A1832" s="574">
        <v>1870</v>
      </c>
      <c r="B1832" s="574" t="s">
        <v>7380</v>
      </c>
      <c r="C1832" s="574" t="s">
        <v>5555</v>
      </c>
      <c r="D1832" s="582">
        <v>1.8</v>
      </c>
    </row>
    <row r="1833" spans="1:4" x14ac:dyDescent="0.2">
      <c r="A1833" s="574">
        <v>1884</v>
      </c>
      <c r="B1833" s="574" t="s">
        <v>7381</v>
      </c>
      <c r="C1833" s="574" t="s">
        <v>5555</v>
      </c>
      <c r="D1833" s="582">
        <v>2.76</v>
      </c>
    </row>
    <row r="1834" spans="1:4" x14ac:dyDescent="0.2">
      <c r="A1834" s="574">
        <v>1887</v>
      </c>
      <c r="B1834" s="574" t="s">
        <v>7382</v>
      </c>
      <c r="C1834" s="574" t="s">
        <v>5555</v>
      </c>
      <c r="D1834" s="582">
        <v>15.65</v>
      </c>
    </row>
    <row r="1835" spans="1:4" x14ac:dyDescent="0.2">
      <c r="A1835" s="574">
        <v>1876</v>
      </c>
      <c r="B1835" s="574" t="s">
        <v>7383</v>
      </c>
      <c r="C1835" s="574" t="s">
        <v>5555</v>
      </c>
      <c r="D1835" s="582">
        <v>6.13</v>
      </c>
    </row>
    <row r="1836" spans="1:4" x14ac:dyDescent="0.2">
      <c r="A1836" s="574">
        <v>1879</v>
      </c>
      <c r="B1836" s="574" t="s">
        <v>7384</v>
      </c>
      <c r="C1836" s="574" t="s">
        <v>5555</v>
      </c>
      <c r="D1836" s="582">
        <v>1.82</v>
      </c>
    </row>
    <row r="1837" spans="1:4" x14ac:dyDescent="0.2">
      <c r="A1837" s="574">
        <v>1877</v>
      </c>
      <c r="B1837" s="574" t="s">
        <v>7385</v>
      </c>
      <c r="C1837" s="574" t="s">
        <v>5555</v>
      </c>
      <c r="D1837" s="582">
        <v>15.67</v>
      </c>
    </row>
    <row r="1838" spans="1:4" x14ac:dyDescent="0.2">
      <c r="A1838" s="574">
        <v>1878</v>
      </c>
      <c r="B1838" s="574" t="s">
        <v>7386</v>
      </c>
      <c r="C1838" s="574" t="s">
        <v>5555</v>
      </c>
      <c r="D1838" s="582">
        <v>31.48</v>
      </c>
    </row>
    <row r="1839" spans="1:4" x14ac:dyDescent="0.2">
      <c r="A1839" s="574">
        <v>2621</v>
      </c>
      <c r="B1839" s="574" t="s">
        <v>7387</v>
      </c>
      <c r="C1839" s="574" t="s">
        <v>5555</v>
      </c>
      <c r="D1839" s="582">
        <v>141.19</v>
      </c>
    </row>
    <row r="1840" spans="1:4" x14ac:dyDescent="0.2">
      <c r="A1840" s="574">
        <v>2616</v>
      </c>
      <c r="B1840" s="574" t="s">
        <v>7388</v>
      </c>
      <c r="C1840" s="574" t="s">
        <v>5555</v>
      </c>
      <c r="D1840" s="582">
        <v>3.99</v>
      </c>
    </row>
    <row r="1841" spans="1:4" x14ac:dyDescent="0.2">
      <c r="A1841" s="574">
        <v>2633</v>
      </c>
      <c r="B1841" s="574" t="s">
        <v>7389</v>
      </c>
      <c r="C1841" s="574" t="s">
        <v>5555</v>
      </c>
      <c r="D1841" s="582">
        <v>4.5199999999999996</v>
      </c>
    </row>
    <row r="1842" spans="1:4" x14ac:dyDescent="0.2">
      <c r="A1842" s="574">
        <v>2617</v>
      </c>
      <c r="B1842" s="574" t="s">
        <v>7390</v>
      </c>
      <c r="C1842" s="574" t="s">
        <v>5555</v>
      </c>
      <c r="D1842" s="582">
        <v>6.14</v>
      </c>
    </row>
    <row r="1843" spans="1:4" x14ac:dyDescent="0.2">
      <c r="A1843" s="574">
        <v>2618</v>
      </c>
      <c r="B1843" s="574" t="s">
        <v>7391</v>
      </c>
      <c r="C1843" s="574" t="s">
        <v>5555</v>
      </c>
      <c r="D1843" s="582">
        <v>13.98</v>
      </c>
    </row>
    <row r="1844" spans="1:4" x14ac:dyDescent="0.2">
      <c r="A1844" s="574">
        <v>2632</v>
      </c>
      <c r="B1844" s="574" t="s">
        <v>7392</v>
      </c>
      <c r="C1844" s="574" t="s">
        <v>5555</v>
      </c>
      <c r="D1844" s="582">
        <v>17.059999999999999</v>
      </c>
    </row>
    <row r="1845" spans="1:4" x14ac:dyDescent="0.2">
      <c r="A1845" s="574">
        <v>2631</v>
      </c>
      <c r="B1845" s="574" t="s">
        <v>7393</v>
      </c>
      <c r="C1845" s="574" t="s">
        <v>5555</v>
      </c>
      <c r="D1845" s="582">
        <v>25.04</v>
      </c>
    </row>
    <row r="1846" spans="1:4" x14ac:dyDescent="0.2">
      <c r="A1846" s="574">
        <v>2619</v>
      </c>
      <c r="B1846" s="574" t="s">
        <v>7394</v>
      </c>
      <c r="C1846" s="574" t="s">
        <v>5555</v>
      </c>
      <c r="D1846" s="582">
        <v>63.41</v>
      </c>
    </row>
    <row r="1847" spans="1:4" x14ac:dyDescent="0.2">
      <c r="A1847" s="574">
        <v>2620</v>
      </c>
      <c r="B1847" s="574" t="s">
        <v>7395</v>
      </c>
      <c r="C1847" s="574" t="s">
        <v>5555</v>
      </c>
      <c r="D1847" s="582">
        <v>83.25</v>
      </c>
    </row>
    <row r="1848" spans="1:4" x14ac:dyDescent="0.2">
      <c r="A1848" s="574">
        <v>25968</v>
      </c>
      <c r="B1848" s="574" t="s">
        <v>7396</v>
      </c>
      <c r="C1848" s="574" t="s">
        <v>5555</v>
      </c>
      <c r="D1848" s="582">
        <v>41.06</v>
      </c>
    </row>
    <row r="1849" spans="1:4" x14ac:dyDescent="0.2">
      <c r="A1849" s="574">
        <v>38369</v>
      </c>
      <c r="B1849" s="574" t="s">
        <v>7397</v>
      </c>
      <c r="C1849" s="574" t="s">
        <v>5555</v>
      </c>
      <c r="D1849" s="582">
        <v>12.71</v>
      </c>
    </row>
    <row r="1850" spans="1:4" x14ac:dyDescent="0.2">
      <c r="A1850" s="574">
        <v>38370</v>
      </c>
      <c r="B1850" s="574" t="s">
        <v>7398</v>
      </c>
      <c r="C1850" s="574" t="s">
        <v>5555</v>
      </c>
      <c r="D1850" s="582">
        <v>12.71</v>
      </c>
    </row>
    <row r="1851" spans="1:4" x14ac:dyDescent="0.2">
      <c r="A1851" s="574">
        <v>38372</v>
      </c>
      <c r="B1851" s="574" t="s">
        <v>7399</v>
      </c>
      <c r="C1851" s="574" t="s">
        <v>5555</v>
      </c>
      <c r="D1851" s="582">
        <v>17.170000000000002</v>
      </c>
    </row>
    <row r="1852" spans="1:4" x14ac:dyDescent="0.2">
      <c r="A1852" s="574">
        <v>2357</v>
      </c>
      <c r="B1852" s="574" t="s">
        <v>7400</v>
      </c>
      <c r="C1852" s="574" t="s">
        <v>5566</v>
      </c>
      <c r="D1852" s="582">
        <v>49.39</v>
      </c>
    </row>
    <row r="1853" spans="1:4" x14ac:dyDescent="0.2">
      <c r="A1853" s="574">
        <v>40806</v>
      </c>
      <c r="B1853" s="574" t="s">
        <v>7401</v>
      </c>
      <c r="C1853" s="574" t="s">
        <v>5755</v>
      </c>
      <c r="D1853" s="583">
        <v>8637.69</v>
      </c>
    </row>
    <row r="1854" spans="1:4" x14ac:dyDescent="0.2">
      <c r="A1854" s="574">
        <v>2355</v>
      </c>
      <c r="B1854" s="574" t="s">
        <v>7402</v>
      </c>
      <c r="C1854" s="574" t="s">
        <v>5566</v>
      </c>
      <c r="D1854" s="582">
        <v>65.489999999999995</v>
      </c>
    </row>
    <row r="1855" spans="1:4" x14ac:dyDescent="0.2">
      <c r="A1855" s="574">
        <v>40805</v>
      </c>
      <c r="B1855" s="574" t="s">
        <v>7403</v>
      </c>
      <c r="C1855" s="574" t="s">
        <v>5755</v>
      </c>
      <c r="D1855" s="583">
        <v>11451.32</v>
      </c>
    </row>
    <row r="1856" spans="1:4" x14ac:dyDescent="0.2">
      <c r="A1856" s="574">
        <v>2358</v>
      </c>
      <c r="B1856" s="574" t="s">
        <v>7404</v>
      </c>
      <c r="C1856" s="574" t="s">
        <v>5566</v>
      </c>
      <c r="D1856" s="582">
        <v>41.11</v>
      </c>
    </row>
    <row r="1857" spans="1:4" x14ac:dyDescent="0.2">
      <c r="A1857" s="574">
        <v>40807</v>
      </c>
      <c r="B1857" s="574" t="s">
        <v>7405</v>
      </c>
      <c r="C1857" s="574" t="s">
        <v>5755</v>
      </c>
      <c r="D1857" s="583">
        <v>7189.67</v>
      </c>
    </row>
    <row r="1858" spans="1:4" x14ac:dyDescent="0.2">
      <c r="A1858" s="574">
        <v>2359</v>
      </c>
      <c r="B1858" s="574" t="s">
        <v>7406</v>
      </c>
      <c r="C1858" s="574" t="s">
        <v>5566</v>
      </c>
      <c r="D1858" s="582">
        <v>57.78</v>
      </c>
    </row>
    <row r="1859" spans="1:4" x14ac:dyDescent="0.2">
      <c r="A1859" s="574">
        <v>40808</v>
      </c>
      <c r="B1859" s="574" t="s">
        <v>7407</v>
      </c>
      <c r="C1859" s="574" t="s">
        <v>5755</v>
      </c>
      <c r="D1859" s="583">
        <v>10105.4</v>
      </c>
    </row>
    <row r="1860" spans="1:4" x14ac:dyDescent="0.2">
      <c r="A1860" s="574">
        <v>43144</v>
      </c>
      <c r="B1860" s="574" t="s">
        <v>13585</v>
      </c>
      <c r="C1860" s="574" t="s">
        <v>5626</v>
      </c>
      <c r="D1860" s="582">
        <v>28.95</v>
      </c>
    </row>
    <row r="1861" spans="1:4" x14ac:dyDescent="0.2">
      <c r="A1861" s="574">
        <v>39397</v>
      </c>
      <c r="B1861" s="574" t="s">
        <v>7408</v>
      </c>
      <c r="C1861" s="574" t="s">
        <v>5628</v>
      </c>
      <c r="D1861" s="582">
        <v>13.19</v>
      </c>
    </row>
    <row r="1862" spans="1:4" x14ac:dyDescent="0.2">
      <c r="A1862" s="574">
        <v>2692</v>
      </c>
      <c r="B1862" s="574" t="s">
        <v>7409</v>
      </c>
      <c r="C1862" s="574" t="s">
        <v>5628</v>
      </c>
      <c r="D1862" s="582">
        <v>5.32</v>
      </c>
    </row>
    <row r="1863" spans="1:4" x14ac:dyDescent="0.2">
      <c r="A1863" s="574">
        <v>6</v>
      </c>
      <c r="B1863" s="574" t="s">
        <v>7410</v>
      </c>
      <c r="C1863" s="574" t="s">
        <v>5628</v>
      </c>
      <c r="D1863" s="582">
        <v>3.53</v>
      </c>
    </row>
    <row r="1864" spans="1:4" x14ac:dyDescent="0.2">
      <c r="A1864" s="574">
        <v>5330</v>
      </c>
      <c r="B1864" s="574" t="s">
        <v>7411</v>
      </c>
      <c r="C1864" s="574" t="s">
        <v>5628</v>
      </c>
      <c r="D1864" s="582">
        <v>36.97</v>
      </c>
    </row>
    <row r="1865" spans="1:4" x14ac:dyDescent="0.2">
      <c r="A1865" s="574">
        <v>26017</v>
      </c>
      <c r="B1865" s="574" t="s">
        <v>7412</v>
      </c>
      <c r="C1865" s="574" t="s">
        <v>5555</v>
      </c>
      <c r="D1865" s="582">
        <v>21.2</v>
      </c>
    </row>
    <row r="1866" spans="1:4" x14ac:dyDescent="0.2">
      <c r="A1866" s="574">
        <v>25931</v>
      </c>
      <c r="B1866" s="574" t="s">
        <v>7413</v>
      </c>
      <c r="C1866" s="574" t="s">
        <v>5555</v>
      </c>
      <c r="D1866" s="582">
        <v>67.38</v>
      </c>
    </row>
    <row r="1867" spans="1:4" x14ac:dyDescent="0.2">
      <c r="A1867" s="574">
        <v>38140</v>
      </c>
      <c r="B1867" s="574" t="s">
        <v>7414</v>
      </c>
      <c r="C1867" s="574" t="s">
        <v>5555</v>
      </c>
      <c r="D1867" s="582">
        <v>16.34</v>
      </c>
    </row>
    <row r="1868" spans="1:4" x14ac:dyDescent="0.2">
      <c r="A1868" s="574">
        <v>13887</v>
      </c>
      <c r="B1868" s="574" t="s">
        <v>7415</v>
      </c>
      <c r="C1868" s="574" t="s">
        <v>5555</v>
      </c>
      <c r="D1868" s="582">
        <v>386.86</v>
      </c>
    </row>
    <row r="1869" spans="1:4" x14ac:dyDescent="0.2">
      <c r="A1869" s="574">
        <v>26018</v>
      </c>
      <c r="B1869" s="574" t="s">
        <v>7416</v>
      </c>
      <c r="C1869" s="574" t="s">
        <v>5555</v>
      </c>
      <c r="D1869" s="582">
        <v>17.22</v>
      </c>
    </row>
    <row r="1870" spans="1:4" x14ac:dyDescent="0.2">
      <c r="A1870" s="574">
        <v>26019</v>
      </c>
      <c r="B1870" s="574" t="s">
        <v>7417</v>
      </c>
      <c r="C1870" s="574" t="s">
        <v>5555</v>
      </c>
      <c r="D1870" s="582">
        <v>16.260000000000002</v>
      </c>
    </row>
    <row r="1871" spans="1:4" x14ac:dyDescent="0.2">
      <c r="A1871" s="574">
        <v>26020</v>
      </c>
      <c r="B1871" s="574" t="s">
        <v>7418</v>
      </c>
      <c r="C1871" s="574" t="s">
        <v>5555</v>
      </c>
      <c r="D1871" s="582">
        <v>4.24</v>
      </c>
    </row>
    <row r="1872" spans="1:4" x14ac:dyDescent="0.2">
      <c r="A1872" s="574">
        <v>34544</v>
      </c>
      <c r="B1872" s="574" t="s">
        <v>7419</v>
      </c>
      <c r="C1872" s="574" t="s">
        <v>5555</v>
      </c>
      <c r="D1872" s="583">
        <v>1174.45</v>
      </c>
    </row>
    <row r="1873" spans="1:4" x14ac:dyDescent="0.2">
      <c r="A1873" s="574">
        <v>34729</v>
      </c>
      <c r="B1873" s="574" t="s">
        <v>7420</v>
      </c>
      <c r="C1873" s="574" t="s">
        <v>5555</v>
      </c>
      <c r="D1873" s="582">
        <v>923.89</v>
      </c>
    </row>
    <row r="1874" spans="1:4" x14ac:dyDescent="0.2">
      <c r="A1874" s="574">
        <v>34734</v>
      </c>
      <c r="B1874" s="574" t="s">
        <v>7421</v>
      </c>
      <c r="C1874" s="574" t="s">
        <v>5555</v>
      </c>
      <c r="D1874" s="583">
        <v>1430.48</v>
      </c>
    </row>
    <row r="1875" spans="1:4" x14ac:dyDescent="0.2">
      <c r="A1875" s="574">
        <v>34738</v>
      </c>
      <c r="B1875" s="574" t="s">
        <v>7422</v>
      </c>
      <c r="C1875" s="574" t="s">
        <v>5555</v>
      </c>
      <c r="D1875" s="583">
        <v>3342.05</v>
      </c>
    </row>
    <row r="1876" spans="1:4" x14ac:dyDescent="0.2">
      <c r="A1876" s="574">
        <v>2391</v>
      </c>
      <c r="B1876" s="574" t="s">
        <v>7423</v>
      </c>
      <c r="C1876" s="574" t="s">
        <v>5555</v>
      </c>
      <c r="D1876" s="582">
        <v>271.82</v>
      </c>
    </row>
    <row r="1877" spans="1:4" x14ac:dyDescent="0.2">
      <c r="A1877" s="574">
        <v>2374</v>
      </c>
      <c r="B1877" s="574" t="s">
        <v>7424</v>
      </c>
      <c r="C1877" s="574" t="s">
        <v>5555</v>
      </c>
      <c r="D1877" s="582">
        <v>308.37</v>
      </c>
    </row>
    <row r="1878" spans="1:4" x14ac:dyDescent="0.2">
      <c r="A1878" s="574">
        <v>2377</v>
      </c>
      <c r="B1878" s="574" t="s">
        <v>7425</v>
      </c>
      <c r="C1878" s="574" t="s">
        <v>5555</v>
      </c>
      <c r="D1878" s="582">
        <v>432.76</v>
      </c>
    </row>
    <row r="1879" spans="1:4" x14ac:dyDescent="0.2">
      <c r="A1879" s="574">
        <v>2393</v>
      </c>
      <c r="B1879" s="574" t="s">
        <v>7426</v>
      </c>
      <c r="C1879" s="574" t="s">
        <v>5555</v>
      </c>
      <c r="D1879" s="582">
        <v>724.72</v>
      </c>
    </row>
    <row r="1880" spans="1:4" x14ac:dyDescent="0.2">
      <c r="A1880" s="574">
        <v>34705</v>
      </c>
      <c r="B1880" s="574" t="s">
        <v>7427</v>
      </c>
      <c r="C1880" s="574" t="s">
        <v>5555</v>
      </c>
      <c r="D1880" s="582">
        <v>633.87</v>
      </c>
    </row>
    <row r="1881" spans="1:4" x14ac:dyDescent="0.2">
      <c r="A1881" s="574">
        <v>34707</v>
      </c>
      <c r="B1881" s="574" t="s">
        <v>7428</v>
      </c>
      <c r="C1881" s="574" t="s">
        <v>5555</v>
      </c>
      <c r="D1881" s="583">
        <v>1174.58</v>
      </c>
    </row>
    <row r="1882" spans="1:4" x14ac:dyDescent="0.2">
      <c r="A1882" s="574">
        <v>2378</v>
      </c>
      <c r="B1882" s="574" t="s">
        <v>7429</v>
      </c>
      <c r="C1882" s="574" t="s">
        <v>5555</v>
      </c>
      <c r="D1882" s="582">
        <v>995.5</v>
      </c>
    </row>
    <row r="1883" spans="1:4" x14ac:dyDescent="0.2">
      <c r="A1883" s="574">
        <v>2379</v>
      </c>
      <c r="B1883" s="574" t="s">
        <v>7430</v>
      </c>
      <c r="C1883" s="574" t="s">
        <v>5555</v>
      </c>
      <c r="D1883" s="582">
        <v>995.5</v>
      </c>
    </row>
    <row r="1884" spans="1:4" x14ac:dyDescent="0.2">
      <c r="A1884" s="574">
        <v>2376</v>
      </c>
      <c r="B1884" s="574" t="s">
        <v>7431</v>
      </c>
      <c r="C1884" s="574" t="s">
        <v>5555</v>
      </c>
      <c r="D1884" s="583">
        <v>1639.58</v>
      </c>
    </row>
    <row r="1885" spans="1:4" x14ac:dyDescent="0.2">
      <c r="A1885" s="574">
        <v>2394</v>
      </c>
      <c r="B1885" s="574" t="s">
        <v>7432</v>
      </c>
      <c r="C1885" s="574" t="s">
        <v>5555</v>
      </c>
      <c r="D1885" s="583">
        <v>3505.14</v>
      </c>
    </row>
    <row r="1886" spans="1:4" x14ac:dyDescent="0.2">
      <c r="A1886" s="574">
        <v>34686</v>
      </c>
      <c r="B1886" s="574" t="s">
        <v>7433</v>
      </c>
      <c r="C1886" s="574" t="s">
        <v>5555</v>
      </c>
      <c r="D1886" s="582">
        <v>10.52</v>
      </c>
    </row>
    <row r="1887" spans="1:4" x14ac:dyDescent="0.2">
      <c r="A1887" s="574">
        <v>34616</v>
      </c>
      <c r="B1887" s="574" t="s">
        <v>7434</v>
      </c>
      <c r="C1887" s="574" t="s">
        <v>5555</v>
      </c>
      <c r="D1887" s="582">
        <v>40.67</v>
      </c>
    </row>
    <row r="1888" spans="1:4" x14ac:dyDescent="0.2">
      <c r="A1888" s="574">
        <v>34623</v>
      </c>
      <c r="B1888" s="574" t="s">
        <v>7435</v>
      </c>
      <c r="C1888" s="574" t="s">
        <v>5555</v>
      </c>
      <c r="D1888" s="582">
        <v>40.049999999999997</v>
      </c>
    </row>
    <row r="1889" spans="1:4" x14ac:dyDescent="0.2">
      <c r="A1889" s="574">
        <v>34628</v>
      </c>
      <c r="B1889" s="574" t="s">
        <v>7436</v>
      </c>
      <c r="C1889" s="574" t="s">
        <v>5555</v>
      </c>
      <c r="D1889" s="582">
        <v>57.36</v>
      </c>
    </row>
    <row r="1890" spans="1:4" x14ac:dyDescent="0.2">
      <c r="A1890" s="574">
        <v>34653</v>
      </c>
      <c r="B1890" s="574" t="s">
        <v>7437</v>
      </c>
      <c r="C1890" s="574" t="s">
        <v>5555</v>
      </c>
      <c r="D1890" s="582">
        <v>7.09</v>
      </c>
    </row>
    <row r="1891" spans="1:4" x14ac:dyDescent="0.2">
      <c r="A1891" s="574">
        <v>34688</v>
      </c>
      <c r="B1891" s="574" t="s">
        <v>7438</v>
      </c>
      <c r="C1891" s="574" t="s">
        <v>5555</v>
      </c>
      <c r="D1891" s="582">
        <v>12.86</v>
      </c>
    </row>
    <row r="1892" spans="1:4" x14ac:dyDescent="0.2">
      <c r="A1892" s="574">
        <v>34709</v>
      </c>
      <c r="B1892" s="574" t="s">
        <v>7439</v>
      </c>
      <c r="C1892" s="574" t="s">
        <v>5555</v>
      </c>
      <c r="D1892" s="582">
        <v>49.83</v>
      </c>
    </row>
    <row r="1893" spans="1:4" x14ac:dyDescent="0.2">
      <c r="A1893" s="574">
        <v>34714</v>
      </c>
      <c r="B1893" s="574" t="s">
        <v>7440</v>
      </c>
      <c r="C1893" s="574" t="s">
        <v>5555</v>
      </c>
      <c r="D1893" s="582">
        <v>59.52</v>
      </c>
    </row>
    <row r="1894" spans="1:4" x14ac:dyDescent="0.2">
      <c r="A1894" s="574">
        <v>2388</v>
      </c>
      <c r="B1894" s="574" t="s">
        <v>7441</v>
      </c>
      <c r="C1894" s="574" t="s">
        <v>5555</v>
      </c>
      <c r="D1894" s="582">
        <v>49.46</v>
      </c>
    </row>
    <row r="1895" spans="1:4" x14ac:dyDescent="0.2">
      <c r="A1895" s="574">
        <v>34606</v>
      </c>
      <c r="B1895" s="574" t="s">
        <v>7442</v>
      </c>
      <c r="C1895" s="574" t="s">
        <v>5555</v>
      </c>
      <c r="D1895" s="582">
        <v>75.86</v>
      </c>
    </row>
    <row r="1896" spans="1:4" x14ac:dyDescent="0.2">
      <c r="A1896" s="574">
        <v>34689</v>
      </c>
      <c r="B1896" s="574" t="s">
        <v>7443</v>
      </c>
      <c r="C1896" s="574" t="s">
        <v>5555</v>
      </c>
      <c r="D1896" s="582">
        <v>24.15</v>
      </c>
    </row>
    <row r="1897" spans="1:4" x14ac:dyDescent="0.2">
      <c r="A1897" s="574">
        <v>2370</v>
      </c>
      <c r="B1897" s="574" t="s">
        <v>7444</v>
      </c>
      <c r="C1897" s="574" t="s">
        <v>5555</v>
      </c>
      <c r="D1897" s="582">
        <v>9.19</v>
      </c>
    </row>
    <row r="1898" spans="1:4" x14ac:dyDescent="0.2">
      <c r="A1898" s="574">
        <v>2386</v>
      </c>
      <c r="B1898" s="574" t="s">
        <v>7445</v>
      </c>
      <c r="C1898" s="574" t="s">
        <v>5555</v>
      </c>
      <c r="D1898" s="582">
        <v>15.41</v>
      </c>
    </row>
    <row r="1899" spans="1:4" x14ac:dyDescent="0.2">
      <c r="A1899" s="574">
        <v>2392</v>
      </c>
      <c r="B1899" s="574" t="s">
        <v>7446</v>
      </c>
      <c r="C1899" s="574" t="s">
        <v>5555</v>
      </c>
      <c r="D1899" s="582">
        <v>61.69</v>
      </c>
    </row>
    <row r="1900" spans="1:4" x14ac:dyDescent="0.2">
      <c r="A1900" s="574">
        <v>2373</v>
      </c>
      <c r="B1900" s="574" t="s">
        <v>7447</v>
      </c>
      <c r="C1900" s="574" t="s">
        <v>5555</v>
      </c>
      <c r="D1900" s="582">
        <v>86.91</v>
      </c>
    </row>
    <row r="1901" spans="1:4" x14ac:dyDescent="0.2">
      <c r="A1901" s="574">
        <v>39465</v>
      </c>
      <c r="B1901" s="574" t="s">
        <v>7448</v>
      </c>
      <c r="C1901" s="574" t="s">
        <v>5555</v>
      </c>
      <c r="D1901" s="582">
        <v>53.09</v>
      </c>
    </row>
    <row r="1902" spans="1:4" x14ac:dyDescent="0.2">
      <c r="A1902" s="574">
        <v>39466</v>
      </c>
      <c r="B1902" s="574" t="s">
        <v>7449</v>
      </c>
      <c r="C1902" s="574" t="s">
        <v>5555</v>
      </c>
      <c r="D1902" s="582">
        <v>59.73</v>
      </c>
    </row>
    <row r="1903" spans="1:4" x14ac:dyDescent="0.2">
      <c r="A1903" s="574">
        <v>39467</v>
      </c>
      <c r="B1903" s="574" t="s">
        <v>7450</v>
      </c>
      <c r="C1903" s="574" t="s">
        <v>5555</v>
      </c>
      <c r="D1903" s="582">
        <v>76.400000000000006</v>
      </c>
    </row>
    <row r="1904" spans="1:4" x14ac:dyDescent="0.2">
      <c r="A1904" s="574">
        <v>39468</v>
      </c>
      <c r="B1904" s="574" t="s">
        <v>7451</v>
      </c>
      <c r="C1904" s="574" t="s">
        <v>5555</v>
      </c>
      <c r="D1904" s="582">
        <v>135.81</v>
      </c>
    </row>
    <row r="1905" spans="1:4" x14ac:dyDescent="0.2">
      <c r="A1905" s="574">
        <v>39469</v>
      </c>
      <c r="B1905" s="574" t="s">
        <v>7452</v>
      </c>
      <c r="C1905" s="574" t="s">
        <v>5555</v>
      </c>
      <c r="D1905" s="582">
        <v>55.32</v>
      </c>
    </row>
    <row r="1906" spans="1:4" x14ac:dyDescent="0.2">
      <c r="A1906" s="574">
        <v>39470</v>
      </c>
      <c r="B1906" s="574" t="s">
        <v>7453</v>
      </c>
      <c r="C1906" s="574" t="s">
        <v>5555</v>
      </c>
      <c r="D1906" s="582">
        <v>67.97</v>
      </c>
    </row>
    <row r="1907" spans="1:4" x14ac:dyDescent="0.2">
      <c r="A1907" s="574">
        <v>39471</v>
      </c>
      <c r="B1907" s="574" t="s">
        <v>7454</v>
      </c>
      <c r="C1907" s="574" t="s">
        <v>5555</v>
      </c>
      <c r="D1907" s="582">
        <v>81.680000000000007</v>
      </c>
    </row>
    <row r="1908" spans="1:4" x14ac:dyDescent="0.2">
      <c r="A1908" s="574">
        <v>39472</v>
      </c>
      <c r="B1908" s="574" t="s">
        <v>7455</v>
      </c>
      <c r="C1908" s="574" t="s">
        <v>5555</v>
      </c>
      <c r="D1908" s="582">
        <v>141.93</v>
      </c>
    </row>
    <row r="1909" spans="1:4" x14ac:dyDescent="0.2">
      <c r="A1909" s="574">
        <v>39473</v>
      </c>
      <c r="B1909" s="574" t="s">
        <v>7456</v>
      </c>
      <c r="C1909" s="574" t="s">
        <v>5555</v>
      </c>
      <c r="D1909" s="582">
        <v>91.69</v>
      </c>
    </row>
    <row r="1910" spans="1:4" x14ac:dyDescent="0.2">
      <c r="A1910" s="574">
        <v>39474</v>
      </c>
      <c r="B1910" s="574" t="s">
        <v>7457</v>
      </c>
      <c r="C1910" s="574" t="s">
        <v>5555</v>
      </c>
      <c r="D1910" s="582">
        <v>97.74</v>
      </c>
    </row>
    <row r="1911" spans="1:4" x14ac:dyDescent="0.2">
      <c r="A1911" s="574">
        <v>39475</v>
      </c>
      <c r="B1911" s="574" t="s">
        <v>7458</v>
      </c>
      <c r="C1911" s="574" t="s">
        <v>5555</v>
      </c>
      <c r="D1911" s="582">
        <v>110.9</v>
      </c>
    </row>
    <row r="1912" spans="1:4" x14ac:dyDescent="0.2">
      <c r="A1912" s="574">
        <v>39476</v>
      </c>
      <c r="B1912" s="574" t="s">
        <v>7459</v>
      </c>
      <c r="C1912" s="574" t="s">
        <v>5555</v>
      </c>
      <c r="D1912" s="582">
        <v>208.76</v>
      </c>
    </row>
    <row r="1913" spans="1:4" x14ac:dyDescent="0.2">
      <c r="A1913" s="574">
        <v>39477</v>
      </c>
      <c r="B1913" s="574" t="s">
        <v>7460</v>
      </c>
      <c r="C1913" s="574" t="s">
        <v>5555</v>
      </c>
      <c r="D1913" s="582">
        <v>102.28</v>
      </c>
    </row>
    <row r="1914" spans="1:4" x14ac:dyDescent="0.2">
      <c r="A1914" s="574">
        <v>39478</v>
      </c>
      <c r="B1914" s="574" t="s">
        <v>7461</v>
      </c>
      <c r="C1914" s="574" t="s">
        <v>5555</v>
      </c>
      <c r="D1914" s="582">
        <v>105.45</v>
      </c>
    </row>
    <row r="1915" spans="1:4" x14ac:dyDescent="0.2">
      <c r="A1915" s="574">
        <v>39479</v>
      </c>
      <c r="B1915" s="574" t="s">
        <v>7462</v>
      </c>
      <c r="C1915" s="574" t="s">
        <v>5555</v>
      </c>
      <c r="D1915" s="582">
        <v>124.24</v>
      </c>
    </row>
    <row r="1916" spans="1:4" x14ac:dyDescent="0.2">
      <c r="A1916" s="574">
        <v>39480</v>
      </c>
      <c r="B1916" s="574" t="s">
        <v>7463</v>
      </c>
      <c r="C1916" s="574" t="s">
        <v>5555</v>
      </c>
      <c r="D1916" s="582">
        <v>256.38</v>
      </c>
    </row>
    <row r="1917" spans="1:4" x14ac:dyDescent="0.2">
      <c r="A1917" s="574">
        <v>39459</v>
      </c>
      <c r="B1917" s="574" t="s">
        <v>7464</v>
      </c>
      <c r="C1917" s="574" t="s">
        <v>5555</v>
      </c>
      <c r="D1917" s="582">
        <v>217.6</v>
      </c>
    </row>
    <row r="1918" spans="1:4" x14ac:dyDescent="0.2">
      <c r="A1918" s="574">
        <v>39445</v>
      </c>
      <c r="B1918" s="574" t="s">
        <v>7465</v>
      </c>
      <c r="C1918" s="574" t="s">
        <v>5555</v>
      </c>
      <c r="D1918" s="582">
        <v>109.25</v>
      </c>
    </row>
    <row r="1919" spans="1:4" x14ac:dyDescent="0.2">
      <c r="A1919" s="574">
        <v>39446</v>
      </c>
      <c r="B1919" s="574" t="s">
        <v>7466</v>
      </c>
      <c r="C1919" s="574" t="s">
        <v>5555</v>
      </c>
      <c r="D1919" s="582">
        <v>111.2</v>
      </c>
    </row>
    <row r="1920" spans="1:4" x14ac:dyDescent="0.2">
      <c r="A1920" s="574">
        <v>39447</v>
      </c>
      <c r="B1920" s="574" t="s">
        <v>7467</v>
      </c>
      <c r="C1920" s="574" t="s">
        <v>5555</v>
      </c>
      <c r="D1920" s="582">
        <v>118.91</v>
      </c>
    </row>
    <row r="1921" spans="1:4" x14ac:dyDescent="0.2">
      <c r="A1921" s="574">
        <v>39448</v>
      </c>
      <c r="B1921" s="574" t="s">
        <v>7468</v>
      </c>
      <c r="C1921" s="574" t="s">
        <v>5555</v>
      </c>
      <c r="D1921" s="582">
        <v>202.77</v>
      </c>
    </row>
    <row r="1922" spans="1:4" x14ac:dyDescent="0.2">
      <c r="A1922" s="574">
        <v>39450</v>
      </c>
      <c r="B1922" s="574" t="s">
        <v>7469</v>
      </c>
      <c r="C1922" s="574" t="s">
        <v>5555</v>
      </c>
      <c r="D1922" s="582">
        <v>123.71</v>
      </c>
    </row>
    <row r="1923" spans="1:4" x14ac:dyDescent="0.2">
      <c r="A1923" s="574">
        <v>39451</v>
      </c>
      <c r="B1923" s="574" t="s">
        <v>7470</v>
      </c>
      <c r="C1923" s="574" t="s">
        <v>5555</v>
      </c>
      <c r="D1923" s="582">
        <v>134.93</v>
      </c>
    </row>
    <row r="1924" spans="1:4" x14ac:dyDescent="0.2">
      <c r="A1924" s="574">
        <v>39452</v>
      </c>
      <c r="B1924" s="574" t="s">
        <v>7471</v>
      </c>
      <c r="C1924" s="574" t="s">
        <v>5555</v>
      </c>
      <c r="D1924" s="582">
        <v>135.74</v>
      </c>
    </row>
    <row r="1925" spans="1:4" x14ac:dyDescent="0.2">
      <c r="A1925" s="574">
        <v>39523</v>
      </c>
      <c r="B1925" s="574" t="s">
        <v>7472</v>
      </c>
      <c r="C1925" s="574" t="s">
        <v>5555</v>
      </c>
      <c r="D1925" s="582">
        <v>227.16</v>
      </c>
    </row>
    <row r="1926" spans="1:4" x14ac:dyDescent="0.2">
      <c r="A1926" s="574">
        <v>39449</v>
      </c>
      <c r="B1926" s="574" t="s">
        <v>7473</v>
      </c>
      <c r="C1926" s="574" t="s">
        <v>5555</v>
      </c>
      <c r="D1926" s="582">
        <v>251.57</v>
      </c>
    </row>
    <row r="1927" spans="1:4" x14ac:dyDescent="0.2">
      <c r="A1927" s="574">
        <v>39455</v>
      </c>
      <c r="B1927" s="574" t="s">
        <v>7474</v>
      </c>
      <c r="C1927" s="574" t="s">
        <v>5555</v>
      </c>
      <c r="D1927" s="582">
        <v>124.48</v>
      </c>
    </row>
    <row r="1928" spans="1:4" x14ac:dyDescent="0.2">
      <c r="A1928" s="574">
        <v>39456</v>
      </c>
      <c r="B1928" s="574" t="s">
        <v>7475</v>
      </c>
      <c r="C1928" s="574" t="s">
        <v>5555</v>
      </c>
      <c r="D1928" s="582">
        <v>124.57</v>
      </c>
    </row>
    <row r="1929" spans="1:4" x14ac:dyDescent="0.2">
      <c r="A1929" s="574">
        <v>39457</v>
      </c>
      <c r="B1929" s="574" t="s">
        <v>7476</v>
      </c>
      <c r="C1929" s="574" t="s">
        <v>5555</v>
      </c>
      <c r="D1929" s="582">
        <v>135.80000000000001</v>
      </c>
    </row>
    <row r="1930" spans="1:4" x14ac:dyDescent="0.2">
      <c r="A1930" s="574">
        <v>39458</v>
      </c>
      <c r="B1930" s="574" t="s">
        <v>7477</v>
      </c>
      <c r="C1930" s="574" t="s">
        <v>5555</v>
      </c>
      <c r="D1930" s="582">
        <v>253.42</v>
      </c>
    </row>
    <row r="1931" spans="1:4" x14ac:dyDescent="0.2">
      <c r="A1931" s="574">
        <v>39464</v>
      </c>
      <c r="B1931" s="574" t="s">
        <v>7478</v>
      </c>
      <c r="C1931" s="574" t="s">
        <v>5555</v>
      </c>
      <c r="D1931" s="582">
        <v>407.52</v>
      </c>
    </row>
    <row r="1932" spans="1:4" x14ac:dyDescent="0.2">
      <c r="A1932" s="574">
        <v>39460</v>
      </c>
      <c r="B1932" s="574" t="s">
        <v>7479</v>
      </c>
      <c r="C1932" s="574" t="s">
        <v>5555</v>
      </c>
      <c r="D1932" s="582">
        <v>154.56</v>
      </c>
    </row>
    <row r="1933" spans="1:4" x14ac:dyDescent="0.2">
      <c r="A1933" s="574">
        <v>39461</v>
      </c>
      <c r="B1933" s="574" t="s">
        <v>7480</v>
      </c>
      <c r="C1933" s="574" t="s">
        <v>5555</v>
      </c>
      <c r="D1933" s="582">
        <v>181.11</v>
      </c>
    </row>
    <row r="1934" spans="1:4" x14ac:dyDescent="0.2">
      <c r="A1934" s="574">
        <v>39462</v>
      </c>
      <c r="B1934" s="574" t="s">
        <v>7481</v>
      </c>
      <c r="C1934" s="574" t="s">
        <v>5555</v>
      </c>
      <c r="D1934" s="582">
        <v>174.54</v>
      </c>
    </row>
    <row r="1935" spans="1:4" x14ac:dyDescent="0.2">
      <c r="A1935" s="574">
        <v>39463</v>
      </c>
      <c r="B1935" s="574" t="s">
        <v>7482</v>
      </c>
      <c r="C1935" s="574" t="s">
        <v>5555</v>
      </c>
      <c r="D1935" s="582">
        <v>404.36</v>
      </c>
    </row>
    <row r="1936" spans="1:4" x14ac:dyDescent="0.2">
      <c r="A1936" s="574">
        <v>26039</v>
      </c>
      <c r="B1936" s="574" t="s">
        <v>7483</v>
      </c>
      <c r="C1936" s="574" t="s">
        <v>5555</v>
      </c>
      <c r="D1936" s="583">
        <v>249588.52</v>
      </c>
    </row>
    <row r="1937" spans="1:4" x14ac:dyDescent="0.2">
      <c r="A1937" s="574">
        <v>2401</v>
      </c>
      <c r="B1937" s="574" t="s">
        <v>7484</v>
      </c>
      <c r="C1937" s="574" t="s">
        <v>5555</v>
      </c>
      <c r="D1937" s="583">
        <v>57408.12</v>
      </c>
    </row>
    <row r="1938" spans="1:4" x14ac:dyDescent="0.2">
      <c r="A1938" s="574">
        <v>38870</v>
      </c>
      <c r="B1938" s="574" t="s">
        <v>7485</v>
      </c>
      <c r="C1938" s="574" t="s">
        <v>5555</v>
      </c>
      <c r="D1938" s="582">
        <v>35.979999999999997</v>
      </c>
    </row>
    <row r="1939" spans="1:4" x14ac:dyDescent="0.2">
      <c r="A1939" s="574">
        <v>38869</v>
      </c>
      <c r="B1939" s="574" t="s">
        <v>7486</v>
      </c>
      <c r="C1939" s="574" t="s">
        <v>5555</v>
      </c>
      <c r="D1939" s="582">
        <v>31.74</v>
      </c>
    </row>
    <row r="1940" spans="1:4" x14ac:dyDescent="0.2">
      <c r="A1940" s="574">
        <v>38872</v>
      </c>
      <c r="B1940" s="574" t="s">
        <v>7487</v>
      </c>
      <c r="C1940" s="574" t="s">
        <v>5555</v>
      </c>
      <c r="D1940" s="582">
        <v>49.15</v>
      </c>
    </row>
    <row r="1941" spans="1:4" x14ac:dyDescent="0.2">
      <c r="A1941" s="574">
        <v>38871</v>
      </c>
      <c r="B1941" s="574" t="s">
        <v>7488</v>
      </c>
      <c r="C1941" s="574" t="s">
        <v>5555</v>
      </c>
      <c r="D1941" s="582">
        <v>39.54</v>
      </c>
    </row>
    <row r="1942" spans="1:4" x14ac:dyDescent="0.2">
      <c r="A1942" s="574">
        <v>39283</v>
      </c>
      <c r="B1942" s="574" t="s">
        <v>7489</v>
      </c>
      <c r="C1942" s="574" t="s">
        <v>5555</v>
      </c>
      <c r="D1942" s="582">
        <v>123.16</v>
      </c>
    </row>
    <row r="1943" spans="1:4" x14ac:dyDescent="0.2">
      <c r="A1943" s="574">
        <v>39284</v>
      </c>
      <c r="B1943" s="574" t="s">
        <v>7490</v>
      </c>
      <c r="C1943" s="574" t="s">
        <v>5555</v>
      </c>
      <c r="D1943" s="582">
        <v>133.46</v>
      </c>
    </row>
    <row r="1944" spans="1:4" x14ac:dyDescent="0.2">
      <c r="A1944" s="574">
        <v>39285</v>
      </c>
      <c r="B1944" s="574" t="s">
        <v>7491</v>
      </c>
      <c r="C1944" s="574" t="s">
        <v>5555</v>
      </c>
      <c r="D1944" s="582">
        <v>135.38</v>
      </c>
    </row>
    <row r="1945" spans="1:4" x14ac:dyDescent="0.2">
      <c r="A1945" s="574">
        <v>39286</v>
      </c>
      <c r="B1945" s="574" t="s">
        <v>7492</v>
      </c>
      <c r="C1945" s="574" t="s">
        <v>5555</v>
      </c>
      <c r="D1945" s="582">
        <v>132.43</v>
      </c>
    </row>
    <row r="1946" spans="1:4" x14ac:dyDescent="0.2">
      <c r="A1946" s="574">
        <v>39287</v>
      </c>
      <c r="B1946" s="574" t="s">
        <v>7493</v>
      </c>
      <c r="C1946" s="574" t="s">
        <v>5555</v>
      </c>
      <c r="D1946" s="582">
        <v>155.5</v>
      </c>
    </row>
    <row r="1947" spans="1:4" x14ac:dyDescent="0.2">
      <c r="A1947" s="574">
        <v>39288</v>
      </c>
      <c r="B1947" s="574" t="s">
        <v>7494</v>
      </c>
      <c r="C1947" s="574" t="s">
        <v>5555</v>
      </c>
      <c r="D1947" s="582">
        <v>165.96</v>
      </c>
    </row>
    <row r="1948" spans="1:4" x14ac:dyDescent="0.2">
      <c r="A1948" s="574">
        <v>2414</v>
      </c>
      <c r="B1948" s="574" t="s">
        <v>7495</v>
      </c>
      <c r="C1948" s="574" t="s">
        <v>5564</v>
      </c>
      <c r="D1948" s="582">
        <v>95.61</v>
      </c>
    </row>
    <row r="1949" spans="1:4" x14ac:dyDescent="0.2">
      <c r="A1949" s="574">
        <v>2413</v>
      </c>
      <c r="B1949" s="574" t="s">
        <v>7496</v>
      </c>
      <c r="C1949" s="574" t="s">
        <v>5564</v>
      </c>
      <c r="D1949" s="582">
        <v>91.98</v>
      </c>
    </row>
    <row r="1950" spans="1:4" x14ac:dyDescent="0.2">
      <c r="A1950" s="574">
        <v>2405</v>
      </c>
      <c r="B1950" s="574" t="s">
        <v>7497</v>
      </c>
      <c r="C1950" s="574" t="s">
        <v>5564</v>
      </c>
      <c r="D1950" s="582">
        <v>107.06</v>
      </c>
    </row>
    <row r="1951" spans="1:4" x14ac:dyDescent="0.2">
      <c r="A1951" s="574">
        <v>13361</v>
      </c>
      <c r="B1951" s="574" t="s">
        <v>7498</v>
      </c>
      <c r="C1951" s="574" t="s">
        <v>5564</v>
      </c>
      <c r="D1951" s="582">
        <v>89.56</v>
      </c>
    </row>
    <row r="1952" spans="1:4" x14ac:dyDescent="0.2">
      <c r="A1952" s="574">
        <v>11987</v>
      </c>
      <c r="B1952" s="574" t="s">
        <v>7499</v>
      </c>
      <c r="C1952" s="574" t="s">
        <v>5564</v>
      </c>
      <c r="D1952" s="582">
        <v>239.63</v>
      </c>
    </row>
    <row r="1953" spans="1:4" x14ac:dyDescent="0.2">
      <c r="A1953" s="574">
        <v>2416</v>
      </c>
      <c r="B1953" s="574" t="s">
        <v>7500</v>
      </c>
      <c r="C1953" s="574" t="s">
        <v>5564</v>
      </c>
      <c r="D1953" s="582">
        <v>106.02</v>
      </c>
    </row>
    <row r="1954" spans="1:4" x14ac:dyDescent="0.2">
      <c r="A1954" s="574">
        <v>2412</v>
      </c>
      <c r="B1954" s="574" t="s">
        <v>7501</v>
      </c>
      <c r="C1954" s="574" t="s">
        <v>5564</v>
      </c>
      <c r="D1954" s="582">
        <v>102.39</v>
      </c>
    </row>
    <row r="1955" spans="1:4" x14ac:dyDescent="0.2">
      <c r="A1955" s="574">
        <v>2411</v>
      </c>
      <c r="B1955" s="574" t="s">
        <v>7502</v>
      </c>
      <c r="C1955" s="574" t="s">
        <v>5564</v>
      </c>
      <c r="D1955" s="582">
        <v>89.56</v>
      </c>
    </row>
    <row r="1956" spans="1:4" x14ac:dyDescent="0.2">
      <c r="A1956" s="574">
        <v>2406</v>
      </c>
      <c r="B1956" s="574" t="s">
        <v>7503</v>
      </c>
      <c r="C1956" s="574" t="s">
        <v>5564</v>
      </c>
      <c r="D1956" s="582">
        <v>87.14</v>
      </c>
    </row>
    <row r="1957" spans="1:4" x14ac:dyDescent="0.2">
      <c r="A1957" s="574">
        <v>10571</v>
      </c>
      <c r="B1957" s="574" t="s">
        <v>7504</v>
      </c>
      <c r="C1957" s="574" t="s">
        <v>5564</v>
      </c>
      <c r="D1957" s="582">
        <v>213.01</v>
      </c>
    </row>
    <row r="1958" spans="1:4" x14ac:dyDescent="0.2">
      <c r="A1958" s="574">
        <v>11985</v>
      </c>
      <c r="B1958" s="574" t="s">
        <v>7505</v>
      </c>
      <c r="C1958" s="574" t="s">
        <v>5564</v>
      </c>
      <c r="D1958" s="582">
        <v>205.74</v>
      </c>
    </row>
    <row r="1959" spans="1:4" x14ac:dyDescent="0.2">
      <c r="A1959" s="574">
        <v>2410</v>
      </c>
      <c r="B1959" s="574" t="s">
        <v>7506</v>
      </c>
      <c r="C1959" s="574" t="s">
        <v>5564</v>
      </c>
      <c r="D1959" s="582">
        <v>90.77</v>
      </c>
    </row>
    <row r="1960" spans="1:4" x14ac:dyDescent="0.2">
      <c r="A1960" s="574">
        <v>2417</v>
      </c>
      <c r="B1960" s="574" t="s">
        <v>7507</v>
      </c>
      <c r="C1960" s="574" t="s">
        <v>5564</v>
      </c>
      <c r="D1960" s="582">
        <v>96.82</v>
      </c>
    </row>
    <row r="1961" spans="1:4" x14ac:dyDescent="0.2">
      <c r="A1961" s="574">
        <v>2415</v>
      </c>
      <c r="B1961" s="574" t="s">
        <v>7508</v>
      </c>
      <c r="C1961" s="574" t="s">
        <v>5564</v>
      </c>
      <c r="D1961" s="582">
        <v>77.45</v>
      </c>
    </row>
    <row r="1962" spans="1:4" x14ac:dyDescent="0.2">
      <c r="A1962" s="574">
        <v>13360</v>
      </c>
      <c r="B1962" s="574" t="s">
        <v>7509</v>
      </c>
      <c r="C1962" s="574" t="s">
        <v>5564</v>
      </c>
      <c r="D1962" s="582">
        <v>77.45</v>
      </c>
    </row>
    <row r="1963" spans="1:4" x14ac:dyDescent="0.2">
      <c r="A1963" s="574">
        <v>11983</v>
      </c>
      <c r="B1963" s="574" t="s">
        <v>7510</v>
      </c>
      <c r="C1963" s="574" t="s">
        <v>5564</v>
      </c>
      <c r="D1963" s="582">
        <v>188.8</v>
      </c>
    </row>
    <row r="1964" spans="1:4" x14ac:dyDescent="0.2">
      <c r="A1964" s="574">
        <v>11986</v>
      </c>
      <c r="B1964" s="574" t="s">
        <v>7511</v>
      </c>
      <c r="C1964" s="574" t="s">
        <v>5564</v>
      </c>
      <c r="D1964" s="582">
        <v>229.95</v>
      </c>
    </row>
    <row r="1965" spans="1:4" x14ac:dyDescent="0.2">
      <c r="A1965" s="574">
        <v>25976</v>
      </c>
      <c r="B1965" s="574" t="s">
        <v>7512</v>
      </c>
      <c r="C1965" s="574" t="s">
        <v>5564</v>
      </c>
      <c r="D1965" s="582">
        <v>501.88</v>
      </c>
    </row>
    <row r="1966" spans="1:4" x14ac:dyDescent="0.2">
      <c r="A1966" s="574">
        <v>10629</v>
      </c>
      <c r="B1966" s="574" t="s">
        <v>7513</v>
      </c>
      <c r="C1966" s="574" t="s">
        <v>5564</v>
      </c>
      <c r="D1966" s="582">
        <v>592.78</v>
      </c>
    </row>
    <row r="1967" spans="1:4" x14ac:dyDescent="0.2">
      <c r="A1967" s="574">
        <v>10698</v>
      </c>
      <c r="B1967" s="574" t="s">
        <v>7514</v>
      </c>
      <c r="C1967" s="574" t="s">
        <v>5564</v>
      </c>
      <c r="D1967" s="582">
        <v>135.82</v>
      </c>
    </row>
    <row r="1968" spans="1:4" x14ac:dyDescent="0.2">
      <c r="A1968" s="574">
        <v>40521</v>
      </c>
      <c r="B1968" s="574" t="s">
        <v>7515</v>
      </c>
      <c r="C1968" s="574" t="s">
        <v>5555</v>
      </c>
      <c r="D1968" s="583">
        <v>79062.350000000006</v>
      </c>
    </row>
    <row r="1969" spans="1:4" x14ac:dyDescent="0.2">
      <c r="A1969" s="574">
        <v>2432</v>
      </c>
      <c r="B1969" s="574" t="s">
        <v>7516</v>
      </c>
      <c r="C1969" s="574" t="s">
        <v>5555</v>
      </c>
      <c r="D1969" s="582">
        <v>19.399999999999999</v>
      </c>
    </row>
    <row r="1970" spans="1:4" x14ac:dyDescent="0.2">
      <c r="A1970" s="574">
        <v>2433</v>
      </c>
      <c r="B1970" s="574" t="s">
        <v>7518</v>
      </c>
      <c r="C1970" s="574" t="s">
        <v>5555</v>
      </c>
      <c r="D1970" s="582">
        <v>6.57</v>
      </c>
    </row>
    <row r="1971" spans="1:4" x14ac:dyDescent="0.2">
      <c r="A1971" s="574">
        <v>2420</v>
      </c>
      <c r="B1971" s="574" t="s">
        <v>7519</v>
      </c>
      <c r="C1971" s="574" t="s">
        <v>5555</v>
      </c>
      <c r="D1971" s="582">
        <v>11.29</v>
      </c>
    </row>
    <row r="1972" spans="1:4" x14ac:dyDescent="0.2">
      <c r="A1972" s="574">
        <v>11447</v>
      </c>
      <c r="B1972" s="574" t="s">
        <v>7521</v>
      </c>
      <c r="C1972" s="574" t="s">
        <v>5555</v>
      </c>
      <c r="D1972" s="582">
        <v>22.31</v>
      </c>
    </row>
    <row r="1973" spans="1:4" x14ac:dyDescent="0.2">
      <c r="A1973" s="574">
        <v>11451</v>
      </c>
      <c r="B1973" s="574" t="s">
        <v>7524</v>
      </c>
      <c r="C1973" s="574" t="s">
        <v>5555</v>
      </c>
      <c r="D1973" s="582">
        <v>59.8</v>
      </c>
    </row>
    <row r="1974" spans="1:4" x14ac:dyDescent="0.2">
      <c r="A1974" s="574">
        <v>11116</v>
      </c>
      <c r="B1974" s="574" t="s">
        <v>7525</v>
      </c>
      <c r="C1974" s="574" t="s">
        <v>5555</v>
      </c>
      <c r="D1974" s="582">
        <v>446.66</v>
      </c>
    </row>
    <row r="1975" spans="1:4" x14ac:dyDescent="0.2">
      <c r="A1975" s="574">
        <v>38411</v>
      </c>
      <c r="B1975" s="574" t="s">
        <v>7526</v>
      </c>
      <c r="C1975" s="574" t="s">
        <v>5555</v>
      </c>
      <c r="D1975" s="583">
        <v>1133.07</v>
      </c>
    </row>
    <row r="1976" spans="1:4" x14ac:dyDescent="0.2">
      <c r="A1976" s="574">
        <v>1370</v>
      </c>
      <c r="B1976" s="574" t="s">
        <v>7527</v>
      </c>
      <c r="C1976" s="574" t="s">
        <v>5555</v>
      </c>
      <c r="D1976" s="582">
        <v>85.79</v>
      </c>
    </row>
    <row r="1977" spans="1:4" x14ac:dyDescent="0.2">
      <c r="A1977" s="574">
        <v>38189</v>
      </c>
      <c r="B1977" s="574" t="s">
        <v>7528</v>
      </c>
      <c r="C1977" s="574" t="s">
        <v>5555</v>
      </c>
      <c r="D1977" s="582">
        <v>171.61</v>
      </c>
    </row>
    <row r="1978" spans="1:4" x14ac:dyDescent="0.2">
      <c r="A1978" s="574">
        <v>38190</v>
      </c>
      <c r="B1978" s="574" t="s">
        <v>7529</v>
      </c>
      <c r="C1978" s="574" t="s">
        <v>5555</v>
      </c>
      <c r="D1978" s="582">
        <v>385.92</v>
      </c>
    </row>
    <row r="1979" spans="1:4" x14ac:dyDescent="0.2">
      <c r="A1979" s="574">
        <v>36516</v>
      </c>
      <c r="B1979" s="574" t="s">
        <v>7530</v>
      </c>
      <c r="C1979" s="574" t="s">
        <v>5555</v>
      </c>
      <c r="D1979" s="583">
        <v>68644.84</v>
      </c>
    </row>
    <row r="1980" spans="1:4" x14ac:dyDescent="0.2">
      <c r="A1980" s="574">
        <v>34777</v>
      </c>
      <c r="B1980" s="574" t="s">
        <v>13586</v>
      </c>
      <c r="C1980" s="574" t="s">
        <v>5555</v>
      </c>
      <c r="D1980" s="582">
        <v>1.76</v>
      </c>
    </row>
    <row r="1981" spans="1:4" x14ac:dyDescent="0.2">
      <c r="A1981" s="574">
        <v>7272</v>
      </c>
      <c r="B1981" s="574" t="s">
        <v>13587</v>
      </c>
      <c r="C1981" s="574" t="s">
        <v>5555</v>
      </c>
      <c r="D1981" s="582">
        <v>1.48</v>
      </c>
    </row>
    <row r="1982" spans="1:4" x14ac:dyDescent="0.2">
      <c r="A1982" s="574">
        <v>10605</v>
      </c>
      <c r="B1982" s="574" t="s">
        <v>7534</v>
      </c>
      <c r="C1982" s="574" t="s">
        <v>5555</v>
      </c>
      <c r="D1982" s="582">
        <v>4.22</v>
      </c>
    </row>
    <row r="1983" spans="1:4" x14ac:dyDescent="0.2">
      <c r="A1983" s="574">
        <v>10604</v>
      </c>
      <c r="B1983" s="574" t="s">
        <v>7535</v>
      </c>
      <c r="C1983" s="574" t="s">
        <v>5555</v>
      </c>
      <c r="D1983" s="582">
        <v>9.83</v>
      </c>
    </row>
    <row r="1984" spans="1:4" x14ac:dyDescent="0.2">
      <c r="A1984" s="574">
        <v>672</v>
      </c>
      <c r="B1984" s="574" t="s">
        <v>7536</v>
      </c>
      <c r="C1984" s="574" t="s">
        <v>5555</v>
      </c>
      <c r="D1984" s="582">
        <v>13.52</v>
      </c>
    </row>
    <row r="1985" spans="1:4" x14ac:dyDescent="0.2">
      <c r="A1985" s="574">
        <v>668</v>
      </c>
      <c r="B1985" s="574" t="s">
        <v>7537</v>
      </c>
      <c r="C1985" s="574" t="s">
        <v>5555</v>
      </c>
      <c r="D1985" s="582">
        <v>16.32</v>
      </c>
    </row>
    <row r="1986" spans="1:4" x14ac:dyDescent="0.2">
      <c r="A1986" s="574">
        <v>10578</v>
      </c>
      <c r="B1986" s="574" t="s">
        <v>7538</v>
      </c>
      <c r="C1986" s="574" t="s">
        <v>5555</v>
      </c>
      <c r="D1986" s="582">
        <v>19.010000000000002</v>
      </c>
    </row>
    <row r="1987" spans="1:4" x14ac:dyDescent="0.2">
      <c r="A1987" s="574">
        <v>666</v>
      </c>
      <c r="B1987" s="574" t="s">
        <v>7539</v>
      </c>
      <c r="C1987" s="574" t="s">
        <v>5555</v>
      </c>
      <c r="D1987" s="582">
        <v>21.14</v>
      </c>
    </row>
    <row r="1988" spans="1:4" x14ac:dyDescent="0.2">
      <c r="A1988" s="574">
        <v>665</v>
      </c>
      <c r="B1988" s="574" t="s">
        <v>7540</v>
      </c>
      <c r="C1988" s="574" t="s">
        <v>5555</v>
      </c>
      <c r="D1988" s="582">
        <v>28.28</v>
      </c>
    </row>
    <row r="1989" spans="1:4" x14ac:dyDescent="0.2">
      <c r="A1989" s="574">
        <v>10577</v>
      </c>
      <c r="B1989" s="574" t="s">
        <v>7541</v>
      </c>
      <c r="C1989" s="574" t="s">
        <v>5555</v>
      </c>
      <c r="D1989" s="582">
        <v>25.08</v>
      </c>
    </row>
    <row r="1990" spans="1:4" x14ac:dyDescent="0.2">
      <c r="A1990" s="574">
        <v>10583</v>
      </c>
      <c r="B1990" s="574" t="s">
        <v>7542</v>
      </c>
      <c r="C1990" s="574" t="s">
        <v>5555</v>
      </c>
      <c r="D1990" s="582">
        <v>13.03</v>
      </c>
    </row>
    <row r="1991" spans="1:4" x14ac:dyDescent="0.2">
      <c r="A1991" s="574">
        <v>10579</v>
      </c>
      <c r="B1991" s="574" t="s">
        <v>7543</v>
      </c>
      <c r="C1991" s="574" t="s">
        <v>5555</v>
      </c>
      <c r="D1991" s="582">
        <v>22.71</v>
      </c>
    </row>
    <row r="1992" spans="1:4" x14ac:dyDescent="0.2">
      <c r="A1992" s="574">
        <v>10582</v>
      </c>
      <c r="B1992" s="574" t="s">
        <v>7544</v>
      </c>
      <c r="C1992" s="574" t="s">
        <v>5555</v>
      </c>
      <c r="D1992" s="582">
        <v>11.47</v>
      </c>
    </row>
    <row r="1993" spans="1:4" x14ac:dyDescent="0.2">
      <c r="A1993" s="574">
        <v>2436</v>
      </c>
      <c r="B1993" s="574" t="s">
        <v>7545</v>
      </c>
      <c r="C1993" s="574" t="s">
        <v>5566</v>
      </c>
      <c r="D1993" s="582">
        <v>15.87</v>
      </c>
    </row>
    <row r="1994" spans="1:4" x14ac:dyDescent="0.2">
      <c r="A1994" s="574">
        <v>40918</v>
      </c>
      <c r="B1994" s="574" t="s">
        <v>7546</v>
      </c>
      <c r="C1994" s="574" t="s">
        <v>5755</v>
      </c>
      <c r="D1994" s="583">
        <v>2775.54</v>
      </c>
    </row>
    <row r="1995" spans="1:4" x14ac:dyDescent="0.2">
      <c r="A1995" s="574">
        <v>2439</v>
      </c>
      <c r="B1995" s="574" t="s">
        <v>7547</v>
      </c>
      <c r="C1995" s="574" t="s">
        <v>5566</v>
      </c>
      <c r="D1995" s="582">
        <v>28.61</v>
      </c>
    </row>
    <row r="1996" spans="1:4" x14ac:dyDescent="0.2">
      <c r="A1996" s="574">
        <v>40923</v>
      </c>
      <c r="B1996" s="574" t="s">
        <v>7548</v>
      </c>
      <c r="C1996" s="574" t="s">
        <v>5755</v>
      </c>
      <c r="D1996" s="583">
        <v>5005.55</v>
      </c>
    </row>
    <row r="1997" spans="1:4" x14ac:dyDescent="0.2">
      <c r="A1997" s="574">
        <v>10998</v>
      </c>
      <c r="B1997" s="574" t="s">
        <v>7549</v>
      </c>
      <c r="C1997" s="574" t="s">
        <v>5626</v>
      </c>
      <c r="D1997" s="582">
        <v>16.77</v>
      </c>
    </row>
    <row r="1998" spans="1:4" x14ac:dyDescent="0.2">
      <c r="A1998" s="574">
        <v>11002</v>
      </c>
      <c r="B1998" s="574" t="s">
        <v>7550</v>
      </c>
      <c r="C1998" s="574" t="s">
        <v>5626</v>
      </c>
      <c r="D1998" s="582">
        <v>15.36</v>
      </c>
    </row>
    <row r="1999" spans="1:4" x14ac:dyDescent="0.2">
      <c r="A1999" s="574">
        <v>10999</v>
      </c>
      <c r="B1999" s="574" t="s">
        <v>7551</v>
      </c>
      <c r="C1999" s="574" t="s">
        <v>5626</v>
      </c>
      <c r="D1999" s="582">
        <v>14.76</v>
      </c>
    </row>
    <row r="2000" spans="1:4" x14ac:dyDescent="0.2">
      <c r="A2000" s="574">
        <v>10997</v>
      </c>
      <c r="B2000" s="574" t="s">
        <v>7552</v>
      </c>
      <c r="C2000" s="574" t="s">
        <v>5626</v>
      </c>
      <c r="D2000" s="582">
        <v>16</v>
      </c>
    </row>
    <row r="2001" spans="1:4" x14ac:dyDescent="0.2">
      <c r="A2001" s="574">
        <v>2685</v>
      </c>
      <c r="B2001" s="574" t="s">
        <v>7553</v>
      </c>
      <c r="C2001" s="574" t="s">
        <v>5575</v>
      </c>
      <c r="D2001" s="582">
        <v>4.55</v>
      </c>
    </row>
    <row r="2002" spans="1:4" x14ac:dyDescent="0.2">
      <c r="A2002" s="574">
        <v>2680</v>
      </c>
      <c r="B2002" s="574" t="s">
        <v>7554</v>
      </c>
      <c r="C2002" s="574" t="s">
        <v>5575</v>
      </c>
      <c r="D2002" s="582">
        <v>6.66</v>
      </c>
    </row>
    <row r="2003" spans="1:4" x14ac:dyDescent="0.2">
      <c r="A2003" s="574">
        <v>2684</v>
      </c>
      <c r="B2003" s="574" t="s">
        <v>7555</v>
      </c>
      <c r="C2003" s="574" t="s">
        <v>5575</v>
      </c>
      <c r="D2003" s="582">
        <v>6.06</v>
      </c>
    </row>
    <row r="2004" spans="1:4" x14ac:dyDescent="0.2">
      <c r="A2004" s="574">
        <v>2673</v>
      </c>
      <c r="B2004" s="574" t="s">
        <v>7556</v>
      </c>
      <c r="C2004" s="574" t="s">
        <v>5575</v>
      </c>
      <c r="D2004" s="582">
        <v>2.34</v>
      </c>
    </row>
    <row r="2005" spans="1:4" x14ac:dyDescent="0.2">
      <c r="A2005" s="574">
        <v>2681</v>
      </c>
      <c r="B2005" s="574" t="s">
        <v>7557</v>
      </c>
      <c r="C2005" s="574" t="s">
        <v>5575</v>
      </c>
      <c r="D2005" s="582">
        <v>10.89</v>
      </c>
    </row>
    <row r="2006" spans="1:4" x14ac:dyDescent="0.2">
      <c r="A2006" s="574">
        <v>2682</v>
      </c>
      <c r="B2006" s="574" t="s">
        <v>7558</v>
      </c>
      <c r="C2006" s="574" t="s">
        <v>5575</v>
      </c>
      <c r="D2006" s="582">
        <v>15.88</v>
      </c>
    </row>
    <row r="2007" spans="1:4" x14ac:dyDescent="0.2">
      <c r="A2007" s="574">
        <v>2686</v>
      </c>
      <c r="B2007" s="574" t="s">
        <v>7559</v>
      </c>
      <c r="C2007" s="574" t="s">
        <v>5575</v>
      </c>
      <c r="D2007" s="582">
        <v>19.920000000000002</v>
      </c>
    </row>
    <row r="2008" spans="1:4" x14ac:dyDescent="0.2">
      <c r="A2008" s="574">
        <v>2674</v>
      </c>
      <c r="B2008" s="574" t="s">
        <v>7560</v>
      </c>
      <c r="C2008" s="574" t="s">
        <v>5575</v>
      </c>
      <c r="D2008" s="582">
        <v>2.91</v>
      </c>
    </row>
    <row r="2009" spans="1:4" x14ac:dyDescent="0.2">
      <c r="A2009" s="574">
        <v>2683</v>
      </c>
      <c r="B2009" s="574" t="s">
        <v>7561</v>
      </c>
      <c r="C2009" s="574" t="s">
        <v>5575</v>
      </c>
      <c r="D2009" s="582">
        <v>31.39</v>
      </c>
    </row>
    <row r="2010" spans="1:4" x14ac:dyDescent="0.2">
      <c r="A2010" s="574">
        <v>2676</v>
      </c>
      <c r="B2010" s="574" t="s">
        <v>7562</v>
      </c>
      <c r="C2010" s="574" t="s">
        <v>5575</v>
      </c>
      <c r="D2010" s="582">
        <v>1.36</v>
      </c>
    </row>
    <row r="2011" spans="1:4" x14ac:dyDescent="0.2">
      <c r="A2011" s="574">
        <v>2678</v>
      </c>
      <c r="B2011" s="574" t="s">
        <v>7563</v>
      </c>
      <c r="C2011" s="574" t="s">
        <v>5575</v>
      </c>
      <c r="D2011" s="582">
        <v>1.7</v>
      </c>
    </row>
    <row r="2012" spans="1:4" x14ac:dyDescent="0.2">
      <c r="A2012" s="574">
        <v>2679</v>
      </c>
      <c r="B2012" s="574" t="s">
        <v>7564</v>
      </c>
      <c r="C2012" s="574" t="s">
        <v>5575</v>
      </c>
      <c r="D2012" s="582">
        <v>2.62</v>
      </c>
    </row>
    <row r="2013" spans="1:4" x14ac:dyDescent="0.2">
      <c r="A2013" s="574">
        <v>12070</v>
      </c>
      <c r="B2013" s="574" t="s">
        <v>7565</v>
      </c>
      <c r="C2013" s="574" t="s">
        <v>5575</v>
      </c>
      <c r="D2013" s="582">
        <v>3.65</v>
      </c>
    </row>
    <row r="2014" spans="1:4" x14ac:dyDescent="0.2">
      <c r="A2014" s="574">
        <v>2675</v>
      </c>
      <c r="B2014" s="574" t="s">
        <v>7566</v>
      </c>
      <c r="C2014" s="574" t="s">
        <v>5575</v>
      </c>
      <c r="D2014" s="582">
        <v>4.75</v>
      </c>
    </row>
    <row r="2015" spans="1:4" x14ac:dyDescent="0.2">
      <c r="A2015" s="574">
        <v>12067</v>
      </c>
      <c r="B2015" s="574" t="s">
        <v>7567</v>
      </c>
      <c r="C2015" s="574" t="s">
        <v>5575</v>
      </c>
      <c r="D2015" s="582">
        <v>6.45</v>
      </c>
    </row>
    <row r="2016" spans="1:4" x14ac:dyDescent="0.2">
      <c r="A2016" s="574">
        <v>40401</v>
      </c>
      <c r="B2016" s="574" t="s">
        <v>7568</v>
      </c>
      <c r="C2016" s="574" t="s">
        <v>5575</v>
      </c>
      <c r="D2016" s="582">
        <v>2.09</v>
      </c>
    </row>
    <row r="2017" spans="1:4" x14ac:dyDescent="0.2">
      <c r="A2017" s="574">
        <v>40402</v>
      </c>
      <c r="B2017" s="574" t="s">
        <v>7569</v>
      </c>
      <c r="C2017" s="574" t="s">
        <v>5575</v>
      </c>
      <c r="D2017" s="582">
        <v>2.68</v>
      </c>
    </row>
    <row r="2018" spans="1:4" x14ac:dyDescent="0.2">
      <c r="A2018" s="574">
        <v>40400</v>
      </c>
      <c r="B2018" s="574" t="s">
        <v>7570</v>
      </c>
      <c r="C2018" s="574" t="s">
        <v>5575</v>
      </c>
      <c r="D2018" s="582">
        <v>1.42</v>
      </c>
    </row>
    <row r="2019" spans="1:4" x14ac:dyDescent="0.2">
      <c r="A2019" s="574">
        <v>2504</v>
      </c>
      <c r="B2019" s="574" t="s">
        <v>7571</v>
      </c>
      <c r="C2019" s="574" t="s">
        <v>5575</v>
      </c>
      <c r="D2019" s="582">
        <v>10.26</v>
      </c>
    </row>
    <row r="2020" spans="1:4" x14ac:dyDescent="0.2">
      <c r="A2020" s="574">
        <v>2501</v>
      </c>
      <c r="B2020" s="574" t="s">
        <v>7572</v>
      </c>
      <c r="C2020" s="574" t="s">
        <v>5575</v>
      </c>
      <c r="D2020" s="582">
        <v>13.46</v>
      </c>
    </row>
    <row r="2021" spans="1:4" x14ac:dyDescent="0.2">
      <c r="A2021" s="574">
        <v>2502</v>
      </c>
      <c r="B2021" s="574" t="s">
        <v>7573</v>
      </c>
      <c r="C2021" s="574" t="s">
        <v>5575</v>
      </c>
      <c r="D2021" s="582">
        <v>20.309999999999999</v>
      </c>
    </row>
    <row r="2022" spans="1:4" x14ac:dyDescent="0.2">
      <c r="A2022" s="574">
        <v>2503</v>
      </c>
      <c r="B2022" s="574" t="s">
        <v>7574</v>
      </c>
      <c r="C2022" s="574" t="s">
        <v>5575</v>
      </c>
      <c r="D2022" s="582">
        <v>26.14</v>
      </c>
    </row>
    <row r="2023" spans="1:4" x14ac:dyDescent="0.2">
      <c r="A2023" s="574">
        <v>2500</v>
      </c>
      <c r="B2023" s="574" t="s">
        <v>7575</v>
      </c>
      <c r="C2023" s="574" t="s">
        <v>5575</v>
      </c>
      <c r="D2023" s="582">
        <v>34.81</v>
      </c>
    </row>
    <row r="2024" spans="1:4" x14ac:dyDescent="0.2">
      <c r="A2024" s="574">
        <v>2505</v>
      </c>
      <c r="B2024" s="574" t="s">
        <v>7576</v>
      </c>
      <c r="C2024" s="574" t="s">
        <v>5575</v>
      </c>
      <c r="D2024" s="582">
        <v>54.26</v>
      </c>
    </row>
    <row r="2025" spans="1:4" x14ac:dyDescent="0.2">
      <c r="A2025" s="574">
        <v>12056</v>
      </c>
      <c r="B2025" s="574" t="s">
        <v>7577</v>
      </c>
      <c r="C2025" s="574" t="s">
        <v>5575</v>
      </c>
      <c r="D2025" s="582">
        <v>21.92</v>
      </c>
    </row>
    <row r="2026" spans="1:4" x14ac:dyDescent="0.2">
      <c r="A2026" s="574">
        <v>12057</v>
      </c>
      <c r="B2026" s="574" t="s">
        <v>7578</v>
      </c>
      <c r="C2026" s="574" t="s">
        <v>5575</v>
      </c>
      <c r="D2026" s="582">
        <v>18.62</v>
      </c>
    </row>
    <row r="2027" spans="1:4" x14ac:dyDescent="0.2">
      <c r="A2027" s="574">
        <v>12059</v>
      </c>
      <c r="B2027" s="574" t="s">
        <v>7579</v>
      </c>
      <c r="C2027" s="574" t="s">
        <v>5575</v>
      </c>
      <c r="D2027" s="582">
        <v>6.53</v>
      </c>
    </row>
    <row r="2028" spans="1:4" x14ac:dyDescent="0.2">
      <c r="A2028" s="574">
        <v>12058</v>
      </c>
      <c r="B2028" s="574" t="s">
        <v>7580</v>
      </c>
      <c r="C2028" s="574" t="s">
        <v>5575</v>
      </c>
      <c r="D2028" s="582">
        <v>11.61</v>
      </c>
    </row>
    <row r="2029" spans="1:4" x14ac:dyDescent="0.2">
      <c r="A2029" s="574">
        <v>12060</v>
      </c>
      <c r="B2029" s="574" t="s">
        <v>7581</v>
      </c>
      <c r="C2029" s="574" t="s">
        <v>5575</v>
      </c>
      <c r="D2029" s="582">
        <v>48.38</v>
      </c>
    </row>
    <row r="2030" spans="1:4" x14ac:dyDescent="0.2">
      <c r="A2030" s="574">
        <v>12061</v>
      </c>
      <c r="B2030" s="574" t="s">
        <v>7582</v>
      </c>
      <c r="C2030" s="574" t="s">
        <v>5575</v>
      </c>
      <c r="D2030" s="582">
        <v>29.54</v>
      </c>
    </row>
    <row r="2031" spans="1:4" x14ac:dyDescent="0.2">
      <c r="A2031" s="574">
        <v>12062</v>
      </c>
      <c r="B2031" s="574" t="s">
        <v>7583</v>
      </c>
      <c r="C2031" s="574" t="s">
        <v>5575</v>
      </c>
      <c r="D2031" s="582">
        <v>54.48</v>
      </c>
    </row>
    <row r="2032" spans="1:4" x14ac:dyDescent="0.2">
      <c r="A2032" s="574">
        <v>21137</v>
      </c>
      <c r="B2032" s="574" t="s">
        <v>7584</v>
      </c>
      <c r="C2032" s="574" t="s">
        <v>5575</v>
      </c>
      <c r="D2032" s="582">
        <v>9.4700000000000006</v>
      </c>
    </row>
    <row r="2033" spans="1:4" x14ac:dyDescent="0.2">
      <c r="A2033" s="574">
        <v>2687</v>
      </c>
      <c r="B2033" s="574" t="s">
        <v>7585</v>
      </c>
      <c r="C2033" s="574" t="s">
        <v>5575</v>
      </c>
      <c r="D2033" s="582">
        <v>1.18</v>
      </c>
    </row>
    <row r="2034" spans="1:4" x14ac:dyDescent="0.2">
      <c r="A2034" s="574">
        <v>2689</v>
      </c>
      <c r="B2034" s="574" t="s">
        <v>7586</v>
      </c>
      <c r="C2034" s="574" t="s">
        <v>5575</v>
      </c>
      <c r="D2034" s="582">
        <v>1.41</v>
      </c>
    </row>
    <row r="2035" spans="1:4" x14ac:dyDescent="0.2">
      <c r="A2035" s="574">
        <v>2688</v>
      </c>
      <c r="B2035" s="574" t="s">
        <v>7587</v>
      </c>
      <c r="C2035" s="574" t="s">
        <v>5575</v>
      </c>
      <c r="D2035" s="582">
        <v>1.53</v>
      </c>
    </row>
    <row r="2036" spans="1:4" x14ac:dyDescent="0.2">
      <c r="A2036" s="574">
        <v>2690</v>
      </c>
      <c r="B2036" s="574" t="s">
        <v>7588</v>
      </c>
      <c r="C2036" s="574" t="s">
        <v>5575</v>
      </c>
      <c r="D2036" s="582">
        <v>2.62</v>
      </c>
    </row>
    <row r="2037" spans="1:4" x14ac:dyDescent="0.2">
      <c r="A2037" s="574">
        <v>39243</v>
      </c>
      <c r="B2037" s="574" t="s">
        <v>7589</v>
      </c>
      <c r="C2037" s="574" t="s">
        <v>5575</v>
      </c>
      <c r="D2037" s="582">
        <v>1.72</v>
      </c>
    </row>
    <row r="2038" spans="1:4" x14ac:dyDescent="0.2">
      <c r="A2038" s="574">
        <v>39244</v>
      </c>
      <c r="B2038" s="574" t="s">
        <v>7590</v>
      </c>
      <c r="C2038" s="574" t="s">
        <v>5575</v>
      </c>
      <c r="D2038" s="582">
        <v>2.33</v>
      </c>
    </row>
    <row r="2039" spans="1:4" x14ac:dyDescent="0.2">
      <c r="A2039" s="574">
        <v>39245</v>
      </c>
      <c r="B2039" s="574" t="s">
        <v>7591</v>
      </c>
      <c r="C2039" s="574" t="s">
        <v>5575</v>
      </c>
      <c r="D2039" s="582">
        <v>4.49</v>
      </c>
    </row>
    <row r="2040" spans="1:4" x14ac:dyDescent="0.2">
      <c r="A2040" s="574">
        <v>39254</v>
      </c>
      <c r="B2040" s="574" t="s">
        <v>7592</v>
      </c>
      <c r="C2040" s="574" t="s">
        <v>5575</v>
      </c>
      <c r="D2040" s="582">
        <v>6.72</v>
      </c>
    </row>
    <row r="2041" spans="1:4" x14ac:dyDescent="0.2">
      <c r="A2041" s="574">
        <v>39255</v>
      </c>
      <c r="B2041" s="574" t="s">
        <v>7593</v>
      </c>
      <c r="C2041" s="574" t="s">
        <v>5575</v>
      </c>
      <c r="D2041" s="582">
        <v>12.43</v>
      </c>
    </row>
    <row r="2042" spans="1:4" x14ac:dyDescent="0.2">
      <c r="A2042" s="574">
        <v>39253</v>
      </c>
      <c r="B2042" s="574" t="s">
        <v>7594</v>
      </c>
      <c r="C2042" s="574" t="s">
        <v>5575</v>
      </c>
      <c r="D2042" s="582">
        <v>8.56</v>
      </c>
    </row>
    <row r="2043" spans="1:4" x14ac:dyDescent="0.2">
      <c r="A2043" s="574">
        <v>2446</v>
      </c>
      <c r="B2043" s="574" t="s">
        <v>7595</v>
      </c>
      <c r="C2043" s="574" t="s">
        <v>5575</v>
      </c>
      <c r="D2043" s="582">
        <v>5.21</v>
      </c>
    </row>
    <row r="2044" spans="1:4" x14ac:dyDescent="0.2">
      <c r="A2044" s="574">
        <v>2442</v>
      </c>
      <c r="B2044" s="574" t="s">
        <v>7596</v>
      </c>
      <c r="C2044" s="574" t="s">
        <v>5575</v>
      </c>
      <c r="D2044" s="582">
        <v>7.3</v>
      </c>
    </row>
    <row r="2045" spans="1:4" x14ac:dyDescent="0.2">
      <c r="A2045" s="574">
        <v>39246</v>
      </c>
      <c r="B2045" s="574" t="s">
        <v>7597</v>
      </c>
      <c r="C2045" s="574" t="s">
        <v>5575</v>
      </c>
      <c r="D2045" s="582">
        <v>3.63</v>
      </c>
    </row>
    <row r="2046" spans="1:4" x14ac:dyDescent="0.2">
      <c r="A2046" s="574">
        <v>39247</v>
      </c>
      <c r="B2046" s="574" t="s">
        <v>7598</v>
      </c>
      <c r="C2046" s="574" t="s">
        <v>5575</v>
      </c>
      <c r="D2046" s="582">
        <v>3.16</v>
      </c>
    </row>
    <row r="2047" spans="1:4" x14ac:dyDescent="0.2">
      <c r="A2047" s="574">
        <v>39248</v>
      </c>
      <c r="B2047" s="574" t="s">
        <v>7599</v>
      </c>
      <c r="C2047" s="574" t="s">
        <v>5575</v>
      </c>
      <c r="D2047" s="582">
        <v>10.17</v>
      </c>
    </row>
    <row r="2048" spans="1:4" x14ac:dyDescent="0.2">
      <c r="A2048" s="574">
        <v>2438</v>
      </c>
      <c r="B2048" s="574" t="s">
        <v>7600</v>
      </c>
      <c r="C2048" s="574" t="s">
        <v>5566</v>
      </c>
      <c r="D2048" s="582">
        <v>19.75</v>
      </c>
    </row>
    <row r="2049" spans="1:4" x14ac:dyDescent="0.2">
      <c r="A2049" s="574">
        <v>40922</v>
      </c>
      <c r="B2049" s="574" t="s">
        <v>7601</v>
      </c>
      <c r="C2049" s="574" t="s">
        <v>5755</v>
      </c>
      <c r="D2049" s="583">
        <v>3454.91</v>
      </c>
    </row>
    <row r="2050" spans="1:4" x14ac:dyDescent="0.2">
      <c r="A2050" s="574">
        <v>36486</v>
      </c>
      <c r="B2050" s="574" t="s">
        <v>7602</v>
      </c>
      <c r="C2050" s="574" t="s">
        <v>5555</v>
      </c>
      <c r="D2050" s="583">
        <v>38079.129999999997</v>
      </c>
    </row>
    <row r="2051" spans="1:4" x14ac:dyDescent="0.2">
      <c r="A2051" s="574">
        <v>37777</v>
      </c>
      <c r="B2051" s="574" t="s">
        <v>7603</v>
      </c>
      <c r="C2051" s="574" t="s">
        <v>5555</v>
      </c>
      <c r="D2051" s="583">
        <v>179275.81</v>
      </c>
    </row>
    <row r="2052" spans="1:4" x14ac:dyDescent="0.2">
      <c r="A2052" s="574">
        <v>12624</v>
      </c>
      <c r="B2052" s="574" t="s">
        <v>7604</v>
      </c>
      <c r="C2052" s="574" t="s">
        <v>5555</v>
      </c>
      <c r="D2052" s="582">
        <v>9.1999999999999993</v>
      </c>
    </row>
    <row r="2053" spans="1:4" x14ac:dyDescent="0.2">
      <c r="A2053" s="574">
        <v>10638</v>
      </c>
      <c r="B2053" s="574" t="s">
        <v>7605</v>
      </c>
      <c r="C2053" s="574" t="s">
        <v>5555</v>
      </c>
      <c r="D2053" s="583">
        <v>349851.06</v>
      </c>
    </row>
    <row r="2054" spans="1:4" x14ac:dyDescent="0.2">
      <c r="A2054" s="574">
        <v>10635</v>
      </c>
      <c r="B2054" s="574" t="s">
        <v>7606</v>
      </c>
      <c r="C2054" s="574" t="s">
        <v>5555</v>
      </c>
      <c r="D2054" s="583">
        <v>120926.32</v>
      </c>
    </row>
    <row r="2055" spans="1:4" x14ac:dyDescent="0.2">
      <c r="A2055" s="574">
        <v>10634</v>
      </c>
      <c r="B2055" s="574" t="s">
        <v>7607</v>
      </c>
      <c r="C2055" s="574" t="s">
        <v>5555</v>
      </c>
      <c r="D2055" s="583">
        <v>103550</v>
      </c>
    </row>
    <row r="2056" spans="1:4" x14ac:dyDescent="0.2">
      <c r="A2056" s="574">
        <v>10636</v>
      </c>
      <c r="B2056" s="574" t="s">
        <v>7608</v>
      </c>
      <c r="C2056" s="574" t="s">
        <v>5555</v>
      </c>
      <c r="D2056" s="583">
        <v>228042.45</v>
      </c>
    </row>
    <row r="2057" spans="1:4" x14ac:dyDescent="0.2">
      <c r="A2057" s="574">
        <v>10637</v>
      </c>
      <c r="B2057" s="574" t="s">
        <v>7609</v>
      </c>
      <c r="C2057" s="574" t="s">
        <v>5555</v>
      </c>
      <c r="D2057" s="583">
        <v>238534.81</v>
      </c>
    </row>
    <row r="2058" spans="1:4" x14ac:dyDescent="0.2">
      <c r="A2058" s="574">
        <v>517</v>
      </c>
      <c r="B2058" s="574" t="s">
        <v>7610</v>
      </c>
      <c r="C2058" s="574" t="s">
        <v>5628</v>
      </c>
      <c r="D2058" s="582">
        <v>8.26</v>
      </c>
    </row>
    <row r="2059" spans="1:4" x14ac:dyDescent="0.2">
      <c r="A2059" s="574">
        <v>41904</v>
      </c>
      <c r="B2059" s="574" t="s">
        <v>7611</v>
      </c>
      <c r="C2059" s="574" t="s">
        <v>6708</v>
      </c>
      <c r="D2059" s="583">
        <v>2398.0100000000002</v>
      </c>
    </row>
    <row r="2060" spans="1:4" x14ac:dyDescent="0.2">
      <c r="A2060" s="574">
        <v>41905</v>
      </c>
      <c r="B2060" s="574" t="s">
        <v>7612</v>
      </c>
      <c r="C2060" s="574" t="s">
        <v>5626</v>
      </c>
      <c r="D2060" s="582">
        <v>2.1</v>
      </c>
    </row>
    <row r="2061" spans="1:4" x14ac:dyDescent="0.2">
      <c r="A2061" s="574">
        <v>41903</v>
      </c>
      <c r="B2061" s="574" t="s">
        <v>7613</v>
      </c>
      <c r="C2061" s="574" t="s">
        <v>5626</v>
      </c>
      <c r="D2061" s="582">
        <v>2.35</v>
      </c>
    </row>
    <row r="2062" spans="1:4" x14ac:dyDescent="0.2">
      <c r="A2062" s="574">
        <v>37534</v>
      </c>
      <c r="B2062" s="574" t="s">
        <v>7614</v>
      </c>
      <c r="C2062" s="574" t="s">
        <v>5626</v>
      </c>
      <c r="D2062" s="582">
        <v>15.19</v>
      </c>
    </row>
    <row r="2063" spans="1:4" x14ac:dyDescent="0.2">
      <c r="A2063" s="574">
        <v>37535</v>
      </c>
      <c r="B2063" s="574" t="s">
        <v>7615</v>
      </c>
      <c r="C2063" s="574" t="s">
        <v>5626</v>
      </c>
      <c r="D2063" s="582">
        <v>15.19</v>
      </c>
    </row>
    <row r="2064" spans="1:4" x14ac:dyDescent="0.2">
      <c r="A2064" s="574">
        <v>37533</v>
      </c>
      <c r="B2064" s="574" t="s">
        <v>7616</v>
      </c>
      <c r="C2064" s="574" t="s">
        <v>5626</v>
      </c>
      <c r="D2064" s="582">
        <v>15.19</v>
      </c>
    </row>
    <row r="2065" spans="1:4" x14ac:dyDescent="0.2">
      <c r="A2065" s="574">
        <v>37537</v>
      </c>
      <c r="B2065" s="574" t="s">
        <v>7617</v>
      </c>
      <c r="C2065" s="574" t="s">
        <v>5626</v>
      </c>
      <c r="D2065" s="582">
        <v>11.5</v>
      </c>
    </row>
    <row r="2066" spans="1:4" x14ac:dyDescent="0.2">
      <c r="A2066" s="574">
        <v>37536</v>
      </c>
      <c r="B2066" s="574" t="s">
        <v>7618</v>
      </c>
      <c r="C2066" s="574" t="s">
        <v>5626</v>
      </c>
      <c r="D2066" s="582">
        <v>11.5</v>
      </c>
    </row>
    <row r="2067" spans="1:4" x14ac:dyDescent="0.2">
      <c r="A2067" s="574">
        <v>37532</v>
      </c>
      <c r="B2067" s="574" t="s">
        <v>7619</v>
      </c>
      <c r="C2067" s="574" t="s">
        <v>5626</v>
      </c>
      <c r="D2067" s="582">
        <v>11.5</v>
      </c>
    </row>
    <row r="2068" spans="1:4" x14ac:dyDescent="0.2">
      <c r="A2068" s="574">
        <v>2696</v>
      </c>
      <c r="B2068" s="574" t="s">
        <v>7620</v>
      </c>
      <c r="C2068" s="574" t="s">
        <v>5566</v>
      </c>
      <c r="D2068" s="582">
        <v>15.06</v>
      </c>
    </row>
    <row r="2069" spans="1:4" x14ac:dyDescent="0.2">
      <c r="A2069" s="574">
        <v>40928</v>
      </c>
      <c r="B2069" s="574" t="s">
        <v>7621</v>
      </c>
      <c r="C2069" s="574" t="s">
        <v>5755</v>
      </c>
      <c r="D2069" s="583">
        <v>2632.63</v>
      </c>
    </row>
    <row r="2070" spans="1:4" x14ac:dyDescent="0.2">
      <c r="A2070" s="574">
        <v>4083</v>
      </c>
      <c r="B2070" s="574" t="s">
        <v>7622</v>
      </c>
      <c r="C2070" s="574" t="s">
        <v>5566</v>
      </c>
      <c r="D2070" s="582">
        <v>17.309999999999999</v>
      </c>
    </row>
    <row r="2071" spans="1:4" x14ac:dyDescent="0.2">
      <c r="A2071" s="574">
        <v>40818</v>
      </c>
      <c r="B2071" s="574" t="s">
        <v>7623</v>
      </c>
      <c r="C2071" s="574" t="s">
        <v>5755</v>
      </c>
      <c r="D2071" s="583">
        <v>3027.52</v>
      </c>
    </row>
    <row r="2072" spans="1:4" x14ac:dyDescent="0.2">
      <c r="A2072" s="574">
        <v>43146</v>
      </c>
      <c r="B2072" s="574" t="s">
        <v>13588</v>
      </c>
      <c r="C2072" s="574" t="s">
        <v>5626</v>
      </c>
      <c r="D2072" s="582">
        <v>6.82</v>
      </c>
    </row>
    <row r="2073" spans="1:4" x14ac:dyDescent="0.2">
      <c r="A2073" s="574">
        <v>2705</v>
      </c>
      <c r="B2073" s="574" t="s">
        <v>7624</v>
      </c>
      <c r="C2073" s="574" t="s">
        <v>7625</v>
      </c>
      <c r="D2073" s="582">
        <v>0.77</v>
      </c>
    </row>
    <row r="2074" spans="1:4" x14ac:dyDescent="0.2">
      <c r="A2074" s="574">
        <v>14250</v>
      </c>
      <c r="B2074" s="574" t="s">
        <v>7626</v>
      </c>
      <c r="C2074" s="574" t="s">
        <v>7625</v>
      </c>
      <c r="D2074" s="582">
        <v>0.79</v>
      </c>
    </row>
    <row r="2075" spans="1:4" x14ac:dyDescent="0.2">
      <c r="A2075" s="574">
        <v>11683</v>
      </c>
      <c r="B2075" s="574" t="s">
        <v>7627</v>
      </c>
      <c r="C2075" s="574" t="s">
        <v>5555</v>
      </c>
      <c r="D2075" s="582">
        <v>21.77</v>
      </c>
    </row>
    <row r="2076" spans="1:4" x14ac:dyDescent="0.2">
      <c r="A2076" s="574">
        <v>11684</v>
      </c>
      <c r="B2076" s="574" t="s">
        <v>7628</v>
      </c>
      <c r="C2076" s="574" t="s">
        <v>5555</v>
      </c>
      <c r="D2076" s="582">
        <v>23.83</v>
      </c>
    </row>
    <row r="2077" spans="1:4" x14ac:dyDescent="0.2">
      <c r="A2077" s="574">
        <v>6141</v>
      </c>
      <c r="B2077" s="574" t="s">
        <v>7629</v>
      </c>
      <c r="C2077" s="574" t="s">
        <v>5555</v>
      </c>
      <c r="D2077" s="582">
        <v>3.09</v>
      </c>
    </row>
    <row r="2078" spans="1:4" x14ac:dyDescent="0.2">
      <c r="A2078" s="574">
        <v>11681</v>
      </c>
      <c r="B2078" s="574" t="s">
        <v>7630</v>
      </c>
      <c r="C2078" s="574" t="s">
        <v>5555</v>
      </c>
      <c r="D2078" s="582">
        <v>6.15</v>
      </c>
    </row>
    <row r="2079" spans="1:4" x14ac:dyDescent="0.2">
      <c r="A2079" s="574">
        <v>2706</v>
      </c>
      <c r="B2079" s="574" t="s">
        <v>7631</v>
      </c>
      <c r="C2079" s="574" t="s">
        <v>5566</v>
      </c>
      <c r="D2079" s="582">
        <v>86.36</v>
      </c>
    </row>
    <row r="2080" spans="1:4" x14ac:dyDescent="0.2">
      <c r="A2080" s="574">
        <v>40811</v>
      </c>
      <c r="B2080" s="574" t="s">
        <v>7632</v>
      </c>
      <c r="C2080" s="574" t="s">
        <v>5755</v>
      </c>
      <c r="D2080" s="583">
        <v>15096.25</v>
      </c>
    </row>
    <row r="2081" spans="1:4" x14ac:dyDescent="0.2">
      <c r="A2081" s="574">
        <v>2707</v>
      </c>
      <c r="B2081" s="574" t="s">
        <v>7633</v>
      </c>
      <c r="C2081" s="574" t="s">
        <v>5566</v>
      </c>
      <c r="D2081" s="582">
        <v>98.28</v>
      </c>
    </row>
    <row r="2082" spans="1:4" x14ac:dyDescent="0.2">
      <c r="A2082" s="574">
        <v>40813</v>
      </c>
      <c r="B2082" s="574" t="s">
        <v>7634</v>
      </c>
      <c r="C2082" s="574" t="s">
        <v>5755</v>
      </c>
      <c r="D2082" s="583">
        <v>17182.64</v>
      </c>
    </row>
    <row r="2083" spans="1:4" x14ac:dyDescent="0.2">
      <c r="A2083" s="574">
        <v>2708</v>
      </c>
      <c r="B2083" s="574" t="s">
        <v>7635</v>
      </c>
      <c r="C2083" s="574" t="s">
        <v>5566</v>
      </c>
      <c r="D2083" s="582">
        <v>134.36000000000001</v>
      </c>
    </row>
    <row r="2084" spans="1:4" x14ac:dyDescent="0.2">
      <c r="A2084" s="574">
        <v>40814</v>
      </c>
      <c r="B2084" s="574" t="s">
        <v>7636</v>
      </c>
      <c r="C2084" s="574" t="s">
        <v>5755</v>
      </c>
      <c r="D2084" s="583">
        <v>23488.2</v>
      </c>
    </row>
    <row r="2085" spans="1:4" x14ac:dyDescent="0.2">
      <c r="A2085" s="574">
        <v>34779</v>
      </c>
      <c r="B2085" s="574" t="s">
        <v>7637</v>
      </c>
      <c r="C2085" s="574" t="s">
        <v>5566</v>
      </c>
      <c r="D2085" s="582">
        <v>87.6</v>
      </c>
    </row>
    <row r="2086" spans="1:4" x14ac:dyDescent="0.2">
      <c r="A2086" s="574">
        <v>40936</v>
      </c>
      <c r="B2086" s="574" t="s">
        <v>7638</v>
      </c>
      <c r="C2086" s="574" t="s">
        <v>5755</v>
      </c>
      <c r="D2086" s="583">
        <v>15316.47</v>
      </c>
    </row>
    <row r="2087" spans="1:4" x14ac:dyDescent="0.2">
      <c r="A2087" s="574">
        <v>34780</v>
      </c>
      <c r="B2087" s="574" t="s">
        <v>7639</v>
      </c>
      <c r="C2087" s="574" t="s">
        <v>5566</v>
      </c>
      <c r="D2087" s="582">
        <v>98.83</v>
      </c>
    </row>
    <row r="2088" spans="1:4" x14ac:dyDescent="0.2">
      <c r="A2088" s="574">
        <v>40937</v>
      </c>
      <c r="B2088" s="574" t="s">
        <v>7640</v>
      </c>
      <c r="C2088" s="574" t="s">
        <v>5755</v>
      </c>
      <c r="D2088" s="583">
        <v>17280</v>
      </c>
    </row>
    <row r="2089" spans="1:4" x14ac:dyDescent="0.2">
      <c r="A2089" s="574">
        <v>34782</v>
      </c>
      <c r="B2089" s="574" t="s">
        <v>7641</v>
      </c>
      <c r="C2089" s="574" t="s">
        <v>5566</v>
      </c>
      <c r="D2089" s="582">
        <v>135.44999999999999</v>
      </c>
    </row>
    <row r="2090" spans="1:4" x14ac:dyDescent="0.2">
      <c r="A2090" s="574">
        <v>40938</v>
      </c>
      <c r="B2090" s="574" t="s">
        <v>7642</v>
      </c>
      <c r="C2090" s="574" t="s">
        <v>5755</v>
      </c>
      <c r="D2090" s="583">
        <v>23680.6</v>
      </c>
    </row>
    <row r="2091" spans="1:4" x14ac:dyDescent="0.2">
      <c r="A2091" s="574">
        <v>34783</v>
      </c>
      <c r="B2091" s="574" t="s">
        <v>7643</v>
      </c>
      <c r="C2091" s="574" t="s">
        <v>5566</v>
      </c>
      <c r="D2091" s="582">
        <v>125.23</v>
      </c>
    </row>
    <row r="2092" spans="1:4" x14ac:dyDescent="0.2">
      <c r="A2092" s="574">
        <v>40939</v>
      </c>
      <c r="B2092" s="574" t="s">
        <v>7644</v>
      </c>
      <c r="C2092" s="574" t="s">
        <v>5755</v>
      </c>
      <c r="D2092" s="583">
        <v>21895.27</v>
      </c>
    </row>
    <row r="2093" spans="1:4" x14ac:dyDescent="0.2">
      <c r="A2093" s="574">
        <v>34785</v>
      </c>
      <c r="B2093" s="574" t="s">
        <v>7645</v>
      </c>
      <c r="C2093" s="574" t="s">
        <v>5566</v>
      </c>
      <c r="D2093" s="582">
        <v>122.33</v>
      </c>
    </row>
    <row r="2094" spans="1:4" x14ac:dyDescent="0.2">
      <c r="A2094" s="574">
        <v>40940</v>
      </c>
      <c r="B2094" s="574" t="s">
        <v>7646</v>
      </c>
      <c r="C2094" s="574" t="s">
        <v>5755</v>
      </c>
      <c r="D2094" s="583">
        <v>21386.34</v>
      </c>
    </row>
    <row r="2095" spans="1:4" x14ac:dyDescent="0.2">
      <c r="A2095" s="574">
        <v>38403</v>
      </c>
      <c r="B2095" s="574" t="s">
        <v>7647</v>
      </c>
      <c r="C2095" s="574" t="s">
        <v>5555</v>
      </c>
      <c r="D2095" s="582">
        <v>31.46</v>
      </c>
    </row>
    <row r="2096" spans="1:4" x14ac:dyDescent="0.2">
      <c r="A2096" s="574">
        <v>43482</v>
      </c>
      <c r="B2096" s="574" t="s">
        <v>7648</v>
      </c>
      <c r="C2096" s="574" t="s">
        <v>5566</v>
      </c>
      <c r="D2096" s="582">
        <v>0.61</v>
      </c>
    </row>
    <row r="2097" spans="1:4" x14ac:dyDescent="0.2">
      <c r="A2097" s="574">
        <v>43494</v>
      </c>
      <c r="B2097" s="574" t="s">
        <v>13589</v>
      </c>
      <c r="C2097" s="574" t="s">
        <v>5755</v>
      </c>
      <c r="D2097" s="582">
        <v>114.12</v>
      </c>
    </row>
    <row r="2098" spans="1:4" x14ac:dyDescent="0.2">
      <c r="A2098" s="574">
        <v>43483</v>
      </c>
      <c r="B2098" s="574" t="s">
        <v>7649</v>
      </c>
      <c r="C2098" s="574" t="s">
        <v>5566</v>
      </c>
      <c r="D2098" s="582">
        <v>1.08</v>
      </c>
    </row>
    <row r="2099" spans="1:4" x14ac:dyDescent="0.2">
      <c r="A2099" s="574">
        <v>43495</v>
      </c>
      <c r="B2099" s="574" t="s">
        <v>7650</v>
      </c>
      <c r="C2099" s="574" t="s">
        <v>5755</v>
      </c>
      <c r="D2099" s="582">
        <v>203.86</v>
      </c>
    </row>
    <row r="2100" spans="1:4" x14ac:dyDescent="0.2">
      <c r="A2100" s="574">
        <v>43484</v>
      </c>
      <c r="B2100" s="574" t="s">
        <v>7651</v>
      </c>
      <c r="C2100" s="574" t="s">
        <v>5566</v>
      </c>
      <c r="D2100" s="582">
        <v>0.93</v>
      </c>
    </row>
    <row r="2101" spans="1:4" x14ac:dyDescent="0.2">
      <c r="A2101" s="574">
        <v>43496</v>
      </c>
      <c r="B2101" s="574" t="s">
        <v>7652</v>
      </c>
      <c r="C2101" s="574" t="s">
        <v>5755</v>
      </c>
      <c r="D2101" s="582">
        <v>175.1</v>
      </c>
    </row>
    <row r="2102" spans="1:4" x14ac:dyDescent="0.2">
      <c r="A2102" s="574">
        <v>43485</v>
      </c>
      <c r="B2102" s="574" t="s">
        <v>7653</v>
      </c>
      <c r="C2102" s="574" t="s">
        <v>5566</v>
      </c>
      <c r="D2102" s="582">
        <v>0.83</v>
      </c>
    </row>
    <row r="2103" spans="1:4" x14ac:dyDescent="0.2">
      <c r="A2103" s="574">
        <v>43497</v>
      </c>
      <c r="B2103" s="574" t="s">
        <v>7654</v>
      </c>
      <c r="C2103" s="574" t="s">
        <v>5755</v>
      </c>
      <c r="D2103" s="582">
        <v>156.65</v>
      </c>
    </row>
    <row r="2104" spans="1:4" x14ac:dyDescent="0.2">
      <c r="A2104" s="574">
        <v>43487</v>
      </c>
      <c r="B2104" s="574" t="s">
        <v>7655</v>
      </c>
      <c r="C2104" s="574" t="s">
        <v>5566</v>
      </c>
      <c r="D2104" s="582">
        <v>0.95</v>
      </c>
    </row>
    <row r="2105" spans="1:4" x14ac:dyDescent="0.2">
      <c r="A2105" s="574">
        <v>43499</v>
      </c>
      <c r="B2105" s="574" t="s">
        <v>13590</v>
      </c>
      <c r="C2105" s="574" t="s">
        <v>5755</v>
      </c>
      <c r="D2105" s="582">
        <v>179.44</v>
      </c>
    </row>
    <row r="2106" spans="1:4" x14ac:dyDescent="0.2">
      <c r="A2106" s="574">
        <v>43486</v>
      </c>
      <c r="B2106" s="574" t="s">
        <v>7656</v>
      </c>
      <c r="C2106" s="574" t="s">
        <v>5566</v>
      </c>
      <c r="D2106" s="582">
        <v>0.56999999999999995</v>
      </c>
    </row>
    <row r="2107" spans="1:4" x14ac:dyDescent="0.2">
      <c r="A2107" s="574">
        <v>43498</v>
      </c>
      <c r="B2107" s="574" t="s">
        <v>7657</v>
      </c>
      <c r="C2107" s="574" t="s">
        <v>5755</v>
      </c>
      <c r="D2107" s="582">
        <v>108.24</v>
      </c>
    </row>
    <row r="2108" spans="1:4" x14ac:dyDescent="0.2">
      <c r="A2108" s="574">
        <v>43488</v>
      </c>
      <c r="B2108" s="574" t="s">
        <v>7658</v>
      </c>
      <c r="C2108" s="574" t="s">
        <v>5566</v>
      </c>
      <c r="D2108" s="582">
        <v>0.66</v>
      </c>
    </row>
    <row r="2109" spans="1:4" x14ac:dyDescent="0.2">
      <c r="A2109" s="574">
        <v>43500</v>
      </c>
      <c r="B2109" s="574" t="s">
        <v>7659</v>
      </c>
      <c r="C2109" s="574" t="s">
        <v>5755</v>
      </c>
      <c r="D2109" s="582">
        <v>125.38</v>
      </c>
    </row>
    <row r="2110" spans="1:4" x14ac:dyDescent="0.2">
      <c r="A2110" s="574">
        <v>43489</v>
      </c>
      <c r="B2110" s="574" t="s">
        <v>7660</v>
      </c>
      <c r="C2110" s="574" t="s">
        <v>5566</v>
      </c>
      <c r="D2110" s="582">
        <v>0.96</v>
      </c>
    </row>
    <row r="2111" spans="1:4" x14ac:dyDescent="0.2">
      <c r="A2111" s="574">
        <v>43501</v>
      </c>
      <c r="B2111" s="574" t="s">
        <v>7661</v>
      </c>
      <c r="C2111" s="574" t="s">
        <v>5755</v>
      </c>
      <c r="D2111" s="582">
        <v>181.88</v>
      </c>
    </row>
    <row r="2112" spans="1:4" x14ac:dyDescent="0.2">
      <c r="A2112" s="574">
        <v>43490</v>
      </c>
      <c r="B2112" s="574" t="s">
        <v>7662</v>
      </c>
      <c r="C2112" s="574" t="s">
        <v>5566</v>
      </c>
      <c r="D2112" s="582">
        <v>1.46</v>
      </c>
    </row>
    <row r="2113" spans="1:4" x14ac:dyDescent="0.2">
      <c r="A2113" s="574">
        <v>43502</v>
      </c>
      <c r="B2113" s="574" t="s">
        <v>7663</v>
      </c>
      <c r="C2113" s="574" t="s">
        <v>5755</v>
      </c>
      <c r="D2113" s="582">
        <v>275.92</v>
      </c>
    </row>
    <row r="2114" spans="1:4" x14ac:dyDescent="0.2">
      <c r="A2114" s="574">
        <v>43491</v>
      </c>
      <c r="B2114" s="574" t="s">
        <v>7664</v>
      </c>
      <c r="C2114" s="574" t="s">
        <v>5566</v>
      </c>
      <c r="D2114" s="582">
        <v>1.02</v>
      </c>
    </row>
    <row r="2115" spans="1:4" x14ac:dyDescent="0.2">
      <c r="A2115" s="574">
        <v>43503</v>
      </c>
      <c r="B2115" s="574" t="s">
        <v>7665</v>
      </c>
      <c r="C2115" s="574" t="s">
        <v>5755</v>
      </c>
      <c r="D2115" s="582">
        <v>192.76</v>
      </c>
    </row>
    <row r="2116" spans="1:4" x14ac:dyDescent="0.2">
      <c r="A2116" s="574">
        <v>43492</v>
      </c>
      <c r="B2116" s="574" t="s">
        <v>7666</v>
      </c>
      <c r="C2116" s="574" t="s">
        <v>5566</v>
      </c>
      <c r="D2116" s="582">
        <v>1.36</v>
      </c>
    </row>
    <row r="2117" spans="1:4" x14ac:dyDescent="0.2">
      <c r="A2117" s="574">
        <v>43504</v>
      </c>
      <c r="B2117" s="574" t="s">
        <v>7667</v>
      </c>
      <c r="C2117" s="574" t="s">
        <v>5755</v>
      </c>
      <c r="D2117" s="582">
        <v>255.78</v>
      </c>
    </row>
    <row r="2118" spans="1:4" x14ac:dyDescent="0.2">
      <c r="A2118" s="574">
        <v>43493</v>
      </c>
      <c r="B2118" s="574" t="s">
        <v>7668</v>
      </c>
      <c r="C2118" s="574" t="s">
        <v>5566</v>
      </c>
      <c r="D2118" s="582">
        <v>0.54</v>
      </c>
    </row>
    <row r="2119" spans="1:4" x14ac:dyDescent="0.2">
      <c r="A2119" s="574">
        <v>43505</v>
      </c>
      <c r="B2119" s="574" t="s">
        <v>7669</v>
      </c>
      <c r="C2119" s="574" t="s">
        <v>5755</v>
      </c>
      <c r="D2119" s="582">
        <v>102.76</v>
      </c>
    </row>
    <row r="2120" spans="1:4" x14ac:dyDescent="0.2">
      <c r="A2120" s="574">
        <v>37774</v>
      </c>
      <c r="B2120" s="574" t="s">
        <v>7670</v>
      </c>
      <c r="C2120" s="574" t="s">
        <v>5555</v>
      </c>
      <c r="D2120" s="583">
        <v>188694.18</v>
      </c>
    </row>
    <row r="2121" spans="1:4" x14ac:dyDescent="0.2">
      <c r="A2121" s="574">
        <v>38630</v>
      </c>
      <c r="B2121" s="574" t="s">
        <v>7671</v>
      </c>
      <c r="C2121" s="574" t="s">
        <v>5555</v>
      </c>
      <c r="D2121" s="583">
        <v>1079521.8700000001</v>
      </c>
    </row>
    <row r="2122" spans="1:4" x14ac:dyDescent="0.2">
      <c r="A2122" s="574">
        <v>38629</v>
      </c>
      <c r="B2122" s="574" t="s">
        <v>7672</v>
      </c>
      <c r="C2122" s="574" t="s">
        <v>5555</v>
      </c>
      <c r="D2122" s="583">
        <v>1606921.87</v>
      </c>
    </row>
    <row r="2123" spans="1:4" x14ac:dyDescent="0.2">
      <c r="A2123" s="574">
        <v>38476</v>
      </c>
      <c r="B2123" s="574" t="s">
        <v>7673</v>
      </c>
      <c r="C2123" s="574" t="s">
        <v>5555</v>
      </c>
      <c r="D2123" s="582">
        <v>236.49</v>
      </c>
    </row>
    <row r="2124" spans="1:4" x14ac:dyDescent="0.2">
      <c r="A2124" s="574">
        <v>38477</v>
      </c>
      <c r="B2124" s="574" t="s">
        <v>7674</v>
      </c>
      <c r="C2124" s="574" t="s">
        <v>5555</v>
      </c>
      <c r="D2124" s="582">
        <v>669.74</v>
      </c>
    </row>
    <row r="2125" spans="1:4" x14ac:dyDescent="0.2">
      <c r="A2125" s="574">
        <v>40635</v>
      </c>
      <c r="B2125" s="574" t="s">
        <v>7675</v>
      </c>
      <c r="C2125" s="574" t="s">
        <v>5555</v>
      </c>
      <c r="D2125" s="583">
        <v>650754.15</v>
      </c>
    </row>
    <row r="2126" spans="1:4" x14ac:dyDescent="0.2">
      <c r="A2126" s="574">
        <v>36483</v>
      </c>
      <c r="B2126" s="574" t="s">
        <v>7676</v>
      </c>
      <c r="C2126" s="574" t="s">
        <v>5555</v>
      </c>
      <c r="D2126" s="583">
        <v>589687.5</v>
      </c>
    </row>
    <row r="2127" spans="1:4" x14ac:dyDescent="0.2">
      <c r="A2127" s="574">
        <v>14525</v>
      </c>
      <c r="B2127" s="574" t="s">
        <v>7677</v>
      </c>
      <c r="C2127" s="574" t="s">
        <v>5555</v>
      </c>
      <c r="D2127" s="583">
        <v>617437.5</v>
      </c>
    </row>
    <row r="2128" spans="1:4" x14ac:dyDescent="0.2">
      <c r="A2128" s="574">
        <v>36482</v>
      </c>
      <c r="B2128" s="574" t="s">
        <v>7678</v>
      </c>
      <c r="C2128" s="574" t="s">
        <v>5555</v>
      </c>
      <c r="D2128" s="583">
        <v>529538.65</v>
      </c>
    </row>
    <row r="2129" spans="1:4" x14ac:dyDescent="0.2">
      <c r="A2129" s="574">
        <v>36408</v>
      </c>
      <c r="B2129" s="574" t="s">
        <v>7679</v>
      </c>
      <c r="C2129" s="574" t="s">
        <v>5555</v>
      </c>
      <c r="D2129" s="583">
        <v>632700</v>
      </c>
    </row>
    <row r="2130" spans="1:4" x14ac:dyDescent="0.2">
      <c r="A2130" s="574">
        <v>2723</v>
      </c>
      <c r="B2130" s="574" t="s">
        <v>7680</v>
      </c>
      <c r="C2130" s="574" t="s">
        <v>5555</v>
      </c>
      <c r="D2130" s="583">
        <v>485625</v>
      </c>
    </row>
    <row r="2131" spans="1:4" x14ac:dyDescent="0.2">
      <c r="A2131" s="574">
        <v>36481</v>
      </c>
      <c r="B2131" s="574" t="s">
        <v>7681</v>
      </c>
      <c r="C2131" s="574" t="s">
        <v>5555</v>
      </c>
      <c r="D2131" s="583">
        <v>579281.25</v>
      </c>
    </row>
    <row r="2132" spans="1:4" x14ac:dyDescent="0.2">
      <c r="A2132" s="574">
        <v>10685</v>
      </c>
      <c r="B2132" s="574" t="s">
        <v>7682</v>
      </c>
      <c r="C2132" s="574" t="s">
        <v>5555</v>
      </c>
      <c r="D2132" s="583">
        <v>555000</v>
      </c>
    </row>
    <row r="2133" spans="1:4" x14ac:dyDescent="0.2">
      <c r="A2133" s="574">
        <v>40636</v>
      </c>
      <c r="B2133" s="574" t="s">
        <v>7683</v>
      </c>
      <c r="C2133" s="574" t="s">
        <v>5555</v>
      </c>
      <c r="D2133" s="583">
        <v>626472.9</v>
      </c>
    </row>
    <row r="2134" spans="1:4" x14ac:dyDescent="0.2">
      <c r="A2134" s="574">
        <v>4111</v>
      </c>
      <c r="B2134" s="574" t="s">
        <v>7684</v>
      </c>
      <c r="C2134" s="574" t="s">
        <v>5555</v>
      </c>
      <c r="D2134" s="582">
        <v>31.48</v>
      </c>
    </row>
    <row r="2135" spans="1:4" x14ac:dyDescent="0.2">
      <c r="A2135" s="574">
        <v>26021</v>
      </c>
      <c r="B2135" s="574" t="s">
        <v>7685</v>
      </c>
      <c r="C2135" s="574" t="s">
        <v>5555</v>
      </c>
      <c r="D2135" s="582">
        <v>39.15</v>
      </c>
    </row>
    <row r="2136" spans="1:4" x14ac:dyDescent="0.2">
      <c r="A2136" s="574">
        <v>12</v>
      </c>
      <c r="B2136" s="574" t="s">
        <v>7686</v>
      </c>
      <c r="C2136" s="574" t="s">
        <v>5555</v>
      </c>
      <c r="D2136" s="582">
        <v>6</v>
      </c>
    </row>
    <row r="2137" spans="1:4" x14ac:dyDescent="0.2">
      <c r="A2137" s="574">
        <v>37554</v>
      </c>
      <c r="B2137" s="574" t="s">
        <v>7687</v>
      </c>
      <c r="C2137" s="574" t="s">
        <v>5555</v>
      </c>
      <c r="D2137" s="582">
        <v>147.97</v>
      </c>
    </row>
    <row r="2138" spans="1:4" x14ac:dyDescent="0.2">
      <c r="A2138" s="574">
        <v>37555</v>
      </c>
      <c r="B2138" s="574" t="s">
        <v>7688</v>
      </c>
      <c r="C2138" s="574" t="s">
        <v>5555</v>
      </c>
      <c r="D2138" s="582">
        <v>179.99</v>
      </c>
    </row>
    <row r="2139" spans="1:4" x14ac:dyDescent="0.2">
      <c r="A2139" s="574">
        <v>10902</v>
      </c>
      <c r="B2139" s="574" t="s">
        <v>7689</v>
      </c>
      <c r="C2139" s="574" t="s">
        <v>5555</v>
      </c>
      <c r="D2139" s="582">
        <v>45.16</v>
      </c>
    </row>
    <row r="2140" spans="1:4" x14ac:dyDescent="0.2">
      <c r="A2140" s="574">
        <v>20965</v>
      </c>
      <c r="B2140" s="574" t="s">
        <v>7690</v>
      </c>
      <c r="C2140" s="574" t="s">
        <v>5555</v>
      </c>
      <c r="D2140" s="582">
        <v>45.58</v>
      </c>
    </row>
    <row r="2141" spans="1:4" x14ac:dyDescent="0.2">
      <c r="A2141" s="574">
        <v>20966</v>
      </c>
      <c r="B2141" s="574" t="s">
        <v>7691</v>
      </c>
      <c r="C2141" s="574" t="s">
        <v>5555</v>
      </c>
      <c r="D2141" s="582">
        <v>49.08</v>
      </c>
    </row>
    <row r="2142" spans="1:4" x14ac:dyDescent="0.2">
      <c r="A2142" s="574">
        <v>10903</v>
      </c>
      <c r="B2142" s="574" t="s">
        <v>7692</v>
      </c>
      <c r="C2142" s="574" t="s">
        <v>5555</v>
      </c>
      <c r="D2142" s="582">
        <v>74.39</v>
      </c>
    </row>
    <row r="2143" spans="1:4" x14ac:dyDescent="0.2">
      <c r="A2143" s="574">
        <v>20967</v>
      </c>
      <c r="B2143" s="574" t="s">
        <v>7693</v>
      </c>
      <c r="C2143" s="574" t="s">
        <v>5555</v>
      </c>
      <c r="D2143" s="582">
        <v>74.39</v>
      </c>
    </row>
    <row r="2144" spans="1:4" x14ac:dyDescent="0.2">
      <c r="A2144" s="574">
        <v>20968</v>
      </c>
      <c r="B2144" s="574" t="s">
        <v>7694</v>
      </c>
      <c r="C2144" s="574" t="s">
        <v>5555</v>
      </c>
      <c r="D2144" s="582">
        <v>81.59</v>
      </c>
    </row>
    <row r="2145" spans="1:4" x14ac:dyDescent="0.2">
      <c r="A2145" s="574">
        <v>11359</v>
      </c>
      <c r="B2145" s="574" t="s">
        <v>7695</v>
      </c>
      <c r="C2145" s="574" t="s">
        <v>5555</v>
      </c>
      <c r="D2145" s="582">
        <v>655</v>
      </c>
    </row>
    <row r="2146" spans="1:4" x14ac:dyDescent="0.2">
      <c r="A2146" s="574">
        <v>39017</v>
      </c>
      <c r="B2146" s="574" t="s">
        <v>7696</v>
      </c>
      <c r="C2146" s="574" t="s">
        <v>5555</v>
      </c>
      <c r="D2146" s="582">
        <v>0.13</v>
      </c>
    </row>
    <row r="2147" spans="1:4" x14ac:dyDescent="0.2">
      <c r="A2147" s="574">
        <v>39315</v>
      </c>
      <c r="B2147" s="574" t="s">
        <v>7697</v>
      </c>
      <c r="C2147" s="574" t="s">
        <v>5555</v>
      </c>
      <c r="D2147" s="582">
        <v>0.22</v>
      </c>
    </row>
    <row r="2148" spans="1:4" x14ac:dyDescent="0.2">
      <c r="A2148" s="574">
        <v>39016</v>
      </c>
      <c r="B2148" s="574" t="s">
        <v>7698</v>
      </c>
      <c r="C2148" s="574" t="s">
        <v>5555</v>
      </c>
      <c r="D2148" s="582">
        <v>0.22</v>
      </c>
    </row>
    <row r="2149" spans="1:4" x14ac:dyDescent="0.2">
      <c r="A2149" s="574">
        <v>40432</v>
      </c>
      <c r="B2149" s="574" t="s">
        <v>7699</v>
      </c>
      <c r="C2149" s="574" t="s">
        <v>5555</v>
      </c>
      <c r="D2149" s="582">
        <v>1.71</v>
      </c>
    </row>
    <row r="2150" spans="1:4" x14ac:dyDescent="0.2">
      <c r="A2150" s="574">
        <v>39481</v>
      </c>
      <c r="B2150" s="574" t="s">
        <v>7700</v>
      </c>
      <c r="C2150" s="574" t="s">
        <v>5555</v>
      </c>
      <c r="D2150" s="582">
        <v>1.07</v>
      </c>
    </row>
    <row r="2151" spans="1:4" x14ac:dyDescent="0.2">
      <c r="A2151" s="574">
        <v>40433</v>
      </c>
      <c r="B2151" s="574" t="s">
        <v>7701</v>
      </c>
      <c r="C2151" s="574" t="s">
        <v>5555</v>
      </c>
      <c r="D2151" s="582">
        <v>0.95</v>
      </c>
    </row>
    <row r="2152" spans="1:4" x14ac:dyDescent="0.2">
      <c r="A2152" s="574">
        <v>20219</v>
      </c>
      <c r="B2152" s="574" t="s">
        <v>7702</v>
      </c>
      <c r="C2152" s="574" t="s">
        <v>5555</v>
      </c>
      <c r="D2152" s="583">
        <v>74000</v>
      </c>
    </row>
    <row r="2153" spans="1:4" x14ac:dyDescent="0.2">
      <c r="A2153" s="574">
        <v>36484</v>
      </c>
      <c r="B2153" s="574" t="s">
        <v>7703</v>
      </c>
      <c r="C2153" s="574" t="s">
        <v>5555</v>
      </c>
      <c r="D2153" s="583">
        <v>157088.51999999999</v>
      </c>
    </row>
    <row r="2154" spans="1:4" x14ac:dyDescent="0.2">
      <c r="A2154" s="574">
        <v>38367</v>
      </c>
      <c r="B2154" s="574" t="s">
        <v>7704</v>
      </c>
      <c r="C2154" s="574" t="s">
        <v>5555</v>
      </c>
      <c r="D2154" s="582">
        <v>12.7</v>
      </c>
    </row>
    <row r="2155" spans="1:4" x14ac:dyDescent="0.2">
      <c r="A2155" s="574">
        <v>38368</v>
      </c>
      <c r="B2155" s="574" t="s">
        <v>7705</v>
      </c>
      <c r="C2155" s="574" t="s">
        <v>5555</v>
      </c>
      <c r="D2155" s="582">
        <v>6.67</v>
      </c>
    </row>
    <row r="2156" spans="1:4" x14ac:dyDescent="0.2">
      <c r="A2156" s="574">
        <v>38091</v>
      </c>
      <c r="B2156" s="574" t="s">
        <v>7706</v>
      </c>
      <c r="C2156" s="574" t="s">
        <v>5555</v>
      </c>
      <c r="D2156" s="582">
        <v>2.11</v>
      </c>
    </row>
    <row r="2157" spans="1:4" x14ac:dyDescent="0.2">
      <c r="A2157" s="574">
        <v>38095</v>
      </c>
      <c r="B2157" s="574" t="s">
        <v>7707</v>
      </c>
      <c r="C2157" s="574" t="s">
        <v>5555</v>
      </c>
      <c r="D2157" s="582">
        <v>4.46</v>
      </c>
    </row>
    <row r="2158" spans="1:4" x14ac:dyDescent="0.2">
      <c r="A2158" s="574">
        <v>38092</v>
      </c>
      <c r="B2158" s="574" t="s">
        <v>7708</v>
      </c>
      <c r="C2158" s="574" t="s">
        <v>5555</v>
      </c>
      <c r="D2158" s="582">
        <v>2</v>
      </c>
    </row>
    <row r="2159" spans="1:4" x14ac:dyDescent="0.2">
      <c r="A2159" s="574">
        <v>38093</v>
      </c>
      <c r="B2159" s="574" t="s">
        <v>7709</v>
      </c>
      <c r="C2159" s="574" t="s">
        <v>5555</v>
      </c>
      <c r="D2159" s="582">
        <v>2.0699999999999998</v>
      </c>
    </row>
    <row r="2160" spans="1:4" x14ac:dyDescent="0.2">
      <c r="A2160" s="574">
        <v>38096</v>
      </c>
      <c r="B2160" s="574" t="s">
        <v>7710</v>
      </c>
      <c r="C2160" s="574" t="s">
        <v>5555</v>
      </c>
      <c r="D2160" s="582">
        <v>4.8</v>
      </c>
    </row>
    <row r="2161" spans="1:4" x14ac:dyDescent="0.2">
      <c r="A2161" s="574">
        <v>38094</v>
      </c>
      <c r="B2161" s="574" t="s">
        <v>7711</v>
      </c>
      <c r="C2161" s="574" t="s">
        <v>5555</v>
      </c>
      <c r="D2161" s="582">
        <v>2.5299999999999998</v>
      </c>
    </row>
    <row r="2162" spans="1:4" x14ac:dyDescent="0.2">
      <c r="A2162" s="574">
        <v>38097</v>
      </c>
      <c r="B2162" s="574" t="s">
        <v>7712</v>
      </c>
      <c r="C2162" s="574" t="s">
        <v>5555</v>
      </c>
      <c r="D2162" s="582">
        <v>5.15</v>
      </c>
    </row>
    <row r="2163" spans="1:4" x14ac:dyDescent="0.2">
      <c r="A2163" s="574">
        <v>38098</v>
      </c>
      <c r="B2163" s="574" t="s">
        <v>7713</v>
      </c>
      <c r="C2163" s="574" t="s">
        <v>5555</v>
      </c>
      <c r="D2163" s="582">
        <v>5.15</v>
      </c>
    </row>
    <row r="2164" spans="1:4" x14ac:dyDescent="0.2">
      <c r="A2164" s="574">
        <v>11186</v>
      </c>
      <c r="B2164" s="574" t="s">
        <v>7714</v>
      </c>
      <c r="C2164" s="574" t="s">
        <v>5564</v>
      </c>
      <c r="D2164" s="582">
        <v>477.77</v>
      </c>
    </row>
    <row r="2165" spans="1:4" x14ac:dyDescent="0.2">
      <c r="A2165" s="574">
        <v>11558</v>
      </c>
      <c r="B2165" s="574" t="s">
        <v>7715</v>
      </c>
      <c r="C2165" s="574" t="s">
        <v>6022</v>
      </c>
      <c r="D2165" s="582">
        <v>11.47</v>
      </c>
    </row>
    <row r="2166" spans="1:4" x14ac:dyDescent="0.2">
      <c r="A2166" s="574">
        <v>11557</v>
      </c>
      <c r="B2166" s="574" t="s">
        <v>7716</v>
      </c>
      <c r="C2166" s="574" t="s">
        <v>6022</v>
      </c>
      <c r="D2166" s="582">
        <v>29.03</v>
      </c>
    </row>
    <row r="2167" spans="1:4" x14ac:dyDescent="0.2">
      <c r="A2167" s="574">
        <v>2759</v>
      </c>
      <c r="B2167" s="574" t="s">
        <v>7717</v>
      </c>
      <c r="C2167" s="574" t="s">
        <v>5555</v>
      </c>
      <c r="D2167" s="582">
        <v>5.8</v>
      </c>
    </row>
    <row r="2168" spans="1:4" x14ac:dyDescent="0.2">
      <c r="A2168" s="574">
        <v>38124</v>
      </c>
      <c r="B2168" s="574" t="s">
        <v>7718</v>
      </c>
      <c r="C2168" s="574" t="s">
        <v>5555</v>
      </c>
      <c r="D2168" s="582">
        <v>28.15</v>
      </c>
    </row>
    <row r="2169" spans="1:4" x14ac:dyDescent="0.2">
      <c r="A2169" s="574">
        <v>38380</v>
      </c>
      <c r="B2169" s="574" t="s">
        <v>7719</v>
      </c>
      <c r="C2169" s="574" t="s">
        <v>5555</v>
      </c>
      <c r="D2169" s="582">
        <v>20.190000000000001</v>
      </c>
    </row>
    <row r="2170" spans="1:4" x14ac:dyDescent="0.2">
      <c r="A2170" s="574">
        <v>20059</v>
      </c>
      <c r="B2170" s="574" t="s">
        <v>7720</v>
      </c>
      <c r="C2170" s="574" t="s">
        <v>5555</v>
      </c>
      <c r="D2170" s="582">
        <v>13.05</v>
      </c>
    </row>
    <row r="2171" spans="1:4" x14ac:dyDescent="0.2">
      <c r="A2171" s="574">
        <v>42429</v>
      </c>
      <c r="B2171" s="574" t="s">
        <v>7721</v>
      </c>
      <c r="C2171" s="574" t="s">
        <v>5555</v>
      </c>
      <c r="D2171" s="583">
        <v>3353.46</v>
      </c>
    </row>
    <row r="2172" spans="1:4" x14ac:dyDescent="0.2">
      <c r="A2172" s="574">
        <v>39616</v>
      </c>
      <c r="B2172" s="574" t="s">
        <v>13591</v>
      </c>
      <c r="C2172" s="574" t="s">
        <v>5555</v>
      </c>
      <c r="D2172" s="582">
        <v>345</v>
      </c>
    </row>
    <row r="2173" spans="1:4" x14ac:dyDescent="0.2">
      <c r="A2173" s="574">
        <v>39618</v>
      </c>
      <c r="B2173" s="574" t="s">
        <v>13592</v>
      </c>
      <c r="C2173" s="574" t="s">
        <v>5555</v>
      </c>
      <c r="D2173" s="582">
        <v>625.77</v>
      </c>
    </row>
    <row r="2174" spans="1:4" x14ac:dyDescent="0.2">
      <c r="A2174" s="574">
        <v>39619</v>
      </c>
      <c r="B2174" s="574" t="s">
        <v>13593</v>
      </c>
      <c r="C2174" s="574" t="s">
        <v>5555</v>
      </c>
      <c r="D2174" s="582">
        <v>857.05</v>
      </c>
    </row>
    <row r="2175" spans="1:4" x14ac:dyDescent="0.2">
      <c r="A2175" s="574">
        <v>39613</v>
      </c>
      <c r="B2175" s="574" t="s">
        <v>13594</v>
      </c>
      <c r="C2175" s="574" t="s">
        <v>5555</v>
      </c>
      <c r="D2175" s="582">
        <v>137.04</v>
      </c>
    </row>
    <row r="2176" spans="1:4" x14ac:dyDescent="0.2">
      <c r="A2176" s="574">
        <v>39614</v>
      </c>
      <c r="B2176" s="574" t="s">
        <v>13595</v>
      </c>
      <c r="C2176" s="574" t="s">
        <v>5555</v>
      </c>
      <c r="D2176" s="582">
        <v>199.93</v>
      </c>
    </row>
    <row r="2177" spans="1:4" x14ac:dyDescent="0.2">
      <c r="A2177" s="574">
        <v>38538</v>
      </c>
      <c r="B2177" s="574" t="s">
        <v>7722</v>
      </c>
      <c r="C2177" s="574" t="s">
        <v>5575</v>
      </c>
      <c r="D2177" s="582">
        <v>46</v>
      </c>
    </row>
    <row r="2178" spans="1:4" x14ac:dyDescent="0.2">
      <c r="A2178" s="574">
        <v>38539</v>
      </c>
      <c r="B2178" s="574" t="s">
        <v>7723</v>
      </c>
      <c r="C2178" s="574" t="s">
        <v>5575</v>
      </c>
      <c r="D2178" s="582">
        <v>62.55</v>
      </c>
    </row>
    <row r="2179" spans="1:4" x14ac:dyDescent="0.2">
      <c r="A2179" s="574">
        <v>38540</v>
      </c>
      <c r="B2179" s="574" t="s">
        <v>7724</v>
      </c>
      <c r="C2179" s="574" t="s">
        <v>5575</v>
      </c>
      <c r="D2179" s="582">
        <v>160.31</v>
      </c>
    </row>
    <row r="2180" spans="1:4" x14ac:dyDescent="0.2">
      <c r="A2180" s="574">
        <v>38384</v>
      </c>
      <c r="B2180" s="574" t="s">
        <v>7725</v>
      </c>
      <c r="C2180" s="574" t="s">
        <v>5555</v>
      </c>
      <c r="D2180" s="582">
        <v>17.3</v>
      </c>
    </row>
    <row r="2181" spans="1:4" x14ac:dyDescent="0.2">
      <c r="A2181" s="574">
        <v>13</v>
      </c>
      <c r="B2181" s="574" t="s">
        <v>7726</v>
      </c>
      <c r="C2181" s="574" t="s">
        <v>5626</v>
      </c>
      <c r="D2181" s="582">
        <v>9.23</v>
      </c>
    </row>
    <row r="2182" spans="1:4" x14ac:dyDescent="0.2">
      <c r="A2182" s="574">
        <v>2762</v>
      </c>
      <c r="B2182" s="574" t="s">
        <v>7727</v>
      </c>
      <c r="C2182" s="574" t="s">
        <v>5575</v>
      </c>
      <c r="D2182" s="582">
        <v>7.25</v>
      </c>
    </row>
    <row r="2183" spans="1:4" x14ac:dyDescent="0.2">
      <c r="A2183" s="574">
        <v>21142</v>
      </c>
      <c r="B2183" s="574" t="s">
        <v>7728</v>
      </c>
      <c r="C2183" s="574" t="s">
        <v>5555</v>
      </c>
      <c r="D2183" s="582">
        <v>19.32</v>
      </c>
    </row>
    <row r="2184" spans="1:4" x14ac:dyDescent="0.2">
      <c r="A2184" s="574">
        <v>12865</v>
      </c>
      <c r="B2184" s="574" t="s">
        <v>7729</v>
      </c>
      <c r="C2184" s="574" t="s">
        <v>5566</v>
      </c>
      <c r="D2184" s="582">
        <v>16.170000000000002</v>
      </c>
    </row>
    <row r="2185" spans="1:4" x14ac:dyDescent="0.2">
      <c r="A2185" s="574">
        <v>41074</v>
      </c>
      <c r="B2185" s="574" t="s">
        <v>7730</v>
      </c>
      <c r="C2185" s="574" t="s">
        <v>5755</v>
      </c>
      <c r="D2185" s="583">
        <v>2829.27</v>
      </c>
    </row>
    <row r="2186" spans="1:4" x14ac:dyDescent="0.2">
      <c r="A2186" s="574">
        <v>4223</v>
      </c>
      <c r="B2186" s="574" t="s">
        <v>7731</v>
      </c>
      <c r="C2186" s="574" t="s">
        <v>5628</v>
      </c>
      <c r="D2186" s="582">
        <v>3.54</v>
      </c>
    </row>
    <row r="2187" spans="1:4" x14ac:dyDescent="0.2">
      <c r="A2187" s="574">
        <v>37372</v>
      </c>
      <c r="B2187" s="574" t="s">
        <v>7732</v>
      </c>
      <c r="C2187" s="574" t="s">
        <v>5566</v>
      </c>
      <c r="D2187" s="582">
        <v>0.35</v>
      </c>
    </row>
    <row r="2188" spans="1:4" x14ac:dyDescent="0.2">
      <c r="A2188" s="574">
        <v>40863</v>
      </c>
      <c r="B2188" s="574" t="s">
        <v>7733</v>
      </c>
      <c r="C2188" s="574" t="s">
        <v>5755</v>
      </c>
      <c r="D2188" s="582">
        <v>65.94</v>
      </c>
    </row>
    <row r="2189" spans="1:4" x14ac:dyDescent="0.2">
      <c r="A2189" s="574">
        <v>38475</v>
      </c>
      <c r="B2189" s="574" t="s">
        <v>7734</v>
      </c>
      <c r="C2189" s="574" t="s">
        <v>5555</v>
      </c>
      <c r="D2189" s="582">
        <v>23.81</v>
      </c>
    </row>
    <row r="2190" spans="1:4" x14ac:dyDescent="0.2">
      <c r="A2190" s="574">
        <v>38474</v>
      </c>
      <c r="B2190" s="574" t="s">
        <v>7735</v>
      </c>
      <c r="C2190" s="574" t="s">
        <v>5555</v>
      </c>
      <c r="D2190" s="582">
        <v>29.43</v>
      </c>
    </row>
    <row r="2191" spans="1:4" x14ac:dyDescent="0.2">
      <c r="A2191" s="574">
        <v>10886</v>
      </c>
      <c r="B2191" s="574" t="s">
        <v>7736</v>
      </c>
      <c r="C2191" s="574" t="s">
        <v>5555</v>
      </c>
      <c r="D2191" s="582">
        <v>140</v>
      </c>
    </row>
    <row r="2192" spans="1:4" x14ac:dyDescent="0.2">
      <c r="A2192" s="574">
        <v>10888</v>
      </c>
      <c r="B2192" s="574" t="s">
        <v>7737</v>
      </c>
      <c r="C2192" s="574" t="s">
        <v>5555</v>
      </c>
      <c r="D2192" s="582">
        <v>443.07</v>
      </c>
    </row>
    <row r="2193" spans="1:4" x14ac:dyDescent="0.2">
      <c r="A2193" s="574">
        <v>10889</v>
      </c>
      <c r="B2193" s="574" t="s">
        <v>7738</v>
      </c>
      <c r="C2193" s="574" t="s">
        <v>5555</v>
      </c>
      <c r="D2193" s="582">
        <v>480</v>
      </c>
    </row>
    <row r="2194" spans="1:4" x14ac:dyDescent="0.2">
      <c r="A2194" s="574">
        <v>10890</v>
      </c>
      <c r="B2194" s="574" t="s">
        <v>7739</v>
      </c>
      <c r="C2194" s="574" t="s">
        <v>5555</v>
      </c>
      <c r="D2194" s="582">
        <v>221.53</v>
      </c>
    </row>
    <row r="2195" spans="1:4" x14ac:dyDescent="0.2">
      <c r="A2195" s="574">
        <v>10891</v>
      </c>
      <c r="B2195" s="574" t="s">
        <v>7740</v>
      </c>
      <c r="C2195" s="574" t="s">
        <v>5555</v>
      </c>
      <c r="D2195" s="582">
        <v>135.38</v>
      </c>
    </row>
    <row r="2196" spans="1:4" x14ac:dyDescent="0.2">
      <c r="A2196" s="574">
        <v>10892</v>
      </c>
      <c r="B2196" s="574" t="s">
        <v>7741</v>
      </c>
      <c r="C2196" s="574" t="s">
        <v>5555</v>
      </c>
      <c r="D2196" s="582">
        <v>160</v>
      </c>
    </row>
    <row r="2197" spans="1:4" x14ac:dyDescent="0.2">
      <c r="A2197" s="574">
        <v>20977</v>
      </c>
      <c r="B2197" s="574" t="s">
        <v>7742</v>
      </c>
      <c r="C2197" s="574" t="s">
        <v>5555</v>
      </c>
      <c r="D2197" s="582">
        <v>190.76</v>
      </c>
    </row>
    <row r="2198" spans="1:4" x14ac:dyDescent="0.2">
      <c r="A2198" s="574">
        <v>3073</v>
      </c>
      <c r="B2198" s="574" t="s">
        <v>7743</v>
      </c>
      <c r="C2198" s="574" t="s">
        <v>5555</v>
      </c>
      <c r="D2198" s="582">
        <v>146.83000000000001</v>
      </c>
    </row>
    <row r="2199" spans="1:4" x14ac:dyDescent="0.2">
      <c r="A2199" s="574">
        <v>3068</v>
      </c>
      <c r="B2199" s="574" t="s">
        <v>7744</v>
      </c>
      <c r="C2199" s="574" t="s">
        <v>5555</v>
      </c>
      <c r="D2199" s="582">
        <v>29.35</v>
      </c>
    </row>
    <row r="2200" spans="1:4" x14ac:dyDescent="0.2">
      <c r="A2200" s="574">
        <v>3074</v>
      </c>
      <c r="B2200" s="574" t="s">
        <v>7745</v>
      </c>
      <c r="C2200" s="574" t="s">
        <v>5555</v>
      </c>
      <c r="D2200" s="582">
        <v>92.7</v>
      </c>
    </row>
    <row r="2201" spans="1:4" x14ac:dyDescent="0.2">
      <c r="A2201" s="574">
        <v>3076</v>
      </c>
      <c r="B2201" s="574" t="s">
        <v>7746</v>
      </c>
      <c r="C2201" s="574" t="s">
        <v>5555</v>
      </c>
      <c r="D2201" s="582">
        <v>120.71</v>
      </c>
    </row>
    <row r="2202" spans="1:4" x14ac:dyDescent="0.2">
      <c r="A2202" s="574">
        <v>3072</v>
      </c>
      <c r="B2202" s="574" t="s">
        <v>7747</v>
      </c>
      <c r="C2202" s="574" t="s">
        <v>5555</v>
      </c>
      <c r="D2202" s="582">
        <v>30.41</v>
      </c>
    </row>
    <row r="2203" spans="1:4" x14ac:dyDescent="0.2">
      <c r="A2203" s="574">
        <v>3075</v>
      </c>
      <c r="B2203" s="574" t="s">
        <v>7748</v>
      </c>
      <c r="C2203" s="574" t="s">
        <v>5555</v>
      </c>
      <c r="D2203" s="582">
        <v>76.28</v>
      </c>
    </row>
    <row r="2204" spans="1:4" x14ac:dyDescent="0.2">
      <c r="A2204" s="574">
        <v>10780</v>
      </c>
      <c r="B2204" s="574" t="s">
        <v>7749</v>
      </c>
      <c r="C2204" s="574" t="s">
        <v>5555</v>
      </c>
      <c r="D2204" s="582">
        <v>6.44</v>
      </c>
    </row>
    <row r="2205" spans="1:4" x14ac:dyDescent="0.2">
      <c r="A2205" s="574">
        <v>10781</v>
      </c>
      <c r="B2205" s="574" t="s">
        <v>7750</v>
      </c>
      <c r="C2205" s="574" t="s">
        <v>5555</v>
      </c>
      <c r="D2205" s="582">
        <v>10.34</v>
      </c>
    </row>
    <row r="2206" spans="1:4" x14ac:dyDescent="0.2">
      <c r="A2206" s="574">
        <v>20106</v>
      </c>
      <c r="B2206" s="574" t="s">
        <v>7751</v>
      </c>
      <c r="C2206" s="574" t="s">
        <v>5555</v>
      </c>
      <c r="D2206" s="582">
        <v>3.41</v>
      </c>
    </row>
    <row r="2207" spans="1:4" x14ac:dyDescent="0.2">
      <c r="A2207" s="574">
        <v>20107</v>
      </c>
      <c r="B2207" s="574" t="s">
        <v>7752</v>
      </c>
      <c r="C2207" s="574" t="s">
        <v>5555</v>
      </c>
      <c r="D2207" s="582">
        <v>3.9</v>
      </c>
    </row>
    <row r="2208" spans="1:4" x14ac:dyDescent="0.2">
      <c r="A2208" s="574">
        <v>20108</v>
      </c>
      <c r="B2208" s="574" t="s">
        <v>7753</v>
      </c>
      <c r="C2208" s="574" t="s">
        <v>5555</v>
      </c>
      <c r="D2208" s="582">
        <v>5.15</v>
      </c>
    </row>
    <row r="2209" spans="1:4" x14ac:dyDescent="0.2">
      <c r="A2209" s="574">
        <v>20109</v>
      </c>
      <c r="B2209" s="574" t="s">
        <v>7754</v>
      </c>
      <c r="C2209" s="574" t="s">
        <v>5555</v>
      </c>
      <c r="D2209" s="582">
        <v>6.44</v>
      </c>
    </row>
    <row r="2210" spans="1:4" x14ac:dyDescent="0.2">
      <c r="A2210" s="574">
        <v>34795</v>
      </c>
      <c r="B2210" s="574" t="s">
        <v>7755</v>
      </c>
      <c r="C2210" s="574" t="s">
        <v>5564</v>
      </c>
      <c r="D2210" s="582">
        <v>342.18</v>
      </c>
    </row>
    <row r="2211" spans="1:4" x14ac:dyDescent="0.2">
      <c r="A2211" s="574">
        <v>34796</v>
      </c>
      <c r="B2211" s="574" t="s">
        <v>7756</v>
      </c>
      <c r="C2211" s="574" t="s">
        <v>5575</v>
      </c>
      <c r="D2211" s="582">
        <v>15.02</v>
      </c>
    </row>
    <row r="2212" spans="1:4" x14ac:dyDescent="0.2">
      <c r="A2212" s="574">
        <v>11480</v>
      </c>
      <c r="B2212" s="574" t="s">
        <v>7759</v>
      </c>
      <c r="C2212" s="574" t="s">
        <v>7062</v>
      </c>
      <c r="D2212" s="582">
        <v>45.26</v>
      </c>
    </row>
    <row r="2213" spans="1:4" x14ac:dyDescent="0.2">
      <c r="A2213" s="574">
        <v>3103</v>
      </c>
      <c r="B2213" s="574" t="s">
        <v>7763</v>
      </c>
      <c r="C2213" s="574" t="s">
        <v>5555</v>
      </c>
      <c r="D2213" s="582">
        <v>47.24</v>
      </c>
    </row>
    <row r="2214" spans="1:4" x14ac:dyDescent="0.2">
      <c r="A2214" s="574">
        <v>11481</v>
      </c>
      <c r="B2214" s="574" t="s">
        <v>7764</v>
      </c>
      <c r="C2214" s="574" t="s">
        <v>5555</v>
      </c>
      <c r="D2214" s="582">
        <v>14.25</v>
      </c>
    </row>
    <row r="2215" spans="1:4" x14ac:dyDescent="0.2">
      <c r="A2215" s="574">
        <v>3097</v>
      </c>
      <c r="B2215" s="574" t="s">
        <v>7765</v>
      </c>
      <c r="C2215" s="574" t="s">
        <v>7062</v>
      </c>
      <c r="D2215" s="582">
        <v>29.28</v>
      </c>
    </row>
    <row r="2216" spans="1:4" x14ac:dyDescent="0.2">
      <c r="A2216" s="574">
        <v>38153</v>
      </c>
      <c r="B2216" s="574" t="s">
        <v>7766</v>
      </c>
      <c r="C2216" s="574" t="s">
        <v>7062</v>
      </c>
      <c r="D2216" s="582">
        <v>26.85</v>
      </c>
    </row>
    <row r="2217" spans="1:4" x14ac:dyDescent="0.2">
      <c r="A2217" s="574">
        <v>3099</v>
      </c>
      <c r="B2217" s="574" t="s">
        <v>7767</v>
      </c>
      <c r="C2217" s="574" t="s">
        <v>7062</v>
      </c>
      <c r="D2217" s="582">
        <v>46.83</v>
      </c>
    </row>
    <row r="2218" spans="1:4" x14ac:dyDescent="0.2">
      <c r="A2218" s="574">
        <v>3080</v>
      </c>
      <c r="B2218" s="574" t="s">
        <v>7768</v>
      </c>
      <c r="C2218" s="574" t="s">
        <v>7062</v>
      </c>
      <c r="D2218" s="582">
        <v>39.130000000000003</v>
      </c>
    </row>
    <row r="2219" spans="1:4" x14ac:dyDescent="0.2">
      <c r="A2219" s="574">
        <v>3081</v>
      </c>
      <c r="B2219" s="574" t="s">
        <v>7769</v>
      </c>
      <c r="C2219" s="574" t="s">
        <v>7062</v>
      </c>
      <c r="D2219" s="582">
        <v>59.22</v>
      </c>
    </row>
    <row r="2220" spans="1:4" x14ac:dyDescent="0.2">
      <c r="A2220" s="574">
        <v>38151</v>
      </c>
      <c r="B2220" s="574" t="s">
        <v>7770</v>
      </c>
      <c r="C2220" s="574" t="s">
        <v>7062</v>
      </c>
      <c r="D2220" s="582">
        <v>37.07</v>
      </c>
    </row>
    <row r="2221" spans="1:4" x14ac:dyDescent="0.2">
      <c r="A2221" s="574">
        <v>11479</v>
      </c>
      <c r="B2221" s="574" t="s">
        <v>7771</v>
      </c>
      <c r="C2221" s="574" t="s">
        <v>5555</v>
      </c>
      <c r="D2221" s="582">
        <v>21.55</v>
      </c>
    </row>
    <row r="2222" spans="1:4" x14ac:dyDescent="0.2">
      <c r="A2222" s="574">
        <v>38152</v>
      </c>
      <c r="B2222" s="574" t="s">
        <v>7772</v>
      </c>
      <c r="C2222" s="574" t="s">
        <v>7062</v>
      </c>
      <c r="D2222" s="582">
        <v>53.66</v>
      </c>
    </row>
    <row r="2223" spans="1:4" x14ac:dyDescent="0.2">
      <c r="A2223" s="574">
        <v>11478</v>
      </c>
      <c r="B2223" s="574" t="s">
        <v>7773</v>
      </c>
      <c r="C2223" s="574" t="s">
        <v>5555</v>
      </c>
      <c r="D2223" s="582">
        <v>37.82</v>
      </c>
    </row>
    <row r="2224" spans="1:4" x14ac:dyDescent="0.2">
      <c r="A2224" s="574">
        <v>3090</v>
      </c>
      <c r="B2224" s="574" t="s">
        <v>7774</v>
      </c>
      <c r="C2224" s="574" t="s">
        <v>7062</v>
      </c>
      <c r="D2224" s="582">
        <v>31.64</v>
      </c>
    </row>
    <row r="2225" spans="1:4" x14ac:dyDescent="0.2">
      <c r="A2225" s="574">
        <v>3093</v>
      </c>
      <c r="B2225" s="574" t="s">
        <v>7775</v>
      </c>
      <c r="C2225" s="574" t="s">
        <v>7062</v>
      </c>
      <c r="D2225" s="582">
        <v>52.58</v>
      </c>
    </row>
    <row r="2226" spans="1:4" x14ac:dyDescent="0.2">
      <c r="A2226" s="574">
        <v>11476</v>
      </c>
      <c r="B2226" s="574" t="s">
        <v>7776</v>
      </c>
      <c r="C2226" s="574" t="s">
        <v>5555</v>
      </c>
      <c r="D2226" s="582">
        <v>22.66</v>
      </c>
    </row>
    <row r="2227" spans="1:4" x14ac:dyDescent="0.2">
      <c r="A2227" s="574">
        <v>11484</v>
      </c>
      <c r="B2227" s="574" t="s">
        <v>7778</v>
      </c>
      <c r="C2227" s="574" t="s">
        <v>5555</v>
      </c>
      <c r="D2227" s="582">
        <v>26.11</v>
      </c>
    </row>
    <row r="2228" spans="1:4" x14ac:dyDescent="0.2">
      <c r="A2228" s="574">
        <v>38155</v>
      </c>
      <c r="B2228" s="574" t="s">
        <v>7779</v>
      </c>
      <c r="C2228" s="574" t="s">
        <v>5555</v>
      </c>
      <c r="D2228" s="582">
        <v>35.590000000000003</v>
      </c>
    </row>
    <row r="2229" spans="1:4" x14ac:dyDescent="0.2">
      <c r="A2229" s="574">
        <v>11468</v>
      </c>
      <c r="B2229" s="574" t="s">
        <v>7780</v>
      </c>
      <c r="C2229" s="574" t="s">
        <v>5555</v>
      </c>
      <c r="D2229" s="582">
        <v>7.99</v>
      </c>
    </row>
    <row r="2230" spans="1:4" x14ac:dyDescent="0.2">
      <c r="A2230" s="574">
        <v>11469</v>
      </c>
      <c r="B2230" s="574" t="s">
        <v>7781</v>
      </c>
      <c r="C2230" s="574" t="s">
        <v>5555</v>
      </c>
      <c r="D2230" s="582">
        <v>9.5399999999999991</v>
      </c>
    </row>
    <row r="2231" spans="1:4" x14ac:dyDescent="0.2">
      <c r="A2231" s="574">
        <v>38165</v>
      </c>
      <c r="B2231" s="574" t="s">
        <v>7784</v>
      </c>
      <c r="C2231" s="574" t="s">
        <v>7062</v>
      </c>
      <c r="D2231" s="582">
        <v>55.17</v>
      </c>
    </row>
    <row r="2232" spans="1:4" x14ac:dyDescent="0.2">
      <c r="A2232" s="574">
        <v>11456</v>
      </c>
      <c r="B2232" s="574" t="s">
        <v>7786</v>
      </c>
      <c r="C2232" s="574" t="s">
        <v>5555</v>
      </c>
      <c r="D2232" s="582">
        <v>12.22</v>
      </c>
    </row>
    <row r="2233" spans="1:4" x14ac:dyDescent="0.2">
      <c r="A2233" s="574">
        <v>3119</v>
      </c>
      <c r="B2233" s="574" t="s">
        <v>7787</v>
      </c>
      <c r="C2233" s="574" t="s">
        <v>5555</v>
      </c>
      <c r="D2233" s="582">
        <v>1.81</v>
      </c>
    </row>
    <row r="2234" spans="1:4" x14ac:dyDescent="0.2">
      <c r="A2234" s="574">
        <v>3122</v>
      </c>
      <c r="B2234" s="574" t="s">
        <v>7788</v>
      </c>
      <c r="C2234" s="574" t="s">
        <v>5555</v>
      </c>
      <c r="D2234" s="582">
        <v>2.5499999999999998</v>
      </c>
    </row>
    <row r="2235" spans="1:4" x14ac:dyDescent="0.2">
      <c r="A2235" s="574">
        <v>3121</v>
      </c>
      <c r="B2235" s="574" t="s">
        <v>7789</v>
      </c>
      <c r="C2235" s="574" t="s">
        <v>5555</v>
      </c>
      <c r="D2235" s="582">
        <v>3.96</v>
      </c>
    </row>
    <row r="2236" spans="1:4" x14ac:dyDescent="0.2">
      <c r="A2236" s="574">
        <v>3120</v>
      </c>
      <c r="B2236" s="574" t="s">
        <v>7790</v>
      </c>
      <c r="C2236" s="574" t="s">
        <v>5555</v>
      </c>
      <c r="D2236" s="582">
        <v>6.25</v>
      </c>
    </row>
    <row r="2237" spans="1:4" x14ac:dyDescent="0.2">
      <c r="A2237" s="574">
        <v>11455</v>
      </c>
      <c r="B2237" s="574" t="s">
        <v>7791</v>
      </c>
      <c r="C2237" s="574" t="s">
        <v>5555</v>
      </c>
      <c r="D2237" s="582">
        <v>8.76</v>
      </c>
    </row>
    <row r="2238" spans="1:4" x14ac:dyDescent="0.2">
      <c r="A2238" s="574">
        <v>3108</v>
      </c>
      <c r="B2238" s="574" t="s">
        <v>7793</v>
      </c>
      <c r="C2238" s="574" t="s">
        <v>5555</v>
      </c>
      <c r="D2238" s="582">
        <v>22</v>
      </c>
    </row>
    <row r="2239" spans="1:4" x14ac:dyDescent="0.2">
      <c r="A2239" s="574">
        <v>3105</v>
      </c>
      <c r="B2239" s="574" t="s">
        <v>7794</v>
      </c>
      <c r="C2239" s="574" t="s">
        <v>5555</v>
      </c>
      <c r="D2239" s="582">
        <v>34.18</v>
      </c>
    </row>
    <row r="2240" spans="1:4" x14ac:dyDescent="0.2">
      <c r="A2240" s="574">
        <v>38178</v>
      </c>
      <c r="B2240" s="574" t="s">
        <v>7795</v>
      </c>
      <c r="C2240" s="574" t="s">
        <v>5555</v>
      </c>
      <c r="D2240" s="582">
        <v>22.34</v>
      </c>
    </row>
    <row r="2241" spans="1:4" x14ac:dyDescent="0.2">
      <c r="A2241" s="574">
        <v>11458</v>
      </c>
      <c r="B2241" s="574" t="s">
        <v>7796</v>
      </c>
      <c r="C2241" s="574" t="s">
        <v>5555</v>
      </c>
      <c r="D2241" s="582">
        <v>19.57</v>
      </c>
    </row>
    <row r="2242" spans="1:4" x14ac:dyDescent="0.2">
      <c r="A2242" s="574">
        <v>42481</v>
      </c>
      <c r="B2242" s="574" t="s">
        <v>7797</v>
      </c>
      <c r="C2242" s="574" t="s">
        <v>5564</v>
      </c>
      <c r="D2242" s="582">
        <v>21.19</v>
      </c>
    </row>
    <row r="2243" spans="1:4" x14ac:dyDescent="0.2">
      <c r="A2243" s="574">
        <v>43458</v>
      </c>
      <c r="B2243" s="574" t="s">
        <v>7798</v>
      </c>
      <c r="C2243" s="574" t="s">
        <v>5566</v>
      </c>
      <c r="D2243" s="582">
        <v>0.04</v>
      </c>
    </row>
    <row r="2244" spans="1:4" x14ac:dyDescent="0.2">
      <c r="A2244" s="574">
        <v>43470</v>
      </c>
      <c r="B2244" s="574" t="s">
        <v>7799</v>
      </c>
      <c r="C2244" s="574" t="s">
        <v>5755</v>
      </c>
      <c r="D2244" s="582">
        <v>7.37</v>
      </c>
    </row>
    <row r="2245" spans="1:4" x14ac:dyDescent="0.2">
      <c r="A2245" s="574">
        <v>43459</v>
      </c>
      <c r="B2245" s="574" t="s">
        <v>7800</v>
      </c>
      <c r="C2245" s="574" t="s">
        <v>5566</v>
      </c>
      <c r="D2245" s="582">
        <v>0.34</v>
      </c>
    </row>
    <row r="2246" spans="1:4" x14ac:dyDescent="0.2">
      <c r="A2246" s="574">
        <v>43471</v>
      </c>
      <c r="B2246" s="574" t="s">
        <v>7801</v>
      </c>
      <c r="C2246" s="574" t="s">
        <v>5755</v>
      </c>
      <c r="D2246" s="582">
        <v>64.510000000000005</v>
      </c>
    </row>
    <row r="2247" spans="1:4" x14ac:dyDescent="0.2">
      <c r="A2247" s="574">
        <v>43460</v>
      </c>
      <c r="B2247" s="574" t="s">
        <v>7802</v>
      </c>
      <c r="C2247" s="574" t="s">
        <v>5566</v>
      </c>
      <c r="D2247" s="582">
        <v>0.55000000000000004</v>
      </c>
    </row>
    <row r="2248" spans="1:4" x14ac:dyDescent="0.2">
      <c r="A2248" s="574">
        <v>43472</v>
      </c>
      <c r="B2248" s="574" t="s">
        <v>7803</v>
      </c>
      <c r="C2248" s="574" t="s">
        <v>5755</v>
      </c>
      <c r="D2248" s="582">
        <v>103.89</v>
      </c>
    </row>
    <row r="2249" spans="1:4" x14ac:dyDescent="0.2">
      <c r="A2249" s="574">
        <v>43461</v>
      </c>
      <c r="B2249" s="574" t="s">
        <v>7804</v>
      </c>
      <c r="C2249" s="574" t="s">
        <v>5566</v>
      </c>
      <c r="D2249" s="582">
        <v>0.24</v>
      </c>
    </row>
    <row r="2250" spans="1:4" x14ac:dyDescent="0.2">
      <c r="A2250" s="574">
        <v>43473</v>
      </c>
      <c r="B2250" s="574" t="s">
        <v>7805</v>
      </c>
      <c r="C2250" s="574" t="s">
        <v>5755</v>
      </c>
      <c r="D2250" s="582">
        <v>45.78</v>
      </c>
    </row>
    <row r="2251" spans="1:4" x14ac:dyDescent="0.2">
      <c r="A2251" s="574">
        <v>43463</v>
      </c>
      <c r="B2251" s="574" t="s">
        <v>7806</v>
      </c>
      <c r="C2251" s="574" t="s">
        <v>5566</v>
      </c>
      <c r="D2251" s="582">
        <v>0.08</v>
      </c>
    </row>
    <row r="2252" spans="1:4" x14ac:dyDescent="0.2">
      <c r="A2252" s="574">
        <v>43475</v>
      </c>
      <c r="B2252" s="574" t="s">
        <v>13596</v>
      </c>
      <c r="C2252" s="574" t="s">
        <v>5755</v>
      </c>
      <c r="D2252" s="582">
        <v>14.26</v>
      </c>
    </row>
    <row r="2253" spans="1:4" x14ac:dyDescent="0.2">
      <c r="A2253" s="574">
        <v>43462</v>
      </c>
      <c r="B2253" s="574" t="s">
        <v>7807</v>
      </c>
      <c r="C2253" s="574" t="s">
        <v>5566</v>
      </c>
      <c r="D2253" s="582">
        <v>0.01</v>
      </c>
    </row>
    <row r="2254" spans="1:4" x14ac:dyDescent="0.2">
      <c r="A2254" s="574">
        <v>43474</v>
      </c>
      <c r="B2254" s="574" t="s">
        <v>7808</v>
      </c>
      <c r="C2254" s="574" t="s">
        <v>5755</v>
      </c>
      <c r="D2254" s="582">
        <v>1.45</v>
      </c>
    </row>
    <row r="2255" spans="1:4" x14ac:dyDescent="0.2">
      <c r="A2255" s="574">
        <v>43464</v>
      </c>
      <c r="B2255" s="574" t="s">
        <v>7809</v>
      </c>
      <c r="C2255" s="574" t="s">
        <v>5566</v>
      </c>
      <c r="D2255" s="582">
        <v>0.01</v>
      </c>
    </row>
    <row r="2256" spans="1:4" x14ac:dyDescent="0.2">
      <c r="A2256" s="574">
        <v>43476</v>
      </c>
      <c r="B2256" s="574" t="s">
        <v>7810</v>
      </c>
      <c r="C2256" s="574" t="s">
        <v>5755</v>
      </c>
      <c r="D2256" s="582">
        <v>0.01</v>
      </c>
    </row>
    <row r="2257" spans="1:4" x14ac:dyDescent="0.2">
      <c r="A2257" s="574">
        <v>43465</v>
      </c>
      <c r="B2257" s="574" t="s">
        <v>7811</v>
      </c>
      <c r="C2257" s="574" t="s">
        <v>5566</v>
      </c>
      <c r="D2257" s="582">
        <v>0.5</v>
      </c>
    </row>
    <row r="2258" spans="1:4" x14ac:dyDescent="0.2">
      <c r="A2258" s="574">
        <v>43477</v>
      </c>
      <c r="B2258" s="574" t="s">
        <v>7812</v>
      </c>
      <c r="C2258" s="574" t="s">
        <v>5755</v>
      </c>
      <c r="D2258" s="582">
        <v>94.89</v>
      </c>
    </row>
    <row r="2259" spans="1:4" x14ac:dyDescent="0.2">
      <c r="A2259" s="574">
        <v>43466</v>
      </c>
      <c r="B2259" s="574" t="s">
        <v>7813</v>
      </c>
      <c r="C2259" s="574" t="s">
        <v>5566</v>
      </c>
      <c r="D2259" s="582">
        <v>1.17</v>
      </c>
    </row>
    <row r="2260" spans="1:4" x14ac:dyDescent="0.2">
      <c r="A2260" s="574">
        <v>43478</v>
      </c>
      <c r="B2260" s="574" t="s">
        <v>7814</v>
      </c>
      <c r="C2260" s="574" t="s">
        <v>5755</v>
      </c>
      <c r="D2260" s="582">
        <v>220.02</v>
      </c>
    </row>
    <row r="2261" spans="1:4" x14ac:dyDescent="0.2">
      <c r="A2261" s="574">
        <v>43467</v>
      </c>
      <c r="B2261" s="574" t="s">
        <v>7815</v>
      </c>
      <c r="C2261" s="574" t="s">
        <v>5566</v>
      </c>
      <c r="D2261" s="582">
        <v>0.38</v>
      </c>
    </row>
    <row r="2262" spans="1:4" x14ac:dyDescent="0.2">
      <c r="A2262" s="574">
        <v>43479</v>
      </c>
      <c r="B2262" s="574" t="s">
        <v>7816</v>
      </c>
      <c r="C2262" s="574" t="s">
        <v>5755</v>
      </c>
      <c r="D2262" s="582">
        <v>71.290000000000006</v>
      </c>
    </row>
    <row r="2263" spans="1:4" x14ac:dyDescent="0.2">
      <c r="A2263" s="574">
        <v>43468</v>
      </c>
      <c r="B2263" s="574" t="s">
        <v>7817</v>
      </c>
      <c r="C2263" s="574" t="s">
        <v>5566</v>
      </c>
      <c r="D2263" s="582">
        <v>0.84</v>
      </c>
    </row>
    <row r="2264" spans="1:4" x14ac:dyDescent="0.2">
      <c r="A2264" s="574">
        <v>43480</v>
      </c>
      <c r="B2264" s="574" t="s">
        <v>7818</v>
      </c>
      <c r="C2264" s="574" t="s">
        <v>5755</v>
      </c>
      <c r="D2264" s="582">
        <v>157.85</v>
      </c>
    </row>
    <row r="2265" spans="1:4" x14ac:dyDescent="0.2">
      <c r="A2265" s="574">
        <v>43469</v>
      </c>
      <c r="B2265" s="574" t="s">
        <v>7819</v>
      </c>
      <c r="C2265" s="574" t="s">
        <v>5566</v>
      </c>
      <c r="D2265" s="582">
        <v>0.05</v>
      </c>
    </row>
    <row r="2266" spans="1:4" x14ac:dyDescent="0.2">
      <c r="A2266" s="574">
        <v>43481</v>
      </c>
      <c r="B2266" s="574" t="s">
        <v>7820</v>
      </c>
      <c r="C2266" s="574" t="s">
        <v>5755</v>
      </c>
      <c r="D2266" s="582">
        <v>10.02</v>
      </c>
    </row>
    <row r="2267" spans="1:4" x14ac:dyDescent="0.2">
      <c r="A2267" s="574">
        <v>11461</v>
      </c>
      <c r="B2267" s="574" t="s">
        <v>7821</v>
      </c>
      <c r="C2267" s="574" t="s">
        <v>5555</v>
      </c>
      <c r="D2267" s="582">
        <v>4.96</v>
      </c>
    </row>
    <row r="2268" spans="1:4" x14ac:dyDescent="0.2">
      <c r="A2268" s="574">
        <v>3106</v>
      </c>
      <c r="B2268" s="574" t="s">
        <v>7822</v>
      </c>
      <c r="C2268" s="574" t="s">
        <v>5555</v>
      </c>
      <c r="D2268" s="582">
        <v>3.77</v>
      </c>
    </row>
    <row r="2269" spans="1:4" x14ac:dyDescent="0.2">
      <c r="A2269" s="574">
        <v>3107</v>
      </c>
      <c r="B2269" s="574" t="s">
        <v>7823</v>
      </c>
      <c r="C2269" s="574" t="s">
        <v>5555</v>
      </c>
      <c r="D2269" s="582">
        <v>3.17</v>
      </c>
    </row>
    <row r="2270" spans="1:4" x14ac:dyDescent="0.2">
      <c r="A2270" s="574">
        <v>25951</v>
      </c>
      <c r="B2270" s="574" t="s">
        <v>7824</v>
      </c>
      <c r="C2270" s="574" t="s">
        <v>5626</v>
      </c>
      <c r="D2270" s="582">
        <v>2.16</v>
      </c>
    </row>
    <row r="2271" spans="1:4" x14ac:dyDescent="0.2">
      <c r="A2271" s="574">
        <v>3123</v>
      </c>
      <c r="B2271" s="574" t="s">
        <v>7825</v>
      </c>
      <c r="C2271" s="574" t="s">
        <v>5626</v>
      </c>
      <c r="D2271" s="582">
        <v>2.02</v>
      </c>
    </row>
    <row r="2272" spans="1:4" x14ac:dyDescent="0.2">
      <c r="A2272" s="574">
        <v>38125</v>
      </c>
      <c r="B2272" s="574" t="s">
        <v>7826</v>
      </c>
      <c r="C2272" s="574" t="s">
        <v>5626</v>
      </c>
      <c r="D2272" s="582">
        <v>1.62</v>
      </c>
    </row>
    <row r="2273" spans="1:4" x14ac:dyDescent="0.2">
      <c r="A2273" s="574">
        <v>39014</v>
      </c>
      <c r="B2273" s="574" t="s">
        <v>7827</v>
      </c>
      <c r="C2273" s="574" t="s">
        <v>5626</v>
      </c>
      <c r="D2273" s="582">
        <v>5.47</v>
      </c>
    </row>
    <row r="2274" spans="1:4" x14ac:dyDescent="0.2">
      <c r="A2274" s="574">
        <v>39365</v>
      </c>
      <c r="B2274" s="574" t="s">
        <v>7829</v>
      </c>
      <c r="C2274" s="574" t="s">
        <v>5555</v>
      </c>
      <c r="D2274" s="582">
        <v>843.05</v>
      </c>
    </row>
    <row r="2275" spans="1:4" x14ac:dyDescent="0.2">
      <c r="A2275" s="574">
        <v>39366</v>
      </c>
      <c r="B2275" s="574" t="s">
        <v>7830</v>
      </c>
      <c r="C2275" s="574" t="s">
        <v>5555</v>
      </c>
      <c r="D2275" s="583">
        <v>2158.56</v>
      </c>
    </row>
    <row r="2276" spans="1:4" x14ac:dyDescent="0.2">
      <c r="A2276" s="574">
        <v>39367</v>
      </c>
      <c r="B2276" s="574" t="s">
        <v>7831</v>
      </c>
      <c r="C2276" s="574" t="s">
        <v>5555</v>
      </c>
      <c r="D2276" s="583">
        <v>2950.36</v>
      </c>
    </row>
    <row r="2277" spans="1:4" x14ac:dyDescent="0.2">
      <c r="A2277" s="574">
        <v>37394</v>
      </c>
      <c r="B2277" s="574" t="s">
        <v>7832</v>
      </c>
      <c r="C2277" s="574" t="s">
        <v>7833</v>
      </c>
      <c r="D2277" s="582">
        <v>35.94</v>
      </c>
    </row>
    <row r="2278" spans="1:4" x14ac:dyDescent="0.2">
      <c r="A2278" s="574">
        <v>14146</v>
      </c>
      <c r="B2278" s="574" t="s">
        <v>7834</v>
      </c>
      <c r="C2278" s="574" t="s">
        <v>7833</v>
      </c>
      <c r="D2278" s="582">
        <v>57.8</v>
      </c>
    </row>
    <row r="2279" spans="1:4" x14ac:dyDescent="0.2">
      <c r="A2279" s="574">
        <v>38134</v>
      </c>
      <c r="B2279" s="574" t="s">
        <v>7835</v>
      </c>
      <c r="C2279" s="574" t="s">
        <v>5626</v>
      </c>
      <c r="D2279" s="582">
        <v>64.33</v>
      </c>
    </row>
    <row r="2280" spans="1:4" x14ac:dyDescent="0.2">
      <c r="A2280" s="574">
        <v>38132</v>
      </c>
      <c r="B2280" s="574" t="s">
        <v>7836</v>
      </c>
      <c r="C2280" s="574" t="s">
        <v>5626</v>
      </c>
      <c r="D2280" s="582">
        <v>65.62</v>
      </c>
    </row>
    <row r="2281" spans="1:4" x14ac:dyDescent="0.2">
      <c r="A2281" s="574">
        <v>38133</v>
      </c>
      <c r="B2281" s="574" t="s">
        <v>7837</v>
      </c>
      <c r="C2281" s="574" t="s">
        <v>5626</v>
      </c>
      <c r="D2281" s="582">
        <v>63.47</v>
      </c>
    </row>
    <row r="2282" spans="1:4" x14ac:dyDescent="0.2">
      <c r="A2282" s="574">
        <v>938</v>
      </c>
      <c r="B2282" s="574" t="s">
        <v>7838</v>
      </c>
      <c r="C2282" s="574" t="s">
        <v>5575</v>
      </c>
      <c r="D2282" s="582">
        <v>0.88</v>
      </c>
    </row>
    <row r="2283" spans="1:4" x14ac:dyDescent="0.2">
      <c r="A2283" s="574">
        <v>937</v>
      </c>
      <c r="B2283" s="574" t="s">
        <v>7839</v>
      </c>
      <c r="C2283" s="574" t="s">
        <v>5575</v>
      </c>
      <c r="D2283" s="582">
        <v>5.47</v>
      </c>
    </row>
    <row r="2284" spans="1:4" x14ac:dyDescent="0.2">
      <c r="A2284" s="574">
        <v>939</v>
      </c>
      <c r="B2284" s="574" t="s">
        <v>7840</v>
      </c>
      <c r="C2284" s="574" t="s">
        <v>5575</v>
      </c>
      <c r="D2284" s="582">
        <v>1.41</v>
      </c>
    </row>
    <row r="2285" spans="1:4" x14ac:dyDescent="0.2">
      <c r="A2285" s="574">
        <v>944</v>
      </c>
      <c r="B2285" s="574" t="s">
        <v>7841</v>
      </c>
      <c r="C2285" s="574" t="s">
        <v>5575</v>
      </c>
      <c r="D2285" s="582">
        <v>2.42</v>
      </c>
    </row>
    <row r="2286" spans="1:4" x14ac:dyDescent="0.2">
      <c r="A2286" s="574">
        <v>940</v>
      </c>
      <c r="B2286" s="574" t="s">
        <v>7842</v>
      </c>
      <c r="C2286" s="574" t="s">
        <v>5575</v>
      </c>
      <c r="D2286" s="582">
        <v>3.34</v>
      </c>
    </row>
    <row r="2287" spans="1:4" x14ac:dyDescent="0.2">
      <c r="A2287" s="574">
        <v>936</v>
      </c>
      <c r="B2287" s="574" t="s">
        <v>7843</v>
      </c>
      <c r="C2287" s="574" t="s">
        <v>5575</v>
      </c>
      <c r="D2287" s="582">
        <v>1.07</v>
      </c>
    </row>
    <row r="2288" spans="1:4" x14ac:dyDescent="0.2">
      <c r="A2288" s="574">
        <v>935</v>
      </c>
      <c r="B2288" s="574" t="s">
        <v>7844</v>
      </c>
      <c r="C2288" s="574" t="s">
        <v>5575</v>
      </c>
      <c r="D2288" s="582">
        <v>0.81</v>
      </c>
    </row>
    <row r="2289" spans="1:4" x14ac:dyDescent="0.2">
      <c r="A2289" s="574">
        <v>406</v>
      </c>
      <c r="B2289" s="574" t="s">
        <v>7845</v>
      </c>
      <c r="C2289" s="574" t="s">
        <v>5555</v>
      </c>
      <c r="D2289" s="582">
        <v>72.38</v>
      </c>
    </row>
    <row r="2290" spans="1:4" x14ac:dyDescent="0.2">
      <c r="A2290" s="574">
        <v>42529</v>
      </c>
      <c r="B2290" s="574" t="s">
        <v>7846</v>
      </c>
      <c r="C2290" s="574" t="s">
        <v>5575</v>
      </c>
      <c r="D2290" s="582">
        <v>1.1299999999999999</v>
      </c>
    </row>
    <row r="2291" spans="1:4" x14ac:dyDescent="0.2">
      <c r="A2291" s="574">
        <v>39634</v>
      </c>
      <c r="B2291" s="574" t="s">
        <v>7847</v>
      </c>
      <c r="C2291" s="574" t="s">
        <v>5575</v>
      </c>
      <c r="D2291" s="582">
        <v>6.62</v>
      </c>
    </row>
    <row r="2292" spans="1:4" x14ac:dyDescent="0.2">
      <c r="A2292" s="574">
        <v>39701</v>
      </c>
      <c r="B2292" s="574" t="s">
        <v>7848</v>
      </c>
      <c r="C2292" s="574" t="s">
        <v>5555</v>
      </c>
      <c r="D2292" s="582">
        <v>61.24</v>
      </c>
    </row>
    <row r="2293" spans="1:4" x14ac:dyDescent="0.2">
      <c r="A2293" s="574">
        <v>12815</v>
      </c>
      <c r="B2293" s="574" t="s">
        <v>7849</v>
      </c>
      <c r="C2293" s="574" t="s">
        <v>5555</v>
      </c>
      <c r="D2293" s="582">
        <v>7.62</v>
      </c>
    </row>
    <row r="2294" spans="1:4" x14ac:dyDescent="0.2">
      <c r="A2294" s="574">
        <v>407</v>
      </c>
      <c r="B2294" s="574" t="s">
        <v>7850</v>
      </c>
      <c r="C2294" s="574" t="s">
        <v>5626</v>
      </c>
      <c r="D2294" s="582">
        <v>40.64</v>
      </c>
    </row>
    <row r="2295" spans="1:4" x14ac:dyDescent="0.2">
      <c r="A2295" s="574">
        <v>39431</v>
      </c>
      <c r="B2295" s="574" t="s">
        <v>7851</v>
      </c>
      <c r="C2295" s="574" t="s">
        <v>5575</v>
      </c>
      <c r="D2295" s="582">
        <v>0.23</v>
      </c>
    </row>
    <row r="2296" spans="1:4" x14ac:dyDescent="0.2">
      <c r="A2296" s="574">
        <v>39432</v>
      </c>
      <c r="B2296" s="574" t="s">
        <v>7852</v>
      </c>
      <c r="C2296" s="574" t="s">
        <v>5575</v>
      </c>
      <c r="D2296" s="582">
        <v>2.96</v>
      </c>
    </row>
    <row r="2297" spans="1:4" x14ac:dyDescent="0.2">
      <c r="A2297" s="574">
        <v>20111</v>
      </c>
      <c r="B2297" s="574" t="s">
        <v>7853</v>
      </c>
      <c r="C2297" s="574" t="s">
        <v>5555</v>
      </c>
      <c r="D2297" s="582">
        <v>9.48</v>
      </c>
    </row>
    <row r="2298" spans="1:4" x14ac:dyDescent="0.2">
      <c r="A2298" s="574">
        <v>21127</v>
      </c>
      <c r="B2298" s="574" t="s">
        <v>7854</v>
      </c>
      <c r="C2298" s="574" t="s">
        <v>5555</v>
      </c>
      <c r="D2298" s="582">
        <v>3.58</v>
      </c>
    </row>
    <row r="2299" spans="1:4" x14ac:dyDescent="0.2">
      <c r="A2299" s="574">
        <v>404</v>
      </c>
      <c r="B2299" s="574" t="s">
        <v>7855</v>
      </c>
      <c r="C2299" s="574" t="s">
        <v>5575</v>
      </c>
      <c r="D2299" s="582">
        <v>1.29</v>
      </c>
    </row>
    <row r="2300" spans="1:4" x14ac:dyDescent="0.2">
      <c r="A2300" s="574">
        <v>14151</v>
      </c>
      <c r="B2300" s="574" t="s">
        <v>7856</v>
      </c>
      <c r="C2300" s="574" t="s">
        <v>5555</v>
      </c>
      <c r="D2300" s="582">
        <v>41.54</v>
      </c>
    </row>
    <row r="2301" spans="1:4" x14ac:dyDescent="0.2">
      <c r="A2301" s="574">
        <v>14153</v>
      </c>
      <c r="B2301" s="574" t="s">
        <v>7857</v>
      </c>
      <c r="C2301" s="574" t="s">
        <v>5555</v>
      </c>
      <c r="D2301" s="582">
        <v>46.96</v>
      </c>
    </row>
    <row r="2302" spans="1:4" x14ac:dyDescent="0.2">
      <c r="A2302" s="574">
        <v>14152</v>
      </c>
      <c r="B2302" s="574" t="s">
        <v>7858</v>
      </c>
      <c r="C2302" s="574" t="s">
        <v>5555</v>
      </c>
      <c r="D2302" s="582">
        <v>36.049999999999997</v>
      </c>
    </row>
    <row r="2303" spans="1:4" x14ac:dyDescent="0.2">
      <c r="A2303" s="574">
        <v>14154</v>
      </c>
      <c r="B2303" s="574" t="s">
        <v>7859</v>
      </c>
      <c r="C2303" s="574" t="s">
        <v>5555</v>
      </c>
      <c r="D2303" s="582">
        <v>126.18</v>
      </c>
    </row>
    <row r="2304" spans="1:4" x14ac:dyDescent="0.2">
      <c r="A2304" s="574">
        <v>42015</v>
      </c>
      <c r="B2304" s="574" t="s">
        <v>7860</v>
      </c>
      <c r="C2304" s="574" t="s">
        <v>5575</v>
      </c>
      <c r="D2304" s="582">
        <v>0.08</v>
      </c>
    </row>
    <row r="2305" spans="1:4" x14ac:dyDescent="0.2">
      <c r="A2305" s="574">
        <v>3146</v>
      </c>
      <c r="B2305" s="574" t="s">
        <v>7861</v>
      </c>
      <c r="C2305" s="574" t="s">
        <v>5555</v>
      </c>
      <c r="D2305" s="582">
        <v>3.4</v>
      </c>
    </row>
    <row r="2306" spans="1:4" x14ac:dyDescent="0.2">
      <c r="A2306" s="574">
        <v>3143</v>
      </c>
      <c r="B2306" s="574" t="s">
        <v>7862</v>
      </c>
      <c r="C2306" s="574" t="s">
        <v>5555</v>
      </c>
      <c r="D2306" s="582">
        <v>7.73</v>
      </c>
    </row>
    <row r="2307" spans="1:4" x14ac:dyDescent="0.2">
      <c r="A2307" s="574">
        <v>3148</v>
      </c>
      <c r="B2307" s="574" t="s">
        <v>7863</v>
      </c>
      <c r="C2307" s="574" t="s">
        <v>5555</v>
      </c>
      <c r="D2307" s="582">
        <v>12.54</v>
      </c>
    </row>
    <row r="2308" spans="1:4" x14ac:dyDescent="0.2">
      <c r="A2308" s="574">
        <v>4310</v>
      </c>
      <c r="B2308" s="574" t="s">
        <v>7864</v>
      </c>
      <c r="C2308" s="574" t="s">
        <v>5555</v>
      </c>
      <c r="D2308" s="582">
        <v>1.84</v>
      </c>
    </row>
    <row r="2309" spans="1:4" x14ac:dyDescent="0.2">
      <c r="A2309" s="574">
        <v>4311</v>
      </c>
      <c r="B2309" s="574" t="s">
        <v>7865</v>
      </c>
      <c r="C2309" s="574" t="s">
        <v>5555</v>
      </c>
      <c r="D2309" s="582">
        <v>1.3</v>
      </c>
    </row>
    <row r="2310" spans="1:4" x14ac:dyDescent="0.2">
      <c r="A2310" s="574">
        <v>4312</v>
      </c>
      <c r="B2310" s="574" t="s">
        <v>7866</v>
      </c>
      <c r="C2310" s="574" t="s">
        <v>5555</v>
      </c>
      <c r="D2310" s="582">
        <v>1.82</v>
      </c>
    </row>
    <row r="2311" spans="1:4" x14ac:dyDescent="0.2">
      <c r="A2311" s="574">
        <v>13261</v>
      </c>
      <c r="B2311" s="574" t="s">
        <v>7868</v>
      </c>
      <c r="C2311" s="574" t="s">
        <v>5555</v>
      </c>
      <c r="D2311" s="582">
        <v>1.42</v>
      </c>
    </row>
    <row r="2312" spans="1:4" x14ac:dyDescent="0.2">
      <c r="A2312" s="574">
        <v>3255</v>
      </c>
      <c r="B2312" s="574" t="s">
        <v>7869</v>
      </c>
      <c r="C2312" s="574" t="s">
        <v>5555</v>
      </c>
      <c r="D2312" s="582">
        <v>6.14</v>
      </c>
    </row>
    <row r="2313" spans="1:4" x14ac:dyDescent="0.2">
      <c r="A2313" s="574">
        <v>3254</v>
      </c>
      <c r="B2313" s="574" t="s">
        <v>7870</v>
      </c>
      <c r="C2313" s="574" t="s">
        <v>5555</v>
      </c>
      <c r="D2313" s="582">
        <v>99.75</v>
      </c>
    </row>
    <row r="2314" spans="1:4" x14ac:dyDescent="0.2">
      <c r="A2314" s="574">
        <v>3259</v>
      </c>
      <c r="B2314" s="574" t="s">
        <v>7871</v>
      </c>
      <c r="C2314" s="574" t="s">
        <v>5555</v>
      </c>
      <c r="D2314" s="582">
        <v>11.99</v>
      </c>
    </row>
    <row r="2315" spans="1:4" x14ac:dyDescent="0.2">
      <c r="A2315" s="574">
        <v>3258</v>
      </c>
      <c r="B2315" s="574" t="s">
        <v>7872</v>
      </c>
      <c r="C2315" s="574" t="s">
        <v>5555</v>
      </c>
      <c r="D2315" s="582">
        <v>7.24</v>
      </c>
    </row>
    <row r="2316" spans="1:4" x14ac:dyDescent="0.2">
      <c r="A2316" s="574">
        <v>3251</v>
      </c>
      <c r="B2316" s="574" t="s">
        <v>7873</v>
      </c>
      <c r="C2316" s="574" t="s">
        <v>5555</v>
      </c>
      <c r="D2316" s="582">
        <v>4.2699999999999996</v>
      </c>
    </row>
    <row r="2317" spans="1:4" x14ac:dyDescent="0.2">
      <c r="A2317" s="574">
        <v>3256</v>
      </c>
      <c r="B2317" s="574" t="s">
        <v>7874</v>
      </c>
      <c r="C2317" s="574" t="s">
        <v>5555</v>
      </c>
      <c r="D2317" s="582">
        <v>8.09</v>
      </c>
    </row>
    <row r="2318" spans="1:4" x14ac:dyDescent="0.2">
      <c r="A2318" s="574">
        <v>3261</v>
      </c>
      <c r="B2318" s="574" t="s">
        <v>7875</v>
      </c>
      <c r="C2318" s="574" t="s">
        <v>5555</v>
      </c>
      <c r="D2318" s="582">
        <v>88.22</v>
      </c>
    </row>
    <row r="2319" spans="1:4" x14ac:dyDescent="0.2">
      <c r="A2319" s="574">
        <v>3260</v>
      </c>
      <c r="B2319" s="574" t="s">
        <v>7876</v>
      </c>
      <c r="C2319" s="574" t="s">
        <v>5555</v>
      </c>
      <c r="D2319" s="582">
        <v>15.15</v>
      </c>
    </row>
    <row r="2320" spans="1:4" x14ac:dyDescent="0.2">
      <c r="A2320" s="574">
        <v>3272</v>
      </c>
      <c r="B2320" s="574" t="s">
        <v>7877</v>
      </c>
      <c r="C2320" s="574" t="s">
        <v>5555</v>
      </c>
      <c r="D2320" s="582">
        <v>31.76</v>
      </c>
    </row>
    <row r="2321" spans="1:4" x14ac:dyDescent="0.2">
      <c r="A2321" s="574">
        <v>3265</v>
      </c>
      <c r="B2321" s="574" t="s">
        <v>7878</v>
      </c>
      <c r="C2321" s="574" t="s">
        <v>5555</v>
      </c>
      <c r="D2321" s="582">
        <v>25.23</v>
      </c>
    </row>
    <row r="2322" spans="1:4" x14ac:dyDescent="0.2">
      <c r="A2322" s="574">
        <v>3262</v>
      </c>
      <c r="B2322" s="574" t="s">
        <v>7879</v>
      </c>
      <c r="C2322" s="574" t="s">
        <v>5555</v>
      </c>
      <c r="D2322" s="582">
        <v>11.04</v>
      </c>
    </row>
    <row r="2323" spans="1:4" x14ac:dyDescent="0.2">
      <c r="A2323" s="574">
        <v>3264</v>
      </c>
      <c r="B2323" s="574" t="s">
        <v>7880</v>
      </c>
      <c r="C2323" s="574" t="s">
        <v>5555</v>
      </c>
      <c r="D2323" s="582">
        <v>18.14</v>
      </c>
    </row>
    <row r="2324" spans="1:4" x14ac:dyDescent="0.2">
      <c r="A2324" s="574">
        <v>3267</v>
      </c>
      <c r="B2324" s="574" t="s">
        <v>7881</v>
      </c>
      <c r="C2324" s="574" t="s">
        <v>5555</v>
      </c>
      <c r="D2324" s="582">
        <v>59.25</v>
      </c>
    </row>
    <row r="2325" spans="1:4" x14ac:dyDescent="0.2">
      <c r="A2325" s="574">
        <v>3266</v>
      </c>
      <c r="B2325" s="574" t="s">
        <v>7882</v>
      </c>
      <c r="C2325" s="574" t="s">
        <v>5555</v>
      </c>
      <c r="D2325" s="582">
        <v>37.700000000000003</v>
      </c>
    </row>
    <row r="2326" spans="1:4" x14ac:dyDescent="0.2">
      <c r="A2326" s="574">
        <v>3263</v>
      </c>
      <c r="B2326" s="574" t="s">
        <v>7883</v>
      </c>
      <c r="C2326" s="574" t="s">
        <v>5555</v>
      </c>
      <c r="D2326" s="582">
        <v>15.09</v>
      </c>
    </row>
    <row r="2327" spans="1:4" x14ac:dyDescent="0.2">
      <c r="A2327" s="574">
        <v>3268</v>
      </c>
      <c r="B2327" s="574" t="s">
        <v>7884</v>
      </c>
      <c r="C2327" s="574" t="s">
        <v>5555</v>
      </c>
      <c r="D2327" s="582">
        <v>80.12</v>
      </c>
    </row>
    <row r="2328" spans="1:4" x14ac:dyDescent="0.2">
      <c r="A2328" s="574">
        <v>3271</v>
      </c>
      <c r="B2328" s="574" t="s">
        <v>7885</v>
      </c>
      <c r="C2328" s="574" t="s">
        <v>5555</v>
      </c>
      <c r="D2328" s="582">
        <v>118.44</v>
      </c>
    </row>
    <row r="2329" spans="1:4" x14ac:dyDescent="0.2">
      <c r="A2329" s="574">
        <v>3270</v>
      </c>
      <c r="B2329" s="574" t="s">
        <v>7886</v>
      </c>
      <c r="C2329" s="574" t="s">
        <v>5555</v>
      </c>
      <c r="D2329" s="582">
        <v>199</v>
      </c>
    </row>
    <row r="2330" spans="1:4" x14ac:dyDescent="0.2">
      <c r="A2330" s="574">
        <v>3275</v>
      </c>
      <c r="B2330" s="574" t="s">
        <v>7887</v>
      </c>
      <c r="C2330" s="574" t="s">
        <v>5564</v>
      </c>
      <c r="D2330" s="582">
        <v>73.05</v>
      </c>
    </row>
    <row r="2331" spans="1:4" x14ac:dyDescent="0.2">
      <c r="A2331" s="574">
        <v>39512</v>
      </c>
      <c r="B2331" s="574" t="s">
        <v>7888</v>
      </c>
      <c r="C2331" s="574" t="s">
        <v>5564</v>
      </c>
      <c r="D2331" s="582">
        <v>95.24</v>
      </c>
    </row>
    <row r="2332" spans="1:4" x14ac:dyDescent="0.2">
      <c r="A2332" s="574">
        <v>39511</v>
      </c>
      <c r="B2332" s="574" t="s">
        <v>7889</v>
      </c>
      <c r="C2332" s="574" t="s">
        <v>5564</v>
      </c>
      <c r="D2332" s="582">
        <v>103.88</v>
      </c>
    </row>
    <row r="2333" spans="1:4" x14ac:dyDescent="0.2">
      <c r="A2333" s="574">
        <v>39513</v>
      </c>
      <c r="B2333" s="574" t="s">
        <v>7890</v>
      </c>
      <c r="C2333" s="574" t="s">
        <v>5564</v>
      </c>
      <c r="D2333" s="582">
        <v>111.42</v>
      </c>
    </row>
    <row r="2334" spans="1:4" x14ac:dyDescent="0.2">
      <c r="A2334" s="574">
        <v>3286</v>
      </c>
      <c r="B2334" s="574" t="s">
        <v>7891</v>
      </c>
      <c r="C2334" s="574" t="s">
        <v>5564</v>
      </c>
      <c r="D2334" s="582">
        <v>44.73</v>
      </c>
    </row>
    <row r="2335" spans="1:4" x14ac:dyDescent="0.2">
      <c r="A2335" s="574">
        <v>3287</v>
      </c>
      <c r="B2335" s="574" t="s">
        <v>7892</v>
      </c>
      <c r="C2335" s="574" t="s">
        <v>5564</v>
      </c>
      <c r="D2335" s="582">
        <v>67.599999999999994</v>
      </c>
    </row>
    <row r="2336" spans="1:4" x14ac:dyDescent="0.2">
      <c r="A2336" s="574">
        <v>3283</v>
      </c>
      <c r="B2336" s="574" t="s">
        <v>7893</v>
      </c>
      <c r="C2336" s="574" t="s">
        <v>5564</v>
      </c>
      <c r="D2336" s="582">
        <v>14.2</v>
      </c>
    </row>
    <row r="2337" spans="1:4" x14ac:dyDescent="0.2">
      <c r="A2337" s="574">
        <v>11587</v>
      </c>
      <c r="B2337" s="574" t="s">
        <v>7894</v>
      </c>
      <c r="C2337" s="574" t="s">
        <v>5564</v>
      </c>
      <c r="D2337" s="582">
        <v>50.09</v>
      </c>
    </row>
    <row r="2338" spans="1:4" x14ac:dyDescent="0.2">
      <c r="A2338" s="574">
        <v>36225</v>
      </c>
      <c r="B2338" s="574" t="s">
        <v>7895</v>
      </c>
      <c r="C2338" s="574" t="s">
        <v>5564</v>
      </c>
      <c r="D2338" s="582">
        <v>20.350000000000001</v>
      </c>
    </row>
    <row r="2339" spans="1:4" x14ac:dyDescent="0.2">
      <c r="A2339" s="574">
        <v>36230</v>
      </c>
      <c r="B2339" s="574" t="s">
        <v>7896</v>
      </c>
      <c r="C2339" s="574" t="s">
        <v>5564</v>
      </c>
      <c r="D2339" s="582">
        <v>14.95</v>
      </c>
    </row>
    <row r="2340" spans="1:4" x14ac:dyDescent="0.2">
      <c r="A2340" s="574">
        <v>36238</v>
      </c>
      <c r="B2340" s="574" t="s">
        <v>7897</v>
      </c>
      <c r="C2340" s="574" t="s">
        <v>5564</v>
      </c>
      <c r="D2340" s="582">
        <v>14.61</v>
      </c>
    </row>
    <row r="2341" spans="1:4" x14ac:dyDescent="0.2">
      <c r="A2341" s="574">
        <v>39363</v>
      </c>
      <c r="B2341" s="574" t="s">
        <v>7906</v>
      </c>
      <c r="C2341" s="574" t="s">
        <v>5555</v>
      </c>
      <c r="D2341" s="583">
        <v>3434.07</v>
      </c>
    </row>
    <row r="2342" spans="1:4" x14ac:dyDescent="0.2">
      <c r="A2342" s="574">
        <v>39361</v>
      </c>
      <c r="B2342" s="574" t="s">
        <v>7907</v>
      </c>
      <c r="C2342" s="574" t="s">
        <v>5555</v>
      </c>
      <c r="D2342" s="582">
        <v>883.04</v>
      </c>
    </row>
    <row r="2343" spans="1:4" x14ac:dyDescent="0.2">
      <c r="A2343" s="574">
        <v>39362</v>
      </c>
      <c r="B2343" s="574" t="s">
        <v>7908</v>
      </c>
      <c r="C2343" s="574" t="s">
        <v>5555</v>
      </c>
      <c r="D2343" s="583">
        <v>2717.36</v>
      </c>
    </row>
    <row r="2344" spans="1:4" x14ac:dyDescent="0.2">
      <c r="A2344" s="574">
        <v>39364</v>
      </c>
      <c r="B2344" s="574" t="s">
        <v>7909</v>
      </c>
      <c r="C2344" s="574" t="s">
        <v>5555</v>
      </c>
      <c r="D2344" s="583">
        <v>7849.31</v>
      </c>
    </row>
    <row r="2345" spans="1:4" x14ac:dyDescent="0.2">
      <c r="A2345" s="574">
        <v>14576</v>
      </c>
      <c r="B2345" s="574" t="s">
        <v>7910</v>
      </c>
      <c r="C2345" s="574" t="s">
        <v>5555</v>
      </c>
      <c r="D2345" s="583">
        <v>4494313.1100000003</v>
      </c>
    </row>
    <row r="2346" spans="1:4" x14ac:dyDescent="0.2">
      <c r="A2346" s="574">
        <v>13877</v>
      </c>
      <c r="B2346" s="574" t="s">
        <v>7911</v>
      </c>
      <c r="C2346" s="574" t="s">
        <v>5555</v>
      </c>
      <c r="D2346" s="583">
        <v>1923948.41</v>
      </c>
    </row>
    <row r="2347" spans="1:4" x14ac:dyDescent="0.2">
      <c r="A2347" s="574">
        <v>7307</v>
      </c>
      <c r="B2347" s="574" t="s">
        <v>7912</v>
      </c>
      <c r="C2347" s="574" t="s">
        <v>5628</v>
      </c>
      <c r="D2347" s="582">
        <v>23.66</v>
      </c>
    </row>
    <row r="2348" spans="1:4" x14ac:dyDescent="0.2">
      <c r="A2348" s="574">
        <v>38122</v>
      </c>
      <c r="B2348" s="574" t="s">
        <v>7913</v>
      </c>
      <c r="C2348" s="574" t="s">
        <v>5628</v>
      </c>
      <c r="D2348" s="582">
        <v>8.7100000000000009</v>
      </c>
    </row>
    <row r="2349" spans="1:4" x14ac:dyDescent="0.2">
      <c r="A2349" s="574">
        <v>38633</v>
      </c>
      <c r="B2349" s="574" t="s">
        <v>7916</v>
      </c>
      <c r="C2349" s="574" t="s">
        <v>5555</v>
      </c>
      <c r="D2349" s="582">
        <v>20.73</v>
      </c>
    </row>
    <row r="2350" spans="1:4" x14ac:dyDescent="0.2">
      <c r="A2350" s="574">
        <v>12344</v>
      </c>
      <c r="B2350" s="574" t="s">
        <v>7917</v>
      </c>
      <c r="C2350" s="574" t="s">
        <v>5555</v>
      </c>
      <c r="D2350" s="582">
        <v>2.4300000000000002</v>
      </c>
    </row>
    <row r="2351" spans="1:4" x14ac:dyDescent="0.2">
      <c r="A2351" s="574">
        <v>12343</v>
      </c>
      <c r="B2351" s="574" t="s">
        <v>7918</v>
      </c>
      <c r="C2351" s="574" t="s">
        <v>5555</v>
      </c>
      <c r="D2351" s="582">
        <v>3.76</v>
      </c>
    </row>
    <row r="2352" spans="1:4" x14ac:dyDescent="0.2">
      <c r="A2352" s="574">
        <v>3295</v>
      </c>
      <c r="B2352" s="574" t="s">
        <v>7919</v>
      </c>
      <c r="C2352" s="574" t="s">
        <v>5555</v>
      </c>
      <c r="D2352" s="582">
        <v>13.15</v>
      </c>
    </row>
    <row r="2353" spans="1:4" x14ac:dyDescent="0.2">
      <c r="A2353" s="574">
        <v>3302</v>
      </c>
      <c r="B2353" s="574" t="s">
        <v>7920</v>
      </c>
      <c r="C2353" s="574" t="s">
        <v>5555</v>
      </c>
      <c r="D2353" s="582">
        <v>13.75</v>
      </c>
    </row>
    <row r="2354" spans="1:4" x14ac:dyDescent="0.2">
      <c r="A2354" s="574">
        <v>3297</v>
      </c>
      <c r="B2354" s="574" t="s">
        <v>7921</v>
      </c>
      <c r="C2354" s="574" t="s">
        <v>5555</v>
      </c>
      <c r="D2354" s="582">
        <v>14.68</v>
      </c>
    </row>
    <row r="2355" spans="1:4" x14ac:dyDescent="0.2">
      <c r="A2355" s="574">
        <v>3294</v>
      </c>
      <c r="B2355" s="574" t="s">
        <v>7922</v>
      </c>
      <c r="C2355" s="574" t="s">
        <v>5555</v>
      </c>
      <c r="D2355" s="582">
        <v>14.9</v>
      </c>
    </row>
    <row r="2356" spans="1:4" x14ac:dyDescent="0.2">
      <c r="A2356" s="574">
        <v>3292</v>
      </c>
      <c r="B2356" s="574" t="s">
        <v>7923</v>
      </c>
      <c r="C2356" s="574" t="s">
        <v>5555</v>
      </c>
      <c r="D2356" s="582">
        <v>14</v>
      </c>
    </row>
    <row r="2357" spans="1:4" x14ac:dyDescent="0.2">
      <c r="A2357" s="574">
        <v>3298</v>
      </c>
      <c r="B2357" s="574" t="s">
        <v>7924</v>
      </c>
      <c r="C2357" s="574" t="s">
        <v>5555</v>
      </c>
      <c r="D2357" s="582">
        <v>32.81</v>
      </c>
    </row>
    <row r="2358" spans="1:4" x14ac:dyDescent="0.2">
      <c r="A2358" s="574">
        <v>11596</v>
      </c>
      <c r="B2358" s="574" t="s">
        <v>7925</v>
      </c>
      <c r="C2358" s="574" t="s">
        <v>5555</v>
      </c>
      <c r="D2358" s="582">
        <v>427.37</v>
      </c>
    </row>
    <row r="2359" spans="1:4" x14ac:dyDescent="0.2">
      <c r="A2359" s="574">
        <v>34802</v>
      </c>
      <c r="B2359" s="574" t="s">
        <v>7926</v>
      </c>
      <c r="C2359" s="574" t="s">
        <v>5555</v>
      </c>
      <c r="D2359" s="583">
        <v>1173.69</v>
      </c>
    </row>
    <row r="2360" spans="1:4" x14ac:dyDescent="0.2">
      <c r="A2360" s="574">
        <v>11588</v>
      </c>
      <c r="B2360" s="574" t="s">
        <v>7927</v>
      </c>
      <c r="C2360" s="574" t="s">
        <v>5555</v>
      </c>
      <c r="D2360" s="583">
        <v>1266.23</v>
      </c>
    </row>
    <row r="2361" spans="1:4" x14ac:dyDescent="0.2">
      <c r="A2361" s="574">
        <v>34383</v>
      </c>
      <c r="B2361" s="574" t="s">
        <v>7928</v>
      </c>
      <c r="C2361" s="574" t="s">
        <v>5555</v>
      </c>
      <c r="D2361" s="583">
        <v>1392.94</v>
      </c>
    </row>
    <row r="2362" spans="1:4" x14ac:dyDescent="0.2">
      <c r="A2362" s="574">
        <v>40451</v>
      </c>
      <c r="B2362" s="574" t="s">
        <v>7929</v>
      </c>
      <c r="C2362" s="574" t="s">
        <v>5564</v>
      </c>
      <c r="D2362" s="582">
        <v>112.6</v>
      </c>
    </row>
    <row r="2363" spans="1:4" x14ac:dyDescent="0.2">
      <c r="A2363" s="574">
        <v>40453</v>
      </c>
      <c r="B2363" s="574" t="s">
        <v>7930</v>
      </c>
      <c r="C2363" s="574" t="s">
        <v>5564</v>
      </c>
      <c r="D2363" s="582">
        <v>121.83</v>
      </c>
    </row>
    <row r="2364" spans="1:4" x14ac:dyDescent="0.2">
      <c r="A2364" s="574">
        <v>40452</v>
      </c>
      <c r="B2364" s="574" t="s">
        <v>7931</v>
      </c>
      <c r="C2364" s="574" t="s">
        <v>5564</v>
      </c>
      <c r="D2364" s="582">
        <v>133.63</v>
      </c>
    </row>
    <row r="2365" spans="1:4" x14ac:dyDescent="0.2">
      <c r="A2365" s="574">
        <v>11594</v>
      </c>
      <c r="B2365" s="574" t="s">
        <v>7932</v>
      </c>
      <c r="C2365" s="574" t="s">
        <v>5555</v>
      </c>
      <c r="D2365" s="582">
        <v>403.58</v>
      </c>
    </row>
    <row r="2366" spans="1:4" x14ac:dyDescent="0.2">
      <c r="A2366" s="574">
        <v>3311</v>
      </c>
      <c r="B2366" s="574" t="s">
        <v>7933</v>
      </c>
      <c r="C2366" s="574" t="s">
        <v>5751</v>
      </c>
      <c r="D2366" s="582">
        <v>403.58</v>
      </c>
    </row>
    <row r="2367" spans="1:4" x14ac:dyDescent="0.2">
      <c r="A2367" s="574">
        <v>11599</v>
      </c>
      <c r="B2367" s="574" t="s">
        <v>7934</v>
      </c>
      <c r="C2367" s="574" t="s">
        <v>5555</v>
      </c>
      <c r="D2367" s="582">
        <v>536.72</v>
      </c>
    </row>
    <row r="2368" spans="1:4" x14ac:dyDescent="0.2">
      <c r="A2368" s="574">
        <v>11593</v>
      </c>
      <c r="B2368" s="574" t="s">
        <v>7935</v>
      </c>
      <c r="C2368" s="574" t="s">
        <v>5555</v>
      </c>
      <c r="D2368" s="582">
        <v>752.44</v>
      </c>
    </row>
    <row r="2369" spans="1:4" x14ac:dyDescent="0.2">
      <c r="A2369" s="574">
        <v>3314</v>
      </c>
      <c r="B2369" s="574" t="s">
        <v>7936</v>
      </c>
      <c r="C2369" s="574" t="s">
        <v>5751</v>
      </c>
      <c r="D2369" s="582">
        <v>538.15</v>
      </c>
    </row>
    <row r="2370" spans="1:4" x14ac:dyDescent="0.2">
      <c r="A2370" s="574">
        <v>11597</v>
      </c>
      <c r="B2370" s="574" t="s">
        <v>7937</v>
      </c>
      <c r="C2370" s="574" t="s">
        <v>5555</v>
      </c>
      <c r="D2370" s="582">
        <v>625.79999999999995</v>
      </c>
    </row>
    <row r="2371" spans="1:4" x14ac:dyDescent="0.2">
      <c r="A2371" s="574">
        <v>3309</v>
      </c>
      <c r="B2371" s="574" t="s">
        <v>7938</v>
      </c>
      <c r="C2371" s="574" t="s">
        <v>5751</v>
      </c>
      <c r="D2371" s="582">
        <v>427.37</v>
      </c>
    </row>
    <row r="2372" spans="1:4" x14ac:dyDescent="0.2">
      <c r="A2372" s="574">
        <v>34612</v>
      </c>
      <c r="B2372" s="574" t="s">
        <v>7939</v>
      </c>
      <c r="C2372" s="574" t="s">
        <v>5555</v>
      </c>
      <c r="D2372" s="582">
        <v>774.01</v>
      </c>
    </row>
    <row r="2373" spans="1:4" x14ac:dyDescent="0.2">
      <c r="A2373" s="574">
        <v>34635</v>
      </c>
      <c r="B2373" s="574" t="s">
        <v>7940</v>
      </c>
      <c r="C2373" s="574" t="s">
        <v>5555</v>
      </c>
      <c r="D2373" s="582">
        <v>995.34</v>
      </c>
    </row>
    <row r="2374" spans="1:4" x14ac:dyDescent="0.2">
      <c r="A2374" s="574">
        <v>34633</v>
      </c>
      <c r="B2374" s="574" t="s">
        <v>7941</v>
      </c>
      <c r="C2374" s="574" t="s">
        <v>5555</v>
      </c>
      <c r="D2374" s="583">
        <v>1097.1300000000001</v>
      </c>
    </row>
    <row r="2375" spans="1:4" x14ac:dyDescent="0.2">
      <c r="A2375" s="574">
        <v>40440</v>
      </c>
      <c r="B2375" s="574" t="s">
        <v>7942</v>
      </c>
      <c r="C2375" s="574" t="s">
        <v>5751</v>
      </c>
      <c r="D2375" s="582">
        <v>560.54</v>
      </c>
    </row>
    <row r="2376" spans="1:4" x14ac:dyDescent="0.2">
      <c r="A2376" s="574">
        <v>40441</v>
      </c>
      <c r="B2376" s="574" t="s">
        <v>7943</v>
      </c>
      <c r="C2376" s="574" t="s">
        <v>5751</v>
      </c>
      <c r="D2376" s="582">
        <v>357.87</v>
      </c>
    </row>
    <row r="2377" spans="1:4" x14ac:dyDescent="0.2">
      <c r="A2377" s="574">
        <v>40449</v>
      </c>
      <c r="B2377" s="574" t="s">
        <v>7944</v>
      </c>
      <c r="C2377" s="574" t="s">
        <v>5751</v>
      </c>
      <c r="D2377" s="582">
        <v>300.85000000000002</v>
      </c>
    </row>
    <row r="2378" spans="1:4" x14ac:dyDescent="0.2">
      <c r="A2378" s="574">
        <v>34800</v>
      </c>
      <c r="B2378" s="574" t="s">
        <v>7945</v>
      </c>
      <c r="C2378" s="574" t="s">
        <v>5751</v>
      </c>
      <c r="D2378" s="582">
        <v>376.22</v>
      </c>
    </row>
    <row r="2379" spans="1:4" x14ac:dyDescent="0.2">
      <c r="A2379" s="574">
        <v>11592</v>
      </c>
      <c r="B2379" s="574" t="s">
        <v>7946</v>
      </c>
      <c r="C2379" s="574" t="s">
        <v>5555</v>
      </c>
      <c r="D2379" s="582">
        <v>538.15</v>
      </c>
    </row>
    <row r="2380" spans="1:4" x14ac:dyDescent="0.2">
      <c r="A2380" s="574">
        <v>40438</v>
      </c>
      <c r="B2380" s="574" t="s">
        <v>7947</v>
      </c>
      <c r="C2380" s="574" t="s">
        <v>5751</v>
      </c>
      <c r="D2380" s="582">
        <v>250.64</v>
      </c>
    </row>
    <row r="2381" spans="1:4" x14ac:dyDescent="0.2">
      <c r="A2381" s="574">
        <v>40436</v>
      </c>
      <c r="B2381" s="574" t="s">
        <v>7948</v>
      </c>
      <c r="C2381" s="574" t="s">
        <v>5751</v>
      </c>
      <c r="D2381" s="582">
        <v>312.52999999999997</v>
      </c>
    </row>
    <row r="2382" spans="1:4" x14ac:dyDescent="0.2">
      <c r="A2382" s="574">
        <v>4315</v>
      </c>
      <c r="B2382" s="574" t="s">
        <v>7949</v>
      </c>
      <c r="C2382" s="574" t="s">
        <v>5555</v>
      </c>
      <c r="D2382" s="582">
        <v>1.34</v>
      </c>
    </row>
    <row r="2383" spans="1:4" x14ac:dyDescent="0.2">
      <c r="A2383" s="574">
        <v>42482</v>
      </c>
      <c r="B2383" s="574" t="s">
        <v>7950</v>
      </c>
      <c r="C2383" s="574" t="s">
        <v>5555</v>
      </c>
      <c r="D2383" s="582">
        <v>1.78</v>
      </c>
    </row>
    <row r="2384" spans="1:4" x14ac:dyDescent="0.2">
      <c r="A2384" s="574">
        <v>402</v>
      </c>
      <c r="B2384" s="574" t="s">
        <v>7951</v>
      </c>
      <c r="C2384" s="574" t="s">
        <v>5555</v>
      </c>
      <c r="D2384" s="582">
        <v>9.0399999999999991</v>
      </c>
    </row>
    <row r="2385" spans="1:4" x14ac:dyDescent="0.2">
      <c r="A2385" s="574">
        <v>4226</v>
      </c>
      <c r="B2385" s="574" t="s">
        <v>7952</v>
      </c>
      <c r="C2385" s="574" t="s">
        <v>5626</v>
      </c>
      <c r="D2385" s="582">
        <v>6.33</v>
      </c>
    </row>
    <row r="2386" spans="1:4" x14ac:dyDescent="0.2">
      <c r="A2386" s="574">
        <v>4222</v>
      </c>
      <c r="B2386" s="574" t="s">
        <v>7953</v>
      </c>
      <c r="C2386" s="574" t="s">
        <v>5628</v>
      </c>
      <c r="D2386" s="582">
        <v>4.18</v>
      </c>
    </row>
    <row r="2387" spans="1:4" x14ac:dyDescent="0.2">
      <c r="A2387" s="574">
        <v>34804</v>
      </c>
      <c r="B2387" s="574" t="s">
        <v>7954</v>
      </c>
      <c r="C2387" s="574" t="s">
        <v>5564</v>
      </c>
      <c r="D2387" s="582">
        <v>45.43</v>
      </c>
    </row>
    <row r="2388" spans="1:4" x14ac:dyDescent="0.2">
      <c r="A2388" s="574">
        <v>4013</v>
      </c>
      <c r="B2388" s="574" t="s">
        <v>7955</v>
      </c>
      <c r="C2388" s="574" t="s">
        <v>5564</v>
      </c>
      <c r="D2388" s="582">
        <v>4.32</v>
      </c>
    </row>
    <row r="2389" spans="1:4" x14ac:dyDescent="0.2">
      <c r="A2389" s="574">
        <v>4011</v>
      </c>
      <c r="B2389" s="574" t="s">
        <v>7956</v>
      </c>
      <c r="C2389" s="574" t="s">
        <v>5564</v>
      </c>
      <c r="D2389" s="582">
        <v>4.82</v>
      </c>
    </row>
    <row r="2390" spans="1:4" x14ac:dyDescent="0.2">
      <c r="A2390" s="574">
        <v>4021</v>
      </c>
      <c r="B2390" s="574" t="s">
        <v>7957</v>
      </c>
      <c r="C2390" s="574" t="s">
        <v>5564</v>
      </c>
      <c r="D2390" s="582">
        <v>6.01</v>
      </c>
    </row>
    <row r="2391" spans="1:4" x14ac:dyDescent="0.2">
      <c r="A2391" s="574">
        <v>4019</v>
      </c>
      <c r="B2391" s="574" t="s">
        <v>7958</v>
      </c>
      <c r="C2391" s="574" t="s">
        <v>5564</v>
      </c>
      <c r="D2391" s="582">
        <v>7.22</v>
      </c>
    </row>
    <row r="2392" spans="1:4" x14ac:dyDescent="0.2">
      <c r="A2392" s="574">
        <v>4012</v>
      </c>
      <c r="B2392" s="574" t="s">
        <v>7959</v>
      </c>
      <c r="C2392" s="574" t="s">
        <v>5564</v>
      </c>
      <c r="D2392" s="582">
        <v>9.68</v>
      </c>
    </row>
    <row r="2393" spans="1:4" x14ac:dyDescent="0.2">
      <c r="A2393" s="574">
        <v>4020</v>
      </c>
      <c r="B2393" s="574" t="s">
        <v>7960</v>
      </c>
      <c r="C2393" s="574" t="s">
        <v>5564</v>
      </c>
      <c r="D2393" s="582">
        <v>12.12</v>
      </c>
    </row>
    <row r="2394" spans="1:4" x14ac:dyDescent="0.2">
      <c r="A2394" s="574">
        <v>4018</v>
      </c>
      <c r="B2394" s="574" t="s">
        <v>7961</v>
      </c>
      <c r="C2394" s="574" t="s">
        <v>5564</v>
      </c>
      <c r="D2394" s="582">
        <v>14.52</v>
      </c>
    </row>
    <row r="2395" spans="1:4" x14ac:dyDescent="0.2">
      <c r="A2395" s="574">
        <v>36498</v>
      </c>
      <c r="B2395" s="574" t="s">
        <v>7962</v>
      </c>
      <c r="C2395" s="574" t="s">
        <v>5555</v>
      </c>
      <c r="D2395" s="583">
        <v>5282.42</v>
      </c>
    </row>
    <row r="2396" spans="1:4" x14ac:dyDescent="0.2">
      <c r="A2396" s="574">
        <v>12872</v>
      </c>
      <c r="B2396" s="574" t="s">
        <v>7963</v>
      </c>
      <c r="C2396" s="574" t="s">
        <v>5566</v>
      </c>
      <c r="D2396" s="582">
        <v>14.86</v>
      </c>
    </row>
    <row r="2397" spans="1:4" x14ac:dyDescent="0.2">
      <c r="A2397" s="574">
        <v>41075</v>
      </c>
      <c r="B2397" s="574" t="s">
        <v>7964</v>
      </c>
      <c r="C2397" s="574" t="s">
        <v>5755</v>
      </c>
      <c r="D2397" s="583">
        <v>2600.3200000000002</v>
      </c>
    </row>
    <row r="2398" spans="1:4" x14ac:dyDescent="0.2">
      <c r="A2398" s="574">
        <v>3315</v>
      </c>
      <c r="B2398" s="574" t="s">
        <v>7965</v>
      </c>
      <c r="C2398" s="574" t="s">
        <v>5626</v>
      </c>
      <c r="D2398" s="582">
        <v>0.57999999999999996</v>
      </c>
    </row>
    <row r="2399" spans="1:4" x14ac:dyDescent="0.2">
      <c r="A2399" s="574">
        <v>36870</v>
      </c>
      <c r="B2399" s="574" t="s">
        <v>7966</v>
      </c>
      <c r="C2399" s="574" t="s">
        <v>5626</v>
      </c>
      <c r="D2399" s="582">
        <v>0.56999999999999995</v>
      </c>
    </row>
    <row r="2400" spans="1:4" x14ac:dyDescent="0.2">
      <c r="A2400" s="574">
        <v>5092</v>
      </c>
      <c r="B2400" s="574" t="s">
        <v>7967</v>
      </c>
      <c r="C2400" s="574" t="s">
        <v>6022</v>
      </c>
      <c r="D2400" s="582">
        <v>14.04</v>
      </c>
    </row>
    <row r="2401" spans="1:4" x14ac:dyDescent="0.2">
      <c r="A2401" s="574">
        <v>11462</v>
      </c>
      <c r="B2401" s="574" t="s">
        <v>7968</v>
      </c>
      <c r="C2401" s="574" t="s">
        <v>6022</v>
      </c>
      <c r="D2401" s="582">
        <v>14.35</v>
      </c>
    </row>
    <row r="2402" spans="1:4" x14ac:dyDescent="0.2">
      <c r="A2402" s="574">
        <v>36529</v>
      </c>
      <c r="B2402" s="574" t="s">
        <v>7969</v>
      </c>
      <c r="C2402" s="574" t="s">
        <v>5555</v>
      </c>
      <c r="D2402" s="583">
        <v>36989.79</v>
      </c>
    </row>
    <row r="2403" spans="1:4" x14ac:dyDescent="0.2">
      <c r="A2403" s="574">
        <v>3318</v>
      </c>
      <c r="B2403" s="574" t="s">
        <v>7970</v>
      </c>
      <c r="C2403" s="574" t="s">
        <v>5555</v>
      </c>
      <c r="D2403" s="583">
        <v>29000</v>
      </c>
    </row>
    <row r="2404" spans="1:4" x14ac:dyDescent="0.2">
      <c r="A2404" s="574">
        <v>3324</v>
      </c>
      <c r="B2404" s="574" t="s">
        <v>7972</v>
      </c>
      <c r="C2404" s="574" t="s">
        <v>5564</v>
      </c>
      <c r="D2404" s="582">
        <v>8.57</v>
      </c>
    </row>
    <row r="2405" spans="1:4" x14ac:dyDescent="0.2">
      <c r="A2405" s="574">
        <v>3322</v>
      </c>
      <c r="B2405" s="574" t="s">
        <v>7973</v>
      </c>
      <c r="C2405" s="574" t="s">
        <v>5564</v>
      </c>
      <c r="D2405" s="582">
        <v>12</v>
      </c>
    </row>
    <row r="2406" spans="1:4" x14ac:dyDescent="0.2">
      <c r="A2406" s="574">
        <v>5076</v>
      </c>
      <c r="B2406" s="574" t="s">
        <v>7975</v>
      </c>
      <c r="C2406" s="574" t="s">
        <v>5626</v>
      </c>
      <c r="D2406" s="582">
        <v>10.199999999999999</v>
      </c>
    </row>
    <row r="2407" spans="1:4" x14ac:dyDescent="0.2">
      <c r="A2407" s="574">
        <v>5077</v>
      </c>
      <c r="B2407" s="574" t="s">
        <v>7976</v>
      </c>
      <c r="C2407" s="574" t="s">
        <v>5626</v>
      </c>
      <c r="D2407" s="582">
        <v>11.27</v>
      </c>
    </row>
    <row r="2408" spans="1:4" x14ac:dyDescent="0.2">
      <c r="A2408" s="574">
        <v>11837</v>
      </c>
      <c r="B2408" s="574" t="s">
        <v>7977</v>
      </c>
      <c r="C2408" s="574" t="s">
        <v>5555</v>
      </c>
      <c r="D2408" s="582">
        <v>44.75</v>
      </c>
    </row>
    <row r="2409" spans="1:4" x14ac:dyDescent="0.2">
      <c r="A2409" s="574">
        <v>38055</v>
      </c>
      <c r="B2409" s="574" t="s">
        <v>7978</v>
      </c>
      <c r="C2409" s="574" t="s">
        <v>5555</v>
      </c>
      <c r="D2409" s="582">
        <v>4.0599999999999996</v>
      </c>
    </row>
    <row r="2410" spans="1:4" x14ac:dyDescent="0.2">
      <c r="A2410" s="574">
        <v>415</v>
      </c>
      <c r="B2410" s="574" t="s">
        <v>7979</v>
      </c>
      <c r="C2410" s="574" t="s">
        <v>5555</v>
      </c>
      <c r="D2410" s="582">
        <v>18.350000000000001</v>
      </c>
    </row>
    <row r="2411" spans="1:4" x14ac:dyDescent="0.2">
      <c r="A2411" s="574">
        <v>416</v>
      </c>
      <c r="B2411" s="574" t="s">
        <v>7980</v>
      </c>
      <c r="C2411" s="574" t="s">
        <v>5555</v>
      </c>
      <c r="D2411" s="582">
        <v>6.71</v>
      </c>
    </row>
    <row r="2412" spans="1:4" x14ac:dyDescent="0.2">
      <c r="A2412" s="574">
        <v>425</v>
      </c>
      <c r="B2412" s="574" t="s">
        <v>7981</v>
      </c>
      <c r="C2412" s="574" t="s">
        <v>5555</v>
      </c>
      <c r="D2412" s="582">
        <v>4.16</v>
      </c>
    </row>
    <row r="2413" spans="1:4" x14ac:dyDescent="0.2">
      <c r="A2413" s="574">
        <v>426</v>
      </c>
      <c r="B2413" s="574" t="s">
        <v>7982</v>
      </c>
      <c r="C2413" s="574" t="s">
        <v>5555</v>
      </c>
      <c r="D2413" s="582">
        <v>22.93</v>
      </c>
    </row>
    <row r="2414" spans="1:4" x14ac:dyDescent="0.2">
      <c r="A2414" s="574">
        <v>38056</v>
      </c>
      <c r="B2414" s="574" t="s">
        <v>7983</v>
      </c>
      <c r="C2414" s="574" t="s">
        <v>5555</v>
      </c>
      <c r="D2414" s="582">
        <v>22.39</v>
      </c>
    </row>
    <row r="2415" spans="1:4" x14ac:dyDescent="0.2">
      <c r="A2415" s="574">
        <v>1564</v>
      </c>
      <c r="B2415" s="574" t="s">
        <v>7984</v>
      </c>
      <c r="C2415" s="574" t="s">
        <v>5555</v>
      </c>
      <c r="D2415" s="582">
        <v>8.5399999999999991</v>
      </c>
    </row>
    <row r="2416" spans="1:4" x14ac:dyDescent="0.2">
      <c r="A2416" s="574">
        <v>11032</v>
      </c>
      <c r="B2416" s="574" t="s">
        <v>7985</v>
      </c>
      <c r="C2416" s="574" t="s">
        <v>5555</v>
      </c>
      <c r="D2416" s="582">
        <v>7.54</v>
      </c>
    </row>
    <row r="2417" spans="1:4" x14ac:dyDescent="0.2">
      <c r="A2417" s="574">
        <v>36786</v>
      </c>
      <c r="B2417" s="574" t="s">
        <v>7986</v>
      </c>
      <c r="C2417" s="574" t="s">
        <v>7987</v>
      </c>
      <c r="D2417" s="582">
        <v>128.38999999999999</v>
      </c>
    </row>
    <row r="2418" spans="1:4" x14ac:dyDescent="0.2">
      <c r="A2418" s="574">
        <v>36785</v>
      </c>
      <c r="B2418" s="574" t="s">
        <v>7988</v>
      </c>
      <c r="C2418" s="574" t="s">
        <v>7987</v>
      </c>
      <c r="D2418" s="582">
        <v>111.57</v>
      </c>
    </row>
    <row r="2419" spans="1:4" x14ac:dyDescent="0.2">
      <c r="A2419" s="574">
        <v>36782</v>
      </c>
      <c r="B2419" s="574" t="s">
        <v>7989</v>
      </c>
      <c r="C2419" s="574" t="s">
        <v>7987</v>
      </c>
      <c r="D2419" s="582">
        <v>133.16999999999999</v>
      </c>
    </row>
    <row r="2420" spans="1:4" x14ac:dyDescent="0.2">
      <c r="A2420" s="574">
        <v>25930</v>
      </c>
      <c r="B2420" s="574" t="s">
        <v>7990</v>
      </c>
      <c r="C2420" s="574" t="s">
        <v>7987</v>
      </c>
      <c r="D2420" s="582">
        <v>150</v>
      </c>
    </row>
    <row r="2421" spans="1:4" x14ac:dyDescent="0.2">
      <c r="A2421" s="574">
        <v>4824</v>
      </c>
      <c r="B2421" s="574" t="s">
        <v>7991</v>
      </c>
      <c r="C2421" s="574" t="s">
        <v>5626</v>
      </c>
      <c r="D2421" s="582">
        <v>0.55000000000000004</v>
      </c>
    </row>
    <row r="2422" spans="1:4" x14ac:dyDescent="0.2">
      <c r="A2422" s="574">
        <v>11795</v>
      </c>
      <c r="B2422" s="574" t="s">
        <v>7992</v>
      </c>
      <c r="C2422" s="574" t="s">
        <v>5564</v>
      </c>
      <c r="D2422" s="582">
        <v>452.83</v>
      </c>
    </row>
    <row r="2423" spans="1:4" x14ac:dyDescent="0.2">
      <c r="A2423" s="574">
        <v>134</v>
      </c>
      <c r="B2423" s="574" t="s">
        <v>7993</v>
      </c>
      <c r="C2423" s="574" t="s">
        <v>5626</v>
      </c>
      <c r="D2423" s="582">
        <v>1.3</v>
      </c>
    </row>
    <row r="2424" spans="1:4" x14ac:dyDescent="0.2">
      <c r="A2424" s="574">
        <v>4229</v>
      </c>
      <c r="B2424" s="574" t="s">
        <v>7994</v>
      </c>
      <c r="C2424" s="574" t="s">
        <v>5626</v>
      </c>
      <c r="D2424" s="582">
        <v>20.55</v>
      </c>
    </row>
    <row r="2425" spans="1:4" x14ac:dyDescent="0.2">
      <c r="A2425" s="574">
        <v>11244</v>
      </c>
      <c r="B2425" s="574" t="s">
        <v>7995</v>
      </c>
      <c r="C2425" s="574" t="s">
        <v>5555</v>
      </c>
      <c r="D2425" s="582">
        <v>179.92</v>
      </c>
    </row>
    <row r="2426" spans="1:4" x14ac:dyDescent="0.2">
      <c r="A2426" s="574">
        <v>11245</v>
      </c>
      <c r="B2426" s="574" t="s">
        <v>7996</v>
      </c>
      <c r="C2426" s="574" t="s">
        <v>5555</v>
      </c>
      <c r="D2426" s="582">
        <v>248.86</v>
      </c>
    </row>
    <row r="2427" spans="1:4" x14ac:dyDescent="0.2">
      <c r="A2427" s="574">
        <v>11235</v>
      </c>
      <c r="B2427" s="574" t="s">
        <v>7997</v>
      </c>
      <c r="C2427" s="574" t="s">
        <v>5555</v>
      </c>
      <c r="D2427" s="582">
        <v>137.30000000000001</v>
      </c>
    </row>
    <row r="2428" spans="1:4" x14ac:dyDescent="0.2">
      <c r="A2428" s="574">
        <v>11236</v>
      </c>
      <c r="B2428" s="574" t="s">
        <v>7998</v>
      </c>
      <c r="C2428" s="574" t="s">
        <v>5555</v>
      </c>
      <c r="D2428" s="582">
        <v>174.48</v>
      </c>
    </row>
    <row r="2429" spans="1:4" x14ac:dyDescent="0.2">
      <c r="A2429" s="574">
        <v>11731</v>
      </c>
      <c r="B2429" s="574" t="s">
        <v>7999</v>
      </c>
      <c r="C2429" s="574" t="s">
        <v>5555</v>
      </c>
      <c r="D2429" s="582">
        <v>3.99</v>
      </c>
    </row>
    <row r="2430" spans="1:4" x14ac:dyDescent="0.2">
      <c r="A2430" s="574">
        <v>11732</v>
      </c>
      <c r="B2430" s="574" t="s">
        <v>8000</v>
      </c>
      <c r="C2430" s="574" t="s">
        <v>5555</v>
      </c>
      <c r="D2430" s="582">
        <v>20.260000000000002</v>
      </c>
    </row>
    <row r="2431" spans="1:4" x14ac:dyDescent="0.2">
      <c r="A2431" s="574">
        <v>36494</v>
      </c>
      <c r="B2431" s="574" t="s">
        <v>8001</v>
      </c>
      <c r="C2431" s="574" t="s">
        <v>5555</v>
      </c>
      <c r="D2431" s="583">
        <v>390691.9</v>
      </c>
    </row>
    <row r="2432" spans="1:4" x14ac:dyDescent="0.2">
      <c r="A2432" s="574">
        <v>36493</v>
      </c>
      <c r="B2432" s="574" t="s">
        <v>8002</v>
      </c>
      <c r="C2432" s="574" t="s">
        <v>5555</v>
      </c>
      <c r="D2432" s="583">
        <v>442638.05</v>
      </c>
    </row>
    <row r="2433" spans="1:4" x14ac:dyDescent="0.2">
      <c r="A2433" s="574">
        <v>36492</v>
      </c>
      <c r="B2433" s="574" t="s">
        <v>8003</v>
      </c>
      <c r="C2433" s="574" t="s">
        <v>5555</v>
      </c>
      <c r="D2433" s="583">
        <v>822253.63</v>
      </c>
    </row>
    <row r="2434" spans="1:4" x14ac:dyDescent="0.2">
      <c r="A2434" s="574">
        <v>13333</v>
      </c>
      <c r="B2434" s="574" t="s">
        <v>8004</v>
      </c>
      <c r="C2434" s="574" t="s">
        <v>5555</v>
      </c>
      <c r="D2434" s="583">
        <v>146282.53</v>
      </c>
    </row>
    <row r="2435" spans="1:4" x14ac:dyDescent="0.2">
      <c r="A2435" s="574">
        <v>13533</v>
      </c>
      <c r="B2435" s="574" t="s">
        <v>8005</v>
      </c>
      <c r="C2435" s="574" t="s">
        <v>5555</v>
      </c>
      <c r="D2435" s="583">
        <v>130760.33</v>
      </c>
    </row>
    <row r="2436" spans="1:4" x14ac:dyDescent="0.2">
      <c r="A2436" s="574">
        <v>36499</v>
      </c>
      <c r="B2436" s="574" t="s">
        <v>8006</v>
      </c>
      <c r="C2436" s="574" t="s">
        <v>5555</v>
      </c>
      <c r="D2436" s="583">
        <v>2852.51</v>
      </c>
    </row>
    <row r="2437" spans="1:4" x14ac:dyDescent="0.2">
      <c r="A2437" s="574">
        <v>39585</v>
      </c>
      <c r="B2437" s="574" t="s">
        <v>8007</v>
      </c>
      <c r="C2437" s="574" t="s">
        <v>5555</v>
      </c>
      <c r="D2437" s="583">
        <v>94454.63</v>
      </c>
    </row>
    <row r="2438" spans="1:4" x14ac:dyDescent="0.2">
      <c r="A2438" s="574">
        <v>39586</v>
      </c>
      <c r="B2438" s="574" t="s">
        <v>8008</v>
      </c>
      <c r="C2438" s="574" t="s">
        <v>5555</v>
      </c>
      <c r="D2438" s="583">
        <v>110788.88</v>
      </c>
    </row>
    <row r="2439" spans="1:4" x14ac:dyDescent="0.2">
      <c r="A2439" s="574">
        <v>39587</v>
      </c>
      <c r="B2439" s="574" t="s">
        <v>8009</v>
      </c>
      <c r="C2439" s="574" t="s">
        <v>5555</v>
      </c>
      <c r="D2439" s="583">
        <v>134935.18</v>
      </c>
    </row>
    <row r="2440" spans="1:4" x14ac:dyDescent="0.2">
      <c r="A2440" s="574">
        <v>39588</v>
      </c>
      <c r="B2440" s="574" t="s">
        <v>8010</v>
      </c>
      <c r="C2440" s="574" t="s">
        <v>5555</v>
      </c>
      <c r="D2440" s="583">
        <v>156240.73000000001</v>
      </c>
    </row>
    <row r="2441" spans="1:4" x14ac:dyDescent="0.2">
      <c r="A2441" s="574">
        <v>39584</v>
      </c>
      <c r="B2441" s="574" t="s">
        <v>8011</v>
      </c>
      <c r="C2441" s="574" t="s">
        <v>5555</v>
      </c>
      <c r="D2441" s="583">
        <v>84114.33</v>
      </c>
    </row>
    <row r="2442" spans="1:4" x14ac:dyDescent="0.2">
      <c r="A2442" s="574">
        <v>39590</v>
      </c>
      <c r="B2442" s="574" t="s">
        <v>8012</v>
      </c>
      <c r="C2442" s="574" t="s">
        <v>5555</v>
      </c>
      <c r="D2442" s="583">
        <v>82097.399999999994</v>
      </c>
    </row>
    <row r="2443" spans="1:4" x14ac:dyDescent="0.2">
      <c r="A2443" s="574">
        <v>39592</v>
      </c>
      <c r="B2443" s="574" t="s">
        <v>8013</v>
      </c>
      <c r="C2443" s="574" t="s">
        <v>5555</v>
      </c>
      <c r="D2443" s="583">
        <v>117975.95</v>
      </c>
    </row>
    <row r="2444" spans="1:4" x14ac:dyDescent="0.2">
      <c r="A2444" s="574">
        <v>39593</v>
      </c>
      <c r="B2444" s="574" t="s">
        <v>8014</v>
      </c>
      <c r="C2444" s="574" t="s">
        <v>5555</v>
      </c>
      <c r="D2444" s="583">
        <v>134935.18</v>
      </c>
    </row>
    <row r="2445" spans="1:4" x14ac:dyDescent="0.2">
      <c r="A2445" s="574">
        <v>14254</v>
      </c>
      <c r="B2445" s="574" t="s">
        <v>8015</v>
      </c>
      <c r="C2445" s="574" t="s">
        <v>5555</v>
      </c>
      <c r="D2445" s="583">
        <v>76700</v>
      </c>
    </row>
    <row r="2446" spans="1:4" x14ac:dyDescent="0.2">
      <c r="A2446" s="574">
        <v>25987</v>
      </c>
      <c r="B2446" s="574" t="s">
        <v>8016</v>
      </c>
      <c r="C2446" s="574" t="s">
        <v>5555</v>
      </c>
      <c r="D2446" s="583">
        <v>64050.62</v>
      </c>
    </row>
    <row r="2447" spans="1:4" x14ac:dyDescent="0.2">
      <c r="A2447" s="574">
        <v>25019</v>
      </c>
      <c r="B2447" s="574" t="s">
        <v>8017</v>
      </c>
      <c r="C2447" s="574" t="s">
        <v>5555</v>
      </c>
      <c r="D2447" s="583">
        <v>109789.92</v>
      </c>
    </row>
    <row r="2448" spans="1:4" x14ac:dyDescent="0.2">
      <c r="A2448" s="574">
        <v>36501</v>
      </c>
      <c r="B2448" s="574" t="s">
        <v>8018</v>
      </c>
      <c r="C2448" s="574" t="s">
        <v>5555</v>
      </c>
      <c r="D2448" s="583">
        <v>97750.86</v>
      </c>
    </row>
    <row r="2449" spans="1:4" x14ac:dyDescent="0.2">
      <c r="A2449" s="574">
        <v>25986</v>
      </c>
      <c r="B2449" s="574" t="s">
        <v>8019</v>
      </c>
      <c r="C2449" s="574" t="s">
        <v>5555</v>
      </c>
      <c r="D2449" s="583">
        <v>117515.26</v>
      </c>
    </row>
    <row r="2450" spans="1:4" x14ac:dyDescent="0.2">
      <c r="A2450" s="574">
        <v>36500</v>
      </c>
      <c r="B2450" s="574" t="s">
        <v>8020</v>
      </c>
      <c r="C2450" s="574" t="s">
        <v>5555</v>
      </c>
      <c r="D2450" s="583">
        <v>69077.86</v>
      </c>
    </row>
    <row r="2451" spans="1:4" x14ac:dyDescent="0.2">
      <c r="A2451" s="574">
        <v>20017</v>
      </c>
      <c r="B2451" s="574" t="s">
        <v>8021</v>
      </c>
      <c r="C2451" s="574" t="s">
        <v>5575</v>
      </c>
      <c r="D2451" s="582">
        <v>1.81</v>
      </c>
    </row>
    <row r="2452" spans="1:4" x14ac:dyDescent="0.2">
      <c r="A2452" s="574">
        <v>20007</v>
      </c>
      <c r="B2452" s="574" t="s">
        <v>8022</v>
      </c>
      <c r="C2452" s="574" t="s">
        <v>5575</v>
      </c>
      <c r="D2452" s="582">
        <v>1.39</v>
      </c>
    </row>
    <row r="2453" spans="1:4" x14ac:dyDescent="0.2">
      <c r="A2453" s="574">
        <v>39836</v>
      </c>
      <c r="B2453" s="574" t="s">
        <v>8023</v>
      </c>
      <c r="C2453" s="574" t="s">
        <v>6057</v>
      </c>
      <c r="D2453" s="582">
        <v>145.59</v>
      </c>
    </row>
    <row r="2454" spans="1:4" x14ac:dyDescent="0.2">
      <c r="A2454" s="574">
        <v>39830</v>
      </c>
      <c r="B2454" s="574" t="s">
        <v>8024</v>
      </c>
      <c r="C2454" s="574" t="s">
        <v>6057</v>
      </c>
      <c r="D2454" s="582">
        <v>166.04</v>
      </c>
    </row>
    <row r="2455" spans="1:4" x14ac:dyDescent="0.2">
      <c r="A2455" s="574">
        <v>39831</v>
      </c>
      <c r="B2455" s="574" t="s">
        <v>8025</v>
      </c>
      <c r="C2455" s="574" t="s">
        <v>6057</v>
      </c>
      <c r="D2455" s="582">
        <v>165.69</v>
      </c>
    </row>
    <row r="2456" spans="1:4" x14ac:dyDescent="0.2">
      <c r="A2456" s="574">
        <v>36888</v>
      </c>
      <c r="B2456" s="574" t="s">
        <v>8026</v>
      </c>
      <c r="C2456" s="574" t="s">
        <v>5575</v>
      </c>
      <c r="D2456" s="582">
        <v>9.6300000000000008</v>
      </c>
    </row>
    <row r="2457" spans="1:4" x14ac:dyDescent="0.2">
      <c r="A2457" s="574">
        <v>40527</v>
      </c>
      <c r="B2457" s="574" t="s">
        <v>8027</v>
      </c>
      <c r="C2457" s="574" t="s">
        <v>5555</v>
      </c>
      <c r="D2457" s="583">
        <v>2312.29</v>
      </c>
    </row>
    <row r="2458" spans="1:4" x14ac:dyDescent="0.2">
      <c r="A2458" s="574">
        <v>36497</v>
      </c>
      <c r="B2458" s="574" t="s">
        <v>8028</v>
      </c>
      <c r="C2458" s="574" t="s">
        <v>5555</v>
      </c>
      <c r="D2458" s="583">
        <v>2639.73</v>
      </c>
    </row>
    <row r="2459" spans="1:4" x14ac:dyDescent="0.2">
      <c r="A2459" s="574">
        <v>36487</v>
      </c>
      <c r="B2459" s="574" t="s">
        <v>8029</v>
      </c>
      <c r="C2459" s="574" t="s">
        <v>5555</v>
      </c>
      <c r="D2459" s="583">
        <v>4596.17</v>
      </c>
    </row>
    <row r="2460" spans="1:4" x14ac:dyDescent="0.2">
      <c r="A2460" s="574">
        <v>25952</v>
      </c>
      <c r="B2460" s="574" t="s">
        <v>8030</v>
      </c>
      <c r="C2460" s="574" t="s">
        <v>5555</v>
      </c>
      <c r="D2460" s="583">
        <v>683184.85</v>
      </c>
    </row>
    <row r="2461" spans="1:4" x14ac:dyDescent="0.2">
      <c r="A2461" s="574">
        <v>25954</v>
      </c>
      <c r="B2461" s="574" t="s">
        <v>8031</v>
      </c>
      <c r="C2461" s="574" t="s">
        <v>5555</v>
      </c>
      <c r="D2461" s="583">
        <v>1313817.02</v>
      </c>
    </row>
    <row r="2462" spans="1:4" x14ac:dyDescent="0.2">
      <c r="A2462" s="574">
        <v>25953</v>
      </c>
      <c r="B2462" s="574" t="s">
        <v>8032</v>
      </c>
      <c r="C2462" s="574" t="s">
        <v>5555</v>
      </c>
      <c r="D2462" s="583">
        <v>2233488.9300000002</v>
      </c>
    </row>
    <row r="2463" spans="1:4" x14ac:dyDescent="0.2">
      <c r="A2463" s="574">
        <v>37776</v>
      </c>
      <c r="B2463" s="574" t="s">
        <v>8033</v>
      </c>
      <c r="C2463" s="574" t="s">
        <v>5555</v>
      </c>
      <c r="D2463" s="583">
        <v>136884.32</v>
      </c>
    </row>
    <row r="2464" spans="1:4" x14ac:dyDescent="0.2">
      <c r="A2464" s="574">
        <v>37775</v>
      </c>
      <c r="B2464" s="574" t="s">
        <v>8034</v>
      </c>
      <c r="C2464" s="574" t="s">
        <v>5555</v>
      </c>
      <c r="D2464" s="583">
        <v>215603.17</v>
      </c>
    </row>
    <row r="2465" spans="1:4" x14ac:dyDescent="0.2">
      <c r="A2465" s="574">
        <v>36491</v>
      </c>
      <c r="B2465" s="574" t="s">
        <v>8035</v>
      </c>
      <c r="C2465" s="574" t="s">
        <v>5555</v>
      </c>
      <c r="D2465" s="583">
        <v>798442.51</v>
      </c>
    </row>
    <row r="2466" spans="1:4" x14ac:dyDescent="0.2">
      <c r="A2466" s="574">
        <v>10712</v>
      </c>
      <c r="B2466" s="574" t="s">
        <v>8036</v>
      </c>
      <c r="C2466" s="574" t="s">
        <v>5555</v>
      </c>
      <c r="D2466" s="583">
        <v>53900.79</v>
      </c>
    </row>
    <row r="2467" spans="1:4" x14ac:dyDescent="0.2">
      <c r="A2467" s="574">
        <v>3363</v>
      </c>
      <c r="B2467" s="574" t="s">
        <v>8037</v>
      </c>
      <c r="C2467" s="574" t="s">
        <v>5555</v>
      </c>
      <c r="D2467" s="583">
        <v>75816.5</v>
      </c>
    </row>
    <row r="2468" spans="1:4" x14ac:dyDescent="0.2">
      <c r="A2468" s="574">
        <v>3365</v>
      </c>
      <c r="B2468" s="574" t="s">
        <v>8038</v>
      </c>
      <c r="C2468" s="574" t="s">
        <v>5555</v>
      </c>
      <c r="D2468" s="583">
        <v>177221.06</v>
      </c>
    </row>
    <row r="2469" spans="1:4" x14ac:dyDescent="0.2">
      <c r="A2469" s="574">
        <v>7569</v>
      </c>
      <c r="B2469" s="574" t="s">
        <v>8039</v>
      </c>
      <c r="C2469" s="574" t="s">
        <v>5555</v>
      </c>
      <c r="D2469" s="582">
        <v>42.25</v>
      </c>
    </row>
    <row r="2470" spans="1:4" x14ac:dyDescent="0.2">
      <c r="A2470" s="574">
        <v>34349</v>
      </c>
      <c r="B2470" s="574" t="s">
        <v>8040</v>
      </c>
      <c r="C2470" s="574" t="s">
        <v>5555</v>
      </c>
      <c r="D2470" s="582">
        <v>17.670000000000002</v>
      </c>
    </row>
    <row r="2471" spans="1:4" x14ac:dyDescent="0.2">
      <c r="A2471" s="574">
        <v>11991</v>
      </c>
      <c r="B2471" s="574" t="s">
        <v>8041</v>
      </c>
      <c r="C2471" s="574" t="s">
        <v>5555</v>
      </c>
      <c r="D2471" s="582">
        <v>50.97</v>
      </c>
    </row>
    <row r="2472" spans="1:4" x14ac:dyDescent="0.2">
      <c r="A2472" s="574">
        <v>20062</v>
      </c>
      <c r="B2472" s="574" t="s">
        <v>8042</v>
      </c>
      <c r="C2472" s="574" t="s">
        <v>5555</v>
      </c>
      <c r="D2472" s="582">
        <v>11.43</v>
      </c>
    </row>
    <row r="2473" spans="1:4" x14ac:dyDescent="0.2">
      <c r="A2473" s="574">
        <v>11029</v>
      </c>
      <c r="B2473" s="574" t="s">
        <v>8043</v>
      </c>
      <c r="C2473" s="574" t="s">
        <v>7062</v>
      </c>
      <c r="D2473" s="582">
        <v>1.1499999999999999</v>
      </c>
    </row>
    <row r="2474" spans="1:4" x14ac:dyDescent="0.2">
      <c r="A2474" s="574">
        <v>4316</v>
      </c>
      <c r="B2474" s="574" t="s">
        <v>8044</v>
      </c>
      <c r="C2474" s="574" t="s">
        <v>5555</v>
      </c>
      <c r="D2474" s="582">
        <v>1.17</v>
      </c>
    </row>
    <row r="2475" spans="1:4" x14ac:dyDescent="0.2">
      <c r="A2475" s="574">
        <v>4313</v>
      </c>
      <c r="B2475" s="574" t="s">
        <v>8045</v>
      </c>
      <c r="C2475" s="574" t="s">
        <v>7062</v>
      </c>
      <c r="D2475" s="582">
        <v>1.67</v>
      </c>
    </row>
    <row r="2476" spans="1:4" x14ac:dyDescent="0.2">
      <c r="A2476" s="574">
        <v>4317</v>
      </c>
      <c r="B2476" s="574" t="s">
        <v>8046</v>
      </c>
      <c r="C2476" s="574" t="s">
        <v>5555</v>
      </c>
      <c r="D2476" s="582">
        <v>1.91</v>
      </c>
    </row>
    <row r="2477" spans="1:4" x14ac:dyDescent="0.2">
      <c r="A2477" s="574">
        <v>4314</v>
      </c>
      <c r="B2477" s="574" t="s">
        <v>8047</v>
      </c>
      <c r="C2477" s="574" t="s">
        <v>7062</v>
      </c>
      <c r="D2477" s="582">
        <v>2.23</v>
      </c>
    </row>
    <row r="2478" spans="1:4" x14ac:dyDescent="0.2">
      <c r="A2478" s="574">
        <v>10561</v>
      </c>
      <c r="B2478" s="574" t="s">
        <v>8048</v>
      </c>
      <c r="C2478" s="574" t="s">
        <v>5626</v>
      </c>
      <c r="D2478" s="582">
        <v>0.48</v>
      </c>
    </row>
    <row r="2479" spans="1:4" x14ac:dyDescent="0.2">
      <c r="A2479" s="574">
        <v>10921</v>
      </c>
      <c r="B2479" s="574" t="s">
        <v>8049</v>
      </c>
      <c r="C2479" s="574" t="s">
        <v>5555</v>
      </c>
      <c r="D2479" s="583">
        <v>3306.55</v>
      </c>
    </row>
    <row r="2480" spans="1:4" x14ac:dyDescent="0.2">
      <c r="A2480" s="574">
        <v>10922</v>
      </c>
      <c r="B2480" s="574" t="s">
        <v>8050</v>
      </c>
      <c r="C2480" s="574" t="s">
        <v>5555</v>
      </c>
      <c r="D2480" s="583">
        <v>2994.99</v>
      </c>
    </row>
    <row r="2481" spans="1:4" x14ac:dyDescent="0.2">
      <c r="A2481" s="574">
        <v>10923</v>
      </c>
      <c r="B2481" s="574" t="s">
        <v>8051</v>
      </c>
      <c r="C2481" s="574" t="s">
        <v>5555</v>
      </c>
      <c r="D2481" s="583">
        <v>1770.16</v>
      </c>
    </row>
    <row r="2482" spans="1:4" x14ac:dyDescent="0.2">
      <c r="A2482" s="574">
        <v>10924</v>
      </c>
      <c r="B2482" s="574" t="s">
        <v>8052</v>
      </c>
      <c r="C2482" s="574" t="s">
        <v>5555</v>
      </c>
      <c r="D2482" s="583">
        <v>1864.33</v>
      </c>
    </row>
    <row r="2483" spans="1:4" x14ac:dyDescent="0.2">
      <c r="A2483" s="574">
        <v>37772</v>
      </c>
      <c r="B2483" s="574" t="s">
        <v>8053</v>
      </c>
      <c r="C2483" s="574" t="s">
        <v>5555</v>
      </c>
      <c r="D2483" s="583">
        <v>114526.71</v>
      </c>
    </row>
    <row r="2484" spans="1:4" x14ac:dyDescent="0.2">
      <c r="A2484" s="574">
        <v>37771</v>
      </c>
      <c r="B2484" s="574" t="s">
        <v>8054</v>
      </c>
      <c r="C2484" s="574" t="s">
        <v>5555</v>
      </c>
      <c r="D2484" s="583">
        <v>121838.18</v>
      </c>
    </row>
    <row r="2485" spans="1:4" x14ac:dyDescent="0.2">
      <c r="A2485" s="574">
        <v>12770</v>
      </c>
      <c r="B2485" s="574" t="s">
        <v>8055</v>
      </c>
      <c r="C2485" s="574" t="s">
        <v>5555</v>
      </c>
      <c r="D2485" s="582">
        <v>417.64</v>
      </c>
    </row>
    <row r="2486" spans="1:4" x14ac:dyDescent="0.2">
      <c r="A2486" s="574">
        <v>12772</v>
      </c>
      <c r="B2486" s="574" t="s">
        <v>8056</v>
      </c>
      <c r="C2486" s="574" t="s">
        <v>5555</v>
      </c>
      <c r="D2486" s="582">
        <v>694.11</v>
      </c>
    </row>
    <row r="2487" spans="1:4" x14ac:dyDescent="0.2">
      <c r="A2487" s="574">
        <v>12768</v>
      </c>
      <c r="B2487" s="574" t="s">
        <v>8057</v>
      </c>
      <c r="C2487" s="574" t="s">
        <v>5555</v>
      </c>
      <c r="D2487" s="582">
        <v>976.47</v>
      </c>
    </row>
    <row r="2488" spans="1:4" x14ac:dyDescent="0.2">
      <c r="A2488" s="574">
        <v>12775</v>
      </c>
      <c r="B2488" s="574" t="s">
        <v>8058</v>
      </c>
      <c r="C2488" s="574" t="s">
        <v>5555</v>
      </c>
      <c r="D2488" s="582">
        <v>305.88</v>
      </c>
    </row>
    <row r="2489" spans="1:4" x14ac:dyDescent="0.2">
      <c r="A2489" s="574">
        <v>12769</v>
      </c>
      <c r="B2489" s="574" t="s">
        <v>8059</v>
      </c>
      <c r="C2489" s="574" t="s">
        <v>5555</v>
      </c>
      <c r="D2489" s="582">
        <v>80</v>
      </c>
    </row>
    <row r="2490" spans="1:4" x14ac:dyDescent="0.2">
      <c r="A2490" s="574">
        <v>12773</v>
      </c>
      <c r="B2490" s="574" t="s">
        <v>8060</v>
      </c>
      <c r="C2490" s="574" t="s">
        <v>5555</v>
      </c>
      <c r="D2490" s="582">
        <v>85.88</v>
      </c>
    </row>
    <row r="2491" spans="1:4" x14ac:dyDescent="0.2">
      <c r="A2491" s="574">
        <v>12774</v>
      </c>
      <c r="B2491" s="574" t="s">
        <v>8061</v>
      </c>
      <c r="C2491" s="574" t="s">
        <v>5555</v>
      </c>
      <c r="D2491" s="582">
        <v>105.88</v>
      </c>
    </row>
    <row r="2492" spans="1:4" x14ac:dyDescent="0.2">
      <c r="A2492" s="574">
        <v>12776</v>
      </c>
      <c r="B2492" s="574" t="s">
        <v>8062</v>
      </c>
      <c r="C2492" s="574" t="s">
        <v>5555</v>
      </c>
      <c r="D2492" s="583">
        <v>1576.47</v>
      </c>
    </row>
    <row r="2493" spans="1:4" x14ac:dyDescent="0.2">
      <c r="A2493" s="574">
        <v>12777</v>
      </c>
      <c r="B2493" s="574" t="s">
        <v>8063</v>
      </c>
      <c r="C2493" s="574" t="s">
        <v>5555</v>
      </c>
      <c r="D2493" s="583">
        <v>2058.8200000000002</v>
      </c>
    </row>
    <row r="2494" spans="1:4" x14ac:dyDescent="0.2">
      <c r="A2494" s="574">
        <v>3391</v>
      </c>
      <c r="B2494" s="574" t="s">
        <v>8064</v>
      </c>
      <c r="C2494" s="574" t="s">
        <v>5555</v>
      </c>
      <c r="D2494" s="582">
        <v>41.44</v>
      </c>
    </row>
    <row r="2495" spans="1:4" x14ac:dyDescent="0.2">
      <c r="A2495" s="574">
        <v>3389</v>
      </c>
      <c r="B2495" s="574" t="s">
        <v>8065</v>
      </c>
      <c r="C2495" s="574" t="s">
        <v>5555</v>
      </c>
      <c r="D2495" s="582">
        <v>21.5</v>
      </c>
    </row>
    <row r="2496" spans="1:4" x14ac:dyDescent="0.2">
      <c r="A2496" s="574">
        <v>3390</v>
      </c>
      <c r="B2496" s="574" t="s">
        <v>8066</v>
      </c>
      <c r="C2496" s="574" t="s">
        <v>5555</v>
      </c>
      <c r="D2496" s="582">
        <v>24.19</v>
      </c>
    </row>
    <row r="2497" spans="1:4" x14ac:dyDescent="0.2">
      <c r="A2497" s="574">
        <v>12873</v>
      </c>
      <c r="B2497" s="574" t="s">
        <v>8067</v>
      </c>
      <c r="C2497" s="574" t="s">
        <v>5566</v>
      </c>
      <c r="D2497" s="582">
        <v>15.51</v>
      </c>
    </row>
    <row r="2498" spans="1:4" x14ac:dyDescent="0.2">
      <c r="A2498" s="574">
        <v>41076</v>
      </c>
      <c r="B2498" s="574" t="s">
        <v>8068</v>
      </c>
      <c r="C2498" s="574" t="s">
        <v>5755</v>
      </c>
      <c r="D2498" s="583">
        <v>2713.59</v>
      </c>
    </row>
    <row r="2499" spans="1:4" x14ac:dyDescent="0.2">
      <c r="A2499" s="574">
        <v>140</v>
      </c>
      <c r="B2499" s="574" t="s">
        <v>8069</v>
      </c>
      <c r="C2499" s="574" t="s">
        <v>5626</v>
      </c>
      <c r="D2499" s="582">
        <v>14.56</v>
      </c>
    </row>
    <row r="2500" spans="1:4" x14ac:dyDescent="0.2">
      <c r="A2500" s="574">
        <v>151</v>
      </c>
      <c r="B2500" s="574" t="s">
        <v>8070</v>
      </c>
      <c r="C2500" s="574" t="s">
        <v>5628</v>
      </c>
      <c r="D2500" s="582">
        <v>21.49</v>
      </c>
    </row>
    <row r="2501" spans="1:4" x14ac:dyDescent="0.2">
      <c r="A2501" s="574">
        <v>7340</v>
      </c>
      <c r="B2501" s="574" t="s">
        <v>8071</v>
      </c>
      <c r="C2501" s="574" t="s">
        <v>5628</v>
      </c>
      <c r="D2501" s="582">
        <v>16.79</v>
      </c>
    </row>
    <row r="2502" spans="1:4" x14ac:dyDescent="0.2">
      <c r="A2502" s="574">
        <v>2701</v>
      </c>
      <c r="B2502" s="574" t="s">
        <v>8072</v>
      </c>
      <c r="C2502" s="574" t="s">
        <v>5566</v>
      </c>
      <c r="D2502" s="582">
        <v>38.96</v>
      </c>
    </row>
    <row r="2503" spans="1:4" x14ac:dyDescent="0.2">
      <c r="A2503" s="574">
        <v>40929</v>
      </c>
      <c r="B2503" s="574" t="s">
        <v>8073</v>
      </c>
      <c r="C2503" s="574" t="s">
        <v>5755</v>
      </c>
      <c r="D2503" s="583">
        <v>6814.56</v>
      </c>
    </row>
    <row r="2504" spans="1:4" x14ac:dyDescent="0.2">
      <c r="A2504" s="574">
        <v>38114</v>
      </c>
      <c r="B2504" s="574" t="s">
        <v>8074</v>
      </c>
      <c r="C2504" s="574" t="s">
        <v>5555</v>
      </c>
      <c r="D2504" s="582">
        <v>15.5</v>
      </c>
    </row>
    <row r="2505" spans="1:4" x14ac:dyDescent="0.2">
      <c r="A2505" s="574">
        <v>38064</v>
      </c>
      <c r="B2505" s="574" t="s">
        <v>8075</v>
      </c>
      <c r="C2505" s="574" t="s">
        <v>5555</v>
      </c>
      <c r="D2505" s="582">
        <v>17.329999999999998</v>
      </c>
    </row>
    <row r="2506" spans="1:4" x14ac:dyDescent="0.2">
      <c r="A2506" s="574">
        <v>38115</v>
      </c>
      <c r="B2506" s="574" t="s">
        <v>8076</v>
      </c>
      <c r="C2506" s="574" t="s">
        <v>5555</v>
      </c>
      <c r="D2506" s="582">
        <v>16.55</v>
      </c>
    </row>
    <row r="2507" spans="1:4" x14ac:dyDescent="0.2">
      <c r="A2507" s="574">
        <v>38065</v>
      </c>
      <c r="B2507" s="574" t="s">
        <v>8077</v>
      </c>
      <c r="C2507" s="574" t="s">
        <v>5555</v>
      </c>
      <c r="D2507" s="582">
        <v>24.59</v>
      </c>
    </row>
    <row r="2508" spans="1:4" x14ac:dyDescent="0.2">
      <c r="A2508" s="574">
        <v>38078</v>
      </c>
      <c r="B2508" s="574" t="s">
        <v>8078</v>
      </c>
      <c r="C2508" s="574" t="s">
        <v>5555</v>
      </c>
      <c r="D2508" s="582">
        <v>14.34</v>
      </c>
    </row>
    <row r="2509" spans="1:4" x14ac:dyDescent="0.2">
      <c r="A2509" s="574">
        <v>38113</v>
      </c>
      <c r="B2509" s="574" t="s">
        <v>8079</v>
      </c>
      <c r="C2509" s="574" t="s">
        <v>5555</v>
      </c>
      <c r="D2509" s="582">
        <v>7.79</v>
      </c>
    </row>
    <row r="2510" spans="1:4" x14ac:dyDescent="0.2">
      <c r="A2510" s="574">
        <v>38063</v>
      </c>
      <c r="B2510" s="574" t="s">
        <v>8080</v>
      </c>
      <c r="C2510" s="574" t="s">
        <v>5555</v>
      </c>
      <c r="D2510" s="582">
        <v>8.36</v>
      </c>
    </row>
    <row r="2511" spans="1:4" x14ac:dyDescent="0.2">
      <c r="A2511" s="574">
        <v>38080</v>
      </c>
      <c r="B2511" s="574" t="s">
        <v>8081</v>
      </c>
      <c r="C2511" s="574" t="s">
        <v>5555</v>
      </c>
      <c r="D2511" s="582">
        <v>24.91</v>
      </c>
    </row>
    <row r="2512" spans="1:4" x14ac:dyDescent="0.2">
      <c r="A2512" s="574">
        <v>38069</v>
      </c>
      <c r="B2512" s="574" t="s">
        <v>8082</v>
      </c>
      <c r="C2512" s="574" t="s">
        <v>5555</v>
      </c>
      <c r="D2512" s="582">
        <v>13.62</v>
      </c>
    </row>
    <row r="2513" spans="1:4" x14ac:dyDescent="0.2">
      <c r="A2513" s="574">
        <v>38077</v>
      </c>
      <c r="B2513" s="574" t="s">
        <v>8083</v>
      </c>
      <c r="C2513" s="574" t="s">
        <v>5555</v>
      </c>
      <c r="D2513" s="582">
        <v>13.31</v>
      </c>
    </row>
    <row r="2514" spans="1:4" x14ac:dyDescent="0.2">
      <c r="A2514" s="574">
        <v>38073</v>
      </c>
      <c r="B2514" s="574" t="s">
        <v>8084</v>
      </c>
      <c r="C2514" s="574" t="s">
        <v>5555</v>
      </c>
      <c r="D2514" s="582">
        <v>20.28</v>
      </c>
    </row>
    <row r="2515" spans="1:4" x14ac:dyDescent="0.2">
      <c r="A2515" s="574">
        <v>38112</v>
      </c>
      <c r="B2515" s="574" t="s">
        <v>8085</v>
      </c>
      <c r="C2515" s="574" t="s">
        <v>5555</v>
      </c>
      <c r="D2515" s="582">
        <v>5.98</v>
      </c>
    </row>
    <row r="2516" spans="1:4" x14ac:dyDescent="0.2">
      <c r="A2516" s="574">
        <v>38062</v>
      </c>
      <c r="B2516" s="574" t="s">
        <v>8086</v>
      </c>
      <c r="C2516" s="574" t="s">
        <v>5555</v>
      </c>
      <c r="D2516" s="582">
        <v>6.14</v>
      </c>
    </row>
    <row r="2517" spans="1:4" x14ac:dyDescent="0.2">
      <c r="A2517" s="574">
        <v>12128</v>
      </c>
      <c r="B2517" s="574" t="s">
        <v>8087</v>
      </c>
      <c r="C2517" s="574" t="s">
        <v>5555</v>
      </c>
      <c r="D2517" s="582">
        <v>8.2100000000000009</v>
      </c>
    </row>
    <row r="2518" spans="1:4" x14ac:dyDescent="0.2">
      <c r="A2518" s="574">
        <v>12129</v>
      </c>
      <c r="B2518" s="574" t="s">
        <v>8088</v>
      </c>
      <c r="C2518" s="574" t="s">
        <v>5555</v>
      </c>
      <c r="D2518" s="582">
        <v>10.85</v>
      </c>
    </row>
    <row r="2519" spans="1:4" x14ac:dyDescent="0.2">
      <c r="A2519" s="574">
        <v>38081</v>
      </c>
      <c r="B2519" s="574" t="s">
        <v>8089</v>
      </c>
      <c r="C2519" s="574" t="s">
        <v>5555</v>
      </c>
      <c r="D2519" s="582">
        <v>21.13</v>
      </c>
    </row>
    <row r="2520" spans="1:4" x14ac:dyDescent="0.2">
      <c r="A2520" s="574">
        <v>38070</v>
      </c>
      <c r="B2520" s="574" t="s">
        <v>8090</v>
      </c>
      <c r="C2520" s="574" t="s">
        <v>5555</v>
      </c>
      <c r="D2520" s="582">
        <v>14.56</v>
      </c>
    </row>
    <row r="2521" spans="1:4" x14ac:dyDescent="0.2">
      <c r="A2521" s="574">
        <v>38074</v>
      </c>
      <c r="B2521" s="574" t="s">
        <v>8091</v>
      </c>
      <c r="C2521" s="574" t="s">
        <v>5555</v>
      </c>
      <c r="D2521" s="582">
        <v>22.14</v>
      </c>
    </row>
    <row r="2522" spans="1:4" x14ac:dyDescent="0.2">
      <c r="A2522" s="574">
        <v>38079</v>
      </c>
      <c r="B2522" s="574" t="s">
        <v>8092</v>
      </c>
      <c r="C2522" s="574" t="s">
        <v>5555</v>
      </c>
      <c r="D2522" s="582">
        <v>19</v>
      </c>
    </row>
    <row r="2523" spans="1:4" x14ac:dyDescent="0.2">
      <c r="A2523" s="574">
        <v>38072</v>
      </c>
      <c r="B2523" s="574" t="s">
        <v>8093</v>
      </c>
      <c r="C2523" s="574" t="s">
        <v>5555</v>
      </c>
      <c r="D2523" s="582">
        <v>18.260000000000002</v>
      </c>
    </row>
    <row r="2524" spans="1:4" x14ac:dyDescent="0.2">
      <c r="A2524" s="574">
        <v>38068</v>
      </c>
      <c r="B2524" s="574" t="s">
        <v>8094</v>
      </c>
      <c r="C2524" s="574" t="s">
        <v>5555</v>
      </c>
      <c r="D2524" s="582">
        <v>12.6</v>
      </c>
    </row>
    <row r="2525" spans="1:4" x14ac:dyDescent="0.2">
      <c r="A2525" s="574">
        <v>38071</v>
      </c>
      <c r="B2525" s="574" t="s">
        <v>8095</v>
      </c>
      <c r="C2525" s="574" t="s">
        <v>5555</v>
      </c>
      <c r="D2525" s="582">
        <v>15.07</v>
      </c>
    </row>
    <row r="2526" spans="1:4" x14ac:dyDescent="0.2">
      <c r="A2526" s="574">
        <v>38412</v>
      </c>
      <c r="B2526" s="574" t="s">
        <v>8096</v>
      </c>
      <c r="C2526" s="574" t="s">
        <v>5555</v>
      </c>
      <c r="D2526" s="583">
        <v>1260</v>
      </c>
    </row>
    <row r="2527" spans="1:4" x14ac:dyDescent="0.2">
      <c r="A2527" s="574">
        <v>3405</v>
      </c>
      <c r="B2527" s="574" t="s">
        <v>8097</v>
      </c>
      <c r="C2527" s="574" t="s">
        <v>5555</v>
      </c>
      <c r="D2527" s="582">
        <v>60.83</v>
      </c>
    </row>
    <row r="2528" spans="1:4" x14ac:dyDescent="0.2">
      <c r="A2528" s="574">
        <v>3394</v>
      </c>
      <c r="B2528" s="574" t="s">
        <v>8098</v>
      </c>
      <c r="C2528" s="574" t="s">
        <v>5555</v>
      </c>
      <c r="D2528" s="582">
        <v>321.11</v>
      </c>
    </row>
    <row r="2529" spans="1:4" x14ac:dyDescent="0.2">
      <c r="A2529" s="574">
        <v>3393</v>
      </c>
      <c r="B2529" s="574" t="s">
        <v>8099</v>
      </c>
      <c r="C2529" s="574" t="s">
        <v>5555</v>
      </c>
      <c r="D2529" s="582">
        <v>546.72</v>
      </c>
    </row>
    <row r="2530" spans="1:4" x14ac:dyDescent="0.2">
      <c r="A2530" s="574">
        <v>3406</v>
      </c>
      <c r="B2530" s="574" t="s">
        <v>8100</v>
      </c>
      <c r="C2530" s="574" t="s">
        <v>5555</v>
      </c>
      <c r="D2530" s="582">
        <v>18.62</v>
      </c>
    </row>
    <row r="2531" spans="1:4" x14ac:dyDescent="0.2">
      <c r="A2531" s="574">
        <v>3395</v>
      </c>
      <c r="B2531" s="574" t="s">
        <v>8101</v>
      </c>
      <c r="C2531" s="574" t="s">
        <v>5555</v>
      </c>
      <c r="D2531" s="582">
        <v>78.540000000000006</v>
      </c>
    </row>
    <row r="2532" spans="1:4" x14ac:dyDescent="0.2">
      <c r="A2532" s="574">
        <v>3398</v>
      </c>
      <c r="B2532" s="574" t="s">
        <v>8102</v>
      </c>
      <c r="C2532" s="574" t="s">
        <v>5555</v>
      </c>
      <c r="D2532" s="582">
        <v>3.73</v>
      </c>
    </row>
    <row r="2533" spans="1:4" x14ac:dyDescent="0.2">
      <c r="A2533" s="574">
        <v>34379</v>
      </c>
      <c r="B2533" s="574" t="s">
        <v>8103</v>
      </c>
      <c r="C2533" s="574" t="s">
        <v>5555</v>
      </c>
      <c r="D2533" s="582">
        <v>293.73</v>
      </c>
    </row>
    <row r="2534" spans="1:4" x14ac:dyDescent="0.2">
      <c r="A2534" s="574">
        <v>34378</v>
      </c>
      <c r="B2534" s="574" t="s">
        <v>8104</v>
      </c>
      <c r="C2534" s="574" t="s">
        <v>5555</v>
      </c>
      <c r="D2534" s="582">
        <v>236.58</v>
      </c>
    </row>
    <row r="2535" spans="1:4" x14ac:dyDescent="0.2">
      <c r="A2535" s="574">
        <v>34377</v>
      </c>
      <c r="B2535" s="574" t="s">
        <v>8105</v>
      </c>
      <c r="C2535" s="574" t="s">
        <v>5555</v>
      </c>
      <c r="D2535" s="582">
        <v>218.18</v>
      </c>
    </row>
    <row r="2536" spans="1:4" x14ac:dyDescent="0.2">
      <c r="A2536" s="574">
        <v>581</v>
      </c>
      <c r="B2536" s="574" t="s">
        <v>8106</v>
      </c>
      <c r="C2536" s="574" t="s">
        <v>5564</v>
      </c>
      <c r="D2536" s="582">
        <v>414.39</v>
      </c>
    </row>
    <row r="2537" spans="1:4" x14ac:dyDescent="0.2">
      <c r="A2537" s="574">
        <v>40662</v>
      </c>
      <c r="B2537" s="574" t="s">
        <v>8107</v>
      </c>
      <c r="C2537" s="574" t="s">
        <v>5555</v>
      </c>
      <c r="D2537" s="582">
        <v>201.19</v>
      </c>
    </row>
    <row r="2538" spans="1:4" x14ac:dyDescent="0.2">
      <c r="A2538" s="574">
        <v>3437</v>
      </c>
      <c r="B2538" s="574" t="s">
        <v>8108</v>
      </c>
      <c r="C2538" s="574" t="s">
        <v>5564</v>
      </c>
      <c r="D2538" s="582">
        <v>558.88</v>
      </c>
    </row>
    <row r="2539" spans="1:4" x14ac:dyDescent="0.2">
      <c r="A2539" s="574">
        <v>11190</v>
      </c>
      <c r="B2539" s="574" t="s">
        <v>8110</v>
      </c>
      <c r="C2539" s="574" t="s">
        <v>5555</v>
      </c>
      <c r="D2539" s="582">
        <v>162.6</v>
      </c>
    </row>
    <row r="2540" spans="1:4" x14ac:dyDescent="0.2">
      <c r="A2540" s="574">
        <v>3428</v>
      </c>
      <c r="B2540" s="574" t="s">
        <v>8113</v>
      </c>
      <c r="C2540" s="574" t="s">
        <v>5564</v>
      </c>
      <c r="D2540" s="582">
        <v>829</v>
      </c>
    </row>
    <row r="2541" spans="1:4" x14ac:dyDescent="0.2">
      <c r="A2541" s="574">
        <v>3429</v>
      </c>
      <c r="B2541" s="574" t="s">
        <v>8114</v>
      </c>
      <c r="C2541" s="574" t="s">
        <v>5564</v>
      </c>
      <c r="D2541" s="582">
        <v>473.64</v>
      </c>
    </row>
    <row r="2542" spans="1:4" x14ac:dyDescent="0.2">
      <c r="A2542" s="574">
        <v>34371</v>
      </c>
      <c r="B2542" s="574" t="s">
        <v>8115</v>
      </c>
      <c r="C2542" s="574" t="s">
        <v>5555</v>
      </c>
      <c r="D2542" s="582">
        <v>798.59</v>
      </c>
    </row>
    <row r="2543" spans="1:4" x14ac:dyDescent="0.2">
      <c r="A2543" s="574">
        <v>34370</v>
      </c>
      <c r="B2543" s="574" t="s">
        <v>8116</v>
      </c>
      <c r="C2543" s="574" t="s">
        <v>5555</v>
      </c>
      <c r="D2543" s="582">
        <v>662.27</v>
      </c>
    </row>
    <row r="2544" spans="1:4" x14ac:dyDescent="0.2">
      <c r="A2544" s="574">
        <v>34372</v>
      </c>
      <c r="B2544" s="574" t="s">
        <v>8117</v>
      </c>
      <c r="C2544" s="574" t="s">
        <v>5555</v>
      </c>
      <c r="D2544" s="582">
        <v>921.31</v>
      </c>
    </row>
    <row r="2545" spans="1:4" x14ac:dyDescent="0.2">
      <c r="A2545" s="574">
        <v>34373</v>
      </c>
      <c r="B2545" s="574" t="s">
        <v>8118</v>
      </c>
      <c r="C2545" s="574" t="s">
        <v>5555</v>
      </c>
      <c r="D2545" s="583">
        <v>1140.45</v>
      </c>
    </row>
    <row r="2546" spans="1:4" x14ac:dyDescent="0.2">
      <c r="A2546" s="574">
        <v>36896</v>
      </c>
      <c r="B2546" s="574" t="s">
        <v>8119</v>
      </c>
      <c r="C2546" s="574" t="s">
        <v>5555</v>
      </c>
      <c r="D2546" s="582">
        <v>380</v>
      </c>
    </row>
    <row r="2547" spans="1:4" x14ac:dyDescent="0.2">
      <c r="A2547" s="574">
        <v>34367</v>
      </c>
      <c r="B2547" s="574" t="s">
        <v>8120</v>
      </c>
      <c r="C2547" s="574" t="s">
        <v>5555</v>
      </c>
      <c r="D2547" s="582">
        <v>446.36</v>
      </c>
    </row>
    <row r="2548" spans="1:4" x14ac:dyDescent="0.2">
      <c r="A2548" s="574">
        <v>36897</v>
      </c>
      <c r="B2548" s="574" t="s">
        <v>8121</v>
      </c>
      <c r="C2548" s="574" t="s">
        <v>5555</v>
      </c>
      <c r="D2548" s="582">
        <v>526.36</v>
      </c>
    </row>
    <row r="2549" spans="1:4" x14ac:dyDescent="0.2">
      <c r="A2549" s="574">
        <v>36884</v>
      </c>
      <c r="B2549" s="574" t="s">
        <v>8121</v>
      </c>
      <c r="C2549" s="574" t="s">
        <v>5564</v>
      </c>
      <c r="D2549" s="582">
        <v>369.69</v>
      </c>
    </row>
    <row r="2550" spans="1:4" x14ac:dyDescent="0.2">
      <c r="A2550" s="574">
        <v>597</v>
      </c>
      <c r="B2550" s="574" t="s">
        <v>8122</v>
      </c>
      <c r="C2550" s="574" t="s">
        <v>5564</v>
      </c>
      <c r="D2550" s="582">
        <v>388.78</v>
      </c>
    </row>
    <row r="2551" spans="1:4" x14ac:dyDescent="0.2">
      <c r="A2551" s="574">
        <v>34369</v>
      </c>
      <c r="B2551" s="574" t="s">
        <v>8123</v>
      </c>
      <c r="C2551" s="574" t="s">
        <v>5555</v>
      </c>
      <c r="D2551" s="582">
        <v>623.63</v>
      </c>
    </row>
    <row r="2552" spans="1:4" x14ac:dyDescent="0.2">
      <c r="A2552" s="574">
        <v>34362</v>
      </c>
      <c r="B2552" s="574" t="s">
        <v>8124</v>
      </c>
      <c r="C2552" s="574" t="s">
        <v>5555</v>
      </c>
      <c r="D2552" s="582">
        <v>432.72</v>
      </c>
    </row>
    <row r="2553" spans="1:4" x14ac:dyDescent="0.2">
      <c r="A2553" s="574">
        <v>34363</v>
      </c>
      <c r="B2553" s="574" t="s">
        <v>8125</v>
      </c>
      <c r="C2553" s="574" t="s">
        <v>5555</v>
      </c>
      <c r="D2553" s="582">
        <v>489.09</v>
      </c>
    </row>
    <row r="2554" spans="1:4" x14ac:dyDescent="0.2">
      <c r="A2554" s="574">
        <v>34364</v>
      </c>
      <c r="B2554" s="574" t="s">
        <v>8126</v>
      </c>
      <c r="C2554" s="574" t="s">
        <v>5555</v>
      </c>
      <c r="D2554" s="582">
        <v>610</v>
      </c>
    </row>
    <row r="2555" spans="1:4" x14ac:dyDescent="0.2">
      <c r="A2555" s="574">
        <v>34365</v>
      </c>
      <c r="B2555" s="574" t="s">
        <v>8127</v>
      </c>
      <c r="C2555" s="574" t="s">
        <v>5555</v>
      </c>
      <c r="D2555" s="582">
        <v>687.27</v>
      </c>
    </row>
    <row r="2556" spans="1:4" x14ac:dyDescent="0.2">
      <c r="A2556" s="574">
        <v>40659</v>
      </c>
      <c r="B2556" s="574" t="s">
        <v>8140</v>
      </c>
      <c r="C2556" s="574" t="s">
        <v>5564</v>
      </c>
      <c r="D2556" s="582">
        <v>790.73</v>
      </c>
    </row>
    <row r="2557" spans="1:4" x14ac:dyDescent="0.2">
      <c r="A2557" s="574">
        <v>40660</v>
      </c>
      <c r="B2557" s="574" t="s">
        <v>8141</v>
      </c>
      <c r="C2557" s="574" t="s">
        <v>5564</v>
      </c>
      <c r="D2557" s="583">
        <v>1002.16</v>
      </c>
    </row>
    <row r="2558" spans="1:4" x14ac:dyDescent="0.2">
      <c r="A2558" s="574">
        <v>40661</v>
      </c>
      <c r="B2558" s="574" t="s">
        <v>8142</v>
      </c>
      <c r="C2558" s="574" t="s">
        <v>5564</v>
      </c>
      <c r="D2558" s="582">
        <v>616.15</v>
      </c>
    </row>
    <row r="2559" spans="1:4" x14ac:dyDescent="0.2">
      <c r="A2559" s="574">
        <v>3421</v>
      </c>
      <c r="B2559" s="574" t="s">
        <v>8143</v>
      </c>
      <c r="C2559" s="574" t="s">
        <v>5564</v>
      </c>
      <c r="D2559" s="582">
        <v>620.87</v>
      </c>
    </row>
    <row r="2560" spans="1:4" x14ac:dyDescent="0.2">
      <c r="A2560" s="574">
        <v>599</v>
      </c>
      <c r="B2560" s="574" t="s">
        <v>8144</v>
      </c>
      <c r="C2560" s="574" t="s">
        <v>5564</v>
      </c>
      <c r="D2560" s="582">
        <v>329.54</v>
      </c>
    </row>
    <row r="2561" spans="1:4" x14ac:dyDescent="0.2">
      <c r="A2561" s="574">
        <v>34380</v>
      </c>
      <c r="B2561" s="574" t="s">
        <v>8145</v>
      </c>
      <c r="C2561" s="574" t="s">
        <v>5555</v>
      </c>
      <c r="D2561" s="582">
        <v>170.9</v>
      </c>
    </row>
    <row r="2562" spans="1:4" x14ac:dyDescent="0.2">
      <c r="A2562" s="574">
        <v>34381</v>
      </c>
      <c r="B2562" s="574" t="s">
        <v>8146</v>
      </c>
      <c r="C2562" s="574" t="s">
        <v>5555</v>
      </c>
      <c r="D2562" s="582">
        <v>222.72</v>
      </c>
    </row>
    <row r="2563" spans="1:4" x14ac:dyDescent="0.2">
      <c r="A2563" s="574">
        <v>601</v>
      </c>
      <c r="B2563" s="574" t="s">
        <v>8146</v>
      </c>
      <c r="C2563" s="574" t="s">
        <v>5564</v>
      </c>
      <c r="D2563" s="582">
        <v>444.55</v>
      </c>
    </row>
    <row r="2564" spans="1:4" x14ac:dyDescent="0.2">
      <c r="A2564" s="574">
        <v>3423</v>
      </c>
      <c r="B2564" s="574" t="s">
        <v>8147</v>
      </c>
      <c r="C2564" s="574" t="s">
        <v>5564</v>
      </c>
      <c r="D2564" s="582">
        <v>875.57</v>
      </c>
    </row>
    <row r="2565" spans="1:4" x14ac:dyDescent="0.2">
      <c r="A2565" s="574">
        <v>34797</v>
      </c>
      <c r="B2565" s="574" t="s">
        <v>8148</v>
      </c>
      <c r="C2565" s="574" t="s">
        <v>5555</v>
      </c>
      <c r="D2565" s="582">
        <v>354.17</v>
      </c>
    </row>
    <row r="2566" spans="1:4" x14ac:dyDescent="0.2">
      <c r="A2566" s="574">
        <v>25964</v>
      </c>
      <c r="B2566" s="574" t="s">
        <v>8151</v>
      </c>
      <c r="C2566" s="574" t="s">
        <v>5566</v>
      </c>
      <c r="D2566" s="582">
        <v>14.9</v>
      </c>
    </row>
    <row r="2567" spans="1:4" x14ac:dyDescent="0.2">
      <c r="A2567" s="574">
        <v>41077</v>
      </c>
      <c r="B2567" s="574" t="s">
        <v>8152</v>
      </c>
      <c r="C2567" s="574" t="s">
        <v>5755</v>
      </c>
      <c r="D2567" s="583">
        <v>2610.0100000000002</v>
      </c>
    </row>
    <row r="2568" spans="1:4" x14ac:dyDescent="0.2">
      <c r="A2568" s="574">
        <v>20159</v>
      </c>
      <c r="B2568" s="574" t="s">
        <v>8153</v>
      </c>
      <c r="C2568" s="574" t="s">
        <v>5555</v>
      </c>
      <c r="D2568" s="582">
        <v>34.25</v>
      </c>
    </row>
    <row r="2569" spans="1:4" x14ac:dyDescent="0.2">
      <c r="A2569" s="574">
        <v>37963</v>
      </c>
      <c r="B2569" s="574" t="s">
        <v>8154</v>
      </c>
      <c r="C2569" s="574" t="s">
        <v>5555</v>
      </c>
      <c r="D2569" s="582">
        <v>2.86</v>
      </c>
    </row>
    <row r="2570" spans="1:4" x14ac:dyDescent="0.2">
      <c r="A2570" s="574">
        <v>37964</v>
      </c>
      <c r="B2570" s="574" t="s">
        <v>8155</v>
      </c>
      <c r="C2570" s="574" t="s">
        <v>5555</v>
      </c>
      <c r="D2570" s="582">
        <v>4.76</v>
      </c>
    </row>
    <row r="2571" spans="1:4" x14ac:dyDescent="0.2">
      <c r="A2571" s="574">
        <v>37965</v>
      </c>
      <c r="B2571" s="574" t="s">
        <v>8156</v>
      </c>
      <c r="C2571" s="574" t="s">
        <v>5555</v>
      </c>
      <c r="D2571" s="582">
        <v>6.9</v>
      </c>
    </row>
    <row r="2572" spans="1:4" x14ac:dyDescent="0.2">
      <c r="A2572" s="574">
        <v>37966</v>
      </c>
      <c r="B2572" s="574" t="s">
        <v>8157</v>
      </c>
      <c r="C2572" s="574" t="s">
        <v>5555</v>
      </c>
      <c r="D2572" s="582">
        <v>12.51</v>
      </c>
    </row>
    <row r="2573" spans="1:4" x14ac:dyDescent="0.2">
      <c r="A2573" s="574">
        <v>37967</v>
      </c>
      <c r="B2573" s="574" t="s">
        <v>8158</v>
      </c>
      <c r="C2573" s="574" t="s">
        <v>5555</v>
      </c>
      <c r="D2573" s="582">
        <v>20.059999999999999</v>
      </c>
    </row>
    <row r="2574" spans="1:4" x14ac:dyDescent="0.2">
      <c r="A2574" s="574">
        <v>37968</v>
      </c>
      <c r="B2574" s="574" t="s">
        <v>8159</v>
      </c>
      <c r="C2574" s="574" t="s">
        <v>5555</v>
      </c>
      <c r="D2574" s="582">
        <v>43.99</v>
      </c>
    </row>
    <row r="2575" spans="1:4" x14ac:dyDescent="0.2">
      <c r="A2575" s="574">
        <v>37969</v>
      </c>
      <c r="B2575" s="574" t="s">
        <v>8160</v>
      </c>
      <c r="C2575" s="574" t="s">
        <v>5555</v>
      </c>
      <c r="D2575" s="582">
        <v>117.53</v>
      </c>
    </row>
    <row r="2576" spans="1:4" x14ac:dyDescent="0.2">
      <c r="A2576" s="574">
        <v>37970</v>
      </c>
      <c r="B2576" s="574" t="s">
        <v>8161</v>
      </c>
      <c r="C2576" s="574" t="s">
        <v>5555</v>
      </c>
      <c r="D2576" s="582">
        <v>137.11000000000001</v>
      </c>
    </row>
    <row r="2577" spans="1:4" x14ac:dyDescent="0.2">
      <c r="A2577" s="574">
        <v>21118</v>
      </c>
      <c r="B2577" s="574" t="s">
        <v>8162</v>
      </c>
      <c r="C2577" s="574" t="s">
        <v>5555</v>
      </c>
      <c r="D2577" s="582">
        <v>2.16</v>
      </c>
    </row>
    <row r="2578" spans="1:4" x14ac:dyDescent="0.2">
      <c r="A2578" s="574">
        <v>37956</v>
      </c>
      <c r="B2578" s="574" t="s">
        <v>8163</v>
      </c>
      <c r="C2578" s="574" t="s">
        <v>5555</v>
      </c>
      <c r="D2578" s="582">
        <v>3.42</v>
      </c>
    </row>
    <row r="2579" spans="1:4" x14ac:dyDescent="0.2">
      <c r="A2579" s="574">
        <v>37957</v>
      </c>
      <c r="B2579" s="574" t="s">
        <v>8164</v>
      </c>
      <c r="C2579" s="574" t="s">
        <v>5555</v>
      </c>
      <c r="D2579" s="582">
        <v>7.21</v>
      </c>
    </row>
    <row r="2580" spans="1:4" x14ac:dyDescent="0.2">
      <c r="A2580" s="574">
        <v>37958</v>
      </c>
      <c r="B2580" s="574" t="s">
        <v>8165</v>
      </c>
      <c r="C2580" s="574" t="s">
        <v>5555</v>
      </c>
      <c r="D2580" s="582">
        <v>12.51</v>
      </c>
    </row>
    <row r="2581" spans="1:4" x14ac:dyDescent="0.2">
      <c r="A2581" s="574">
        <v>37959</v>
      </c>
      <c r="B2581" s="574" t="s">
        <v>8166</v>
      </c>
      <c r="C2581" s="574" t="s">
        <v>5555</v>
      </c>
      <c r="D2581" s="582">
        <v>20.059999999999999</v>
      </c>
    </row>
    <row r="2582" spans="1:4" x14ac:dyDescent="0.2">
      <c r="A2582" s="574">
        <v>37960</v>
      </c>
      <c r="B2582" s="574" t="s">
        <v>8167</v>
      </c>
      <c r="C2582" s="574" t="s">
        <v>5555</v>
      </c>
      <c r="D2582" s="582">
        <v>43.2</v>
      </c>
    </row>
    <row r="2583" spans="1:4" x14ac:dyDescent="0.2">
      <c r="A2583" s="574">
        <v>37961</v>
      </c>
      <c r="B2583" s="574" t="s">
        <v>8168</v>
      </c>
      <c r="C2583" s="574" t="s">
        <v>5555</v>
      </c>
      <c r="D2583" s="582">
        <v>114.61</v>
      </c>
    </row>
    <row r="2584" spans="1:4" x14ac:dyDescent="0.2">
      <c r="A2584" s="574">
        <v>37962</v>
      </c>
      <c r="B2584" s="574" t="s">
        <v>8169</v>
      </c>
      <c r="C2584" s="574" t="s">
        <v>5555</v>
      </c>
      <c r="D2584" s="582">
        <v>133.18</v>
      </c>
    </row>
    <row r="2585" spans="1:4" x14ac:dyDescent="0.2">
      <c r="A2585" s="574">
        <v>3533</v>
      </c>
      <c r="B2585" s="574" t="s">
        <v>8170</v>
      </c>
      <c r="C2585" s="574" t="s">
        <v>5555</v>
      </c>
      <c r="D2585" s="582">
        <v>1.84</v>
      </c>
    </row>
    <row r="2586" spans="1:4" x14ac:dyDescent="0.2">
      <c r="A2586" s="574">
        <v>3538</v>
      </c>
      <c r="B2586" s="574" t="s">
        <v>8171</v>
      </c>
      <c r="C2586" s="574" t="s">
        <v>5555</v>
      </c>
      <c r="D2586" s="582">
        <v>3.17</v>
      </c>
    </row>
    <row r="2587" spans="1:4" x14ac:dyDescent="0.2">
      <c r="A2587" s="574">
        <v>3497</v>
      </c>
      <c r="B2587" s="574" t="s">
        <v>8172</v>
      </c>
      <c r="C2587" s="574" t="s">
        <v>5555</v>
      </c>
      <c r="D2587" s="582">
        <v>11.86</v>
      </c>
    </row>
    <row r="2588" spans="1:4" x14ac:dyDescent="0.2">
      <c r="A2588" s="574">
        <v>3498</v>
      </c>
      <c r="B2588" s="574" t="s">
        <v>8173</v>
      </c>
      <c r="C2588" s="574" t="s">
        <v>5555</v>
      </c>
      <c r="D2588" s="582">
        <v>3.76</v>
      </c>
    </row>
    <row r="2589" spans="1:4" x14ac:dyDescent="0.2">
      <c r="A2589" s="574">
        <v>3496</v>
      </c>
      <c r="B2589" s="574" t="s">
        <v>8174</v>
      </c>
      <c r="C2589" s="574" t="s">
        <v>5555</v>
      </c>
      <c r="D2589" s="582">
        <v>3.04</v>
      </c>
    </row>
    <row r="2590" spans="1:4" x14ac:dyDescent="0.2">
      <c r="A2590" s="574">
        <v>38429</v>
      </c>
      <c r="B2590" s="574" t="s">
        <v>8175</v>
      </c>
      <c r="C2590" s="574" t="s">
        <v>5555</v>
      </c>
      <c r="D2590" s="582">
        <v>7.29</v>
      </c>
    </row>
    <row r="2591" spans="1:4" x14ac:dyDescent="0.2">
      <c r="A2591" s="574">
        <v>38431</v>
      </c>
      <c r="B2591" s="574" t="s">
        <v>8176</v>
      </c>
      <c r="C2591" s="574" t="s">
        <v>5555</v>
      </c>
      <c r="D2591" s="582">
        <v>11.55</v>
      </c>
    </row>
    <row r="2592" spans="1:4" x14ac:dyDescent="0.2">
      <c r="A2592" s="574">
        <v>38430</v>
      </c>
      <c r="B2592" s="574" t="s">
        <v>8177</v>
      </c>
      <c r="C2592" s="574" t="s">
        <v>5555</v>
      </c>
      <c r="D2592" s="582">
        <v>14.76</v>
      </c>
    </row>
    <row r="2593" spans="1:4" x14ac:dyDescent="0.2">
      <c r="A2593" s="574">
        <v>36348</v>
      </c>
      <c r="B2593" s="574" t="s">
        <v>8178</v>
      </c>
      <c r="C2593" s="574" t="s">
        <v>5555</v>
      </c>
      <c r="D2593" s="582">
        <v>1.05</v>
      </c>
    </row>
    <row r="2594" spans="1:4" x14ac:dyDescent="0.2">
      <c r="A2594" s="574">
        <v>36349</v>
      </c>
      <c r="B2594" s="574" t="s">
        <v>8179</v>
      </c>
      <c r="C2594" s="574" t="s">
        <v>5555</v>
      </c>
      <c r="D2594" s="582">
        <v>1.58</v>
      </c>
    </row>
    <row r="2595" spans="1:4" x14ac:dyDescent="0.2">
      <c r="A2595" s="574">
        <v>38433</v>
      </c>
      <c r="B2595" s="574" t="s">
        <v>8180</v>
      </c>
      <c r="C2595" s="574" t="s">
        <v>5555</v>
      </c>
      <c r="D2595" s="582">
        <v>2.93</v>
      </c>
    </row>
    <row r="2596" spans="1:4" x14ac:dyDescent="0.2">
      <c r="A2596" s="574">
        <v>38440</v>
      </c>
      <c r="B2596" s="574" t="s">
        <v>8181</v>
      </c>
      <c r="C2596" s="574" t="s">
        <v>5555</v>
      </c>
      <c r="D2596" s="582">
        <v>101</v>
      </c>
    </row>
    <row r="2597" spans="1:4" x14ac:dyDescent="0.2">
      <c r="A2597" s="574">
        <v>36359</v>
      </c>
      <c r="B2597" s="574" t="s">
        <v>8182</v>
      </c>
      <c r="C2597" s="574" t="s">
        <v>5555</v>
      </c>
      <c r="D2597" s="582">
        <v>1.25</v>
      </c>
    </row>
    <row r="2598" spans="1:4" x14ac:dyDescent="0.2">
      <c r="A2598" s="574">
        <v>36360</v>
      </c>
      <c r="B2598" s="574" t="s">
        <v>8183</v>
      </c>
      <c r="C2598" s="574" t="s">
        <v>5555</v>
      </c>
      <c r="D2598" s="582">
        <v>1.93</v>
      </c>
    </row>
    <row r="2599" spans="1:4" x14ac:dyDescent="0.2">
      <c r="A2599" s="574">
        <v>38434</v>
      </c>
      <c r="B2599" s="574" t="s">
        <v>8184</v>
      </c>
      <c r="C2599" s="574" t="s">
        <v>5555</v>
      </c>
      <c r="D2599" s="582">
        <v>2.96</v>
      </c>
    </row>
    <row r="2600" spans="1:4" x14ac:dyDescent="0.2">
      <c r="A2600" s="574">
        <v>38435</v>
      </c>
      <c r="B2600" s="574" t="s">
        <v>8185</v>
      </c>
      <c r="C2600" s="574" t="s">
        <v>5555</v>
      </c>
      <c r="D2600" s="582">
        <v>5.63</v>
      </c>
    </row>
    <row r="2601" spans="1:4" x14ac:dyDescent="0.2">
      <c r="A2601" s="574">
        <v>38436</v>
      </c>
      <c r="B2601" s="574" t="s">
        <v>8186</v>
      </c>
      <c r="C2601" s="574" t="s">
        <v>5555</v>
      </c>
      <c r="D2601" s="582">
        <v>11.64</v>
      </c>
    </row>
    <row r="2602" spans="1:4" x14ac:dyDescent="0.2">
      <c r="A2602" s="574">
        <v>38437</v>
      </c>
      <c r="B2602" s="574" t="s">
        <v>8187</v>
      </c>
      <c r="C2602" s="574" t="s">
        <v>5555</v>
      </c>
      <c r="D2602" s="582">
        <v>17.48</v>
      </c>
    </row>
    <row r="2603" spans="1:4" x14ac:dyDescent="0.2">
      <c r="A2603" s="574">
        <v>38438</v>
      </c>
      <c r="B2603" s="574" t="s">
        <v>8188</v>
      </c>
      <c r="C2603" s="574" t="s">
        <v>5555</v>
      </c>
      <c r="D2603" s="582">
        <v>44.18</v>
      </c>
    </row>
    <row r="2604" spans="1:4" x14ac:dyDescent="0.2">
      <c r="A2604" s="574">
        <v>38439</v>
      </c>
      <c r="B2604" s="574" t="s">
        <v>8189</v>
      </c>
      <c r="C2604" s="574" t="s">
        <v>5555</v>
      </c>
      <c r="D2604" s="582">
        <v>67.34</v>
      </c>
    </row>
    <row r="2605" spans="1:4" x14ac:dyDescent="0.2">
      <c r="A2605" s="574">
        <v>10836</v>
      </c>
      <c r="B2605" s="574" t="s">
        <v>8190</v>
      </c>
      <c r="C2605" s="574" t="s">
        <v>5555</v>
      </c>
      <c r="D2605" s="582">
        <v>12</v>
      </c>
    </row>
    <row r="2606" spans="1:4" x14ac:dyDescent="0.2">
      <c r="A2606" s="574">
        <v>20128</v>
      </c>
      <c r="B2606" s="574" t="s">
        <v>8191</v>
      </c>
      <c r="C2606" s="574" t="s">
        <v>5555</v>
      </c>
      <c r="D2606" s="582">
        <v>35.19</v>
      </c>
    </row>
    <row r="2607" spans="1:4" x14ac:dyDescent="0.2">
      <c r="A2607" s="574">
        <v>20131</v>
      </c>
      <c r="B2607" s="574" t="s">
        <v>8192</v>
      </c>
      <c r="C2607" s="574" t="s">
        <v>5555</v>
      </c>
      <c r="D2607" s="582">
        <v>32.119999999999997</v>
      </c>
    </row>
    <row r="2608" spans="1:4" x14ac:dyDescent="0.2">
      <c r="A2608" s="574">
        <v>3521</v>
      </c>
      <c r="B2608" s="574" t="s">
        <v>8193</v>
      </c>
      <c r="C2608" s="574" t="s">
        <v>5555</v>
      </c>
      <c r="D2608" s="582">
        <v>1.6</v>
      </c>
    </row>
    <row r="2609" spans="1:4" x14ac:dyDescent="0.2">
      <c r="A2609" s="574">
        <v>3531</v>
      </c>
      <c r="B2609" s="574" t="s">
        <v>8194</v>
      </c>
      <c r="C2609" s="574" t="s">
        <v>5555</v>
      </c>
      <c r="D2609" s="582">
        <v>1.81</v>
      </c>
    </row>
    <row r="2610" spans="1:4" x14ac:dyDescent="0.2">
      <c r="A2610" s="574">
        <v>3522</v>
      </c>
      <c r="B2610" s="574" t="s">
        <v>8195</v>
      </c>
      <c r="C2610" s="574" t="s">
        <v>5555</v>
      </c>
      <c r="D2610" s="582">
        <v>2.69</v>
      </c>
    </row>
    <row r="2611" spans="1:4" x14ac:dyDescent="0.2">
      <c r="A2611" s="574">
        <v>3527</v>
      </c>
      <c r="B2611" s="574" t="s">
        <v>8196</v>
      </c>
      <c r="C2611" s="574" t="s">
        <v>5555</v>
      </c>
      <c r="D2611" s="582">
        <v>9.26</v>
      </c>
    </row>
    <row r="2612" spans="1:4" x14ac:dyDescent="0.2">
      <c r="A2612" s="574">
        <v>10835</v>
      </c>
      <c r="B2612" s="574" t="s">
        <v>8197</v>
      </c>
      <c r="C2612" s="574" t="s">
        <v>5555</v>
      </c>
      <c r="D2612" s="582">
        <v>2.5099999999999998</v>
      </c>
    </row>
    <row r="2613" spans="1:4" x14ac:dyDescent="0.2">
      <c r="A2613" s="574">
        <v>3475</v>
      </c>
      <c r="B2613" s="574" t="s">
        <v>8198</v>
      </c>
      <c r="C2613" s="574" t="s">
        <v>5555</v>
      </c>
      <c r="D2613" s="582">
        <v>3.11</v>
      </c>
    </row>
    <row r="2614" spans="1:4" x14ac:dyDescent="0.2">
      <c r="A2614" s="574">
        <v>3485</v>
      </c>
      <c r="B2614" s="574" t="s">
        <v>8199</v>
      </c>
      <c r="C2614" s="574" t="s">
        <v>5555</v>
      </c>
      <c r="D2614" s="582">
        <v>9.94</v>
      </c>
    </row>
    <row r="2615" spans="1:4" x14ac:dyDescent="0.2">
      <c r="A2615" s="574">
        <v>3534</v>
      </c>
      <c r="B2615" s="574" t="s">
        <v>8200</v>
      </c>
      <c r="C2615" s="574" t="s">
        <v>5555</v>
      </c>
      <c r="D2615" s="582">
        <v>3.93</v>
      </c>
    </row>
    <row r="2616" spans="1:4" x14ac:dyDescent="0.2">
      <c r="A2616" s="574">
        <v>3543</v>
      </c>
      <c r="B2616" s="574" t="s">
        <v>8201</v>
      </c>
      <c r="C2616" s="574" t="s">
        <v>5555</v>
      </c>
      <c r="D2616" s="582">
        <v>1.97</v>
      </c>
    </row>
    <row r="2617" spans="1:4" x14ac:dyDescent="0.2">
      <c r="A2617" s="574">
        <v>3482</v>
      </c>
      <c r="B2617" s="574" t="s">
        <v>8202</v>
      </c>
      <c r="C2617" s="574" t="s">
        <v>5555</v>
      </c>
      <c r="D2617" s="582">
        <v>4.99</v>
      </c>
    </row>
    <row r="2618" spans="1:4" x14ac:dyDescent="0.2">
      <c r="A2618" s="574">
        <v>3505</v>
      </c>
      <c r="B2618" s="574" t="s">
        <v>8203</v>
      </c>
      <c r="C2618" s="574" t="s">
        <v>5555</v>
      </c>
      <c r="D2618" s="582">
        <v>2.83</v>
      </c>
    </row>
    <row r="2619" spans="1:4" x14ac:dyDescent="0.2">
      <c r="A2619" s="574">
        <v>3516</v>
      </c>
      <c r="B2619" s="574" t="s">
        <v>8204</v>
      </c>
      <c r="C2619" s="574" t="s">
        <v>5555</v>
      </c>
      <c r="D2619" s="582">
        <v>0.65</v>
      </c>
    </row>
    <row r="2620" spans="1:4" x14ac:dyDescent="0.2">
      <c r="A2620" s="574">
        <v>3517</v>
      </c>
      <c r="B2620" s="574" t="s">
        <v>8205</v>
      </c>
      <c r="C2620" s="574" t="s">
        <v>5555</v>
      </c>
      <c r="D2620" s="582">
        <v>2.29</v>
      </c>
    </row>
    <row r="2621" spans="1:4" x14ac:dyDescent="0.2">
      <c r="A2621" s="574">
        <v>3515</v>
      </c>
      <c r="B2621" s="574" t="s">
        <v>8206</v>
      </c>
      <c r="C2621" s="574" t="s">
        <v>5555</v>
      </c>
      <c r="D2621" s="582">
        <v>4.59</v>
      </c>
    </row>
    <row r="2622" spans="1:4" x14ac:dyDescent="0.2">
      <c r="A2622" s="574">
        <v>20147</v>
      </c>
      <c r="B2622" s="574" t="s">
        <v>8207</v>
      </c>
      <c r="C2622" s="574" t="s">
        <v>5555</v>
      </c>
      <c r="D2622" s="582">
        <v>4.9400000000000004</v>
      </c>
    </row>
    <row r="2623" spans="1:4" x14ac:dyDescent="0.2">
      <c r="A2623" s="574">
        <v>3524</v>
      </c>
      <c r="B2623" s="574" t="s">
        <v>8208</v>
      </c>
      <c r="C2623" s="574" t="s">
        <v>5555</v>
      </c>
      <c r="D2623" s="582">
        <v>5.85</v>
      </c>
    </row>
    <row r="2624" spans="1:4" x14ac:dyDescent="0.2">
      <c r="A2624" s="574">
        <v>3532</v>
      </c>
      <c r="B2624" s="574" t="s">
        <v>8209</v>
      </c>
      <c r="C2624" s="574" t="s">
        <v>5555</v>
      </c>
      <c r="D2624" s="582">
        <v>10.71</v>
      </c>
    </row>
    <row r="2625" spans="1:4" x14ac:dyDescent="0.2">
      <c r="A2625" s="574">
        <v>3528</v>
      </c>
      <c r="B2625" s="574" t="s">
        <v>8210</v>
      </c>
      <c r="C2625" s="574" t="s">
        <v>5555</v>
      </c>
      <c r="D2625" s="582">
        <v>5.18</v>
      </c>
    </row>
    <row r="2626" spans="1:4" x14ac:dyDescent="0.2">
      <c r="A2626" s="574">
        <v>37952</v>
      </c>
      <c r="B2626" s="574" t="s">
        <v>8211</v>
      </c>
      <c r="C2626" s="574" t="s">
        <v>5555</v>
      </c>
      <c r="D2626" s="582">
        <v>36.89</v>
      </c>
    </row>
    <row r="2627" spans="1:4" x14ac:dyDescent="0.2">
      <c r="A2627" s="574">
        <v>37951</v>
      </c>
      <c r="B2627" s="574" t="s">
        <v>8212</v>
      </c>
      <c r="C2627" s="574" t="s">
        <v>5555</v>
      </c>
      <c r="D2627" s="582">
        <v>1.34</v>
      </c>
    </row>
    <row r="2628" spans="1:4" x14ac:dyDescent="0.2">
      <c r="A2628" s="574">
        <v>3518</v>
      </c>
      <c r="B2628" s="574" t="s">
        <v>8213</v>
      </c>
      <c r="C2628" s="574" t="s">
        <v>5555</v>
      </c>
      <c r="D2628" s="582">
        <v>1.96</v>
      </c>
    </row>
    <row r="2629" spans="1:4" x14ac:dyDescent="0.2">
      <c r="A2629" s="574">
        <v>3519</v>
      </c>
      <c r="B2629" s="574" t="s">
        <v>8214</v>
      </c>
      <c r="C2629" s="574" t="s">
        <v>5555</v>
      </c>
      <c r="D2629" s="582">
        <v>4.6500000000000004</v>
      </c>
    </row>
    <row r="2630" spans="1:4" x14ac:dyDescent="0.2">
      <c r="A2630" s="574">
        <v>3520</v>
      </c>
      <c r="B2630" s="574" t="s">
        <v>8215</v>
      </c>
      <c r="C2630" s="574" t="s">
        <v>5555</v>
      </c>
      <c r="D2630" s="582">
        <v>5.21</v>
      </c>
    </row>
    <row r="2631" spans="1:4" x14ac:dyDescent="0.2">
      <c r="A2631" s="574">
        <v>37950</v>
      </c>
      <c r="B2631" s="574" t="s">
        <v>8216</v>
      </c>
      <c r="C2631" s="574" t="s">
        <v>5555</v>
      </c>
      <c r="D2631" s="582">
        <v>32.119999999999997</v>
      </c>
    </row>
    <row r="2632" spans="1:4" x14ac:dyDescent="0.2">
      <c r="A2632" s="574">
        <v>37949</v>
      </c>
      <c r="B2632" s="574" t="s">
        <v>8217</v>
      </c>
      <c r="C2632" s="574" t="s">
        <v>5555</v>
      </c>
      <c r="D2632" s="582">
        <v>1.17</v>
      </c>
    </row>
    <row r="2633" spans="1:4" x14ac:dyDescent="0.2">
      <c r="A2633" s="574">
        <v>3526</v>
      </c>
      <c r="B2633" s="574" t="s">
        <v>8218</v>
      </c>
      <c r="C2633" s="574" t="s">
        <v>5555</v>
      </c>
      <c r="D2633" s="582">
        <v>1.57</v>
      </c>
    </row>
    <row r="2634" spans="1:4" x14ac:dyDescent="0.2">
      <c r="A2634" s="574">
        <v>3509</v>
      </c>
      <c r="B2634" s="574" t="s">
        <v>8219</v>
      </c>
      <c r="C2634" s="574" t="s">
        <v>5555</v>
      </c>
      <c r="D2634" s="582">
        <v>4.0999999999999996</v>
      </c>
    </row>
    <row r="2635" spans="1:4" x14ac:dyDescent="0.2">
      <c r="A2635" s="574">
        <v>3530</v>
      </c>
      <c r="B2635" s="574" t="s">
        <v>8220</v>
      </c>
      <c r="C2635" s="574" t="s">
        <v>5555</v>
      </c>
      <c r="D2635" s="582">
        <v>184.46</v>
      </c>
    </row>
    <row r="2636" spans="1:4" x14ac:dyDescent="0.2">
      <c r="A2636" s="574">
        <v>3542</v>
      </c>
      <c r="B2636" s="574" t="s">
        <v>8221</v>
      </c>
      <c r="C2636" s="574" t="s">
        <v>5555</v>
      </c>
      <c r="D2636" s="582">
        <v>0.43</v>
      </c>
    </row>
    <row r="2637" spans="1:4" x14ac:dyDescent="0.2">
      <c r="A2637" s="574">
        <v>3529</v>
      </c>
      <c r="B2637" s="574" t="s">
        <v>8222</v>
      </c>
      <c r="C2637" s="574" t="s">
        <v>5555</v>
      </c>
      <c r="D2637" s="582">
        <v>0.59</v>
      </c>
    </row>
    <row r="2638" spans="1:4" x14ac:dyDescent="0.2">
      <c r="A2638" s="574">
        <v>3536</v>
      </c>
      <c r="B2638" s="574" t="s">
        <v>8223</v>
      </c>
      <c r="C2638" s="574" t="s">
        <v>5555</v>
      </c>
      <c r="D2638" s="582">
        <v>1.76</v>
      </c>
    </row>
    <row r="2639" spans="1:4" x14ac:dyDescent="0.2">
      <c r="A2639" s="574">
        <v>3535</v>
      </c>
      <c r="B2639" s="574" t="s">
        <v>8224</v>
      </c>
      <c r="C2639" s="574" t="s">
        <v>5555</v>
      </c>
      <c r="D2639" s="582">
        <v>4.1900000000000004</v>
      </c>
    </row>
    <row r="2640" spans="1:4" x14ac:dyDescent="0.2">
      <c r="A2640" s="574">
        <v>3540</v>
      </c>
      <c r="B2640" s="574" t="s">
        <v>8225</v>
      </c>
      <c r="C2640" s="574" t="s">
        <v>5555</v>
      </c>
      <c r="D2640" s="582">
        <v>4.53</v>
      </c>
    </row>
    <row r="2641" spans="1:4" x14ac:dyDescent="0.2">
      <c r="A2641" s="574">
        <v>3539</v>
      </c>
      <c r="B2641" s="574" t="s">
        <v>8226</v>
      </c>
      <c r="C2641" s="574" t="s">
        <v>5555</v>
      </c>
      <c r="D2641" s="582">
        <v>19.670000000000002</v>
      </c>
    </row>
    <row r="2642" spans="1:4" x14ac:dyDescent="0.2">
      <c r="A2642" s="574">
        <v>3513</v>
      </c>
      <c r="B2642" s="574" t="s">
        <v>8227</v>
      </c>
      <c r="C2642" s="574" t="s">
        <v>5555</v>
      </c>
      <c r="D2642" s="582">
        <v>87.44</v>
      </c>
    </row>
    <row r="2643" spans="1:4" x14ac:dyDescent="0.2">
      <c r="A2643" s="574">
        <v>3492</v>
      </c>
      <c r="B2643" s="574" t="s">
        <v>8228</v>
      </c>
      <c r="C2643" s="574" t="s">
        <v>5555</v>
      </c>
      <c r="D2643" s="582">
        <v>16.829999999999998</v>
      </c>
    </row>
    <row r="2644" spans="1:4" x14ac:dyDescent="0.2">
      <c r="A2644" s="574">
        <v>3491</v>
      </c>
      <c r="B2644" s="574" t="s">
        <v>8229</v>
      </c>
      <c r="C2644" s="574" t="s">
        <v>5555</v>
      </c>
      <c r="D2644" s="582">
        <v>9.6</v>
      </c>
    </row>
    <row r="2645" spans="1:4" x14ac:dyDescent="0.2">
      <c r="A2645" s="574">
        <v>3493</v>
      </c>
      <c r="B2645" s="574" t="s">
        <v>8230</v>
      </c>
      <c r="C2645" s="574" t="s">
        <v>5555</v>
      </c>
      <c r="D2645" s="582">
        <v>23.01</v>
      </c>
    </row>
    <row r="2646" spans="1:4" x14ac:dyDescent="0.2">
      <c r="A2646" s="574">
        <v>12628</v>
      </c>
      <c r="B2646" s="574" t="s">
        <v>8231</v>
      </c>
      <c r="C2646" s="574" t="s">
        <v>5555</v>
      </c>
      <c r="D2646" s="582">
        <v>5.79</v>
      </c>
    </row>
    <row r="2647" spans="1:4" x14ac:dyDescent="0.2">
      <c r="A2647" s="574">
        <v>12629</v>
      </c>
      <c r="B2647" s="574" t="s">
        <v>8232</v>
      </c>
      <c r="C2647" s="574" t="s">
        <v>5555</v>
      </c>
      <c r="D2647" s="582">
        <v>6.28</v>
      </c>
    </row>
    <row r="2648" spans="1:4" x14ac:dyDescent="0.2">
      <c r="A2648" s="574">
        <v>3481</v>
      </c>
      <c r="B2648" s="574" t="s">
        <v>8233</v>
      </c>
      <c r="C2648" s="574" t="s">
        <v>5555</v>
      </c>
      <c r="D2648" s="582">
        <v>11.66</v>
      </c>
    </row>
    <row r="2649" spans="1:4" x14ac:dyDescent="0.2">
      <c r="A2649" s="574">
        <v>3510</v>
      </c>
      <c r="B2649" s="574" t="s">
        <v>8234</v>
      </c>
      <c r="C2649" s="574" t="s">
        <v>5555</v>
      </c>
      <c r="D2649" s="582">
        <v>10.89</v>
      </c>
    </row>
    <row r="2650" spans="1:4" x14ac:dyDescent="0.2">
      <c r="A2650" s="574">
        <v>3508</v>
      </c>
      <c r="B2650" s="574" t="s">
        <v>8235</v>
      </c>
      <c r="C2650" s="574" t="s">
        <v>5555</v>
      </c>
      <c r="D2650" s="582">
        <v>28.48</v>
      </c>
    </row>
    <row r="2651" spans="1:4" x14ac:dyDescent="0.2">
      <c r="A2651" s="574">
        <v>38939</v>
      </c>
      <c r="B2651" s="574" t="s">
        <v>8236</v>
      </c>
      <c r="C2651" s="574" t="s">
        <v>5555</v>
      </c>
      <c r="D2651" s="582">
        <v>12.74</v>
      </c>
    </row>
    <row r="2652" spans="1:4" x14ac:dyDescent="0.2">
      <c r="A2652" s="574">
        <v>38940</v>
      </c>
      <c r="B2652" s="574" t="s">
        <v>8237</v>
      </c>
      <c r="C2652" s="574" t="s">
        <v>5555</v>
      </c>
      <c r="D2652" s="582">
        <v>19.45</v>
      </c>
    </row>
    <row r="2653" spans="1:4" x14ac:dyDescent="0.2">
      <c r="A2653" s="574">
        <v>38941</v>
      </c>
      <c r="B2653" s="574" t="s">
        <v>8238</v>
      </c>
      <c r="C2653" s="574" t="s">
        <v>5555</v>
      </c>
      <c r="D2653" s="582">
        <v>22.98</v>
      </c>
    </row>
    <row r="2654" spans="1:4" x14ac:dyDescent="0.2">
      <c r="A2654" s="574">
        <v>38942</v>
      </c>
      <c r="B2654" s="574" t="s">
        <v>8239</v>
      </c>
      <c r="C2654" s="574" t="s">
        <v>5555</v>
      </c>
      <c r="D2654" s="582">
        <v>25.74</v>
      </c>
    </row>
    <row r="2655" spans="1:4" x14ac:dyDescent="0.2">
      <c r="A2655" s="574">
        <v>38987</v>
      </c>
      <c r="B2655" s="574" t="s">
        <v>8240</v>
      </c>
      <c r="C2655" s="574" t="s">
        <v>5555</v>
      </c>
      <c r="D2655" s="582">
        <v>5.24</v>
      </c>
    </row>
    <row r="2656" spans="1:4" x14ac:dyDescent="0.2">
      <c r="A2656" s="574">
        <v>38988</v>
      </c>
      <c r="B2656" s="574" t="s">
        <v>8241</v>
      </c>
      <c r="C2656" s="574" t="s">
        <v>5555</v>
      </c>
      <c r="D2656" s="582">
        <v>12.17</v>
      </c>
    </row>
    <row r="2657" spans="1:4" x14ac:dyDescent="0.2">
      <c r="A2657" s="574">
        <v>38989</v>
      </c>
      <c r="B2657" s="574" t="s">
        <v>8242</v>
      </c>
      <c r="C2657" s="574" t="s">
        <v>5555</v>
      </c>
      <c r="D2657" s="582">
        <v>16.18</v>
      </c>
    </row>
    <row r="2658" spans="1:4" x14ac:dyDescent="0.2">
      <c r="A2658" s="574">
        <v>38990</v>
      </c>
      <c r="B2658" s="574" t="s">
        <v>8243</v>
      </c>
      <c r="C2658" s="574" t="s">
        <v>5555</v>
      </c>
      <c r="D2658" s="582">
        <v>42.65</v>
      </c>
    </row>
    <row r="2659" spans="1:4" x14ac:dyDescent="0.2">
      <c r="A2659" s="574">
        <v>38991</v>
      </c>
      <c r="B2659" s="574" t="s">
        <v>8244</v>
      </c>
      <c r="C2659" s="574" t="s">
        <v>5555</v>
      </c>
      <c r="D2659" s="582">
        <v>86.17</v>
      </c>
    </row>
    <row r="2660" spans="1:4" x14ac:dyDescent="0.2">
      <c r="A2660" s="574">
        <v>38913</v>
      </c>
      <c r="B2660" s="574" t="s">
        <v>8245</v>
      </c>
      <c r="C2660" s="574" t="s">
        <v>5555</v>
      </c>
      <c r="D2660" s="582">
        <v>11.82</v>
      </c>
    </row>
    <row r="2661" spans="1:4" x14ac:dyDescent="0.2">
      <c r="A2661" s="574">
        <v>38914</v>
      </c>
      <c r="B2661" s="574" t="s">
        <v>8246</v>
      </c>
      <c r="C2661" s="574" t="s">
        <v>5555</v>
      </c>
      <c r="D2661" s="582">
        <v>13.71</v>
      </c>
    </row>
    <row r="2662" spans="1:4" x14ac:dyDescent="0.2">
      <c r="A2662" s="574">
        <v>38915</v>
      </c>
      <c r="B2662" s="574" t="s">
        <v>8247</v>
      </c>
      <c r="C2662" s="574" t="s">
        <v>5555</v>
      </c>
      <c r="D2662" s="582">
        <v>23.81</v>
      </c>
    </row>
    <row r="2663" spans="1:4" x14ac:dyDescent="0.2">
      <c r="A2663" s="574">
        <v>38916</v>
      </c>
      <c r="B2663" s="574" t="s">
        <v>8248</v>
      </c>
      <c r="C2663" s="574" t="s">
        <v>5555</v>
      </c>
      <c r="D2663" s="582">
        <v>31.41</v>
      </c>
    </row>
    <row r="2664" spans="1:4" x14ac:dyDescent="0.2">
      <c r="A2664" s="574">
        <v>39300</v>
      </c>
      <c r="B2664" s="574" t="s">
        <v>8249</v>
      </c>
      <c r="C2664" s="574" t="s">
        <v>5555</v>
      </c>
      <c r="D2664" s="582">
        <v>10.68</v>
      </c>
    </row>
    <row r="2665" spans="1:4" x14ac:dyDescent="0.2">
      <c r="A2665" s="574">
        <v>39301</v>
      </c>
      <c r="B2665" s="574" t="s">
        <v>8250</v>
      </c>
      <c r="C2665" s="574" t="s">
        <v>5555</v>
      </c>
      <c r="D2665" s="582">
        <v>14.82</v>
      </c>
    </row>
    <row r="2666" spans="1:4" x14ac:dyDescent="0.2">
      <c r="A2666" s="574">
        <v>39302</v>
      </c>
      <c r="B2666" s="574" t="s">
        <v>8251</v>
      </c>
      <c r="C2666" s="574" t="s">
        <v>5555</v>
      </c>
      <c r="D2666" s="582">
        <v>18.62</v>
      </c>
    </row>
    <row r="2667" spans="1:4" x14ac:dyDescent="0.2">
      <c r="A2667" s="574">
        <v>39303</v>
      </c>
      <c r="B2667" s="574" t="s">
        <v>8252</v>
      </c>
      <c r="C2667" s="574" t="s">
        <v>5555</v>
      </c>
      <c r="D2667" s="582">
        <v>32.74</v>
      </c>
    </row>
    <row r="2668" spans="1:4" x14ac:dyDescent="0.2">
      <c r="A2668" s="574">
        <v>38923</v>
      </c>
      <c r="B2668" s="574" t="s">
        <v>8253</v>
      </c>
      <c r="C2668" s="574" t="s">
        <v>5555</v>
      </c>
      <c r="D2668" s="582">
        <v>10.43</v>
      </c>
    </row>
    <row r="2669" spans="1:4" x14ac:dyDescent="0.2">
      <c r="A2669" s="574">
        <v>38925</v>
      </c>
      <c r="B2669" s="574" t="s">
        <v>8254</v>
      </c>
      <c r="C2669" s="574" t="s">
        <v>5555</v>
      </c>
      <c r="D2669" s="582">
        <v>11.2</v>
      </c>
    </row>
    <row r="2670" spans="1:4" x14ac:dyDescent="0.2">
      <c r="A2670" s="574">
        <v>38926</v>
      </c>
      <c r="B2670" s="574" t="s">
        <v>8255</v>
      </c>
      <c r="C2670" s="574" t="s">
        <v>5555</v>
      </c>
      <c r="D2670" s="582">
        <v>16.010000000000002</v>
      </c>
    </row>
    <row r="2671" spans="1:4" x14ac:dyDescent="0.2">
      <c r="A2671" s="574">
        <v>38927</v>
      </c>
      <c r="B2671" s="574" t="s">
        <v>8256</v>
      </c>
      <c r="C2671" s="574" t="s">
        <v>5555</v>
      </c>
      <c r="D2671" s="582">
        <v>17.12</v>
      </c>
    </row>
    <row r="2672" spans="1:4" x14ac:dyDescent="0.2">
      <c r="A2672" s="574">
        <v>39304</v>
      </c>
      <c r="B2672" s="574" t="s">
        <v>8257</v>
      </c>
      <c r="C2672" s="574" t="s">
        <v>5555</v>
      </c>
      <c r="D2672" s="582">
        <v>13.19</v>
      </c>
    </row>
    <row r="2673" spans="1:4" x14ac:dyDescent="0.2">
      <c r="A2673" s="574">
        <v>38924</v>
      </c>
      <c r="B2673" s="574" t="s">
        <v>8258</v>
      </c>
      <c r="C2673" s="574" t="s">
        <v>5555</v>
      </c>
      <c r="D2673" s="582">
        <v>18.79</v>
      </c>
    </row>
    <row r="2674" spans="1:4" x14ac:dyDescent="0.2">
      <c r="A2674" s="574">
        <v>39305</v>
      </c>
      <c r="B2674" s="574" t="s">
        <v>8259</v>
      </c>
      <c r="C2674" s="574" t="s">
        <v>5555</v>
      </c>
      <c r="D2674" s="582">
        <v>17.27</v>
      </c>
    </row>
    <row r="2675" spans="1:4" x14ac:dyDescent="0.2">
      <c r="A2675" s="574">
        <v>39306</v>
      </c>
      <c r="B2675" s="574" t="s">
        <v>8260</v>
      </c>
      <c r="C2675" s="574" t="s">
        <v>5555</v>
      </c>
      <c r="D2675" s="582">
        <v>21.6</v>
      </c>
    </row>
    <row r="2676" spans="1:4" x14ac:dyDescent="0.2">
      <c r="A2676" s="574">
        <v>38928</v>
      </c>
      <c r="B2676" s="574" t="s">
        <v>8261</v>
      </c>
      <c r="C2676" s="574" t="s">
        <v>5555</v>
      </c>
      <c r="D2676" s="582">
        <v>18.98</v>
      </c>
    </row>
    <row r="2677" spans="1:4" x14ac:dyDescent="0.2">
      <c r="A2677" s="574">
        <v>38929</v>
      </c>
      <c r="B2677" s="574" t="s">
        <v>8262</v>
      </c>
      <c r="C2677" s="574" t="s">
        <v>5555</v>
      </c>
      <c r="D2677" s="582">
        <v>33.64</v>
      </c>
    </row>
    <row r="2678" spans="1:4" x14ac:dyDescent="0.2">
      <c r="A2678" s="574">
        <v>39307</v>
      </c>
      <c r="B2678" s="574" t="s">
        <v>8263</v>
      </c>
      <c r="C2678" s="574" t="s">
        <v>5555</v>
      </c>
      <c r="D2678" s="582">
        <v>24.86</v>
      </c>
    </row>
    <row r="2679" spans="1:4" x14ac:dyDescent="0.2">
      <c r="A2679" s="574">
        <v>38930</v>
      </c>
      <c r="B2679" s="574" t="s">
        <v>8264</v>
      </c>
      <c r="C2679" s="574" t="s">
        <v>5555</v>
      </c>
      <c r="D2679" s="582">
        <v>42.27</v>
      </c>
    </row>
    <row r="2680" spans="1:4" x14ac:dyDescent="0.2">
      <c r="A2680" s="574">
        <v>38931</v>
      </c>
      <c r="B2680" s="574" t="s">
        <v>8265</v>
      </c>
      <c r="C2680" s="574" t="s">
        <v>5555</v>
      </c>
      <c r="D2680" s="582">
        <v>10.64</v>
      </c>
    </row>
    <row r="2681" spans="1:4" x14ac:dyDescent="0.2">
      <c r="A2681" s="574">
        <v>38932</v>
      </c>
      <c r="B2681" s="574" t="s">
        <v>8266</v>
      </c>
      <c r="C2681" s="574" t="s">
        <v>5555</v>
      </c>
      <c r="D2681" s="582">
        <v>10.75</v>
      </c>
    </row>
    <row r="2682" spans="1:4" x14ac:dyDescent="0.2">
      <c r="A2682" s="574">
        <v>38934</v>
      </c>
      <c r="B2682" s="574" t="s">
        <v>8267</v>
      </c>
      <c r="C2682" s="574" t="s">
        <v>5555</v>
      </c>
      <c r="D2682" s="582">
        <v>15.88</v>
      </c>
    </row>
    <row r="2683" spans="1:4" x14ac:dyDescent="0.2">
      <c r="A2683" s="574">
        <v>38935</v>
      </c>
      <c r="B2683" s="574" t="s">
        <v>8268</v>
      </c>
      <c r="C2683" s="574" t="s">
        <v>5555</v>
      </c>
      <c r="D2683" s="582">
        <v>17</v>
      </c>
    </row>
    <row r="2684" spans="1:4" x14ac:dyDescent="0.2">
      <c r="A2684" s="574">
        <v>38936</v>
      </c>
      <c r="B2684" s="574" t="s">
        <v>8269</v>
      </c>
      <c r="C2684" s="574" t="s">
        <v>5555</v>
      </c>
      <c r="D2684" s="582">
        <v>18.2</v>
      </c>
    </row>
    <row r="2685" spans="1:4" x14ac:dyDescent="0.2">
      <c r="A2685" s="574">
        <v>38937</v>
      </c>
      <c r="B2685" s="574" t="s">
        <v>8270</v>
      </c>
      <c r="C2685" s="574" t="s">
        <v>5555</v>
      </c>
      <c r="D2685" s="582">
        <v>22.19</v>
      </c>
    </row>
    <row r="2686" spans="1:4" x14ac:dyDescent="0.2">
      <c r="A2686" s="574">
        <v>38938</v>
      </c>
      <c r="B2686" s="574" t="s">
        <v>8271</v>
      </c>
      <c r="C2686" s="574" t="s">
        <v>5555</v>
      </c>
      <c r="D2686" s="582">
        <v>32.99</v>
      </c>
    </row>
    <row r="2687" spans="1:4" x14ac:dyDescent="0.2">
      <c r="A2687" s="574">
        <v>3489</v>
      </c>
      <c r="B2687" s="574" t="s">
        <v>8272</v>
      </c>
      <c r="C2687" s="574" t="s">
        <v>5555</v>
      </c>
      <c r="D2687" s="582">
        <v>10.76</v>
      </c>
    </row>
    <row r="2688" spans="1:4" x14ac:dyDescent="0.2">
      <c r="A2688" s="574">
        <v>20151</v>
      </c>
      <c r="B2688" s="574" t="s">
        <v>8273</v>
      </c>
      <c r="C2688" s="574" t="s">
        <v>5555</v>
      </c>
      <c r="D2688" s="582">
        <v>14.46</v>
      </c>
    </row>
    <row r="2689" spans="1:4" x14ac:dyDescent="0.2">
      <c r="A2689" s="574">
        <v>20152</v>
      </c>
      <c r="B2689" s="574" t="s">
        <v>8274</v>
      </c>
      <c r="C2689" s="574" t="s">
        <v>5555</v>
      </c>
      <c r="D2689" s="582">
        <v>50.33</v>
      </c>
    </row>
    <row r="2690" spans="1:4" x14ac:dyDescent="0.2">
      <c r="A2690" s="574">
        <v>20148</v>
      </c>
      <c r="B2690" s="574" t="s">
        <v>8275</v>
      </c>
      <c r="C2690" s="574" t="s">
        <v>5555</v>
      </c>
      <c r="D2690" s="582">
        <v>2.87</v>
      </c>
    </row>
    <row r="2691" spans="1:4" x14ac:dyDescent="0.2">
      <c r="A2691" s="574">
        <v>20149</v>
      </c>
      <c r="B2691" s="574" t="s">
        <v>8276</v>
      </c>
      <c r="C2691" s="574" t="s">
        <v>5555</v>
      </c>
      <c r="D2691" s="582">
        <v>4.45</v>
      </c>
    </row>
    <row r="2692" spans="1:4" x14ac:dyDescent="0.2">
      <c r="A2692" s="574">
        <v>20150</v>
      </c>
      <c r="B2692" s="574" t="s">
        <v>8277</v>
      </c>
      <c r="C2692" s="574" t="s">
        <v>5555</v>
      </c>
      <c r="D2692" s="582">
        <v>10.38</v>
      </c>
    </row>
    <row r="2693" spans="1:4" x14ac:dyDescent="0.2">
      <c r="A2693" s="574">
        <v>20157</v>
      </c>
      <c r="B2693" s="574" t="s">
        <v>8278</v>
      </c>
      <c r="C2693" s="574" t="s">
        <v>5555</v>
      </c>
      <c r="D2693" s="582">
        <v>19.510000000000002</v>
      </c>
    </row>
    <row r="2694" spans="1:4" x14ac:dyDescent="0.2">
      <c r="A2694" s="574">
        <v>20158</v>
      </c>
      <c r="B2694" s="574" t="s">
        <v>8279</v>
      </c>
      <c r="C2694" s="574" t="s">
        <v>5555</v>
      </c>
      <c r="D2694" s="582">
        <v>64.83</v>
      </c>
    </row>
    <row r="2695" spans="1:4" x14ac:dyDescent="0.2">
      <c r="A2695" s="574">
        <v>20154</v>
      </c>
      <c r="B2695" s="574" t="s">
        <v>8280</v>
      </c>
      <c r="C2695" s="574" t="s">
        <v>5555</v>
      </c>
      <c r="D2695" s="582">
        <v>3.7</v>
      </c>
    </row>
    <row r="2696" spans="1:4" x14ac:dyDescent="0.2">
      <c r="A2696" s="574">
        <v>20155</v>
      </c>
      <c r="B2696" s="574" t="s">
        <v>8281</v>
      </c>
      <c r="C2696" s="574" t="s">
        <v>5555</v>
      </c>
      <c r="D2696" s="582">
        <v>5.53</v>
      </c>
    </row>
    <row r="2697" spans="1:4" x14ac:dyDescent="0.2">
      <c r="A2697" s="574">
        <v>20156</v>
      </c>
      <c r="B2697" s="574" t="s">
        <v>8282</v>
      </c>
      <c r="C2697" s="574" t="s">
        <v>5555</v>
      </c>
      <c r="D2697" s="582">
        <v>12.46</v>
      </c>
    </row>
    <row r="2698" spans="1:4" x14ac:dyDescent="0.2">
      <c r="A2698" s="574">
        <v>3512</v>
      </c>
      <c r="B2698" s="574" t="s">
        <v>8283</v>
      </c>
      <c r="C2698" s="574" t="s">
        <v>5555</v>
      </c>
      <c r="D2698" s="582">
        <v>168.69</v>
      </c>
    </row>
    <row r="2699" spans="1:4" x14ac:dyDescent="0.2">
      <c r="A2699" s="574">
        <v>3499</v>
      </c>
      <c r="B2699" s="574" t="s">
        <v>8284</v>
      </c>
      <c r="C2699" s="574" t="s">
        <v>5555</v>
      </c>
      <c r="D2699" s="582">
        <v>0.71</v>
      </c>
    </row>
    <row r="2700" spans="1:4" x14ac:dyDescent="0.2">
      <c r="A2700" s="574">
        <v>3500</v>
      </c>
      <c r="B2700" s="574" t="s">
        <v>8285</v>
      </c>
      <c r="C2700" s="574" t="s">
        <v>5555</v>
      </c>
      <c r="D2700" s="582">
        <v>1.21</v>
      </c>
    </row>
    <row r="2701" spans="1:4" x14ac:dyDescent="0.2">
      <c r="A2701" s="574">
        <v>3501</v>
      </c>
      <c r="B2701" s="574" t="s">
        <v>8286</v>
      </c>
      <c r="C2701" s="574" t="s">
        <v>5555</v>
      </c>
      <c r="D2701" s="582">
        <v>3.5</v>
      </c>
    </row>
    <row r="2702" spans="1:4" x14ac:dyDescent="0.2">
      <c r="A2702" s="574">
        <v>3502</v>
      </c>
      <c r="B2702" s="574" t="s">
        <v>8287</v>
      </c>
      <c r="C2702" s="574" t="s">
        <v>5555</v>
      </c>
      <c r="D2702" s="582">
        <v>4.9800000000000004</v>
      </c>
    </row>
    <row r="2703" spans="1:4" x14ac:dyDescent="0.2">
      <c r="A2703" s="574">
        <v>3503</v>
      </c>
      <c r="B2703" s="574" t="s">
        <v>8288</v>
      </c>
      <c r="C2703" s="574" t="s">
        <v>5555</v>
      </c>
      <c r="D2703" s="582">
        <v>5.96</v>
      </c>
    </row>
    <row r="2704" spans="1:4" x14ac:dyDescent="0.2">
      <c r="A2704" s="574">
        <v>3477</v>
      </c>
      <c r="B2704" s="574" t="s">
        <v>8289</v>
      </c>
      <c r="C2704" s="574" t="s">
        <v>5555</v>
      </c>
      <c r="D2704" s="582">
        <v>23.09</v>
      </c>
    </row>
    <row r="2705" spans="1:4" x14ac:dyDescent="0.2">
      <c r="A2705" s="574">
        <v>3478</v>
      </c>
      <c r="B2705" s="574" t="s">
        <v>8290</v>
      </c>
      <c r="C2705" s="574" t="s">
        <v>5555</v>
      </c>
      <c r="D2705" s="582">
        <v>53.06</v>
      </c>
    </row>
    <row r="2706" spans="1:4" x14ac:dyDescent="0.2">
      <c r="A2706" s="574">
        <v>3525</v>
      </c>
      <c r="B2706" s="574" t="s">
        <v>8291</v>
      </c>
      <c r="C2706" s="574" t="s">
        <v>5555</v>
      </c>
      <c r="D2706" s="582">
        <v>62.95</v>
      </c>
    </row>
    <row r="2707" spans="1:4" x14ac:dyDescent="0.2">
      <c r="A2707" s="574">
        <v>3511</v>
      </c>
      <c r="B2707" s="574" t="s">
        <v>8292</v>
      </c>
      <c r="C2707" s="574" t="s">
        <v>5555</v>
      </c>
      <c r="D2707" s="582">
        <v>73.86</v>
      </c>
    </row>
    <row r="2708" spans="1:4" x14ac:dyDescent="0.2">
      <c r="A2708" s="574">
        <v>38917</v>
      </c>
      <c r="B2708" s="574" t="s">
        <v>8293</v>
      </c>
      <c r="C2708" s="574" t="s">
        <v>5555</v>
      </c>
      <c r="D2708" s="582">
        <v>10.18</v>
      </c>
    </row>
    <row r="2709" spans="1:4" x14ac:dyDescent="0.2">
      <c r="A2709" s="574">
        <v>38919</v>
      </c>
      <c r="B2709" s="574" t="s">
        <v>8294</v>
      </c>
      <c r="C2709" s="574" t="s">
        <v>5555</v>
      </c>
      <c r="D2709" s="582">
        <v>15.15</v>
      </c>
    </row>
    <row r="2710" spans="1:4" x14ac:dyDescent="0.2">
      <c r="A2710" s="574">
        <v>38922</v>
      </c>
      <c r="B2710" s="574" t="s">
        <v>8295</v>
      </c>
      <c r="C2710" s="574" t="s">
        <v>5555</v>
      </c>
      <c r="D2710" s="582">
        <v>19.57</v>
      </c>
    </row>
    <row r="2711" spans="1:4" x14ac:dyDescent="0.2">
      <c r="A2711" s="574">
        <v>38921</v>
      </c>
      <c r="B2711" s="574" t="s">
        <v>8296</v>
      </c>
      <c r="C2711" s="574" t="s">
        <v>5555</v>
      </c>
      <c r="D2711" s="582">
        <v>24.2</v>
      </c>
    </row>
    <row r="2712" spans="1:4" x14ac:dyDescent="0.2">
      <c r="A2712" s="574">
        <v>38918</v>
      </c>
      <c r="B2712" s="574" t="s">
        <v>8297</v>
      </c>
      <c r="C2712" s="574" t="s">
        <v>5555</v>
      </c>
      <c r="D2712" s="582">
        <v>23</v>
      </c>
    </row>
    <row r="2713" spans="1:4" x14ac:dyDescent="0.2">
      <c r="A2713" s="574">
        <v>38920</v>
      </c>
      <c r="B2713" s="574" t="s">
        <v>8298</v>
      </c>
      <c r="C2713" s="574" t="s">
        <v>5555</v>
      </c>
      <c r="D2713" s="582">
        <v>28.75</v>
      </c>
    </row>
    <row r="2714" spans="1:4" x14ac:dyDescent="0.2">
      <c r="A2714" s="574">
        <v>3104</v>
      </c>
      <c r="B2714" s="574" t="s">
        <v>8299</v>
      </c>
      <c r="C2714" s="574" t="s">
        <v>7062</v>
      </c>
      <c r="D2714" s="582">
        <v>330.75</v>
      </c>
    </row>
    <row r="2715" spans="1:4" x14ac:dyDescent="0.2">
      <c r="A2715" s="574">
        <v>12032</v>
      </c>
      <c r="B2715" s="574" t="s">
        <v>8300</v>
      </c>
      <c r="C2715" s="574" t="s">
        <v>6057</v>
      </c>
      <c r="D2715" s="582">
        <v>43.69</v>
      </c>
    </row>
    <row r="2716" spans="1:4" x14ac:dyDescent="0.2">
      <c r="A2716" s="574">
        <v>12030</v>
      </c>
      <c r="B2716" s="574" t="s">
        <v>8301</v>
      </c>
      <c r="C2716" s="574" t="s">
        <v>6057</v>
      </c>
      <c r="D2716" s="582">
        <v>41.05</v>
      </c>
    </row>
    <row r="2717" spans="1:4" x14ac:dyDescent="0.2">
      <c r="A2717" s="574">
        <v>10908</v>
      </c>
      <c r="B2717" s="574" t="s">
        <v>8302</v>
      </c>
      <c r="C2717" s="574" t="s">
        <v>5555</v>
      </c>
      <c r="D2717" s="582">
        <v>10.92</v>
      </c>
    </row>
    <row r="2718" spans="1:4" x14ac:dyDescent="0.2">
      <c r="A2718" s="574">
        <v>10909</v>
      </c>
      <c r="B2718" s="574" t="s">
        <v>8303</v>
      </c>
      <c r="C2718" s="574" t="s">
        <v>5555</v>
      </c>
      <c r="D2718" s="582">
        <v>17.420000000000002</v>
      </c>
    </row>
    <row r="2719" spans="1:4" x14ac:dyDescent="0.2">
      <c r="A2719" s="574">
        <v>3669</v>
      </c>
      <c r="B2719" s="574" t="s">
        <v>8304</v>
      </c>
      <c r="C2719" s="574" t="s">
        <v>5555</v>
      </c>
      <c r="D2719" s="582">
        <v>7.46</v>
      </c>
    </row>
    <row r="2720" spans="1:4" x14ac:dyDescent="0.2">
      <c r="A2720" s="574">
        <v>20138</v>
      </c>
      <c r="B2720" s="574" t="s">
        <v>8305</v>
      </c>
      <c r="C2720" s="574" t="s">
        <v>5555</v>
      </c>
      <c r="D2720" s="582">
        <v>37.090000000000003</v>
      </c>
    </row>
    <row r="2721" spans="1:4" x14ac:dyDescent="0.2">
      <c r="A2721" s="574">
        <v>20139</v>
      </c>
      <c r="B2721" s="574" t="s">
        <v>8306</v>
      </c>
      <c r="C2721" s="574" t="s">
        <v>5555</v>
      </c>
      <c r="D2721" s="582">
        <v>62.32</v>
      </c>
    </row>
    <row r="2722" spans="1:4" x14ac:dyDescent="0.2">
      <c r="A2722" s="574">
        <v>3668</v>
      </c>
      <c r="B2722" s="574" t="s">
        <v>8307</v>
      </c>
      <c r="C2722" s="574" t="s">
        <v>5555</v>
      </c>
      <c r="D2722" s="582">
        <v>24.71</v>
      </c>
    </row>
    <row r="2723" spans="1:4" x14ac:dyDescent="0.2">
      <c r="A2723" s="574">
        <v>3656</v>
      </c>
      <c r="B2723" s="574" t="s">
        <v>8308</v>
      </c>
      <c r="C2723" s="574" t="s">
        <v>5555</v>
      </c>
      <c r="D2723" s="582">
        <v>12.24</v>
      </c>
    </row>
    <row r="2724" spans="1:4" x14ac:dyDescent="0.2">
      <c r="A2724" s="574">
        <v>10911</v>
      </c>
      <c r="B2724" s="574" t="s">
        <v>8309</v>
      </c>
      <c r="C2724" s="574" t="s">
        <v>5555</v>
      </c>
      <c r="D2724" s="582">
        <v>13.59</v>
      </c>
    </row>
    <row r="2725" spans="1:4" x14ac:dyDescent="0.2">
      <c r="A2725" s="574">
        <v>3654</v>
      </c>
      <c r="B2725" s="574" t="s">
        <v>8310</v>
      </c>
      <c r="C2725" s="574" t="s">
        <v>5555</v>
      </c>
      <c r="D2725" s="582">
        <v>3.74</v>
      </c>
    </row>
    <row r="2726" spans="1:4" x14ac:dyDescent="0.2">
      <c r="A2726" s="574">
        <v>3664</v>
      </c>
      <c r="B2726" s="574" t="s">
        <v>8311</v>
      </c>
      <c r="C2726" s="574" t="s">
        <v>5555</v>
      </c>
      <c r="D2726" s="582">
        <v>4.6500000000000004</v>
      </c>
    </row>
    <row r="2727" spans="1:4" x14ac:dyDescent="0.2">
      <c r="A2727" s="574">
        <v>3657</v>
      </c>
      <c r="B2727" s="574" t="s">
        <v>8312</v>
      </c>
      <c r="C2727" s="574" t="s">
        <v>5555</v>
      </c>
      <c r="D2727" s="582">
        <v>5.01</v>
      </c>
    </row>
    <row r="2728" spans="1:4" x14ac:dyDescent="0.2">
      <c r="A2728" s="574">
        <v>12625</v>
      </c>
      <c r="B2728" s="574" t="s">
        <v>8313</v>
      </c>
      <c r="C2728" s="574" t="s">
        <v>5555</v>
      </c>
      <c r="D2728" s="582">
        <v>7.94</v>
      </c>
    </row>
    <row r="2729" spans="1:4" x14ac:dyDescent="0.2">
      <c r="A2729" s="574">
        <v>20136</v>
      </c>
      <c r="B2729" s="574" t="s">
        <v>8314</v>
      </c>
      <c r="C2729" s="574" t="s">
        <v>5555</v>
      </c>
      <c r="D2729" s="582">
        <v>83.71</v>
      </c>
    </row>
    <row r="2730" spans="1:4" x14ac:dyDescent="0.2">
      <c r="A2730" s="574">
        <v>20144</v>
      </c>
      <c r="B2730" s="574" t="s">
        <v>8315</v>
      </c>
      <c r="C2730" s="574" t="s">
        <v>5555</v>
      </c>
      <c r="D2730" s="582">
        <v>36.770000000000003</v>
      </c>
    </row>
    <row r="2731" spans="1:4" x14ac:dyDescent="0.2">
      <c r="A2731" s="574">
        <v>20143</v>
      </c>
      <c r="B2731" s="574" t="s">
        <v>8316</v>
      </c>
      <c r="C2731" s="574" t="s">
        <v>5555</v>
      </c>
      <c r="D2731" s="582">
        <v>34.340000000000003</v>
      </c>
    </row>
    <row r="2732" spans="1:4" x14ac:dyDescent="0.2">
      <c r="A2732" s="574">
        <v>20145</v>
      </c>
      <c r="B2732" s="574" t="s">
        <v>8317</v>
      </c>
      <c r="C2732" s="574" t="s">
        <v>5555</v>
      </c>
      <c r="D2732" s="582">
        <v>97.46</v>
      </c>
    </row>
    <row r="2733" spans="1:4" x14ac:dyDescent="0.2">
      <c r="A2733" s="574">
        <v>20146</v>
      </c>
      <c r="B2733" s="574" t="s">
        <v>8318</v>
      </c>
      <c r="C2733" s="574" t="s">
        <v>5555</v>
      </c>
      <c r="D2733" s="582">
        <v>109.9</v>
      </c>
    </row>
    <row r="2734" spans="1:4" x14ac:dyDescent="0.2">
      <c r="A2734" s="574">
        <v>20140</v>
      </c>
      <c r="B2734" s="574" t="s">
        <v>8319</v>
      </c>
      <c r="C2734" s="574" t="s">
        <v>5555</v>
      </c>
      <c r="D2734" s="582">
        <v>4.37</v>
      </c>
    </row>
    <row r="2735" spans="1:4" x14ac:dyDescent="0.2">
      <c r="A2735" s="574">
        <v>20141</v>
      </c>
      <c r="B2735" s="574" t="s">
        <v>8320</v>
      </c>
      <c r="C2735" s="574" t="s">
        <v>5555</v>
      </c>
      <c r="D2735" s="582">
        <v>7.68</v>
      </c>
    </row>
    <row r="2736" spans="1:4" x14ac:dyDescent="0.2">
      <c r="A2736" s="574">
        <v>20142</v>
      </c>
      <c r="B2736" s="574" t="s">
        <v>8321</v>
      </c>
      <c r="C2736" s="574" t="s">
        <v>5555</v>
      </c>
      <c r="D2736" s="582">
        <v>23.5</v>
      </c>
    </row>
    <row r="2737" spans="1:4" x14ac:dyDescent="0.2">
      <c r="A2737" s="574">
        <v>3659</v>
      </c>
      <c r="B2737" s="574" t="s">
        <v>8322</v>
      </c>
      <c r="C2737" s="574" t="s">
        <v>5555</v>
      </c>
      <c r="D2737" s="582">
        <v>10.19</v>
      </c>
    </row>
    <row r="2738" spans="1:4" x14ac:dyDescent="0.2">
      <c r="A2738" s="574">
        <v>3660</v>
      </c>
      <c r="B2738" s="574" t="s">
        <v>8323</v>
      </c>
      <c r="C2738" s="574" t="s">
        <v>5555</v>
      </c>
      <c r="D2738" s="582">
        <v>14.69</v>
      </c>
    </row>
    <row r="2739" spans="1:4" x14ac:dyDescent="0.2">
      <c r="A2739" s="574">
        <v>3662</v>
      </c>
      <c r="B2739" s="574" t="s">
        <v>8324</v>
      </c>
      <c r="C2739" s="574" t="s">
        <v>5555</v>
      </c>
      <c r="D2739" s="582">
        <v>5.55</v>
      </c>
    </row>
    <row r="2740" spans="1:4" x14ac:dyDescent="0.2">
      <c r="A2740" s="574">
        <v>3661</v>
      </c>
      <c r="B2740" s="574" t="s">
        <v>8325</v>
      </c>
      <c r="C2740" s="574" t="s">
        <v>5555</v>
      </c>
      <c r="D2740" s="582">
        <v>8.16</v>
      </c>
    </row>
    <row r="2741" spans="1:4" x14ac:dyDescent="0.2">
      <c r="A2741" s="574">
        <v>3658</v>
      </c>
      <c r="B2741" s="574" t="s">
        <v>8326</v>
      </c>
      <c r="C2741" s="574" t="s">
        <v>5555</v>
      </c>
      <c r="D2741" s="582">
        <v>10.39</v>
      </c>
    </row>
    <row r="2742" spans="1:4" x14ac:dyDescent="0.2">
      <c r="A2742" s="574">
        <v>3670</v>
      </c>
      <c r="B2742" s="574" t="s">
        <v>8327</v>
      </c>
      <c r="C2742" s="574" t="s">
        <v>5555</v>
      </c>
      <c r="D2742" s="582">
        <v>13.56</v>
      </c>
    </row>
    <row r="2743" spans="1:4" x14ac:dyDescent="0.2">
      <c r="A2743" s="574">
        <v>3666</v>
      </c>
      <c r="B2743" s="574" t="s">
        <v>8328</v>
      </c>
      <c r="C2743" s="574" t="s">
        <v>5555</v>
      </c>
      <c r="D2743" s="582">
        <v>2.29</v>
      </c>
    </row>
    <row r="2744" spans="1:4" x14ac:dyDescent="0.2">
      <c r="A2744" s="574">
        <v>14157</v>
      </c>
      <c r="B2744" s="574" t="s">
        <v>8329</v>
      </c>
      <c r="C2744" s="574" t="s">
        <v>5555</v>
      </c>
      <c r="D2744" s="582">
        <v>1.07</v>
      </c>
    </row>
    <row r="2745" spans="1:4" x14ac:dyDescent="0.2">
      <c r="A2745" s="574">
        <v>3653</v>
      </c>
      <c r="B2745" s="574" t="s">
        <v>8330</v>
      </c>
      <c r="C2745" s="574" t="s">
        <v>5555</v>
      </c>
      <c r="D2745" s="582">
        <v>53.9</v>
      </c>
    </row>
    <row r="2746" spans="1:4" x14ac:dyDescent="0.2">
      <c r="A2746" s="574">
        <v>3649</v>
      </c>
      <c r="B2746" s="574" t="s">
        <v>8331</v>
      </c>
      <c r="C2746" s="574" t="s">
        <v>5555</v>
      </c>
      <c r="D2746" s="582">
        <v>111.64</v>
      </c>
    </row>
    <row r="2747" spans="1:4" x14ac:dyDescent="0.2">
      <c r="A2747" s="574">
        <v>42696</v>
      </c>
      <c r="B2747" s="574" t="s">
        <v>8332</v>
      </c>
      <c r="C2747" s="574" t="s">
        <v>5555</v>
      </c>
      <c r="D2747" s="582">
        <v>312.37</v>
      </c>
    </row>
    <row r="2748" spans="1:4" x14ac:dyDescent="0.2">
      <c r="A2748" s="574">
        <v>42697</v>
      </c>
      <c r="B2748" s="574" t="s">
        <v>8333</v>
      </c>
      <c r="C2748" s="574" t="s">
        <v>5555</v>
      </c>
      <c r="D2748" s="582">
        <v>470.44</v>
      </c>
    </row>
    <row r="2749" spans="1:4" x14ac:dyDescent="0.2">
      <c r="A2749" s="574">
        <v>42698</v>
      </c>
      <c r="B2749" s="574" t="s">
        <v>8334</v>
      </c>
      <c r="C2749" s="574" t="s">
        <v>5555</v>
      </c>
      <c r="D2749" s="582">
        <v>655.30999999999995</v>
      </c>
    </row>
    <row r="2750" spans="1:4" x14ac:dyDescent="0.2">
      <c r="A2750" s="574">
        <v>39875</v>
      </c>
      <c r="B2750" s="574" t="s">
        <v>8335</v>
      </c>
      <c r="C2750" s="574" t="s">
        <v>5555</v>
      </c>
      <c r="D2750" s="582">
        <v>435.05</v>
      </c>
    </row>
    <row r="2751" spans="1:4" x14ac:dyDescent="0.2">
      <c r="A2751" s="574">
        <v>39876</v>
      </c>
      <c r="B2751" s="574" t="s">
        <v>8336</v>
      </c>
      <c r="C2751" s="574" t="s">
        <v>5555</v>
      </c>
      <c r="D2751" s="582">
        <v>544.69000000000005</v>
      </c>
    </row>
    <row r="2752" spans="1:4" x14ac:dyDescent="0.2">
      <c r="A2752" s="574">
        <v>39877</v>
      </c>
      <c r="B2752" s="574" t="s">
        <v>8337</v>
      </c>
      <c r="C2752" s="574" t="s">
        <v>5555</v>
      </c>
      <c r="D2752" s="582">
        <v>755.46</v>
      </c>
    </row>
    <row r="2753" spans="1:4" x14ac:dyDescent="0.2">
      <c r="A2753" s="574">
        <v>39878</v>
      </c>
      <c r="B2753" s="574" t="s">
        <v>8338</v>
      </c>
      <c r="C2753" s="574" t="s">
        <v>5555</v>
      </c>
      <c r="D2753" s="582">
        <v>997.84</v>
      </c>
    </row>
    <row r="2754" spans="1:4" x14ac:dyDescent="0.2">
      <c r="A2754" s="574">
        <v>39872</v>
      </c>
      <c r="B2754" s="574" t="s">
        <v>8339</v>
      </c>
      <c r="C2754" s="574" t="s">
        <v>5555</v>
      </c>
      <c r="D2754" s="582">
        <v>298.35000000000002</v>
      </c>
    </row>
    <row r="2755" spans="1:4" x14ac:dyDescent="0.2">
      <c r="A2755" s="574">
        <v>39873</v>
      </c>
      <c r="B2755" s="574" t="s">
        <v>8340</v>
      </c>
      <c r="C2755" s="574" t="s">
        <v>5555</v>
      </c>
      <c r="D2755" s="582">
        <v>346.07</v>
      </c>
    </row>
    <row r="2756" spans="1:4" x14ac:dyDescent="0.2">
      <c r="A2756" s="574">
        <v>39874</v>
      </c>
      <c r="B2756" s="574" t="s">
        <v>8341</v>
      </c>
      <c r="C2756" s="574" t="s">
        <v>5555</v>
      </c>
      <c r="D2756" s="582">
        <v>380.11</v>
      </c>
    </row>
    <row r="2757" spans="1:4" x14ac:dyDescent="0.2">
      <c r="A2757" s="574">
        <v>3674</v>
      </c>
      <c r="B2757" s="574" t="s">
        <v>8342</v>
      </c>
      <c r="C2757" s="574" t="s">
        <v>5575</v>
      </c>
      <c r="D2757" s="582">
        <v>59.04</v>
      </c>
    </row>
    <row r="2758" spans="1:4" x14ac:dyDescent="0.2">
      <c r="A2758" s="574">
        <v>3681</v>
      </c>
      <c r="B2758" s="574" t="s">
        <v>8343</v>
      </c>
      <c r="C2758" s="574" t="s">
        <v>5575</v>
      </c>
      <c r="D2758" s="582">
        <v>87.85</v>
      </c>
    </row>
    <row r="2759" spans="1:4" x14ac:dyDescent="0.2">
      <c r="A2759" s="574">
        <v>3676</v>
      </c>
      <c r="B2759" s="574" t="s">
        <v>8344</v>
      </c>
      <c r="C2759" s="574" t="s">
        <v>5575</v>
      </c>
      <c r="D2759" s="582">
        <v>330.62</v>
      </c>
    </row>
    <row r="2760" spans="1:4" x14ac:dyDescent="0.2">
      <c r="A2760" s="574">
        <v>3679</v>
      </c>
      <c r="B2760" s="574" t="s">
        <v>8345</v>
      </c>
      <c r="C2760" s="574" t="s">
        <v>5575</v>
      </c>
      <c r="D2760" s="582">
        <v>273.52999999999997</v>
      </c>
    </row>
    <row r="2761" spans="1:4" x14ac:dyDescent="0.2">
      <c r="A2761" s="574">
        <v>3672</v>
      </c>
      <c r="B2761" s="574" t="s">
        <v>8346</v>
      </c>
      <c r="C2761" s="574" t="s">
        <v>5575</v>
      </c>
      <c r="D2761" s="582">
        <v>0.93</v>
      </c>
    </row>
    <row r="2762" spans="1:4" x14ac:dyDescent="0.2">
      <c r="A2762" s="574">
        <v>3671</v>
      </c>
      <c r="B2762" s="574" t="s">
        <v>8347</v>
      </c>
      <c r="C2762" s="574" t="s">
        <v>5575</v>
      </c>
      <c r="D2762" s="582">
        <v>0.88</v>
      </c>
    </row>
    <row r="2763" spans="1:4" x14ac:dyDescent="0.2">
      <c r="A2763" s="574">
        <v>3673</v>
      </c>
      <c r="B2763" s="574" t="s">
        <v>8348</v>
      </c>
      <c r="C2763" s="574" t="s">
        <v>5575</v>
      </c>
      <c r="D2763" s="582">
        <v>1.38</v>
      </c>
    </row>
    <row r="2764" spans="1:4" x14ac:dyDescent="0.2">
      <c r="A2764" s="574">
        <v>38394</v>
      </c>
      <c r="B2764" s="574" t="s">
        <v>8349</v>
      </c>
      <c r="C2764" s="574" t="s">
        <v>5555</v>
      </c>
      <c r="D2764" s="582">
        <v>273.02999999999997</v>
      </c>
    </row>
    <row r="2765" spans="1:4" x14ac:dyDescent="0.2">
      <c r="A2765" s="574">
        <v>3729</v>
      </c>
      <c r="B2765" s="574" t="s">
        <v>8350</v>
      </c>
      <c r="C2765" s="574" t="s">
        <v>5555</v>
      </c>
      <c r="D2765" s="582">
        <v>62.63</v>
      </c>
    </row>
    <row r="2766" spans="1:4" x14ac:dyDescent="0.2">
      <c r="A2766" s="574">
        <v>39357</v>
      </c>
      <c r="B2766" s="574" t="s">
        <v>8351</v>
      </c>
      <c r="C2766" s="574" t="s">
        <v>5555</v>
      </c>
      <c r="D2766" s="582">
        <v>92.5</v>
      </c>
    </row>
    <row r="2767" spans="1:4" x14ac:dyDescent="0.2">
      <c r="A2767" s="574">
        <v>39358</v>
      </c>
      <c r="B2767" s="574" t="s">
        <v>8352</v>
      </c>
      <c r="C2767" s="574" t="s">
        <v>5555</v>
      </c>
      <c r="D2767" s="582">
        <v>101.43</v>
      </c>
    </row>
    <row r="2768" spans="1:4" x14ac:dyDescent="0.2">
      <c r="A2768" s="574">
        <v>39356</v>
      </c>
      <c r="B2768" s="574" t="s">
        <v>8353</v>
      </c>
      <c r="C2768" s="574" t="s">
        <v>5555</v>
      </c>
      <c r="D2768" s="582">
        <v>173.05</v>
      </c>
    </row>
    <row r="2769" spans="1:4" x14ac:dyDescent="0.2">
      <c r="A2769" s="574">
        <v>39355</v>
      </c>
      <c r="B2769" s="574" t="s">
        <v>8354</v>
      </c>
      <c r="C2769" s="574" t="s">
        <v>5555</v>
      </c>
      <c r="D2769" s="582">
        <v>148.91</v>
      </c>
    </row>
    <row r="2770" spans="1:4" x14ac:dyDescent="0.2">
      <c r="A2770" s="574">
        <v>39353</v>
      </c>
      <c r="B2770" s="574" t="s">
        <v>8355</v>
      </c>
      <c r="C2770" s="574" t="s">
        <v>5555</v>
      </c>
      <c r="D2770" s="582">
        <v>204.21</v>
      </c>
    </row>
    <row r="2771" spans="1:4" x14ac:dyDescent="0.2">
      <c r="A2771" s="574">
        <v>39354</v>
      </c>
      <c r="B2771" s="574" t="s">
        <v>8356</v>
      </c>
      <c r="C2771" s="574" t="s">
        <v>5555</v>
      </c>
      <c r="D2771" s="582">
        <v>203.53</v>
      </c>
    </row>
    <row r="2772" spans="1:4" x14ac:dyDescent="0.2">
      <c r="A2772" s="574">
        <v>39398</v>
      </c>
      <c r="B2772" s="574" t="s">
        <v>8357</v>
      </c>
      <c r="C2772" s="574" t="s">
        <v>5555</v>
      </c>
      <c r="D2772" s="582">
        <v>61.16</v>
      </c>
    </row>
    <row r="2773" spans="1:4" x14ac:dyDescent="0.2">
      <c r="A2773" s="574">
        <v>13343</v>
      </c>
      <c r="B2773" s="574" t="s">
        <v>8358</v>
      </c>
      <c r="C2773" s="574" t="s">
        <v>5555</v>
      </c>
      <c r="D2773" s="582">
        <v>27.4</v>
      </c>
    </row>
    <row r="2774" spans="1:4" x14ac:dyDescent="0.2">
      <c r="A2774" s="574">
        <v>12118</v>
      </c>
      <c r="B2774" s="574" t="s">
        <v>8359</v>
      </c>
      <c r="C2774" s="574" t="s">
        <v>5555</v>
      </c>
      <c r="D2774" s="582">
        <v>19.690000000000001</v>
      </c>
    </row>
    <row r="2775" spans="1:4" x14ac:dyDescent="0.2">
      <c r="A2775" s="574">
        <v>39482</v>
      </c>
      <c r="B2775" s="574" t="s">
        <v>8360</v>
      </c>
      <c r="C2775" s="574" t="s">
        <v>5555</v>
      </c>
      <c r="D2775" s="582">
        <v>299.11</v>
      </c>
    </row>
    <row r="2776" spans="1:4" x14ac:dyDescent="0.2">
      <c r="A2776" s="574">
        <v>39486</v>
      </c>
      <c r="B2776" s="574" t="s">
        <v>8361</v>
      </c>
      <c r="C2776" s="574" t="s">
        <v>5555</v>
      </c>
      <c r="D2776" s="582">
        <v>263.52</v>
      </c>
    </row>
    <row r="2777" spans="1:4" x14ac:dyDescent="0.2">
      <c r="A2777" s="574">
        <v>39483</v>
      </c>
      <c r="B2777" s="574" t="s">
        <v>8362</v>
      </c>
      <c r="C2777" s="574" t="s">
        <v>5555</v>
      </c>
      <c r="D2777" s="582">
        <v>285.27999999999997</v>
      </c>
    </row>
    <row r="2778" spans="1:4" x14ac:dyDescent="0.2">
      <c r="A2778" s="574">
        <v>39487</v>
      </c>
      <c r="B2778" s="574" t="s">
        <v>8363</v>
      </c>
      <c r="C2778" s="574" t="s">
        <v>5555</v>
      </c>
      <c r="D2778" s="582">
        <v>266.24</v>
      </c>
    </row>
    <row r="2779" spans="1:4" x14ac:dyDescent="0.2">
      <c r="A2779" s="574">
        <v>39484</v>
      </c>
      <c r="B2779" s="574" t="s">
        <v>8364</v>
      </c>
      <c r="C2779" s="574" t="s">
        <v>5555</v>
      </c>
      <c r="D2779" s="582">
        <v>288</v>
      </c>
    </row>
    <row r="2780" spans="1:4" x14ac:dyDescent="0.2">
      <c r="A2780" s="574">
        <v>39488</v>
      </c>
      <c r="B2780" s="574" t="s">
        <v>8365</v>
      </c>
      <c r="C2780" s="574" t="s">
        <v>5555</v>
      </c>
      <c r="D2780" s="582">
        <v>268.95999999999998</v>
      </c>
    </row>
    <row r="2781" spans="1:4" x14ac:dyDescent="0.2">
      <c r="A2781" s="574">
        <v>39485</v>
      </c>
      <c r="B2781" s="574" t="s">
        <v>8366</v>
      </c>
      <c r="C2781" s="574" t="s">
        <v>5555</v>
      </c>
      <c r="D2781" s="582">
        <v>301.61</v>
      </c>
    </row>
    <row r="2782" spans="1:4" x14ac:dyDescent="0.2">
      <c r="A2782" s="574">
        <v>39489</v>
      </c>
      <c r="B2782" s="574" t="s">
        <v>8367</v>
      </c>
      <c r="C2782" s="574" t="s">
        <v>5555</v>
      </c>
      <c r="D2782" s="582">
        <v>282.57</v>
      </c>
    </row>
    <row r="2783" spans="1:4" x14ac:dyDescent="0.2">
      <c r="A2783" s="574">
        <v>39494</v>
      </c>
      <c r="B2783" s="574" t="s">
        <v>8368</v>
      </c>
      <c r="C2783" s="574" t="s">
        <v>5555</v>
      </c>
      <c r="D2783" s="582">
        <v>288.23</v>
      </c>
    </row>
    <row r="2784" spans="1:4" x14ac:dyDescent="0.2">
      <c r="A2784" s="574">
        <v>39490</v>
      </c>
      <c r="B2784" s="574" t="s">
        <v>8369</v>
      </c>
      <c r="C2784" s="574" t="s">
        <v>5555</v>
      </c>
      <c r="D2784" s="582">
        <v>326.73</v>
      </c>
    </row>
    <row r="2785" spans="1:4" x14ac:dyDescent="0.2">
      <c r="A2785" s="574">
        <v>39495</v>
      </c>
      <c r="B2785" s="574" t="s">
        <v>8370</v>
      </c>
      <c r="C2785" s="574" t="s">
        <v>5555</v>
      </c>
      <c r="D2785" s="582">
        <v>299.11</v>
      </c>
    </row>
    <row r="2786" spans="1:4" x14ac:dyDescent="0.2">
      <c r="A2786" s="574">
        <v>39491</v>
      </c>
      <c r="B2786" s="574" t="s">
        <v>8371</v>
      </c>
      <c r="C2786" s="574" t="s">
        <v>5555</v>
      </c>
      <c r="D2786" s="582">
        <v>337.17</v>
      </c>
    </row>
    <row r="2787" spans="1:4" x14ac:dyDescent="0.2">
      <c r="A2787" s="574">
        <v>39496</v>
      </c>
      <c r="B2787" s="574" t="s">
        <v>8372</v>
      </c>
      <c r="C2787" s="574" t="s">
        <v>5555</v>
      </c>
      <c r="D2787" s="582">
        <v>309.87</v>
      </c>
    </row>
    <row r="2788" spans="1:4" x14ac:dyDescent="0.2">
      <c r="A2788" s="574">
        <v>39492</v>
      </c>
      <c r="B2788" s="574" t="s">
        <v>8373</v>
      </c>
      <c r="C2788" s="574" t="s">
        <v>5555</v>
      </c>
      <c r="D2788" s="582">
        <v>339.24</v>
      </c>
    </row>
    <row r="2789" spans="1:4" x14ac:dyDescent="0.2">
      <c r="A2789" s="574">
        <v>39497</v>
      </c>
      <c r="B2789" s="574" t="s">
        <v>8374</v>
      </c>
      <c r="C2789" s="574" t="s">
        <v>5555</v>
      </c>
      <c r="D2789" s="582">
        <v>320.75</v>
      </c>
    </row>
    <row r="2790" spans="1:4" x14ac:dyDescent="0.2">
      <c r="A2790" s="574">
        <v>39493</v>
      </c>
      <c r="B2790" s="574" t="s">
        <v>8375</v>
      </c>
      <c r="C2790" s="574" t="s">
        <v>5555</v>
      </c>
      <c r="D2790" s="582">
        <v>358.93</v>
      </c>
    </row>
    <row r="2791" spans="1:4" x14ac:dyDescent="0.2">
      <c r="A2791" s="574">
        <v>39500</v>
      </c>
      <c r="B2791" s="574" t="s">
        <v>8376</v>
      </c>
      <c r="C2791" s="574" t="s">
        <v>5555</v>
      </c>
      <c r="D2791" s="582">
        <v>360.1</v>
      </c>
    </row>
    <row r="2792" spans="1:4" x14ac:dyDescent="0.2">
      <c r="A2792" s="574">
        <v>39498</v>
      </c>
      <c r="B2792" s="574" t="s">
        <v>8377</v>
      </c>
      <c r="C2792" s="574" t="s">
        <v>5555</v>
      </c>
      <c r="D2792" s="582">
        <v>400.42</v>
      </c>
    </row>
    <row r="2793" spans="1:4" x14ac:dyDescent="0.2">
      <c r="A2793" s="574">
        <v>39501</v>
      </c>
      <c r="B2793" s="574" t="s">
        <v>8378</v>
      </c>
      <c r="C2793" s="574" t="s">
        <v>5555</v>
      </c>
      <c r="D2793" s="582">
        <v>369.48</v>
      </c>
    </row>
    <row r="2794" spans="1:4" x14ac:dyDescent="0.2">
      <c r="A2794" s="574">
        <v>39499</v>
      </c>
      <c r="B2794" s="574" t="s">
        <v>8379</v>
      </c>
      <c r="C2794" s="574" t="s">
        <v>5555</v>
      </c>
      <c r="D2794" s="582">
        <v>434.39</v>
      </c>
    </row>
    <row r="2795" spans="1:4" x14ac:dyDescent="0.2">
      <c r="A2795" s="574">
        <v>3733</v>
      </c>
      <c r="B2795" s="574" t="s">
        <v>8380</v>
      </c>
      <c r="C2795" s="574" t="s">
        <v>5564</v>
      </c>
      <c r="D2795" s="582">
        <v>48.01</v>
      </c>
    </row>
    <row r="2796" spans="1:4" x14ac:dyDescent="0.2">
      <c r="A2796" s="574">
        <v>3731</v>
      </c>
      <c r="B2796" s="574" t="s">
        <v>8381</v>
      </c>
      <c r="C2796" s="574" t="s">
        <v>5564</v>
      </c>
      <c r="D2796" s="582">
        <v>44.57</v>
      </c>
    </row>
    <row r="2797" spans="1:4" x14ac:dyDescent="0.2">
      <c r="A2797" s="574">
        <v>38137</v>
      </c>
      <c r="B2797" s="574" t="s">
        <v>8382</v>
      </c>
      <c r="C2797" s="574" t="s">
        <v>5564</v>
      </c>
      <c r="D2797" s="582">
        <v>44.83</v>
      </c>
    </row>
    <row r="2798" spans="1:4" x14ac:dyDescent="0.2">
      <c r="A2798" s="574">
        <v>38135</v>
      </c>
      <c r="B2798" s="574" t="s">
        <v>8383</v>
      </c>
      <c r="C2798" s="574" t="s">
        <v>5564</v>
      </c>
      <c r="D2798" s="582">
        <v>56.83</v>
      </c>
    </row>
    <row r="2799" spans="1:4" x14ac:dyDescent="0.2">
      <c r="A2799" s="574">
        <v>38138</v>
      </c>
      <c r="B2799" s="574" t="s">
        <v>8384</v>
      </c>
      <c r="C2799" s="574" t="s">
        <v>5564</v>
      </c>
      <c r="D2799" s="582">
        <v>44.02</v>
      </c>
    </row>
    <row r="2800" spans="1:4" x14ac:dyDescent="0.2">
      <c r="A2800" s="574">
        <v>3736</v>
      </c>
      <c r="B2800" s="574" t="s">
        <v>8385</v>
      </c>
      <c r="C2800" s="574" t="s">
        <v>5564</v>
      </c>
      <c r="D2800" s="582">
        <v>39</v>
      </c>
    </row>
    <row r="2801" spans="1:4" x14ac:dyDescent="0.2">
      <c r="A2801" s="574">
        <v>3741</v>
      </c>
      <c r="B2801" s="574" t="s">
        <v>8386</v>
      </c>
      <c r="C2801" s="574" t="s">
        <v>5564</v>
      </c>
      <c r="D2801" s="582">
        <v>40.65</v>
      </c>
    </row>
    <row r="2802" spans="1:4" x14ac:dyDescent="0.2">
      <c r="A2802" s="574">
        <v>3745</v>
      </c>
      <c r="B2802" s="574" t="s">
        <v>8387</v>
      </c>
      <c r="C2802" s="574" t="s">
        <v>5564</v>
      </c>
      <c r="D2802" s="582">
        <v>43.83</v>
      </c>
    </row>
    <row r="2803" spans="1:4" x14ac:dyDescent="0.2">
      <c r="A2803" s="574">
        <v>3743</v>
      </c>
      <c r="B2803" s="574" t="s">
        <v>8388</v>
      </c>
      <c r="C2803" s="574" t="s">
        <v>5564</v>
      </c>
      <c r="D2803" s="582">
        <v>40.51</v>
      </c>
    </row>
    <row r="2804" spans="1:4" x14ac:dyDescent="0.2">
      <c r="A2804" s="574">
        <v>3744</v>
      </c>
      <c r="B2804" s="574" t="s">
        <v>8389</v>
      </c>
      <c r="C2804" s="574" t="s">
        <v>5564</v>
      </c>
      <c r="D2804" s="582">
        <v>44.59</v>
      </c>
    </row>
    <row r="2805" spans="1:4" x14ac:dyDescent="0.2">
      <c r="A2805" s="574">
        <v>3739</v>
      </c>
      <c r="B2805" s="574" t="s">
        <v>8390</v>
      </c>
      <c r="C2805" s="574" t="s">
        <v>5564</v>
      </c>
      <c r="D2805" s="582">
        <v>46.86</v>
      </c>
    </row>
    <row r="2806" spans="1:4" x14ac:dyDescent="0.2">
      <c r="A2806" s="574">
        <v>3737</v>
      </c>
      <c r="B2806" s="574" t="s">
        <v>8391</v>
      </c>
      <c r="C2806" s="574" t="s">
        <v>5564</v>
      </c>
      <c r="D2806" s="582">
        <v>49.12</v>
      </c>
    </row>
    <row r="2807" spans="1:4" x14ac:dyDescent="0.2">
      <c r="A2807" s="574">
        <v>3738</v>
      </c>
      <c r="B2807" s="574" t="s">
        <v>8392</v>
      </c>
      <c r="C2807" s="574" t="s">
        <v>5564</v>
      </c>
      <c r="D2807" s="582">
        <v>56.68</v>
      </c>
    </row>
    <row r="2808" spans="1:4" x14ac:dyDescent="0.2">
      <c r="A2808" s="574">
        <v>3747</v>
      </c>
      <c r="B2808" s="574" t="s">
        <v>8393</v>
      </c>
      <c r="C2808" s="574" t="s">
        <v>5564</v>
      </c>
      <c r="D2808" s="582">
        <v>44.59</v>
      </c>
    </row>
    <row r="2809" spans="1:4" x14ac:dyDescent="0.2">
      <c r="A2809" s="574">
        <v>11649</v>
      </c>
      <c r="B2809" s="574" t="s">
        <v>8394</v>
      </c>
      <c r="C2809" s="574" t="s">
        <v>5555</v>
      </c>
      <c r="D2809" s="582">
        <v>323.48</v>
      </c>
    </row>
    <row r="2810" spans="1:4" x14ac:dyDescent="0.2">
      <c r="A2810" s="574">
        <v>11650</v>
      </c>
      <c r="B2810" s="574" t="s">
        <v>8395</v>
      </c>
      <c r="C2810" s="574" t="s">
        <v>5555</v>
      </c>
      <c r="D2810" s="582">
        <v>551.36</v>
      </c>
    </row>
    <row r="2811" spans="1:4" x14ac:dyDescent="0.2">
      <c r="A2811" s="574">
        <v>3742</v>
      </c>
      <c r="B2811" s="574" t="s">
        <v>8396</v>
      </c>
      <c r="C2811" s="574" t="s">
        <v>5564</v>
      </c>
      <c r="D2811" s="582">
        <v>58.8</v>
      </c>
    </row>
    <row r="2812" spans="1:4" x14ac:dyDescent="0.2">
      <c r="A2812" s="574">
        <v>3746</v>
      </c>
      <c r="B2812" s="574" t="s">
        <v>8397</v>
      </c>
      <c r="C2812" s="574" t="s">
        <v>5564</v>
      </c>
      <c r="D2812" s="582">
        <v>68.650000000000006</v>
      </c>
    </row>
    <row r="2813" spans="1:4" x14ac:dyDescent="0.2">
      <c r="A2813" s="574">
        <v>21106</v>
      </c>
      <c r="B2813" s="574" t="s">
        <v>13597</v>
      </c>
      <c r="C2813" s="574" t="s">
        <v>5626</v>
      </c>
      <c r="D2813" s="582">
        <v>26.52</v>
      </c>
    </row>
    <row r="2814" spans="1:4" x14ac:dyDescent="0.2">
      <c r="A2814" s="574">
        <v>3755</v>
      </c>
      <c r="B2814" s="574" t="s">
        <v>8399</v>
      </c>
      <c r="C2814" s="574" t="s">
        <v>5555</v>
      </c>
      <c r="D2814" s="582">
        <v>19.309999999999999</v>
      </c>
    </row>
    <row r="2815" spans="1:4" x14ac:dyDescent="0.2">
      <c r="A2815" s="574">
        <v>3750</v>
      </c>
      <c r="B2815" s="574" t="s">
        <v>8400</v>
      </c>
      <c r="C2815" s="574" t="s">
        <v>5555</v>
      </c>
      <c r="D2815" s="582">
        <v>25.97</v>
      </c>
    </row>
    <row r="2816" spans="1:4" x14ac:dyDescent="0.2">
      <c r="A2816" s="574">
        <v>3756</v>
      </c>
      <c r="B2816" s="574" t="s">
        <v>8401</v>
      </c>
      <c r="C2816" s="574" t="s">
        <v>5555</v>
      </c>
      <c r="D2816" s="582">
        <v>48.53</v>
      </c>
    </row>
    <row r="2817" spans="1:4" x14ac:dyDescent="0.2">
      <c r="A2817" s="574">
        <v>39377</v>
      </c>
      <c r="B2817" s="574" t="s">
        <v>8402</v>
      </c>
      <c r="C2817" s="574" t="s">
        <v>5555</v>
      </c>
      <c r="D2817" s="582">
        <v>143.75</v>
      </c>
    </row>
    <row r="2818" spans="1:4" x14ac:dyDescent="0.2">
      <c r="A2818" s="574">
        <v>38191</v>
      </c>
      <c r="B2818" s="574" t="s">
        <v>8403</v>
      </c>
      <c r="C2818" s="574" t="s">
        <v>5555</v>
      </c>
      <c r="D2818" s="582">
        <v>10.7</v>
      </c>
    </row>
    <row r="2819" spans="1:4" x14ac:dyDescent="0.2">
      <c r="A2819" s="574">
        <v>39381</v>
      </c>
      <c r="B2819" s="574" t="s">
        <v>8404</v>
      </c>
      <c r="C2819" s="574" t="s">
        <v>5555</v>
      </c>
      <c r="D2819" s="582">
        <v>9.98</v>
      </c>
    </row>
    <row r="2820" spans="1:4" x14ac:dyDescent="0.2">
      <c r="A2820" s="574">
        <v>38780</v>
      </c>
      <c r="B2820" s="574" t="s">
        <v>8405</v>
      </c>
      <c r="C2820" s="574" t="s">
        <v>5555</v>
      </c>
      <c r="D2820" s="582">
        <v>12.21</v>
      </c>
    </row>
    <row r="2821" spans="1:4" x14ac:dyDescent="0.2">
      <c r="A2821" s="574">
        <v>38781</v>
      </c>
      <c r="B2821" s="574" t="s">
        <v>8406</v>
      </c>
      <c r="C2821" s="574" t="s">
        <v>5555</v>
      </c>
      <c r="D2821" s="582">
        <v>41.23</v>
      </c>
    </row>
    <row r="2822" spans="1:4" x14ac:dyDescent="0.2">
      <c r="A2822" s="574">
        <v>38192</v>
      </c>
      <c r="B2822" s="574" t="s">
        <v>8407</v>
      </c>
      <c r="C2822" s="574" t="s">
        <v>5555</v>
      </c>
      <c r="D2822" s="582">
        <v>74.599999999999994</v>
      </c>
    </row>
    <row r="2823" spans="1:4" x14ac:dyDescent="0.2">
      <c r="A2823" s="574">
        <v>3753</v>
      </c>
      <c r="B2823" s="574" t="s">
        <v>8408</v>
      </c>
      <c r="C2823" s="574" t="s">
        <v>5555</v>
      </c>
      <c r="D2823" s="582">
        <v>6.53</v>
      </c>
    </row>
    <row r="2824" spans="1:4" x14ac:dyDescent="0.2">
      <c r="A2824" s="574">
        <v>38782</v>
      </c>
      <c r="B2824" s="574" t="s">
        <v>8409</v>
      </c>
      <c r="C2824" s="574" t="s">
        <v>5555</v>
      </c>
      <c r="D2824" s="582">
        <v>8.5</v>
      </c>
    </row>
    <row r="2825" spans="1:4" x14ac:dyDescent="0.2">
      <c r="A2825" s="574">
        <v>38778</v>
      </c>
      <c r="B2825" s="574" t="s">
        <v>8410</v>
      </c>
      <c r="C2825" s="574" t="s">
        <v>5555</v>
      </c>
      <c r="D2825" s="582">
        <v>6.38</v>
      </c>
    </row>
    <row r="2826" spans="1:4" x14ac:dyDescent="0.2">
      <c r="A2826" s="574">
        <v>38779</v>
      </c>
      <c r="B2826" s="574" t="s">
        <v>8411</v>
      </c>
      <c r="C2826" s="574" t="s">
        <v>5555</v>
      </c>
      <c r="D2826" s="582">
        <v>6.76</v>
      </c>
    </row>
    <row r="2827" spans="1:4" x14ac:dyDescent="0.2">
      <c r="A2827" s="574">
        <v>39388</v>
      </c>
      <c r="B2827" s="574" t="s">
        <v>8412</v>
      </c>
      <c r="C2827" s="574" t="s">
        <v>5555</v>
      </c>
      <c r="D2827" s="582">
        <v>8.61</v>
      </c>
    </row>
    <row r="2828" spans="1:4" x14ac:dyDescent="0.2">
      <c r="A2828" s="574">
        <v>39387</v>
      </c>
      <c r="B2828" s="574" t="s">
        <v>8413</v>
      </c>
      <c r="C2828" s="574" t="s">
        <v>5555</v>
      </c>
      <c r="D2828" s="582">
        <v>13.42</v>
      </c>
    </row>
    <row r="2829" spans="1:4" x14ac:dyDescent="0.2">
      <c r="A2829" s="574">
        <v>39386</v>
      </c>
      <c r="B2829" s="574" t="s">
        <v>8414</v>
      </c>
      <c r="C2829" s="574" t="s">
        <v>5555</v>
      </c>
      <c r="D2829" s="582">
        <v>9.36</v>
      </c>
    </row>
    <row r="2830" spans="1:4" x14ac:dyDescent="0.2">
      <c r="A2830" s="574">
        <v>38194</v>
      </c>
      <c r="B2830" s="574" t="s">
        <v>8415</v>
      </c>
      <c r="C2830" s="574" t="s">
        <v>5555</v>
      </c>
      <c r="D2830" s="582">
        <v>7</v>
      </c>
    </row>
    <row r="2831" spans="1:4" x14ac:dyDescent="0.2">
      <c r="A2831" s="574">
        <v>38193</v>
      </c>
      <c r="B2831" s="574" t="s">
        <v>8416</v>
      </c>
      <c r="C2831" s="574" t="s">
        <v>5555</v>
      </c>
      <c r="D2831" s="582">
        <v>6.08</v>
      </c>
    </row>
    <row r="2832" spans="1:4" x14ac:dyDescent="0.2">
      <c r="A2832" s="574">
        <v>12216</v>
      </c>
      <c r="B2832" s="574" t="s">
        <v>8417</v>
      </c>
      <c r="C2832" s="574" t="s">
        <v>5555</v>
      </c>
      <c r="D2832" s="582">
        <v>37.31</v>
      </c>
    </row>
    <row r="2833" spans="1:4" x14ac:dyDescent="0.2">
      <c r="A2833" s="574">
        <v>3757</v>
      </c>
      <c r="B2833" s="574" t="s">
        <v>8418</v>
      </c>
      <c r="C2833" s="574" t="s">
        <v>5555</v>
      </c>
      <c r="D2833" s="582">
        <v>43.14</v>
      </c>
    </row>
    <row r="2834" spans="1:4" x14ac:dyDescent="0.2">
      <c r="A2834" s="574">
        <v>3758</v>
      </c>
      <c r="B2834" s="574" t="s">
        <v>8419</v>
      </c>
      <c r="C2834" s="574" t="s">
        <v>5555</v>
      </c>
      <c r="D2834" s="582">
        <v>50.3</v>
      </c>
    </row>
    <row r="2835" spans="1:4" x14ac:dyDescent="0.2">
      <c r="A2835" s="574">
        <v>12214</v>
      </c>
      <c r="B2835" s="574" t="s">
        <v>8420</v>
      </c>
      <c r="C2835" s="574" t="s">
        <v>5555</v>
      </c>
      <c r="D2835" s="582">
        <v>17.22</v>
      </c>
    </row>
    <row r="2836" spans="1:4" x14ac:dyDescent="0.2">
      <c r="A2836" s="574">
        <v>3749</v>
      </c>
      <c r="B2836" s="574" t="s">
        <v>8421</v>
      </c>
      <c r="C2836" s="574" t="s">
        <v>5555</v>
      </c>
      <c r="D2836" s="582">
        <v>30.7</v>
      </c>
    </row>
    <row r="2837" spans="1:4" x14ac:dyDescent="0.2">
      <c r="A2837" s="574">
        <v>3751</v>
      </c>
      <c r="B2837" s="574" t="s">
        <v>8422</v>
      </c>
      <c r="C2837" s="574" t="s">
        <v>5555</v>
      </c>
      <c r="D2837" s="582">
        <v>41.89</v>
      </c>
    </row>
    <row r="2838" spans="1:4" x14ac:dyDescent="0.2">
      <c r="A2838" s="574">
        <v>39376</v>
      </c>
      <c r="B2838" s="574" t="s">
        <v>8423</v>
      </c>
      <c r="C2838" s="574" t="s">
        <v>5555</v>
      </c>
      <c r="D2838" s="582">
        <v>35.32</v>
      </c>
    </row>
    <row r="2839" spans="1:4" x14ac:dyDescent="0.2">
      <c r="A2839" s="574">
        <v>3752</v>
      </c>
      <c r="B2839" s="574" t="s">
        <v>8424</v>
      </c>
      <c r="C2839" s="574" t="s">
        <v>5555</v>
      </c>
      <c r="D2839" s="582">
        <v>69.11</v>
      </c>
    </row>
    <row r="2840" spans="1:4" x14ac:dyDescent="0.2">
      <c r="A2840" s="574">
        <v>746</v>
      </c>
      <c r="B2840" s="574" t="s">
        <v>8425</v>
      </c>
      <c r="C2840" s="574" t="s">
        <v>5555</v>
      </c>
      <c r="D2840" s="583">
        <v>1800</v>
      </c>
    </row>
    <row r="2841" spans="1:4" x14ac:dyDescent="0.2">
      <c r="A2841" s="574">
        <v>36521</v>
      </c>
      <c r="B2841" s="574" t="s">
        <v>8426</v>
      </c>
      <c r="C2841" s="574" t="s">
        <v>5555</v>
      </c>
      <c r="D2841" s="582">
        <v>127.25</v>
      </c>
    </row>
    <row r="2842" spans="1:4" x14ac:dyDescent="0.2">
      <c r="A2842" s="574">
        <v>36794</v>
      </c>
      <c r="B2842" s="574" t="s">
        <v>8427</v>
      </c>
      <c r="C2842" s="574" t="s">
        <v>5555</v>
      </c>
      <c r="D2842" s="582">
        <v>129.72</v>
      </c>
    </row>
    <row r="2843" spans="1:4" x14ac:dyDescent="0.2">
      <c r="A2843" s="574">
        <v>10426</v>
      </c>
      <c r="B2843" s="574" t="s">
        <v>8428</v>
      </c>
      <c r="C2843" s="574" t="s">
        <v>5555</v>
      </c>
      <c r="D2843" s="582">
        <v>186.83</v>
      </c>
    </row>
    <row r="2844" spans="1:4" x14ac:dyDescent="0.2">
      <c r="A2844" s="574">
        <v>10425</v>
      </c>
      <c r="B2844" s="574" t="s">
        <v>8429</v>
      </c>
      <c r="C2844" s="574" t="s">
        <v>5555</v>
      </c>
      <c r="D2844" s="582">
        <v>82.39</v>
      </c>
    </row>
    <row r="2845" spans="1:4" x14ac:dyDescent="0.2">
      <c r="A2845" s="574">
        <v>10431</v>
      </c>
      <c r="B2845" s="574" t="s">
        <v>8430</v>
      </c>
      <c r="C2845" s="574" t="s">
        <v>5555</v>
      </c>
      <c r="D2845" s="582">
        <v>204.96</v>
      </c>
    </row>
    <row r="2846" spans="1:4" x14ac:dyDescent="0.2">
      <c r="A2846" s="574">
        <v>10429</v>
      </c>
      <c r="B2846" s="574" t="s">
        <v>8431</v>
      </c>
      <c r="C2846" s="574" t="s">
        <v>5555</v>
      </c>
      <c r="D2846" s="582">
        <v>98.26</v>
      </c>
    </row>
    <row r="2847" spans="1:4" x14ac:dyDescent="0.2">
      <c r="A2847" s="574">
        <v>20269</v>
      </c>
      <c r="B2847" s="574" t="s">
        <v>8432</v>
      </c>
      <c r="C2847" s="574" t="s">
        <v>5555</v>
      </c>
      <c r="D2847" s="582">
        <v>80.98</v>
      </c>
    </row>
    <row r="2848" spans="1:4" x14ac:dyDescent="0.2">
      <c r="A2848" s="574">
        <v>20270</v>
      </c>
      <c r="B2848" s="574" t="s">
        <v>8433</v>
      </c>
      <c r="C2848" s="574" t="s">
        <v>5555</v>
      </c>
      <c r="D2848" s="582">
        <v>88.19</v>
      </c>
    </row>
    <row r="2849" spans="1:4" x14ac:dyDescent="0.2">
      <c r="A2849" s="574">
        <v>11696</v>
      </c>
      <c r="B2849" s="574" t="s">
        <v>8434</v>
      </c>
      <c r="C2849" s="574" t="s">
        <v>5555</v>
      </c>
      <c r="D2849" s="582">
        <v>128.83000000000001</v>
      </c>
    </row>
    <row r="2850" spans="1:4" x14ac:dyDescent="0.2">
      <c r="A2850" s="574">
        <v>10427</v>
      </c>
      <c r="B2850" s="574" t="s">
        <v>8435</v>
      </c>
      <c r="C2850" s="574" t="s">
        <v>5555</v>
      </c>
      <c r="D2850" s="582">
        <v>231</v>
      </c>
    </row>
    <row r="2851" spans="1:4" x14ac:dyDescent="0.2">
      <c r="A2851" s="574">
        <v>10428</v>
      </c>
      <c r="B2851" s="574" t="s">
        <v>8436</v>
      </c>
      <c r="C2851" s="574" t="s">
        <v>5555</v>
      </c>
      <c r="D2851" s="582">
        <v>234.45</v>
      </c>
    </row>
    <row r="2852" spans="1:4" x14ac:dyDescent="0.2">
      <c r="A2852" s="574">
        <v>2354</v>
      </c>
      <c r="B2852" s="574" t="s">
        <v>8437</v>
      </c>
      <c r="C2852" s="574" t="s">
        <v>5566</v>
      </c>
      <c r="D2852" s="582">
        <v>11.96</v>
      </c>
    </row>
    <row r="2853" spans="1:4" x14ac:dyDescent="0.2">
      <c r="A2853" s="574">
        <v>40932</v>
      </c>
      <c r="B2853" s="574" t="s">
        <v>8438</v>
      </c>
      <c r="C2853" s="574" t="s">
        <v>5755</v>
      </c>
      <c r="D2853" s="583">
        <v>2092.13</v>
      </c>
    </row>
    <row r="2854" spans="1:4" x14ac:dyDescent="0.2">
      <c r="A2854" s="574">
        <v>10853</v>
      </c>
      <c r="B2854" s="574" t="s">
        <v>8439</v>
      </c>
      <c r="C2854" s="574" t="s">
        <v>5555</v>
      </c>
      <c r="D2854" s="582">
        <v>85.53</v>
      </c>
    </row>
    <row r="2855" spans="1:4" x14ac:dyDescent="0.2">
      <c r="A2855" s="574">
        <v>5093</v>
      </c>
      <c r="B2855" s="574" t="s">
        <v>8440</v>
      </c>
      <c r="C2855" s="574" t="s">
        <v>6022</v>
      </c>
      <c r="D2855" s="582">
        <v>13.88</v>
      </c>
    </row>
    <row r="2856" spans="1:4" x14ac:dyDescent="0.2">
      <c r="A2856" s="574">
        <v>37768</v>
      </c>
      <c r="B2856" s="574" t="s">
        <v>8441</v>
      </c>
      <c r="C2856" s="574" t="s">
        <v>5555</v>
      </c>
      <c r="D2856" s="583">
        <v>98500</v>
      </c>
    </row>
    <row r="2857" spans="1:4" x14ac:dyDescent="0.2">
      <c r="A2857" s="574">
        <v>37773</v>
      </c>
      <c r="B2857" s="574" t="s">
        <v>8442</v>
      </c>
      <c r="C2857" s="574" t="s">
        <v>5555</v>
      </c>
      <c r="D2857" s="583">
        <v>83643.100000000006</v>
      </c>
    </row>
    <row r="2858" spans="1:4" x14ac:dyDescent="0.2">
      <c r="A2858" s="574">
        <v>37769</v>
      </c>
      <c r="B2858" s="574" t="s">
        <v>8443</v>
      </c>
      <c r="C2858" s="574" t="s">
        <v>5555</v>
      </c>
      <c r="D2858" s="583">
        <v>140029.09</v>
      </c>
    </row>
    <row r="2859" spans="1:4" x14ac:dyDescent="0.2">
      <c r="A2859" s="574">
        <v>37770</v>
      </c>
      <c r="B2859" s="574" t="s">
        <v>8444</v>
      </c>
      <c r="C2859" s="574" t="s">
        <v>5555</v>
      </c>
      <c r="D2859" s="583">
        <v>237651.71</v>
      </c>
    </row>
    <row r="2860" spans="1:4" x14ac:dyDescent="0.2">
      <c r="A2860" s="574">
        <v>38382</v>
      </c>
      <c r="B2860" s="574" t="s">
        <v>8445</v>
      </c>
      <c r="C2860" s="574" t="s">
        <v>5555</v>
      </c>
      <c r="D2860" s="582">
        <v>9.93</v>
      </c>
    </row>
    <row r="2861" spans="1:4" x14ac:dyDescent="0.2">
      <c r="A2861" s="574">
        <v>6091</v>
      </c>
      <c r="B2861" s="574" t="s">
        <v>8446</v>
      </c>
      <c r="C2861" s="574" t="s">
        <v>5628</v>
      </c>
      <c r="D2861" s="582">
        <v>13.99</v>
      </c>
    </row>
    <row r="2862" spans="1:4" x14ac:dyDescent="0.2">
      <c r="A2862" s="574">
        <v>38383</v>
      </c>
      <c r="B2862" s="574" t="s">
        <v>8447</v>
      </c>
      <c r="C2862" s="574" t="s">
        <v>5555</v>
      </c>
      <c r="D2862" s="582">
        <v>1.86</v>
      </c>
    </row>
    <row r="2863" spans="1:4" x14ac:dyDescent="0.2">
      <c r="A2863" s="574">
        <v>3768</v>
      </c>
      <c r="B2863" s="574" t="s">
        <v>8448</v>
      </c>
      <c r="C2863" s="574" t="s">
        <v>5555</v>
      </c>
      <c r="D2863" s="582">
        <v>2.58</v>
      </c>
    </row>
    <row r="2864" spans="1:4" x14ac:dyDescent="0.2">
      <c r="A2864" s="574">
        <v>3767</v>
      </c>
      <c r="B2864" s="574" t="s">
        <v>8449</v>
      </c>
      <c r="C2864" s="574" t="s">
        <v>5555</v>
      </c>
      <c r="D2864" s="582">
        <v>0.61</v>
      </c>
    </row>
    <row r="2865" spans="1:4" x14ac:dyDescent="0.2">
      <c r="A2865" s="574">
        <v>13192</v>
      </c>
      <c r="B2865" s="574" t="s">
        <v>8450</v>
      </c>
      <c r="C2865" s="574" t="s">
        <v>5555</v>
      </c>
      <c r="D2865" s="583">
        <v>4083.19</v>
      </c>
    </row>
    <row r="2866" spans="1:4" x14ac:dyDescent="0.2">
      <c r="A2866" s="574">
        <v>38413</v>
      </c>
      <c r="B2866" s="574" t="s">
        <v>8451</v>
      </c>
      <c r="C2866" s="574" t="s">
        <v>5555</v>
      </c>
      <c r="D2866" s="582">
        <v>675.3</v>
      </c>
    </row>
    <row r="2867" spans="1:4" x14ac:dyDescent="0.2">
      <c r="A2867" s="574">
        <v>42440</v>
      </c>
      <c r="B2867" s="574" t="s">
        <v>8452</v>
      </c>
      <c r="C2867" s="574" t="s">
        <v>5555</v>
      </c>
      <c r="D2867" s="582">
        <v>687.89</v>
      </c>
    </row>
    <row r="2868" spans="1:4" x14ac:dyDescent="0.2">
      <c r="A2868" s="574">
        <v>20193</v>
      </c>
      <c r="B2868" s="574" t="s">
        <v>8453</v>
      </c>
      <c r="C2868" s="574" t="s">
        <v>8454</v>
      </c>
      <c r="D2868" s="582">
        <v>1.66</v>
      </c>
    </row>
    <row r="2869" spans="1:4" x14ac:dyDescent="0.2">
      <c r="A2869" s="574">
        <v>10527</v>
      </c>
      <c r="B2869" s="574" t="s">
        <v>8455</v>
      </c>
      <c r="C2869" s="574" t="s">
        <v>8456</v>
      </c>
      <c r="D2869" s="582">
        <v>5</v>
      </c>
    </row>
    <row r="2870" spans="1:4" x14ac:dyDescent="0.2">
      <c r="A2870" s="574">
        <v>41805</v>
      </c>
      <c r="B2870" s="574" t="s">
        <v>8457</v>
      </c>
      <c r="C2870" s="574" t="s">
        <v>5755</v>
      </c>
      <c r="D2870" s="582">
        <v>450</v>
      </c>
    </row>
    <row r="2871" spans="1:4" x14ac:dyDescent="0.2">
      <c r="A2871" s="574">
        <v>40271</v>
      </c>
      <c r="B2871" s="574" t="s">
        <v>8458</v>
      </c>
      <c r="C2871" s="574" t="s">
        <v>5755</v>
      </c>
      <c r="D2871" s="582">
        <v>3.25</v>
      </c>
    </row>
    <row r="2872" spans="1:4" x14ac:dyDescent="0.2">
      <c r="A2872" s="574">
        <v>40287</v>
      </c>
      <c r="B2872" s="574" t="s">
        <v>8459</v>
      </c>
      <c r="C2872" s="574" t="s">
        <v>5755</v>
      </c>
      <c r="D2872" s="582">
        <v>1.25</v>
      </c>
    </row>
    <row r="2873" spans="1:4" x14ac:dyDescent="0.2">
      <c r="A2873" s="574">
        <v>40295</v>
      </c>
      <c r="B2873" s="574" t="s">
        <v>8460</v>
      </c>
      <c r="C2873" s="574" t="s">
        <v>5566</v>
      </c>
      <c r="D2873" s="582">
        <v>2.4500000000000002</v>
      </c>
    </row>
    <row r="2874" spans="1:4" x14ac:dyDescent="0.2">
      <c r="A2874" s="574">
        <v>745</v>
      </c>
      <c r="B2874" s="574" t="s">
        <v>8461</v>
      </c>
      <c r="C2874" s="574" t="s">
        <v>5566</v>
      </c>
      <c r="D2874" s="582">
        <v>2.59</v>
      </c>
    </row>
    <row r="2875" spans="1:4" x14ac:dyDescent="0.2">
      <c r="A2875" s="574">
        <v>4084</v>
      </c>
      <c r="B2875" s="574" t="s">
        <v>8462</v>
      </c>
      <c r="C2875" s="574" t="s">
        <v>5566</v>
      </c>
      <c r="D2875" s="582">
        <v>1.74</v>
      </c>
    </row>
    <row r="2876" spans="1:4" x14ac:dyDescent="0.2">
      <c r="A2876" s="574">
        <v>743</v>
      </c>
      <c r="B2876" s="574" t="s">
        <v>8463</v>
      </c>
      <c r="C2876" s="574" t="s">
        <v>5566</v>
      </c>
      <c r="D2876" s="582">
        <v>1.74</v>
      </c>
    </row>
    <row r="2877" spans="1:4" x14ac:dyDescent="0.2">
      <c r="A2877" s="574">
        <v>40293</v>
      </c>
      <c r="B2877" s="574" t="s">
        <v>8464</v>
      </c>
      <c r="C2877" s="574" t="s">
        <v>5566</v>
      </c>
      <c r="D2877" s="582">
        <v>2.08</v>
      </c>
    </row>
    <row r="2878" spans="1:4" x14ac:dyDescent="0.2">
      <c r="A2878" s="574">
        <v>40294</v>
      </c>
      <c r="B2878" s="574" t="s">
        <v>8465</v>
      </c>
      <c r="C2878" s="574" t="s">
        <v>5566</v>
      </c>
      <c r="D2878" s="582">
        <v>1.74</v>
      </c>
    </row>
    <row r="2879" spans="1:4" x14ac:dyDescent="0.2">
      <c r="A2879" s="574">
        <v>4085</v>
      </c>
      <c r="B2879" s="574" t="s">
        <v>8466</v>
      </c>
      <c r="C2879" s="574" t="s">
        <v>5566</v>
      </c>
      <c r="D2879" s="582">
        <v>2.4300000000000002</v>
      </c>
    </row>
    <row r="2880" spans="1:4" x14ac:dyDescent="0.2">
      <c r="A2880" s="574">
        <v>10775</v>
      </c>
      <c r="B2880" s="574" t="s">
        <v>8467</v>
      </c>
      <c r="C2880" s="574" t="s">
        <v>5755</v>
      </c>
      <c r="D2880" s="582">
        <v>522</v>
      </c>
    </row>
    <row r="2881" spans="1:4" x14ac:dyDescent="0.2">
      <c r="A2881" s="574">
        <v>10776</v>
      </c>
      <c r="B2881" s="574" t="s">
        <v>8468</v>
      </c>
      <c r="C2881" s="574" t="s">
        <v>5755</v>
      </c>
      <c r="D2881" s="582">
        <v>407.81</v>
      </c>
    </row>
    <row r="2882" spans="1:4" x14ac:dyDescent="0.2">
      <c r="A2882" s="574">
        <v>10779</v>
      </c>
      <c r="B2882" s="574" t="s">
        <v>8469</v>
      </c>
      <c r="C2882" s="574" t="s">
        <v>5755</v>
      </c>
      <c r="D2882" s="582">
        <v>652.5</v>
      </c>
    </row>
    <row r="2883" spans="1:4" x14ac:dyDescent="0.2">
      <c r="A2883" s="574">
        <v>10777</v>
      </c>
      <c r="B2883" s="574" t="s">
        <v>8470</v>
      </c>
      <c r="C2883" s="574" t="s">
        <v>5755</v>
      </c>
      <c r="D2883" s="582">
        <v>592.67999999999995</v>
      </c>
    </row>
    <row r="2884" spans="1:4" x14ac:dyDescent="0.2">
      <c r="A2884" s="574">
        <v>10778</v>
      </c>
      <c r="B2884" s="574" t="s">
        <v>8471</v>
      </c>
      <c r="C2884" s="574" t="s">
        <v>5755</v>
      </c>
      <c r="D2884" s="582">
        <v>652.5</v>
      </c>
    </row>
    <row r="2885" spans="1:4" x14ac:dyDescent="0.2">
      <c r="A2885" s="574">
        <v>40339</v>
      </c>
      <c r="B2885" s="574" t="s">
        <v>8472</v>
      </c>
      <c r="C2885" s="574" t="s">
        <v>5755</v>
      </c>
      <c r="D2885" s="582">
        <v>1.25</v>
      </c>
    </row>
    <row r="2886" spans="1:4" x14ac:dyDescent="0.2">
      <c r="A2886" s="574">
        <v>3355</v>
      </c>
      <c r="B2886" s="574" t="s">
        <v>8473</v>
      </c>
      <c r="C2886" s="574" t="s">
        <v>5566</v>
      </c>
      <c r="D2886" s="582">
        <v>22.5</v>
      </c>
    </row>
    <row r="2887" spans="1:4" x14ac:dyDescent="0.2">
      <c r="A2887" s="574">
        <v>39814</v>
      </c>
      <c r="B2887" s="574" t="s">
        <v>8474</v>
      </c>
      <c r="C2887" s="574" t="s">
        <v>5566</v>
      </c>
      <c r="D2887" s="582">
        <v>42.18</v>
      </c>
    </row>
    <row r="2888" spans="1:4" x14ac:dyDescent="0.2">
      <c r="A2888" s="574">
        <v>10749</v>
      </c>
      <c r="B2888" s="574" t="s">
        <v>8475</v>
      </c>
      <c r="C2888" s="574" t="s">
        <v>5755</v>
      </c>
      <c r="D2888" s="582">
        <v>2.29</v>
      </c>
    </row>
    <row r="2889" spans="1:4" x14ac:dyDescent="0.2">
      <c r="A2889" s="574">
        <v>40290</v>
      </c>
      <c r="B2889" s="574" t="s">
        <v>8476</v>
      </c>
      <c r="C2889" s="574" t="s">
        <v>5755</v>
      </c>
      <c r="D2889" s="582">
        <v>3.3</v>
      </c>
    </row>
    <row r="2890" spans="1:4" x14ac:dyDescent="0.2">
      <c r="A2890" s="574">
        <v>7252</v>
      </c>
      <c r="B2890" s="574" t="s">
        <v>8477</v>
      </c>
      <c r="C2890" s="574" t="s">
        <v>5566</v>
      </c>
      <c r="D2890" s="582">
        <v>2.27</v>
      </c>
    </row>
    <row r="2891" spans="1:4" x14ac:dyDescent="0.2">
      <c r="A2891" s="574">
        <v>4778</v>
      </c>
      <c r="B2891" s="574" t="s">
        <v>8478</v>
      </c>
      <c r="C2891" s="574" t="s">
        <v>5566</v>
      </c>
      <c r="D2891" s="582">
        <v>2.7</v>
      </c>
    </row>
    <row r="2892" spans="1:4" x14ac:dyDescent="0.2">
      <c r="A2892" s="574">
        <v>4780</v>
      </c>
      <c r="B2892" s="574" t="s">
        <v>8479</v>
      </c>
      <c r="C2892" s="574" t="s">
        <v>5566</v>
      </c>
      <c r="D2892" s="582">
        <v>2.92</v>
      </c>
    </row>
    <row r="2893" spans="1:4" x14ac:dyDescent="0.2">
      <c r="A2893" s="574">
        <v>10809</v>
      </c>
      <c r="B2893" s="574" t="s">
        <v>8480</v>
      </c>
      <c r="C2893" s="574" t="s">
        <v>5566</v>
      </c>
      <c r="D2893" s="582">
        <v>1.05</v>
      </c>
    </row>
    <row r="2894" spans="1:4" x14ac:dyDescent="0.2">
      <c r="A2894" s="574">
        <v>10811</v>
      </c>
      <c r="B2894" s="574" t="s">
        <v>8481</v>
      </c>
      <c r="C2894" s="574" t="s">
        <v>5566</v>
      </c>
      <c r="D2894" s="582">
        <v>0.9</v>
      </c>
    </row>
    <row r="2895" spans="1:4" x14ac:dyDescent="0.2">
      <c r="A2895" s="574">
        <v>7247</v>
      </c>
      <c r="B2895" s="574" t="s">
        <v>8482</v>
      </c>
      <c r="C2895" s="574" t="s">
        <v>5566</v>
      </c>
      <c r="D2895" s="582">
        <v>2.27</v>
      </c>
    </row>
    <row r="2896" spans="1:4" x14ac:dyDescent="0.2">
      <c r="A2896" s="574">
        <v>40291</v>
      </c>
      <c r="B2896" s="574" t="s">
        <v>8483</v>
      </c>
      <c r="C2896" s="574" t="s">
        <v>5755</v>
      </c>
      <c r="D2896" s="582">
        <v>174.42</v>
      </c>
    </row>
    <row r="2897" spans="1:4" x14ac:dyDescent="0.2">
      <c r="A2897" s="574">
        <v>40275</v>
      </c>
      <c r="B2897" s="574" t="s">
        <v>8484</v>
      </c>
      <c r="C2897" s="574" t="s">
        <v>5755</v>
      </c>
      <c r="D2897" s="582">
        <v>5</v>
      </c>
    </row>
    <row r="2898" spans="1:4" x14ac:dyDescent="0.2">
      <c r="A2898" s="574">
        <v>3777</v>
      </c>
      <c r="B2898" s="574" t="s">
        <v>8485</v>
      </c>
      <c r="C2898" s="574" t="s">
        <v>5564</v>
      </c>
      <c r="D2898" s="582">
        <v>1.43</v>
      </c>
    </row>
    <row r="2899" spans="1:4" x14ac:dyDescent="0.2">
      <c r="A2899" s="574">
        <v>3798</v>
      </c>
      <c r="B2899" s="574" t="s">
        <v>8488</v>
      </c>
      <c r="C2899" s="574" t="s">
        <v>5555</v>
      </c>
      <c r="D2899" s="582">
        <v>54.01</v>
      </c>
    </row>
    <row r="2900" spans="1:4" x14ac:dyDescent="0.2">
      <c r="A2900" s="574">
        <v>38769</v>
      </c>
      <c r="B2900" s="574" t="s">
        <v>8489</v>
      </c>
      <c r="C2900" s="574" t="s">
        <v>5555</v>
      </c>
      <c r="D2900" s="582">
        <v>42.18</v>
      </c>
    </row>
    <row r="2901" spans="1:4" x14ac:dyDescent="0.2">
      <c r="A2901" s="574">
        <v>39510</v>
      </c>
      <c r="B2901" s="574" t="s">
        <v>8490</v>
      </c>
      <c r="C2901" s="574" t="s">
        <v>5555</v>
      </c>
      <c r="D2901" s="582">
        <v>170.7</v>
      </c>
    </row>
    <row r="2902" spans="1:4" x14ac:dyDescent="0.2">
      <c r="A2902" s="574">
        <v>38776</v>
      </c>
      <c r="B2902" s="574" t="s">
        <v>8491</v>
      </c>
      <c r="C2902" s="574" t="s">
        <v>5555</v>
      </c>
      <c r="D2902" s="582">
        <v>181.17</v>
      </c>
    </row>
    <row r="2903" spans="1:4" x14ac:dyDescent="0.2">
      <c r="A2903" s="574">
        <v>38774</v>
      </c>
      <c r="B2903" s="574" t="s">
        <v>8492</v>
      </c>
      <c r="C2903" s="574" t="s">
        <v>5555</v>
      </c>
      <c r="D2903" s="582">
        <v>17.579999999999998</v>
      </c>
    </row>
    <row r="2904" spans="1:4" x14ac:dyDescent="0.2">
      <c r="A2904" s="574">
        <v>42247</v>
      </c>
      <c r="B2904" s="574" t="s">
        <v>13598</v>
      </c>
      <c r="C2904" s="574" t="s">
        <v>5555</v>
      </c>
      <c r="D2904" s="582">
        <v>600.24</v>
      </c>
    </row>
    <row r="2905" spans="1:4" x14ac:dyDescent="0.2">
      <c r="A2905" s="574">
        <v>42248</v>
      </c>
      <c r="B2905" s="574" t="s">
        <v>13599</v>
      </c>
      <c r="C2905" s="574" t="s">
        <v>5555</v>
      </c>
      <c r="D2905" s="582">
        <v>697.22</v>
      </c>
    </row>
    <row r="2906" spans="1:4" x14ac:dyDescent="0.2">
      <c r="A2906" s="574">
        <v>42249</v>
      </c>
      <c r="B2906" s="574" t="s">
        <v>13600</v>
      </c>
      <c r="C2906" s="574" t="s">
        <v>5555</v>
      </c>
      <c r="D2906" s="583">
        <v>1155.05</v>
      </c>
    </row>
    <row r="2907" spans="1:4" x14ac:dyDescent="0.2">
      <c r="A2907" s="574">
        <v>42244</v>
      </c>
      <c r="B2907" s="574" t="s">
        <v>13601</v>
      </c>
      <c r="C2907" s="574" t="s">
        <v>5555</v>
      </c>
      <c r="D2907" s="582">
        <v>180.38</v>
      </c>
    </row>
    <row r="2908" spans="1:4" x14ac:dyDescent="0.2">
      <c r="A2908" s="574">
        <v>42245</v>
      </c>
      <c r="B2908" s="574" t="s">
        <v>13602</v>
      </c>
      <c r="C2908" s="574" t="s">
        <v>5555</v>
      </c>
      <c r="D2908" s="582">
        <v>332.86</v>
      </c>
    </row>
    <row r="2909" spans="1:4" x14ac:dyDescent="0.2">
      <c r="A2909" s="574">
        <v>42246</v>
      </c>
      <c r="B2909" s="574" t="s">
        <v>13603</v>
      </c>
      <c r="C2909" s="574" t="s">
        <v>5555</v>
      </c>
      <c r="D2909" s="582">
        <v>368.47</v>
      </c>
    </row>
    <row r="2910" spans="1:4" x14ac:dyDescent="0.2">
      <c r="A2910" s="574">
        <v>42243</v>
      </c>
      <c r="B2910" s="574" t="s">
        <v>13604</v>
      </c>
      <c r="C2910" s="574" t="s">
        <v>5555</v>
      </c>
      <c r="D2910" s="582">
        <v>444.3</v>
      </c>
    </row>
    <row r="2911" spans="1:4" x14ac:dyDescent="0.2">
      <c r="A2911" s="574">
        <v>38889</v>
      </c>
      <c r="B2911" s="574" t="s">
        <v>8494</v>
      </c>
      <c r="C2911" s="574" t="s">
        <v>5555</v>
      </c>
      <c r="D2911" s="582">
        <v>32.33</v>
      </c>
    </row>
    <row r="2912" spans="1:4" x14ac:dyDescent="0.2">
      <c r="A2912" s="574">
        <v>38784</v>
      </c>
      <c r="B2912" s="574" t="s">
        <v>8495</v>
      </c>
      <c r="C2912" s="574" t="s">
        <v>5555</v>
      </c>
      <c r="D2912" s="582">
        <v>43.25</v>
      </c>
    </row>
    <row r="2913" spans="1:4" x14ac:dyDescent="0.2">
      <c r="A2913" s="574">
        <v>3788</v>
      </c>
      <c r="B2913" s="574" t="s">
        <v>8496</v>
      </c>
      <c r="C2913" s="574" t="s">
        <v>5555</v>
      </c>
      <c r="D2913" s="582">
        <v>45.07</v>
      </c>
    </row>
    <row r="2914" spans="1:4" x14ac:dyDescent="0.2">
      <c r="A2914" s="574">
        <v>12230</v>
      </c>
      <c r="B2914" s="574" t="s">
        <v>8497</v>
      </c>
      <c r="C2914" s="574" t="s">
        <v>5555</v>
      </c>
      <c r="D2914" s="582">
        <v>11.59</v>
      </c>
    </row>
    <row r="2915" spans="1:4" x14ac:dyDescent="0.2">
      <c r="A2915" s="574">
        <v>3780</v>
      </c>
      <c r="B2915" s="574" t="s">
        <v>8498</v>
      </c>
      <c r="C2915" s="574" t="s">
        <v>5555</v>
      </c>
      <c r="D2915" s="582">
        <v>66.5</v>
      </c>
    </row>
    <row r="2916" spans="1:4" x14ac:dyDescent="0.2">
      <c r="A2916" s="574">
        <v>12231</v>
      </c>
      <c r="B2916" s="574" t="s">
        <v>8499</v>
      </c>
      <c r="C2916" s="574" t="s">
        <v>5555</v>
      </c>
      <c r="D2916" s="582">
        <v>19.28</v>
      </c>
    </row>
    <row r="2917" spans="1:4" x14ac:dyDescent="0.2">
      <c r="A2917" s="574">
        <v>3811</v>
      </c>
      <c r="B2917" s="574" t="s">
        <v>8500</v>
      </c>
      <c r="C2917" s="574" t="s">
        <v>5555</v>
      </c>
      <c r="D2917" s="582">
        <v>62.46</v>
      </c>
    </row>
    <row r="2918" spans="1:4" x14ac:dyDescent="0.2">
      <c r="A2918" s="574">
        <v>12232</v>
      </c>
      <c r="B2918" s="574" t="s">
        <v>8501</v>
      </c>
      <c r="C2918" s="574" t="s">
        <v>5555</v>
      </c>
      <c r="D2918" s="582">
        <v>20.2</v>
      </c>
    </row>
    <row r="2919" spans="1:4" x14ac:dyDescent="0.2">
      <c r="A2919" s="574">
        <v>3799</v>
      </c>
      <c r="B2919" s="574" t="s">
        <v>8502</v>
      </c>
      <c r="C2919" s="574" t="s">
        <v>5555</v>
      </c>
      <c r="D2919" s="582">
        <v>88.34</v>
      </c>
    </row>
    <row r="2920" spans="1:4" x14ac:dyDescent="0.2">
      <c r="A2920" s="574">
        <v>12239</v>
      </c>
      <c r="B2920" s="574" t="s">
        <v>8503</v>
      </c>
      <c r="C2920" s="574" t="s">
        <v>5555</v>
      </c>
      <c r="D2920" s="582">
        <v>26.44</v>
      </c>
    </row>
    <row r="2921" spans="1:4" x14ac:dyDescent="0.2">
      <c r="A2921" s="574">
        <v>38773</v>
      </c>
      <c r="B2921" s="574" t="s">
        <v>8504</v>
      </c>
      <c r="C2921" s="574" t="s">
        <v>5555</v>
      </c>
      <c r="D2921" s="582">
        <v>4.24</v>
      </c>
    </row>
    <row r="2922" spans="1:4" x14ac:dyDescent="0.2">
      <c r="A2922" s="574">
        <v>12271</v>
      </c>
      <c r="B2922" s="574" t="s">
        <v>8505</v>
      </c>
      <c r="C2922" s="574" t="s">
        <v>5555</v>
      </c>
      <c r="D2922" s="582">
        <v>236.53</v>
      </c>
    </row>
    <row r="2923" spans="1:4" x14ac:dyDescent="0.2">
      <c r="A2923" s="574">
        <v>38785</v>
      </c>
      <c r="B2923" s="574" t="s">
        <v>8506</v>
      </c>
      <c r="C2923" s="574" t="s">
        <v>5555</v>
      </c>
      <c r="D2923" s="582">
        <v>111.98</v>
      </c>
    </row>
    <row r="2924" spans="1:4" x14ac:dyDescent="0.2">
      <c r="A2924" s="574">
        <v>38786</v>
      </c>
      <c r="B2924" s="574" t="s">
        <v>8507</v>
      </c>
      <c r="C2924" s="574" t="s">
        <v>5555</v>
      </c>
      <c r="D2924" s="582">
        <v>137.93</v>
      </c>
    </row>
    <row r="2925" spans="1:4" x14ac:dyDescent="0.2">
      <c r="A2925" s="574">
        <v>39385</v>
      </c>
      <c r="B2925" s="574" t="s">
        <v>8508</v>
      </c>
      <c r="C2925" s="574" t="s">
        <v>5555</v>
      </c>
      <c r="D2925" s="582">
        <v>16.079999999999998</v>
      </c>
    </row>
    <row r="2926" spans="1:4" x14ac:dyDescent="0.2">
      <c r="A2926" s="574">
        <v>39389</v>
      </c>
      <c r="B2926" s="574" t="s">
        <v>8509</v>
      </c>
      <c r="C2926" s="574" t="s">
        <v>5555</v>
      </c>
      <c r="D2926" s="582">
        <v>17.45</v>
      </c>
    </row>
    <row r="2927" spans="1:4" x14ac:dyDescent="0.2">
      <c r="A2927" s="574">
        <v>39390</v>
      </c>
      <c r="B2927" s="574" t="s">
        <v>8510</v>
      </c>
      <c r="C2927" s="574" t="s">
        <v>5555</v>
      </c>
      <c r="D2927" s="582">
        <v>36.58</v>
      </c>
    </row>
    <row r="2928" spans="1:4" x14ac:dyDescent="0.2">
      <c r="A2928" s="574">
        <v>39391</v>
      </c>
      <c r="B2928" s="574" t="s">
        <v>8511</v>
      </c>
      <c r="C2928" s="574" t="s">
        <v>5555</v>
      </c>
      <c r="D2928" s="582">
        <v>41.07</v>
      </c>
    </row>
    <row r="2929" spans="1:4" x14ac:dyDescent="0.2">
      <c r="A2929" s="574">
        <v>3803</v>
      </c>
      <c r="B2929" s="574" t="s">
        <v>8512</v>
      </c>
      <c r="C2929" s="574" t="s">
        <v>5555</v>
      </c>
      <c r="D2929" s="582">
        <v>39.99</v>
      </c>
    </row>
    <row r="2930" spans="1:4" x14ac:dyDescent="0.2">
      <c r="A2930" s="574">
        <v>38770</v>
      </c>
      <c r="B2930" s="574" t="s">
        <v>8513</v>
      </c>
      <c r="C2930" s="574" t="s">
        <v>5555</v>
      </c>
      <c r="D2930" s="582">
        <v>46.31</v>
      </c>
    </row>
    <row r="2931" spans="1:4" x14ac:dyDescent="0.2">
      <c r="A2931" s="574">
        <v>12267</v>
      </c>
      <c r="B2931" s="574" t="s">
        <v>8514</v>
      </c>
      <c r="C2931" s="574" t="s">
        <v>5555</v>
      </c>
      <c r="D2931" s="582">
        <v>135.71</v>
      </c>
    </row>
    <row r="2932" spans="1:4" x14ac:dyDescent="0.2">
      <c r="A2932" s="574">
        <v>43265</v>
      </c>
      <c r="B2932" s="574" t="s">
        <v>13605</v>
      </c>
      <c r="C2932" s="574" t="s">
        <v>5555</v>
      </c>
      <c r="D2932" s="582">
        <v>50.3</v>
      </c>
    </row>
    <row r="2933" spans="1:4" x14ac:dyDescent="0.2">
      <c r="A2933" s="574">
        <v>12266</v>
      </c>
      <c r="B2933" s="574" t="s">
        <v>8516</v>
      </c>
      <c r="C2933" s="574" t="s">
        <v>5555</v>
      </c>
      <c r="D2933" s="582">
        <v>69.459999999999994</v>
      </c>
    </row>
    <row r="2934" spans="1:4" x14ac:dyDescent="0.2">
      <c r="A2934" s="574">
        <v>39378</v>
      </c>
      <c r="B2934" s="574" t="s">
        <v>8517</v>
      </c>
      <c r="C2934" s="574" t="s">
        <v>5555</v>
      </c>
      <c r="D2934" s="582">
        <v>49.24</v>
      </c>
    </row>
    <row r="2935" spans="1:4" x14ac:dyDescent="0.2">
      <c r="A2935" s="574">
        <v>43543</v>
      </c>
      <c r="B2935" s="574" t="s">
        <v>11250</v>
      </c>
      <c r="C2935" s="574" t="s">
        <v>5555</v>
      </c>
      <c r="D2935" s="582">
        <v>102.6</v>
      </c>
    </row>
    <row r="2936" spans="1:4" x14ac:dyDescent="0.2">
      <c r="A2936" s="574">
        <v>38775</v>
      </c>
      <c r="B2936" s="574" t="s">
        <v>8518</v>
      </c>
      <c r="C2936" s="574" t="s">
        <v>5555</v>
      </c>
      <c r="D2936" s="582">
        <v>52.21</v>
      </c>
    </row>
    <row r="2937" spans="1:4" x14ac:dyDescent="0.2">
      <c r="A2937" s="574">
        <v>21119</v>
      </c>
      <c r="B2937" s="574" t="s">
        <v>8519</v>
      </c>
      <c r="C2937" s="574" t="s">
        <v>5555</v>
      </c>
      <c r="D2937" s="582">
        <v>1.28</v>
      </c>
    </row>
    <row r="2938" spans="1:4" x14ac:dyDescent="0.2">
      <c r="A2938" s="574">
        <v>37974</v>
      </c>
      <c r="B2938" s="574" t="s">
        <v>8520</v>
      </c>
      <c r="C2938" s="574" t="s">
        <v>5555</v>
      </c>
      <c r="D2938" s="582">
        <v>1.9</v>
      </c>
    </row>
    <row r="2939" spans="1:4" x14ac:dyDescent="0.2">
      <c r="A2939" s="574">
        <v>37975</v>
      </c>
      <c r="B2939" s="574" t="s">
        <v>8521</v>
      </c>
      <c r="C2939" s="574" t="s">
        <v>5555</v>
      </c>
      <c r="D2939" s="582">
        <v>3.87</v>
      </c>
    </row>
    <row r="2940" spans="1:4" x14ac:dyDescent="0.2">
      <c r="A2940" s="574">
        <v>37976</v>
      </c>
      <c r="B2940" s="574" t="s">
        <v>8522</v>
      </c>
      <c r="C2940" s="574" t="s">
        <v>5555</v>
      </c>
      <c r="D2940" s="582">
        <v>7.93</v>
      </c>
    </row>
    <row r="2941" spans="1:4" x14ac:dyDescent="0.2">
      <c r="A2941" s="574">
        <v>37977</v>
      </c>
      <c r="B2941" s="574" t="s">
        <v>8523</v>
      </c>
      <c r="C2941" s="574" t="s">
        <v>5555</v>
      </c>
      <c r="D2941" s="582">
        <v>10.91</v>
      </c>
    </row>
    <row r="2942" spans="1:4" x14ac:dyDescent="0.2">
      <c r="A2942" s="574">
        <v>37978</v>
      </c>
      <c r="B2942" s="574" t="s">
        <v>8524</v>
      </c>
      <c r="C2942" s="574" t="s">
        <v>5555</v>
      </c>
      <c r="D2942" s="582">
        <v>22.12</v>
      </c>
    </row>
    <row r="2943" spans="1:4" x14ac:dyDescent="0.2">
      <c r="A2943" s="574">
        <v>37979</v>
      </c>
      <c r="B2943" s="574" t="s">
        <v>8525</v>
      </c>
      <c r="C2943" s="574" t="s">
        <v>5555</v>
      </c>
      <c r="D2943" s="582">
        <v>95.04</v>
      </c>
    </row>
    <row r="2944" spans="1:4" x14ac:dyDescent="0.2">
      <c r="A2944" s="574">
        <v>37980</v>
      </c>
      <c r="B2944" s="574" t="s">
        <v>8526</v>
      </c>
      <c r="C2944" s="574" t="s">
        <v>5555</v>
      </c>
      <c r="D2944" s="582">
        <v>106.81</v>
      </c>
    </row>
    <row r="2945" spans="1:4" x14ac:dyDescent="0.2">
      <c r="A2945" s="574">
        <v>36147</v>
      </c>
      <c r="B2945" s="574" t="s">
        <v>8527</v>
      </c>
      <c r="C2945" s="574" t="s">
        <v>6022</v>
      </c>
      <c r="D2945" s="582">
        <v>316.98</v>
      </c>
    </row>
    <row r="2946" spans="1:4" x14ac:dyDescent="0.2">
      <c r="A2946" s="574">
        <v>12731</v>
      </c>
      <c r="B2946" s="574" t="s">
        <v>8528</v>
      </c>
      <c r="C2946" s="574" t="s">
        <v>5555</v>
      </c>
      <c r="D2946" s="582">
        <v>248.28</v>
      </c>
    </row>
    <row r="2947" spans="1:4" x14ac:dyDescent="0.2">
      <c r="A2947" s="574">
        <v>12723</v>
      </c>
      <c r="B2947" s="574" t="s">
        <v>8529</v>
      </c>
      <c r="C2947" s="574" t="s">
        <v>5555</v>
      </c>
      <c r="D2947" s="582">
        <v>1.92</v>
      </c>
    </row>
    <row r="2948" spans="1:4" x14ac:dyDescent="0.2">
      <c r="A2948" s="574">
        <v>12724</v>
      </c>
      <c r="B2948" s="574" t="s">
        <v>8530</v>
      </c>
      <c r="C2948" s="574" t="s">
        <v>5555</v>
      </c>
      <c r="D2948" s="582">
        <v>3.7</v>
      </c>
    </row>
    <row r="2949" spans="1:4" x14ac:dyDescent="0.2">
      <c r="A2949" s="574">
        <v>12725</v>
      </c>
      <c r="B2949" s="574" t="s">
        <v>8531</v>
      </c>
      <c r="C2949" s="574" t="s">
        <v>5555</v>
      </c>
      <c r="D2949" s="582">
        <v>7.42</v>
      </c>
    </row>
    <row r="2950" spans="1:4" x14ac:dyDescent="0.2">
      <c r="A2950" s="574">
        <v>12726</v>
      </c>
      <c r="B2950" s="574" t="s">
        <v>8532</v>
      </c>
      <c r="C2950" s="574" t="s">
        <v>5555</v>
      </c>
      <c r="D2950" s="582">
        <v>16.38</v>
      </c>
    </row>
    <row r="2951" spans="1:4" x14ac:dyDescent="0.2">
      <c r="A2951" s="574">
        <v>12727</v>
      </c>
      <c r="B2951" s="574" t="s">
        <v>8533</v>
      </c>
      <c r="C2951" s="574" t="s">
        <v>5555</v>
      </c>
      <c r="D2951" s="582">
        <v>20.77</v>
      </c>
    </row>
    <row r="2952" spans="1:4" x14ac:dyDescent="0.2">
      <c r="A2952" s="574">
        <v>12728</v>
      </c>
      <c r="B2952" s="574" t="s">
        <v>8534</v>
      </c>
      <c r="C2952" s="574" t="s">
        <v>5555</v>
      </c>
      <c r="D2952" s="582">
        <v>33.93</v>
      </c>
    </row>
    <row r="2953" spans="1:4" x14ac:dyDescent="0.2">
      <c r="A2953" s="574">
        <v>12729</v>
      </c>
      <c r="B2953" s="574" t="s">
        <v>8535</v>
      </c>
      <c r="C2953" s="574" t="s">
        <v>5555</v>
      </c>
      <c r="D2953" s="582">
        <v>111.21</v>
      </c>
    </row>
    <row r="2954" spans="1:4" x14ac:dyDescent="0.2">
      <c r="A2954" s="574">
        <v>12730</v>
      </c>
      <c r="B2954" s="574" t="s">
        <v>8536</v>
      </c>
      <c r="C2954" s="574" t="s">
        <v>5555</v>
      </c>
      <c r="D2954" s="582">
        <v>170.27</v>
      </c>
    </row>
    <row r="2955" spans="1:4" x14ac:dyDescent="0.2">
      <c r="A2955" s="574">
        <v>3840</v>
      </c>
      <c r="B2955" s="574" t="s">
        <v>8537</v>
      </c>
      <c r="C2955" s="574" t="s">
        <v>5555</v>
      </c>
      <c r="D2955" s="582">
        <v>38.6</v>
      </c>
    </row>
    <row r="2956" spans="1:4" x14ac:dyDescent="0.2">
      <c r="A2956" s="574">
        <v>3838</v>
      </c>
      <c r="B2956" s="574" t="s">
        <v>8538</v>
      </c>
      <c r="C2956" s="574" t="s">
        <v>5555</v>
      </c>
      <c r="D2956" s="582">
        <v>85.19</v>
      </c>
    </row>
    <row r="2957" spans="1:4" x14ac:dyDescent="0.2">
      <c r="A2957" s="574">
        <v>3844</v>
      </c>
      <c r="B2957" s="574" t="s">
        <v>8539</v>
      </c>
      <c r="C2957" s="574" t="s">
        <v>5555</v>
      </c>
      <c r="D2957" s="582">
        <v>151.96</v>
      </c>
    </row>
    <row r="2958" spans="1:4" x14ac:dyDescent="0.2">
      <c r="A2958" s="574">
        <v>3839</v>
      </c>
      <c r="B2958" s="574" t="s">
        <v>8540</v>
      </c>
      <c r="C2958" s="574" t="s">
        <v>5555</v>
      </c>
      <c r="D2958" s="582">
        <v>276.77999999999997</v>
      </c>
    </row>
    <row r="2959" spans="1:4" x14ac:dyDescent="0.2">
      <c r="A2959" s="574">
        <v>3843</v>
      </c>
      <c r="B2959" s="574" t="s">
        <v>8541</v>
      </c>
      <c r="C2959" s="574" t="s">
        <v>5555</v>
      </c>
      <c r="D2959" s="582">
        <v>379.89</v>
      </c>
    </row>
    <row r="2960" spans="1:4" x14ac:dyDescent="0.2">
      <c r="A2960" s="574">
        <v>3900</v>
      </c>
      <c r="B2960" s="574" t="s">
        <v>8542</v>
      </c>
      <c r="C2960" s="574" t="s">
        <v>5555</v>
      </c>
      <c r="D2960" s="582">
        <v>33.79</v>
      </c>
    </row>
    <row r="2961" spans="1:4" x14ac:dyDescent="0.2">
      <c r="A2961" s="574">
        <v>3846</v>
      </c>
      <c r="B2961" s="574" t="s">
        <v>8543</v>
      </c>
      <c r="C2961" s="574" t="s">
        <v>5555</v>
      </c>
      <c r="D2961" s="582">
        <v>10.65</v>
      </c>
    </row>
    <row r="2962" spans="1:4" x14ac:dyDescent="0.2">
      <c r="A2962" s="574">
        <v>3886</v>
      </c>
      <c r="B2962" s="574" t="s">
        <v>8544</v>
      </c>
      <c r="C2962" s="574" t="s">
        <v>5555</v>
      </c>
      <c r="D2962" s="582">
        <v>11.21</v>
      </c>
    </row>
    <row r="2963" spans="1:4" x14ac:dyDescent="0.2">
      <c r="A2963" s="574">
        <v>3854</v>
      </c>
      <c r="B2963" s="574" t="s">
        <v>8545</v>
      </c>
      <c r="C2963" s="574" t="s">
        <v>5555</v>
      </c>
      <c r="D2963" s="582">
        <v>6.23</v>
      </c>
    </row>
    <row r="2964" spans="1:4" x14ac:dyDescent="0.2">
      <c r="A2964" s="574">
        <v>3873</v>
      </c>
      <c r="B2964" s="574" t="s">
        <v>8546</v>
      </c>
      <c r="C2964" s="574" t="s">
        <v>5555</v>
      </c>
      <c r="D2964" s="582">
        <v>8.25</v>
      </c>
    </row>
    <row r="2965" spans="1:4" x14ac:dyDescent="0.2">
      <c r="A2965" s="574">
        <v>38021</v>
      </c>
      <c r="B2965" s="574" t="s">
        <v>8547</v>
      </c>
      <c r="C2965" s="574" t="s">
        <v>5555</v>
      </c>
      <c r="D2965" s="582">
        <v>19.73</v>
      </c>
    </row>
    <row r="2966" spans="1:4" x14ac:dyDescent="0.2">
      <c r="A2966" s="574">
        <v>3847</v>
      </c>
      <c r="B2966" s="574" t="s">
        <v>8548</v>
      </c>
      <c r="C2966" s="574" t="s">
        <v>5555</v>
      </c>
      <c r="D2966" s="582">
        <v>22.4</v>
      </c>
    </row>
    <row r="2967" spans="1:4" x14ac:dyDescent="0.2">
      <c r="A2967" s="574">
        <v>38022</v>
      </c>
      <c r="B2967" s="574" t="s">
        <v>8549</v>
      </c>
      <c r="C2967" s="574" t="s">
        <v>5555</v>
      </c>
      <c r="D2967" s="582">
        <v>34.979999999999997</v>
      </c>
    </row>
    <row r="2968" spans="1:4" x14ac:dyDescent="0.2">
      <c r="A2968" s="574">
        <v>3833</v>
      </c>
      <c r="B2968" s="574" t="s">
        <v>8550</v>
      </c>
      <c r="C2968" s="574" t="s">
        <v>5555</v>
      </c>
      <c r="D2968" s="582">
        <v>11.31</v>
      </c>
    </row>
    <row r="2969" spans="1:4" x14ac:dyDescent="0.2">
      <c r="A2969" s="574">
        <v>3835</v>
      </c>
      <c r="B2969" s="574" t="s">
        <v>8551</v>
      </c>
      <c r="C2969" s="574" t="s">
        <v>5555</v>
      </c>
      <c r="D2969" s="582">
        <v>36.83</v>
      </c>
    </row>
    <row r="2970" spans="1:4" x14ac:dyDescent="0.2">
      <c r="A2970" s="574">
        <v>3836</v>
      </c>
      <c r="B2970" s="574" t="s">
        <v>8552</v>
      </c>
      <c r="C2970" s="574" t="s">
        <v>5555</v>
      </c>
      <c r="D2970" s="582">
        <v>79.260000000000005</v>
      </c>
    </row>
    <row r="2971" spans="1:4" x14ac:dyDescent="0.2">
      <c r="A2971" s="574">
        <v>3830</v>
      </c>
      <c r="B2971" s="574" t="s">
        <v>8553</v>
      </c>
      <c r="C2971" s="574" t="s">
        <v>5555</v>
      </c>
      <c r="D2971" s="582">
        <v>129.6</v>
      </c>
    </row>
    <row r="2972" spans="1:4" x14ac:dyDescent="0.2">
      <c r="A2972" s="574">
        <v>3831</v>
      </c>
      <c r="B2972" s="574" t="s">
        <v>8554</v>
      </c>
      <c r="C2972" s="574" t="s">
        <v>5555</v>
      </c>
      <c r="D2972" s="582">
        <v>216.64</v>
      </c>
    </row>
    <row r="2973" spans="1:4" x14ac:dyDescent="0.2">
      <c r="A2973" s="574">
        <v>37981</v>
      </c>
      <c r="B2973" s="574" t="s">
        <v>8555</v>
      </c>
      <c r="C2973" s="574" t="s">
        <v>5555</v>
      </c>
      <c r="D2973" s="582">
        <v>4.3499999999999996</v>
      </c>
    </row>
    <row r="2974" spans="1:4" x14ac:dyDescent="0.2">
      <c r="A2974" s="574">
        <v>37982</v>
      </c>
      <c r="B2974" s="574" t="s">
        <v>8556</v>
      </c>
      <c r="C2974" s="574" t="s">
        <v>5555</v>
      </c>
      <c r="D2974" s="582">
        <v>6.61</v>
      </c>
    </row>
    <row r="2975" spans="1:4" x14ac:dyDescent="0.2">
      <c r="A2975" s="574">
        <v>37983</v>
      </c>
      <c r="B2975" s="574" t="s">
        <v>8557</v>
      </c>
      <c r="C2975" s="574" t="s">
        <v>5555</v>
      </c>
      <c r="D2975" s="582">
        <v>9.26</v>
      </c>
    </row>
    <row r="2976" spans="1:4" x14ac:dyDescent="0.2">
      <c r="A2976" s="574">
        <v>37984</v>
      </c>
      <c r="B2976" s="574" t="s">
        <v>8558</v>
      </c>
      <c r="C2976" s="574" t="s">
        <v>5555</v>
      </c>
      <c r="D2976" s="582">
        <v>15.99</v>
      </c>
    </row>
    <row r="2977" spans="1:4" x14ac:dyDescent="0.2">
      <c r="A2977" s="574">
        <v>37985</v>
      </c>
      <c r="B2977" s="574" t="s">
        <v>8559</v>
      </c>
      <c r="C2977" s="574" t="s">
        <v>5555</v>
      </c>
      <c r="D2977" s="582">
        <v>22.39</v>
      </c>
    </row>
    <row r="2978" spans="1:4" x14ac:dyDescent="0.2">
      <c r="A2978" s="574">
        <v>3826</v>
      </c>
      <c r="B2978" s="574" t="s">
        <v>8560</v>
      </c>
      <c r="C2978" s="574" t="s">
        <v>5555</v>
      </c>
      <c r="D2978" s="582">
        <v>38.299999999999997</v>
      </c>
    </row>
    <row r="2979" spans="1:4" x14ac:dyDescent="0.2">
      <c r="A2979" s="574">
        <v>3825</v>
      </c>
      <c r="B2979" s="574" t="s">
        <v>8561</v>
      </c>
      <c r="C2979" s="574" t="s">
        <v>5555</v>
      </c>
      <c r="D2979" s="582">
        <v>11.01</v>
      </c>
    </row>
    <row r="2980" spans="1:4" x14ac:dyDescent="0.2">
      <c r="A2980" s="574">
        <v>3827</v>
      </c>
      <c r="B2980" s="574" t="s">
        <v>8562</v>
      </c>
      <c r="C2980" s="574" t="s">
        <v>5555</v>
      </c>
      <c r="D2980" s="582">
        <v>24.06</v>
      </c>
    </row>
    <row r="2981" spans="1:4" x14ac:dyDescent="0.2">
      <c r="A2981" s="574">
        <v>20165</v>
      </c>
      <c r="B2981" s="574" t="s">
        <v>8563</v>
      </c>
      <c r="C2981" s="574" t="s">
        <v>5555</v>
      </c>
      <c r="D2981" s="582">
        <v>16.170000000000002</v>
      </c>
    </row>
    <row r="2982" spans="1:4" x14ac:dyDescent="0.2">
      <c r="A2982" s="574">
        <v>20166</v>
      </c>
      <c r="B2982" s="574" t="s">
        <v>8564</v>
      </c>
      <c r="C2982" s="574" t="s">
        <v>5555</v>
      </c>
      <c r="D2982" s="582">
        <v>52.25</v>
      </c>
    </row>
    <row r="2983" spans="1:4" x14ac:dyDescent="0.2">
      <c r="A2983" s="574">
        <v>20164</v>
      </c>
      <c r="B2983" s="574" t="s">
        <v>8565</v>
      </c>
      <c r="C2983" s="574" t="s">
        <v>5555</v>
      </c>
      <c r="D2983" s="582">
        <v>8.5399999999999991</v>
      </c>
    </row>
    <row r="2984" spans="1:4" x14ac:dyDescent="0.2">
      <c r="A2984" s="574">
        <v>3893</v>
      </c>
      <c r="B2984" s="574" t="s">
        <v>8566</v>
      </c>
      <c r="C2984" s="574" t="s">
        <v>5555</v>
      </c>
      <c r="D2984" s="582">
        <v>10.6</v>
      </c>
    </row>
    <row r="2985" spans="1:4" x14ac:dyDescent="0.2">
      <c r="A2985" s="574">
        <v>3848</v>
      </c>
      <c r="B2985" s="574" t="s">
        <v>8567</v>
      </c>
      <c r="C2985" s="574" t="s">
        <v>5555</v>
      </c>
      <c r="D2985" s="582">
        <v>6.44</v>
      </c>
    </row>
    <row r="2986" spans="1:4" x14ac:dyDescent="0.2">
      <c r="A2986" s="574">
        <v>3895</v>
      </c>
      <c r="B2986" s="574" t="s">
        <v>8568</v>
      </c>
      <c r="C2986" s="574" t="s">
        <v>5555</v>
      </c>
      <c r="D2986" s="582">
        <v>7</v>
      </c>
    </row>
    <row r="2987" spans="1:4" x14ac:dyDescent="0.2">
      <c r="A2987" s="574">
        <v>12404</v>
      </c>
      <c r="B2987" s="574" t="s">
        <v>8569</v>
      </c>
      <c r="C2987" s="574" t="s">
        <v>5555</v>
      </c>
      <c r="D2987" s="582">
        <v>6.68</v>
      </c>
    </row>
    <row r="2988" spans="1:4" x14ac:dyDescent="0.2">
      <c r="A2988" s="574">
        <v>3939</v>
      </c>
      <c r="B2988" s="574" t="s">
        <v>8570</v>
      </c>
      <c r="C2988" s="574" t="s">
        <v>5555</v>
      </c>
      <c r="D2988" s="582">
        <v>13.77</v>
      </c>
    </row>
    <row r="2989" spans="1:4" x14ac:dyDescent="0.2">
      <c r="A2989" s="574">
        <v>3911</v>
      </c>
      <c r="B2989" s="574" t="s">
        <v>8571</v>
      </c>
      <c r="C2989" s="574" t="s">
        <v>5555</v>
      </c>
      <c r="D2989" s="582">
        <v>11.25</v>
      </c>
    </row>
    <row r="2990" spans="1:4" x14ac:dyDescent="0.2">
      <c r="A2990" s="574">
        <v>3908</v>
      </c>
      <c r="B2990" s="574" t="s">
        <v>8572</v>
      </c>
      <c r="C2990" s="574" t="s">
        <v>5555</v>
      </c>
      <c r="D2990" s="582">
        <v>3.64</v>
      </c>
    </row>
    <row r="2991" spans="1:4" x14ac:dyDescent="0.2">
      <c r="A2991" s="574">
        <v>3910</v>
      </c>
      <c r="B2991" s="574" t="s">
        <v>8573</v>
      </c>
      <c r="C2991" s="574" t="s">
        <v>5555</v>
      </c>
      <c r="D2991" s="582">
        <v>8.0500000000000007</v>
      </c>
    </row>
    <row r="2992" spans="1:4" x14ac:dyDescent="0.2">
      <c r="A2992" s="574">
        <v>3913</v>
      </c>
      <c r="B2992" s="574" t="s">
        <v>8574</v>
      </c>
      <c r="C2992" s="574" t="s">
        <v>5555</v>
      </c>
      <c r="D2992" s="582">
        <v>38.49</v>
      </c>
    </row>
    <row r="2993" spans="1:4" x14ac:dyDescent="0.2">
      <c r="A2993" s="574">
        <v>3912</v>
      </c>
      <c r="B2993" s="574" t="s">
        <v>8575</v>
      </c>
      <c r="C2993" s="574" t="s">
        <v>5555</v>
      </c>
      <c r="D2993" s="582">
        <v>21.1</v>
      </c>
    </row>
    <row r="2994" spans="1:4" x14ac:dyDescent="0.2">
      <c r="A2994" s="574">
        <v>3909</v>
      </c>
      <c r="B2994" s="574" t="s">
        <v>8576</v>
      </c>
      <c r="C2994" s="574" t="s">
        <v>5555</v>
      </c>
      <c r="D2994" s="582">
        <v>4.95</v>
      </c>
    </row>
    <row r="2995" spans="1:4" x14ac:dyDescent="0.2">
      <c r="A2995" s="574">
        <v>3914</v>
      </c>
      <c r="B2995" s="574" t="s">
        <v>8577</v>
      </c>
      <c r="C2995" s="574" t="s">
        <v>5555</v>
      </c>
      <c r="D2995" s="582">
        <v>58.06</v>
      </c>
    </row>
    <row r="2996" spans="1:4" x14ac:dyDescent="0.2">
      <c r="A2996" s="574">
        <v>3915</v>
      </c>
      <c r="B2996" s="574" t="s">
        <v>8578</v>
      </c>
      <c r="C2996" s="574" t="s">
        <v>5555</v>
      </c>
      <c r="D2996" s="582">
        <v>91.56</v>
      </c>
    </row>
    <row r="2997" spans="1:4" x14ac:dyDescent="0.2">
      <c r="A2997" s="574">
        <v>3916</v>
      </c>
      <c r="B2997" s="574" t="s">
        <v>8579</v>
      </c>
      <c r="C2997" s="574" t="s">
        <v>5555</v>
      </c>
      <c r="D2997" s="582">
        <v>166.8</v>
      </c>
    </row>
    <row r="2998" spans="1:4" x14ac:dyDescent="0.2">
      <c r="A2998" s="574">
        <v>3917</v>
      </c>
      <c r="B2998" s="574" t="s">
        <v>8580</v>
      </c>
      <c r="C2998" s="574" t="s">
        <v>5555</v>
      </c>
      <c r="D2998" s="582">
        <v>275.12</v>
      </c>
    </row>
    <row r="2999" spans="1:4" x14ac:dyDescent="0.2">
      <c r="A2999" s="574">
        <v>1904</v>
      </c>
      <c r="B2999" s="574" t="s">
        <v>8581</v>
      </c>
      <c r="C2999" s="574" t="s">
        <v>5555</v>
      </c>
      <c r="D2999" s="582">
        <v>0.62</v>
      </c>
    </row>
    <row r="3000" spans="1:4" x14ac:dyDescent="0.2">
      <c r="A3000" s="574">
        <v>1899</v>
      </c>
      <c r="B3000" s="574" t="s">
        <v>8582</v>
      </c>
      <c r="C3000" s="574" t="s">
        <v>5555</v>
      </c>
      <c r="D3000" s="582">
        <v>0.7</v>
      </c>
    </row>
    <row r="3001" spans="1:4" x14ac:dyDescent="0.2">
      <c r="A3001" s="574">
        <v>1900</v>
      </c>
      <c r="B3001" s="574" t="s">
        <v>8583</v>
      </c>
      <c r="C3001" s="574" t="s">
        <v>5555</v>
      </c>
      <c r="D3001" s="582">
        <v>1.1399999999999999</v>
      </c>
    </row>
    <row r="3002" spans="1:4" x14ac:dyDescent="0.2">
      <c r="A3002" s="574">
        <v>12407</v>
      </c>
      <c r="B3002" s="574" t="s">
        <v>8584</v>
      </c>
      <c r="C3002" s="574" t="s">
        <v>5555</v>
      </c>
      <c r="D3002" s="582">
        <v>20.83</v>
      </c>
    </row>
    <row r="3003" spans="1:4" x14ac:dyDescent="0.2">
      <c r="A3003" s="574">
        <v>12408</v>
      </c>
      <c r="B3003" s="574" t="s">
        <v>8585</v>
      </c>
      <c r="C3003" s="574" t="s">
        <v>5555</v>
      </c>
      <c r="D3003" s="582">
        <v>11.75</v>
      </c>
    </row>
    <row r="3004" spans="1:4" x14ac:dyDescent="0.2">
      <c r="A3004" s="574">
        <v>12409</v>
      </c>
      <c r="B3004" s="574" t="s">
        <v>8586</v>
      </c>
      <c r="C3004" s="574" t="s">
        <v>5555</v>
      </c>
      <c r="D3004" s="582">
        <v>11.75</v>
      </c>
    </row>
    <row r="3005" spans="1:4" x14ac:dyDescent="0.2">
      <c r="A3005" s="574">
        <v>12410</v>
      </c>
      <c r="B3005" s="574" t="s">
        <v>8587</v>
      </c>
      <c r="C3005" s="574" t="s">
        <v>5555</v>
      </c>
      <c r="D3005" s="582">
        <v>8.1</v>
      </c>
    </row>
    <row r="3006" spans="1:4" x14ac:dyDescent="0.2">
      <c r="A3006" s="574">
        <v>3936</v>
      </c>
      <c r="B3006" s="574" t="s">
        <v>8588</v>
      </c>
      <c r="C3006" s="574" t="s">
        <v>5555</v>
      </c>
      <c r="D3006" s="582">
        <v>14.63</v>
      </c>
    </row>
    <row r="3007" spans="1:4" x14ac:dyDescent="0.2">
      <c r="A3007" s="574">
        <v>3922</v>
      </c>
      <c r="B3007" s="574" t="s">
        <v>8589</v>
      </c>
      <c r="C3007" s="574" t="s">
        <v>5555</v>
      </c>
      <c r="D3007" s="582">
        <v>13.46</v>
      </c>
    </row>
    <row r="3008" spans="1:4" x14ac:dyDescent="0.2">
      <c r="A3008" s="574">
        <v>3924</v>
      </c>
      <c r="B3008" s="574" t="s">
        <v>8590</v>
      </c>
      <c r="C3008" s="574" t="s">
        <v>5555</v>
      </c>
      <c r="D3008" s="582">
        <v>14.63</v>
      </c>
    </row>
    <row r="3009" spans="1:4" x14ac:dyDescent="0.2">
      <c r="A3009" s="574">
        <v>3923</v>
      </c>
      <c r="B3009" s="574" t="s">
        <v>8591</v>
      </c>
      <c r="C3009" s="574" t="s">
        <v>5555</v>
      </c>
      <c r="D3009" s="582">
        <v>14.63</v>
      </c>
    </row>
    <row r="3010" spans="1:4" x14ac:dyDescent="0.2">
      <c r="A3010" s="574">
        <v>3937</v>
      </c>
      <c r="B3010" s="574" t="s">
        <v>8592</v>
      </c>
      <c r="C3010" s="574" t="s">
        <v>5555</v>
      </c>
      <c r="D3010" s="582">
        <v>12.07</v>
      </c>
    </row>
    <row r="3011" spans="1:4" x14ac:dyDescent="0.2">
      <c r="A3011" s="574">
        <v>3921</v>
      </c>
      <c r="B3011" s="574" t="s">
        <v>8593</v>
      </c>
      <c r="C3011" s="574" t="s">
        <v>5555</v>
      </c>
      <c r="D3011" s="582">
        <v>12.08</v>
      </c>
    </row>
    <row r="3012" spans="1:4" x14ac:dyDescent="0.2">
      <c r="A3012" s="574">
        <v>3920</v>
      </c>
      <c r="B3012" s="574" t="s">
        <v>8594</v>
      </c>
      <c r="C3012" s="574" t="s">
        <v>5555</v>
      </c>
      <c r="D3012" s="582">
        <v>12.07</v>
      </c>
    </row>
    <row r="3013" spans="1:4" x14ac:dyDescent="0.2">
      <c r="A3013" s="574">
        <v>3938</v>
      </c>
      <c r="B3013" s="574" t="s">
        <v>8595</v>
      </c>
      <c r="C3013" s="574" t="s">
        <v>5555</v>
      </c>
      <c r="D3013" s="582">
        <v>7.96</v>
      </c>
    </row>
    <row r="3014" spans="1:4" x14ac:dyDescent="0.2">
      <c r="A3014" s="574">
        <v>3919</v>
      </c>
      <c r="B3014" s="574" t="s">
        <v>8596</v>
      </c>
      <c r="C3014" s="574" t="s">
        <v>5555</v>
      </c>
      <c r="D3014" s="582">
        <v>8.11</v>
      </c>
    </row>
    <row r="3015" spans="1:4" x14ac:dyDescent="0.2">
      <c r="A3015" s="574">
        <v>3927</v>
      </c>
      <c r="B3015" s="574" t="s">
        <v>8597</v>
      </c>
      <c r="C3015" s="574" t="s">
        <v>5555</v>
      </c>
      <c r="D3015" s="582">
        <v>41.09</v>
      </c>
    </row>
    <row r="3016" spans="1:4" x14ac:dyDescent="0.2">
      <c r="A3016" s="574">
        <v>3928</v>
      </c>
      <c r="B3016" s="574" t="s">
        <v>8598</v>
      </c>
      <c r="C3016" s="574" t="s">
        <v>5555</v>
      </c>
      <c r="D3016" s="582">
        <v>41.09</v>
      </c>
    </row>
    <row r="3017" spans="1:4" x14ac:dyDescent="0.2">
      <c r="A3017" s="574">
        <v>3926</v>
      </c>
      <c r="B3017" s="574" t="s">
        <v>8599</v>
      </c>
      <c r="C3017" s="574" t="s">
        <v>5555</v>
      </c>
      <c r="D3017" s="582">
        <v>23.43</v>
      </c>
    </row>
    <row r="3018" spans="1:4" x14ac:dyDescent="0.2">
      <c r="A3018" s="574">
        <v>3935</v>
      </c>
      <c r="B3018" s="574" t="s">
        <v>8600</v>
      </c>
      <c r="C3018" s="574" t="s">
        <v>5555</v>
      </c>
      <c r="D3018" s="582">
        <v>23.43</v>
      </c>
    </row>
    <row r="3019" spans="1:4" x14ac:dyDescent="0.2">
      <c r="A3019" s="574">
        <v>3925</v>
      </c>
      <c r="B3019" s="574" t="s">
        <v>8601</v>
      </c>
      <c r="C3019" s="574" t="s">
        <v>5555</v>
      </c>
      <c r="D3019" s="582">
        <v>23.43</v>
      </c>
    </row>
    <row r="3020" spans="1:4" x14ac:dyDescent="0.2">
      <c r="A3020" s="574">
        <v>12406</v>
      </c>
      <c r="B3020" s="574" t="s">
        <v>8602</v>
      </c>
      <c r="C3020" s="574" t="s">
        <v>5555</v>
      </c>
      <c r="D3020" s="582">
        <v>5.75</v>
      </c>
    </row>
    <row r="3021" spans="1:4" x14ac:dyDescent="0.2">
      <c r="A3021" s="574">
        <v>3929</v>
      </c>
      <c r="B3021" s="574" t="s">
        <v>8603</v>
      </c>
      <c r="C3021" s="574" t="s">
        <v>5555</v>
      </c>
      <c r="D3021" s="582">
        <v>62.61</v>
      </c>
    </row>
    <row r="3022" spans="1:4" x14ac:dyDescent="0.2">
      <c r="A3022" s="574">
        <v>3931</v>
      </c>
      <c r="B3022" s="574" t="s">
        <v>8604</v>
      </c>
      <c r="C3022" s="574" t="s">
        <v>5555</v>
      </c>
      <c r="D3022" s="582">
        <v>62.61</v>
      </c>
    </row>
    <row r="3023" spans="1:4" x14ac:dyDescent="0.2">
      <c r="A3023" s="574">
        <v>3930</v>
      </c>
      <c r="B3023" s="574" t="s">
        <v>8605</v>
      </c>
      <c r="C3023" s="574" t="s">
        <v>5555</v>
      </c>
      <c r="D3023" s="582">
        <v>62.61</v>
      </c>
    </row>
    <row r="3024" spans="1:4" x14ac:dyDescent="0.2">
      <c r="A3024" s="574">
        <v>3932</v>
      </c>
      <c r="B3024" s="574" t="s">
        <v>8606</v>
      </c>
      <c r="C3024" s="574" t="s">
        <v>5555</v>
      </c>
      <c r="D3024" s="582">
        <v>108.11</v>
      </c>
    </row>
    <row r="3025" spans="1:4" x14ac:dyDescent="0.2">
      <c r="A3025" s="574">
        <v>3933</v>
      </c>
      <c r="B3025" s="574" t="s">
        <v>8607</v>
      </c>
      <c r="C3025" s="574" t="s">
        <v>5555</v>
      </c>
      <c r="D3025" s="582">
        <v>108.11</v>
      </c>
    </row>
    <row r="3026" spans="1:4" x14ac:dyDescent="0.2">
      <c r="A3026" s="574">
        <v>3934</v>
      </c>
      <c r="B3026" s="574" t="s">
        <v>8608</v>
      </c>
      <c r="C3026" s="574" t="s">
        <v>5555</v>
      </c>
      <c r="D3026" s="582">
        <v>108.11</v>
      </c>
    </row>
    <row r="3027" spans="1:4" x14ac:dyDescent="0.2">
      <c r="A3027" s="574">
        <v>40355</v>
      </c>
      <c r="B3027" s="574" t="s">
        <v>8609</v>
      </c>
      <c r="C3027" s="574" t="s">
        <v>5555</v>
      </c>
      <c r="D3027" s="582">
        <v>7.11</v>
      </c>
    </row>
    <row r="3028" spans="1:4" x14ac:dyDescent="0.2">
      <c r="A3028" s="574">
        <v>40364</v>
      </c>
      <c r="B3028" s="574" t="s">
        <v>8610</v>
      </c>
      <c r="C3028" s="574" t="s">
        <v>5555</v>
      </c>
      <c r="D3028" s="582">
        <v>33.32</v>
      </c>
    </row>
    <row r="3029" spans="1:4" x14ac:dyDescent="0.2">
      <c r="A3029" s="574">
        <v>40361</v>
      </c>
      <c r="B3029" s="574" t="s">
        <v>8611</v>
      </c>
      <c r="C3029" s="574" t="s">
        <v>5555</v>
      </c>
      <c r="D3029" s="582">
        <v>26.05</v>
      </c>
    </row>
    <row r="3030" spans="1:4" x14ac:dyDescent="0.2">
      <c r="A3030" s="574">
        <v>40358</v>
      </c>
      <c r="B3030" s="574" t="s">
        <v>8612</v>
      </c>
      <c r="C3030" s="574" t="s">
        <v>5555</v>
      </c>
      <c r="D3030" s="582">
        <v>9.93</v>
      </c>
    </row>
    <row r="3031" spans="1:4" x14ac:dyDescent="0.2">
      <c r="A3031" s="574">
        <v>40370</v>
      </c>
      <c r="B3031" s="574" t="s">
        <v>8613</v>
      </c>
      <c r="C3031" s="574" t="s">
        <v>5555</v>
      </c>
      <c r="D3031" s="582">
        <v>105.72</v>
      </c>
    </row>
    <row r="3032" spans="1:4" x14ac:dyDescent="0.2">
      <c r="A3032" s="574">
        <v>40367</v>
      </c>
      <c r="B3032" s="574" t="s">
        <v>8614</v>
      </c>
      <c r="C3032" s="574" t="s">
        <v>5555</v>
      </c>
      <c r="D3032" s="582">
        <v>52.54</v>
      </c>
    </row>
    <row r="3033" spans="1:4" x14ac:dyDescent="0.2">
      <c r="A3033" s="574">
        <v>40373</v>
      </c>
      <c r="B3033" s="574" t="s">
        <v>8615</v>
      </c>
      <c r="C3033" s="574" t="s">
        <v>5555</v>
      </c>
      <c r="D3033" s="582">
        <v>142.96</v>
      </c>
    </row>
    <row r="3034" spans="1:4" x14ac:dyDescent="0.2">
      <c r="A3034" s="574">
        <v>38947</v>
      </c>
      <c r="B3034" s="574" t="s">
        <v>8616</v>
      </c>
      <c r="C3034" s="574" t="s">
        <v>5555</v>
      </c>
      <c r="D3034" s="582">
        <v>5.99</v>
      </c>
    </row>
    <row r="3035" spans="1:4" x14ac:dyDescent="0.2">
      <c r="A3035" s="574">
        <v>38948</v>
      </c>
      <c r="B3035" s="574" t="s">
        <v>8617</v>
      </c>
      <c r="C3035" s="574" t="s">
        <v>5555</v>
      </c>
      <c r="D3035" s="582">
        <v>9.56</v>
      </c>
    </row>
    <row r="3036" spans="1:4" x14ac:dyDescent="0.2">
      <c r="A3036" s="574">
        <v>38949</v>
      </c>
      <c r="B3036" s="574" t="s">
        <v>8618</v>
      </c>
      <c r="C3036" s="574" t="s">
        <v>5555</v>
      </c>
      <c r="D3036" s="582">
        <v>10.6</v>
      </c>
    </row>
    <row r="3037" spans="1:4" x14ac:dyDescent="0.2">
      <c r="A3037" s="574">
        <v>38951</v>
      </c>
      <c r="B3037" s="574" t="s">
        <v>8619</v>
      </c>
      <c r="C3037" s="574" t="s">
        <v>5555</v>
      </c>
      <c r="D3037" s="582">
        <v>16.77</v>
      </c>
    </row>
    <row r="3038" spans="1:4" x14ac:dyDescent="0.2">
      <c r="A3038" s="574">
        <v>39312</v>
      </c>
      <c r="B3038" s="574" t="s">
        <v>8620</v>
      </c>
      <c r="C3038" s="574" t="s">
        <v>5555</v>
      </c>
      <c r="D3038" s="582">
        <v>13.01</v>
      </c>
    </row>
    <row r="3039" spans="1:4" x14ac:dyDescent="0.2">
      <c r="A3039" s="574">
        <v>39313</v>
      </c>
      <c r="B3039" s="574" t="s">
        <v>8621</v>
      </c>
      <c r="C3039" s="574" t="s">
        <v>5555</v>
      </c>
      <c r="D3039" s="582">
        <v>16.98</v>
      </c>
    </row>
    <row r="3040" spans="1:4" x14ac:dyDescent="0.2">
      <c r="A3040" s="574">
        <v>38950</v>
      </c>
      <c r="B3040" s="574" t="s">
        <v>8622</v>
      </c>
      <c r="C3040" s="574" t="s">
        <v>5555</v>
      </c>
      <c r="D3040" s="582">
        <v>25.55</v>
      </c>
    </row>
    <row r="3041" spans="1:4" x14ac:dyDescent="0.2">
      <c r="A3041" s="574">
        <v>39314</v>
      </c>
      <c r="B3041" s="574" t="s">
        <v>8623</v>
      </c>
      <c r="C3041" s="574" t="s">
        <v>5555</v>
      </c>
      <c r="D3041" s="582">
        <v>26.96</v>
      </c>
    </row>
    <row r="3042" spans="1:4" x14ac:dyDescent="0.2">
      <c r="A3042" s="574">
        <v>3907</v>
      </c>
      <c r="B3042" s="574" t="s">
        <v>8624</v>
      </c>
      <c r="C3042" s="574" t="s">
        <v>5555</v>
      </c>
      <c r="D3042" s="582">
        <v>3.5</v>
      </c>
    </row>
    <row r="3043" spans="1:4" x14ac:dyDescent="0.2">
      <c r="A3043" s="574">
        <v>3889</v>
      </c>
      <c r="B3043" s="574" t="s">
        <v>8625</v>
      </c>
      <c r="C3043" s="574" t="s">
        <v>5555</v>
      </c>
      <c r="D3043" s="582">
        <v>2.67</v>
      </c>
    </row>
    <row r="3044" spans="1:4" x14ac:dyDescent="0.2">
      <c r="A3044" s="574">
        <v>3868</v>
      </c>
      <c r="B3044" s="574" t="s">
        <v>8626</v>
      </c>
      <c r="C3044" s="574" t="s">
        <v>5555</v>
      </c>
      <c r="D3044" s="582">
        <v>1.04</v>
      </c>
    </row>
    <row r="3045" spans="1:4" x14ac:dyDescent="0.2">
      <c r="A3045" s="574">
        <v>3869</v>
      </c>
      <c r="B3045" s="574" t="s">
        <v>8627</v>
      </c>
      <c r="C3045" s="574" t="s">
        <v>5555</v>
      </c>
      <c r="D3045" s="582">
        <v>2.97</v>
      </c>
    </row>
    <row r="3046" spans="1:4" x14ac:dyDescent="0.2">
      <c r="A3046" s="574">
        <v>3872</v>
      </c>
      <c r="B3046" s="574" t="s">
        <v>8628</v>
      </c>
      <c r="C3046" s="574" t="s">
        <v>5555</v>
      </c>
      <c r="D3046" s="582">
        <v>3.61</v>
      </c>
    </row>
    <row r="3047" spans="1:4" x14ac:dyDescent="0.2">
      <c r="A3047" s="574">
        <v>3850</v>
      </c>
      <c r="B3047" s="574" t="s">
        <v>8629</v>
      </c>
      <c r="C3047" s="574" t="s">
        <v>5555</v>
      </c>
      <c r="D3047" s="582">
        <v>9.3000000000000007</v>
      </c>
    </row>
    <row r="3048" spans="1:4" x14ac:dyDescent="0.2">
      <c r="A3048" s="574">
        <v>38023</v>
      </c>
      <c r="B3048" s="574" t="s">
        <v>8630</v>
      </c>
      <c r="C3048" s="574" t="s">
        <v>5555</v>
      </c>
      <c r="D3048" s="582">
        <v>3.92</v>
      </c>
    </row>
    <row r="3049" spans="1:4" x14ac:dyDescent="0.2">
      <c r="A3049" s="574">
        <v>37986</v>
      </c>
      <c r="B3049" s="574" t="s">
        <v>8631</v>
      </c>
      <c r="C3049" s="574" t="s">
        <v>5555</v>
      </c>
      <c r="D3049" s="582">
        <v>1.49</v>
      </c>
    </row>
    <row r="3050" spans="1:4" x14ac:dyDescent="0.2">
      <c r="A3050" s="574">
        <v>37987</v>
      </c>
      <c r="B3050" s="574" t="s">
        <v>8632</v>
      </c>
      <c r="C3050" s="574" t="s">
        <v>5555</v>
      </c>
      <c r="D3050" s="582">
        <v>111.77</v>
      </c>
    </row>
    <row r="3051" spans="1:4" x14ac:dyDescent="0.2">
      <c r="A3051" s="574">
        <v>37988</v>
      </c>
      <c r="B3051" s="574" t="s">
        <v>8633</v>
      </c>
      <c r="C3051" s="574" t="s">
        <v>5555</v>
      </c>
      <c r="D3051" s="582">
        <v>182.31</v>
      </c>
    </row>
    <row r="3052" spans="1:4" x14ac:dyDescent="0.2">
      <c r="A3052" s="574">
        <v>21120</v>
      </c>
      <c r="B3052" s="574" t="s">
        <v>8634</v>
      </c>
      <c r="C3052" s="574" t="s">
        <v>5555</v>
      </c>
      <c r="D3052" s="582">
        <v>9.08</v>
      </c>
    </row>
    <row r="3053" spans="1:4" x14ac:dyDescent="0.2">
      <c r="A3053" s="574">
        <v>39318</v>
      </c>
      <c r="B3053" s="574" t="s">
        <v>8635</v>
      </c>
      <c r="C3053" s="574" t="s">
        <v>5555</v>
      </c>
      <c r="D3053" s="582">
        <v>7.49</v>
      </c>
    </row>
    <row r="3054" spans="1:4" x14ac:dyDescent="0.2">
      <c r="A3054" s="574">
        <v>20162</v>
      </c>
      <c r="B3054" s="574" t="s">
        <v>8636</v>
      </c>
      <c r="C3054" s="574" t="s">
        <v>5555</v>
      </c>
      <c r="D3054" s="582">
        <v>11.23</v>
      </c>
    </row>
    <row r="3055" spans="1:4" x14ac:dyDescent="0.2">
      <c r="A3055" s="574">
        <v>40366</v>
      </c>
      <c r="B3055" s="574" t="s">
        <v>8637</v>
      </c>
      <c r="C3055" s="574" t="s">
        <v>5555</v>
      </c>
      <c r="D3055" s="582">
        <v>25.99</v>
      </c>
    </row>
    <row r="3056" spans="1:4" x14ac:dyDescent="0.2">
      <c r="A3056" s="574">
        <v>40363</v>
      </c>
      <c r="B3056" s="574" t="s">
        <v>8638</v>
      </c>
      <c r="C3056" s="574" t="s">
        <v>5555</v>
      </c>
      <c r="D3056" s="582">
        <v>20.329999999999998</v>
      </c>
    </row>
    <row r="3057" spans="1:4" x14ac:dyDescent="0.2">
      <c r="A3057" s="574">
        <v>40354</v>
      </c>
      <c r="B3057" s="574" t="s">
        <v>8639</v>
      </c>
      <c r="C3057" s="574" t="s">
        <v>5555</v>
      </c>
      <c r="D3057" s="582">
        <v>8.85</v>
      </c>
    </row>
    <row r="3058" spans="1:4" x14ac:dyDescent="0.2">
      <c r="A3058" s="574">
        <v>40360</v>
      </c>
      <c r="B3058" s="574" t="s">
        <v>8640</v>
      </c>
      <c r="C3058" s="574" t="s">
        <v>5555</v>
      </c>
      <c r="D3058" s="582">
        <v>13.32</v>
      </c>
    </row>
    <row r="3059" spans="1:4" x14ac:dyDescent="0.2">
      <c r="A3059" s="574">
        <v>40372</v>
      </c>
      <c r="B3059" s="574" t="s">
        <v>8641</v>
      </c>
      <c r="C3059" s="574" t="s">
        <v>5555</v>
      </c>
      <c r="D3059" s="582">
        <v>82.29</v>
      </c>
    </row>
    <row r="3060" spans="1:4" x14ac:dyDescent="0.2">
      <c r="A3060" s="574">
        <v>40369</v>
      </c>
      <c r="B3060" s="574" t="s">
        <v>8642</v>
      </c>
      <c r="C3060" s="574" t="s">
        <v>5555</v>
      </c>
      <c r="D3060" s="582">
        <v>40.96</v>
      </c>
    </row>
    <row r="3061" spans="1:4" x14ac:dyDescent="0.2">
      <c r="A3061" s="574">
        <v>40357</v>
      </c>
      <c r="B3061" s="574" t="s">
        <v>8643</v>
      </c>
      <c r="C3061" s="574" t="s">
        <v>5555</v>
      </c>
      <c r="D3061" s="582">
        <v>9.93</v>
      </c>
    </row>
    <row r="3062" spans="1:4" x14ac:dyDescent="0.2">
      <c r="A3062" s="574">
        <v>40375</v>
      </c>
      <c r="B3062" s="574" t="s">
        <v>8644</v>
      </c>
      <c r="C3062" s="574" t="s">
        <v>5555</v>
      </c>
      <c r="D3062" s="582">
        <v>111.41</v>
      </c>
    </row>
    <row r="3063" spans="1:4" x14ac:dyDescent="0.2">
      <c r="A3063" s="574">
        <v>1893</v>
      </c>
      <c r="B3063" s="574" t="s">
        <v>8645</v>
      </c>
      <c r="C3063" s="574" t="s">
        <v>5555</v>
      </c>
      <c r="D3063" s="582">
        <v>2.35</v>
      </c>
    </row>
    <row r="3064" spans="1:4" x14ac:dyDescent="0.2">
      <c r="A3064" s="574">
        <v>1902</v>
      </c>
      <c r="B3064" s="574" t="s">
        <v>8646</v>
      </c>
      <c r="C3064" s="574" t="s">
        <v>5555</v>
      </c>
      <c r="D3064" s="582">
        <v>1.71</v>
      </c>
    </row>
    <row r="3065" spans="1:4" x14ac:dyDescent="0.2">
      <c r="A3065" s="574">
        <v>1901</v>
      </c>
      <c r="B3065" s="574" t="s">
        <v>8647</v>
      </c>
      <c r="C3065" s="574" t="s">
        <v>5555</v>
      </c>
      <c r="D3065" s="582">
        <v>0.53</v>
      </c>
    </row>
    <row r="3066" spans="1:4" x14ac:dyDescent="0.2">
      <c r="A3066" s="574">
        <v>1892</v>
      </c>
      <c r="B3066" s="574" t="s">
        <v>8648</v>
      </c>
      <c r="C3066" s="574" t="s">
        <v>5555</v>
      </c>
      <c r="D3066" s="582">
        <v>1.1000000000000001</v>
      </c>
    </row>
    <row r="3067" spans="1:4" x14ac:dyDescent="0.2">
      <c r="A3067" s="574">
        <v>1907</v>
      </c>
      <c r="B3067" s="574" t="s">
        <v>8649</v>
      </c>
      <c r="C3067" s="574" t="s">
        <v>5555</v>
      </c>
      <c r="D3067" s="582">
        <v>7.58</v>
      </c>
    </row>
    <row r="3068" spans="1:4" x14ac:dyDescent="0.2">
      <c r="A3068" s="574">
        <v>1894</v>
      </c>
      <c r="B3068" s="574" t="s">
        <v>8650</v>
      </c>
      <c r="C3068" s="574" t="s">
        <v>5555</v>
      </c>
      <c r="D3068" s="582">
        <v>3.41</v>
      </c>
    </row>
    <row r="3069" spans="1:4" x14ac:dyDescent="0.2">
      <c r="A3069" s="574">
        <v>1891</v>
      </c>
      <c r="B3069" s="574" t="s">
        <v>8651</v>
      </c>
      <c r="C3069" s="574" t="s">
        <v>5555</v>
      </c>
      <c r="D3069" s="582">
        <v>0.79</v>
      </c>
    </row>
    <row r="3070" spans="1:4" x14ac:dyDescent="0.2">
      <c r="A3070" s="574">
        <v>1896</v>
      </c>
      <c r="B3070" s="574" t="s">
        <v>8652</v>
      </c>
      <c r="C3070" s="574" t="s">
        <v>5555</v>
      </c>
      <c r="D3070" s="582">
        <v>10.18</v>
      </c>
    </row>
    <row r="3071" spans="1:4" x14ac:dyDescent="0.2">
      <c r="A3071" s="574">
        <v>1895</v>
      </c>
      <c r="B3071" s="574" t="s">
        <v>8653</v>
      </c>
      <c r="C3071" s="574" t="s">
        <v>5555</v>
      </c>
      <c r="D3071" s="582">
        <v>17.89</v>
      </c>
    </row>
    <row r="3072" spans="1:4" x14ac:dyDescent="0.2">
      <c r="A3072" s="574">
        <v>2641</v>
      </c>
      <c r="B3072" s="574" t="s">
        <v>8654</v>
      </c>
      <c r="C3072" s="574" t="s">
        <v>5555</v>
      </c>
      <c r="D3072" s="582">
        <v>24.86</v>
      </c>
    </row>
    <row r="3073" spans="1:4" x14ac:dyDescent="0.2">
      <c r="A3073" s="574">
        <v>2636</v>
      </c>
      <c r="B3073" s="574" t="s">
        <v>8655</v>
      </c>
      <c r="C3073" s="574" t="s">
        <v>5555</v>
      </c>
      <c r="D3073" s="582">
        <v>1.6</v>
      </c>
    </row>
    <row r="3074" spans="1:4" x14ac:dyDescent="0.2">
      <c r="A3074" s="574">
        <v>2637</v>
      </c>
      <c r="B3074" s="574" t="s">
        <v>8656</v>
      </c>
      <c r="C3074" s="574" t="s">
        <v>5555</v>
      </c>
      <c r="D3074" s="582">
        <v>1.7</v>
      </c>
    </row>
    <row r="3075" spans="1:4" x14ac:dyDescent="0.2">
      <c r="A3075" s="574">
        <v>2638</v>
      </c>
      <c r="B3075" s="574" t="s">
        <v>8657</v>
      </c>
      <c r="C3075" s="574" t="s">
        <v>5555</v>
      </c>
      <c r="D3075" s="582">
        <v>1.98</v>
      </c>
    </row>
    <row r="3076" spans="1:4" x14ac:dyDescent="0.2">
      <c r="A3076" s="574">
        <v>2639</v>
      </c>
      <c r="B3076" s="574" t="s">
        <v>8658</v>
      </c>
      <c r="C3076" s="574" t="s">
        <v>5555</v>
      </c>
      <c r="D3076" s="582">
        <v>3.51</v>
      </c>
    </row>
    <row r="3077" spans="1:4" x14ac:dyDescent="0.2">
      <c r="A3077" s="574">
        <v>2644</v>
      </c>
      <c r="B3077" s="574" t="s">
        <v>8659</v>
      </c>
      <c r="C3077" s="574" t="s">
        <v>5555</v>
      </c>
      <c r="D3077" s="582">
        <v>5.08</v>
      </c>
    </row>
    <row r="3078" spans="1:4" x14ac:dyDescent="0.2">
      <c r="A3078" s="574">
        <v>2643</v>
      </c>
      <c r="B3078" s="574" t="s">
        <v>8660</v>
      </c>
      <c r="C3078" s="574" t="s">
        <v>5555</v>
      </c>
      <c r="D3078" s="582">
        <v>7.09</v>
      </c>
    </row>
    <row r="3079" spans="1:4" x14ac:dyDescent="0.2">
      <c r="A3079" s="574">
        <v>2640</v>
      </c>
      <c r="B3079" s="574" t="s">
        <v>8661</v>
      </c>
      <c r="C3079" s="574" t="s">
        <v>5555</v>
      </c>
      <c r="D3079" s="582">
        <v>10.34</v>
      </c>
    </row>
    <row r="3080" spans="1:4" x14ac:dyDescent="0.2">
      <c r="A3080" s="574">
        <v>2642</v>
      </c>
      <c r="B3080" s="574" t="s">
        <v>8662</v>
      </c>
      <c r="C3080" s="574" t="s">
        <v>5555</v>
      </c>
      <c r="D3080" s="582">
        <v>15.75</v>
      </c>
    </row>
    <row r="3081" spans="1:4" x14ac:dyDescent="0.2">
      <c r="A3081" s="574">
        <v>38943</v>
      </c>
      <c r="B3081" s="574" t="s">
        <v>8663</v>
      </c>
      <c r="C3081" s="574" t="s">
        <v>5555</v>
      </c>
      <c r="D3081" s="582">
        <v>4.42</v>
      </c>
    </row>
    <row r="3082" spans="1:4" x14ac:dyDescent="0.2">
      <c r="A3082" s="574">
        <v>38944</v>
      </c>
      <c r="B3082" s="574" t="s">
        <v>8664</v>
      </c>
      <c r="C3082" s="574" t="s">
        <v>5555</v>
      </c>
      <c r="D3082" s="582">
        <v>6.83</v>
      </c>
    </row>
    <row r="3083" spans="1:4" x14ac:dyDescent="0.2">
      <c r="A3083" s="574">
        <v>38945</v>
      </c>
      <c r="B3083" s="574" t="s">
        <v>8665</v>
      </c>
      <c r="C3083" s="574" t="s">
        <v>5555</v>
      </c>
      <c r="D3083" s="582">
        <v>13.86</v>
      </c>
    </row>
    <row r="3084" spans="1:4" x14ac:dyDescent="0.2">
      <c r="A3084" s="574">
        <v>38946</v>
      </c>
      <c r="B3084" s="574" t="s">
        <v>8666</v>
      </c>
      <c r="C3084" s="574" t="s">
        <v>5555</v>
      </c>
      <c r="D3084" s="582">
        <v>20.67</v>
      </c>
    </row>
    <row r="3085" spans="1:4" x14ac:dyDescent="0.2">
      <c r="A3085" s="574">
        <v>39308</v>
      </c>
      <c r="B3085" s="574" t="s">
        <v>8667</v>
      </c>
      <c r="C3085" s="574" t="s">
        <v>5555</v>
      </c>
      <c r="D3085" s="582">
        <v>9.01</v>
      </c>
    </row>
    <row r="3086" spans="1:4" x14ac:dyDescent="0.2">
      <c r="A3086" s="574">
        <v>39309</v>
      </c>
      <c r="B3086" s="574" t="s">
        <v>8668</v>
      </c>
      <c r="C3086" s="574" t="s">
        <v>5555</v>
      </c>
      <c r="D3086" s="582">
        <v>13.04</v>
      </c>
    </row>
    <row r="3087" spans="1:4" x14ac:dyDescent="0.2">
      <c r="A3087" s="574">
        <v>39310</v>
      </c>
      <c r="B3087" s="574" t="s">
        <v>8669</v>
      </c>
      <c r="C3087" s="574" t="s">
        <v>5555</v>
      </c>
      <c r="D3087" s="582">
        <v>19.75</v>
      </c>
    </row>
    <row r="3088" spans="1:4" x14ac:dyDescent="0.2">
      <c r="A3088" s="574">
        <v>39311</v>
      </c>
      <c r="B3088" s="574" t="s">
        <v>8670</v>
      </c>
      <c r="C3088" s="574" t="s">
        <v>5555</v>
      </c>
      <c r="D3088" s="582">
        <v>29.69</v>
      </c>
    </row>
    <row r="3089" spans="1:4" x14ac:dyDescent="0.2">
      <c r="A3089" s="574">
        <v>39855</v>
      </c>
      <c r="B3089" s="574" t="s">
        <v>8671</v>
      </c>
      <c r="C3089" s="574" t="s">
        <v>5555</v>
      </c>
      <c r="D3089" s="582">
        <v>1.94</v>
      </c>
    </row>
    <row r="3090" spans="1:4" x14ac:dyDescent="0.2">
      <c r="A3090" s="574">
        <v>39856</v>
      </c>
      <c r="B3090" s="574" t="s">
        <v>8672</v>
      </c>
      <c r="C3090" s="574" t="s">
        <v>5555</v>
      </c>
      <c r="D3090" s="582">
        <v>4.58</v>
      </c>
    </row>
    <row r="3091" spans="1:4" x14ac:dyDescent="0.2">
      <c r="A3091" s="574">
        <v>39857</v>
      </c>
      <c r="B3091" s="574" t="s">
        <v>8673</v>
      </c>
      <c r="C3091" s="574" t="s">
        <v>5555</v>
      </c>
      <c r="D3091" s="582">
        <v>7.42</v>
      </c>
    </row>
    <row r="3092" spans="1:4" x14ac:dyDescent="0.2">
      <c r="A3092" s="574">
        <v>39858</v>
      </c>
      <c r="B3092" s="574" t="s">
        <v>8674</v>
      </c>
      <c r="C3092" s="574" t="s">
        <v>5555</v>
      </c>
      <c r="D3092" s="582">
        <v>16.46</v>
      </c>
    </row>
    <row r="3093" spans="1:4" x14ac:dyDescent="0.2">
      <c r="A3093" s="574">
        <v>39859</v>
      </c>
      <c r="B3093" s="574" t="s">
        <v>8675</v>
      </c>
      <c r="C3093" s="574" t="s">
        <v>5555</v>
      </c>
      <c r="D3093" s="582">
        <v>25.38</v>
      </c>
    </row>
    <row r="3094" spans="1:4" x14ac:dyDescent="0.2">
      <c r="A3094" s="574">
        <v>39860</v>
      </c>
      <c r="B3094" s="574" t="s">
        <v>8676</v>
      </c>
      <c r="C3094" s="574" t="s">
        <v>5555</v>
      </c>
      <c r="D3094" s="582">
        <v>38.950000000000003</v>
      </c>
    </row>
    <row r="3095" spans="1:4" x14ac:dyDescent="0.2">
      <c r="A3095" s="574">
        <v>39861</v>
      </c>
      <c r="B3095" s="574" t="s">
        <v>8677</v>
      </c>
      <c r="C3095" s="574" t="s">
        <v>5555</v>
      </c>
      <c r="D3095" s="582">
        <v>111.21</v>
      </c>
    </row>
    <row r="3096" spans="1:4" x14ac:dyDescent="0.2">
      <c r="A3096" s="574">
        <v>38447</v>
      </c>
      <c r="B3096" s="574" t="s">
        <v>8678</v>
      </c>
      <c r="C3096" s="574" t="s">
        <v>5555</v>
      </c>
      <c r="D3096" s="582">
        <v>72.69</v>
      </c>
    </row>
    <row r="3097" spans="1:4" x14ac:dyDescent="0.2">
      <c r="A3097" s="574">
        <v>36320</v>
      </c>
      <c r="B3097" s="574" t="s">
        <v>8679</v>
      </c>
      <c r="C3097" s="574" t="s">
        <v>5555</v>
      </c>
      <c r="D3097" s="582">
        <v>1.05</v>
      </c>
    </row>
    <row r="3098" spans="1:4" x14ac:dyDescent="0.2">
      <c r="A3098" s="574">
        <v>36324</v>
      </c>
      <c r="B3098" s="574" t="s">
        <v>8680</v>
      </c>
      <c r="C3098" s="574" t="s">
        <v>5555</v>
      </c>
      <c r="D3098" s="582">
        <v>1.59</v>
      </c>
    </row>
    <row r="3099" spans="1:4" x14ac:dyDescent="0.2">
      <c r="A3099" s="574">
        <v>38441</v>
      </c>
      <c r="B3099" s="574" t="s">
        <v>8681</v>
      </c>
      <c r="C3099" s="574" t="s">
        <v>5555</v>
      </c>
      <c r="D3099" s="582">
        <v>2.09</v>
      </c>
    </row>
    <row r="3100" spans="1:4" x14ac:dyDescent="0.2">
      <c r="A3100" s="574">
        <v>38442</v>
      </c>
      <c r="B3100" s="574" t="s">
        <v>8682</v>
      </c>
      <c r="C3100" s="574" t="s">
        <v>5555</v>
      </c>
      <c r="D3100" s="582">
        <v>5.33</v>
      </c>
    </row>
    <row r="3101" spans="1:4" x14ac:dyDescent="0.2">
      <c r="A3101" s="574">
        <v>38443</v>
      </c>
      <c r="B3101" s="574" t="s">
        <v>8683</v>
      </c>
      <c r="C3101" s="574" t="s">
        <v>5555</v>
      </c>
      <c r="D3101" s="582">
        <v>8.0500000000000007</v>
      </c>
    </row>
    <row r="3102" spans="1:4" x14ac:dyDescent="0.2">
      <c r="A3102" s="574">
        <v>38444</v>
      </c>
      <c r="B3102" s="574" t="s">
        <v>8684</v>
      </c>
      <c r="C3102" s="574" t="s">
        <v>5555</v>
      </c>
      <c r="D3102" s="582">
        <v>11.98</v>
      </c>
    </row>
    <row r="3103" spans="1:4" x14ac:dyDescent="0.2">
      <c r="A3103" s="574">
        <v>38445</v>
      </c>
      <c r="B3103" s="574" t="s">
        <v>8685</v>
      </c>
      <c r="C3103" s="574" t="s">
        <v>5555</v>
      </c>
      <c r="D3103" s="582">
        <v>28.15</v>
      </c>
    </row>
    <row r="3104" spans="1:4" x14ac:dyDescent="0.2">
      <c r="A3104" s="574">
        <v>38446</v>
      </c>
      <c r="B3104" s="574" t="s">
        <v>8686</v>
      </c>
      <c r="C3104" s="574" t="s">
        <v>5555</v>
      </c>
      <c r="D3104" s="582">
        <v>45.43</v>
      </c>
    </row>
    <row r="3105" spans="1:4" x14ac:dyDescent="0.2">
      <c r="A3105" s="574">
        <v>3867</v>
      </c>
      <c r="B3105" s="574" t="s">
        <v>8687</v>
      </c>
      <c r="C3105" s="574" t="s">
        <v>5555</v>
      </c>
      <c r="D3105" s="582">
        <v>62.49</v>
      </c>
    </row>
    <row r="3106" spans="1:4" x14ac:dyDescent="0.2">
      <c r="A3106" s="574">
        <v>3861</v>
      </c>
      <c r="B3106" s="574" t="s">
        <v>8688</v>
      </c>
      <c r="C3106" s="574" t="s">
        <v>5555</v>
      </c>
      <c r="D3106" s="582">
        <v>0.52</v>
      </c>
    </row>
    <row r="3107" spans="1:4" x14ac:dyDescent="0.2">
      <c r="A3107" s="574">
        <v>3904</v>
      </c>
      <c r="B3107" s="574" t="s">
        <v>8689</v>
      </c>
      <c r="C3107" s="574" t="s">
        <v>5555</v>
      </c>
      <c r="D3107" s="582">
        <v>0.63</v>
      </c>
    </row>
    <row r="3108" spans="1:4" x14ac:dyDescent="0.2">
      <c r="A3108" s="574">
        <v>3903</v>
      </c>
      <c r="B3108" s="574" t="s">
        <v>8690</v>
      </c>
      <c r="C3108" s="574" t="s">
        <v>5555</v>
      </c>
      <c r="D3108" s="582">
        <v>1.55</v>
      </c>
    </row>
    <row r="3109" spans="1:4" x14ac:dyDescent="0.2">
      <c r="A3109" s="574">
        <v>3862</v>
      </c>
      <c r="B3109" s="574" t="s">
        <v>8691</v>
      </c>
      <c r="C3109" s="574" t="s">
        <v>5555</v>
      </c>
      <c r="D3109" s="582">
        <v>3.16</v>
      </c>
    </row>
    <row r="3110" spans="1:4" x14ac:dyDescent="0.2">
      <c r="A3110" s="574">
        <v>3863</v>
      </c>
      <c r="B3110" s="574" t="s">
        <v>8692</v>
      </c>
      <c r="C3110" s="574" t="s">
        <v>5555</v>
      </c>
      <c r="D3110" s="582">
        <v>3.71</v>
      </c>
    </row>
    <row r="3111" spans="1:4" x14ac:dyDescent="0.2">
      <c r="A3111" s="574">
        <v>3864</v>
      </c>
      <c r="B3111" s="574" t="s">
        <v>8693</v>
      </c>
      <c r="C3111" s="574" t="s">
        <v>5555</v>
      </c>
      <c r="D3111" s="582">
        <v>9.67</v>
      </c>
    </row>
    <row r="3112" spans="1:4" x14ac:dyDescent="0.2">
      <c r="A3112" s="574">
        <v>3865</v>
      </c>
      <c r="B3112" s="574" t="s">
        <v>8694</v>
      </c>
      <c r="C3112" s="574" t="s">
        <v>5555</v>
      </c>
      <c r="D3112" s="582">
        <v>16.829999999999998</v>
      </c>
    </row>
    <row r="3113" spans="1:4" x14ac:dyDescent="0.2">
      <c r="A3113" s="574">
        <v>3866</v>
      </c>
      <c r="B3113" s="574" t="s">
        <v>8695</v>
      </c>
      <c r="C3113" s="574" t="s">
        <v>5555</v>
      </c>
      <c r="D3113" s="582">
        <v>38.520000000000003</v>
      </c>
    </row>
    <row r="3114" spans="1:4" x14ac:dyDescent="0.2">
      <c r="A3114" s="574">
        <v>3902</v>
      </c>
      <c r="B3114" s="574" t="s">
        <v>8696</v>
      </c>
      <c r="C3114" s="574" t="s">
        <v>5555</v>
      </c>
      <c r="D3114" s="582">
        <v>18.73</v>
      </c>
    </row>
    <row r="3115" spans="1:4" x14ac:dyDescent="0.2">
      <c r="A3115" s="574">
        <v>3878</v>
      </c>
      <c r="B3115" s="574" t="s">
        <v>8697</v>
      </c>
      <c r="C3115" s="574" t="s">
        <v>5555</v>
      </c>
      <c r="D3115" s="582">
        <v>5.92</v>
      </c>
    </row>
    <row r="3116" spans="1:4" x14ac:dyDescent="0.2">
      <c r="A3116" s="574">
        <v>3877</v>
      </c>
      <c r="B3116" s="574" t="s">
        <v>8698</v>
      </c>
      <c r="C3116" s="574" t="s">
        <v>5555</v>
      </c>
      <c r="D3116" s="582">
        <v>5.41</v>
      </c>
    </row>
    <row r="3117" spans="1:4" x14ac:dyDescent="0.2">
      <c r="A3117" s="574">
        <v>3879</v>
      </c>
      <c r="B3117" s="574" t="s">
        <v>8699</v>
      </c>
      <c r="C3117" s="574" t="s">
        <v>5555</v>
      </c>
      <c r="D3117" s="582">
        <v>11.94</v>
      </c>
    </row>
    <row r="3118" spans="1:4" x14ac:dyDescent="0.2">
      <c r="A3118" s="574">
        <v>3880</v>
      </c>
      <c r="B3118" s="574" t="s">
        <v>8700</v>
      </c>
      <c r="C3118" s="574" t="s">
        <v>5555</v>
      </c>
      <c r="D3118" s="582">
        <v>26.94</v>
      </c>
    </row>
    <row r="3119" spans="1:4" x14ac:dyDescent="0.2">
      <c r="A3119" s="574">
        <v>12892</v>
      </c>
      <c r="B3119" s="574" t="s">
        <v>8701</v>
      </c>
      <c r="C3119" s="574" t="s">
        <v>6022</v>
      </c>
      <c r="D3119" s="582">
        <v>11.02</v>
      </c>
    </row>
    <row r="3120" spans="1:4" x14ac:dyDescent="0.2">
      <c r="A3120" s="574">
        <v>3883</v>
      </c>
      <c r="B3120" s="574" t="s">
        <v>8702</v>
      </c>
      <c r="C3120" s="574" t="s">
        <v>5555</v>
      </c>
      <c r="D3120" s="582">
        <v>1.24</v>
      </c>
    </row>
    <row r="3121" spans="1:4" x14ac:dyDescent="0.2">
      <c r="A3121" s="574">
        <v>3876</v>
      </c>
      <c r="B3121" s="574" t="s">
        <v>8703</v>
      </c>
      <c r="C3121" s="574" t="s">
        <v>5555</v>
      </c>
      <c r="D3121" s="582">
        <v>3.11</v>
      </c>
    </row>
    <row r="3122" spans="1:4" x14ac:dyDescent="0.2">
      <c r="A3122" s="574">
        <v>3884</v>
      </c>
      <c r="B3122" s="574" t="s">
        <v>8704</v>
      </c>
      <c r="C3122" s="574" t="s">
        <v>5555</v>
      </c>
      <c r="D3122" s="582">
        <v>1.86</v>
      </c>
    </row>
    <row r="3123" spans="1:4" x14ac:dyDescent="0.2">
      <c r="A3123" s="574">
        <v>3837</v>
      </c>
      <c r="B3123" s="574" t="s">
        <v>8705</v>
      </c>
      <c r="C3123" s="574" t="s">
        <v>5555</v>
      </c>
      <c r="D3123" s="582">
        <v>33.25</v>
      </c>
    </row>
    <row r="3124" spans="1:4" x14ac:dyDescent="0.2">
      <c r="A3124" s="574">
        <v>3845</v>
      </c>
      <c r="B3124" s="574" t="s">
        <v>8706</v>
      </c>
      <c r="C3124" s="574" t="s">
        <v>5555</v>
      </c>
      <c r="D3124" s="582">
        <v>12.14</v>
      </c>
    </row>
    <row r="3125" spans="1:4" x14ac:dyDescent="0.2">
      <c r="A3125" s="574">
        <v>11045</v>
      </c>
      <c r="B3125" s="574" t="s">
        <v>8707</v>
      </c>
      <c r="C3125" s="574" t="s">
        <v>5555</v>
      </c>
      <c r="D3125" s="582">
        <v>23.43</v>
      </c>
    </row>
    <row r="3126" spans="1:4" x14ac:dyDescent="0.2">
      <c r="A3126" s="574">
        <v>20170</v>
      </c>
      <c r="B3126" s="574" t="s">
        <v>8708</v>
      </c>
      <c r="C3126" s="574" t="s">
        <v>5555</v>
      </c>
      <c r="D3126" s="582">
        <v>9.1</v>
      </c>
    </row>
    <row r="3127" spans="1:4" x14ac:dyDescent="0.2">
      <c r="A3127" s="574">
        <v>20171</v>
      </c>
      <c r="B3127" s="574" t="s">
        <v>8709</v>
      </c>
      <c r="C3127" s="574" t="s">
        <v>5555</v>
      </c>
      <c r="D3127" s="582">
        <v>27.04</v>
      </c>
    </row>
    <row r="3128" spans="1:4" x14ac:dyDescent="0.2">
      <c r="A3128" s="574">
        <v>20167</v>
      </c>
      <c r="B3128" s="574" t="s">
        <v>8710</v>
      </c>
      <c r="C3128" s="574" t="s">
        <v>5555</v>
      </c>
      <c r="D3128" s="582">
        <v>3.38</v>
      </c>
    </row>
    <row r="3129" spans="1:4" x14ac:dyDescent="0.2">
      <c r="A3129" s="574">
        <v>20168</v>
      </c>
      <c r="B3129" s="574" t="s">
        <v>8711</v>
      </c>
      <c r="C3129" s="574" t="s">
        <v>5555</v>
      </c>
      <c r="D3129" s="582">
        <v>5.3</v>
      </c>
    </row>
    <row r="3130" spans="1:4" x14ac:dyDescent="0.2">
      <c r="A3130" s="574">
        <v>20169</v>
      </c>
      <c r="B3130" s="574" t="s">
        <v>8712</v>
      </c>
      <c r="C3130" s="574" t="s">
        <v>5555</v>
      </c>
      <c r="D3130" s="582">
        <v>7.5</v>
      </c>
    </row>
    <row r="3131" spans="1:4" x14ac:dyDescent="0.2">
      <c r="A3131" s="574">
        <v>3899</v>
      </c>
      <c r="B3131" s="574" t="s">
        <v>8713</v>
      </c>
      <c r="C3131" s="574" t="s">
        <v>5555</v>
      </c>
      <c r="D3131" s="582">
        <v>3.97</v>
      </c>
    </row>
    <row r="3132" spans="1:4" x14ac:dyDescent="0.2">
      <c r="A3132" s="574">
        <v>38676</v>
      </c>
      <c r="B3132" s="574" t="s">
        <v>8714</v>
      </c>
      <c r="C3132" s="574" t="s">
        <v>5555</v>
      </c>
      <c r="D3132" s="582">
        <v>19.23</v>
      </c>
    </row>
    <row r="3133" spans="1:4" x14ac:dyDescent="0.2">
      <c r="A3133" s="574">
        <v>3897</v>
      </c>
      <c r="B3133" s="574" t="s">
        <v>8715</v>
      </c>
      <c r="C3133" s="574" t="s">
        <v>5555</v>
      </c>
      <c r="D3133" s="582">
        <v>0.83</v>
      </c>
    </row>
    <row r="3134" spans="1:4" x14ac:dyDescent="0.2">
      <c r="A3134" s="574">
        <v>3875</v>
      </c>
      <c r="B3134" s="574" t="s">
        <v>8716</v>
      </c>
      <c r="C3134" s="574" t="s">
        <v>5555</v>
      </c>
      <c r="D3134" s="582">
        <v>1.81</v>
      </c>
    </row>
    <row r="3135" spans="1:4" x14ac:dyDescent="0.2">
      <c r="A3135" s="574">
        <v>3898</v>
      </c>
      <c r="B3135" s="574" t="s">
        <v>8717</v>
      </c>
      <c r="C3135" s="574" t="s">
        <v>5555</v>
      </c>
      <c r="D3135" s="582">
        <v>3.42</v>
      </c>
    </row>
    <row r="3136" spans="1:4" x14ac:dyDescent="0.2">
      <c r="A3136" s="574">
        <v>3855</v>
      </c>
      <c r="B3136" s="574" t="s">
        <v>8718</v>
      </c>
      <c r="C3136" s="574" t="s">
        <v>5555</v>
      </c>
      <c r="D3136" s="582">
        <v>4.13</v>
      </c>
    </row>
    <row r="3137" spans="1:4" x14ac:dyDescent="0.2">
      <c r="A3137" s="574">
        <v>3874</v>
      </c>
      <c r="B3137" s="574" t="s">
        <v>8719</v>
      </c>
      <c r="C3137" s="574" t="s">
        <v>5555</v>
      </c>
      <c r="D3137" s="582">
        <v>4.3899999999999997</v>
      </c>
    </row>
    <row r="3138" spans="1:4" x14ac:dyDescent="0.2">
      <c r="A3138" s="574">
        <v>3870</v>
      </c>
      <c r="B3138" s="574" t="s">
        <v>8720</v>
      </c>
      <c r="C3138" s="574" t="s">
        <v>5555</v>
      </c>
      <c r="D3138" s="582">
        <v>5.45</v>
      </c>
    </row>
    <row r="3139" spans="1:4" x14ac:dyDescent="0.2">
      <c r="A3139" s="574">
        <v>38678</v>
      </c>
      <c r="B3139" s="574" t="s">
        <v>8721</v>
      </c>
      <c r="C3139" s="574" t="s">
        <v>5555</v>
      </c>
      <c r="D3139" s="582">
        <v>14.83</v>
      </c>
    </row>
    <row r="3140" spans="1:4" x14ac:dyDescent="0.2">
      <c r="A3140" s="574">
        <v>3859</v>
      </c>
      <c r="B3140" s="574" t="s">
        <v>8722</v>
      </c>
      <c r="C3140" s="574" t="s">
        <v>5555</v>
      </c>
      <c r="D3140" s="582">
        <v>1.1000000000000001</v>
      </c>
    </row>
    <row r="3141" spans="1:4" x14ac:dyDescent="0.2">
      <c r="A3141" s="574">
        <v>3856</v>
      </c>
      <c r="B3141" s="574" t="s">
        <v>8723</v>
      </c>
      <c r="C3141" s="574" t="s">
        <v>5555</v>
      </c>
      <c r="D3141" s="582">
        <v>1.39</v>
      </c>
    </row>
    <row r="3142" spans="1:4" x14ac:dyDescent="0.2">
      <c r="A3142" s="574">
        <v>3906</v>
      </c>
      <c r="B3142" s="574" t="s">
        <v>8724</v>
      </c>
      <c r="C3142" s="574" t="s">
        <v>5555</v>
      </c>
      <c r="D3142" s="582">
        <v>1.31</v>
      </c>
    </row>
    <row r="3143" spans="1:4" x14ac:dyDescent="0.2">
      <c r="A3143" s="574">
        <v>3860</v>
      </c>
      <c r="B3143" s="574" t="s">
        <v>8725</v>
      </c>
      <c r="C3143" s="574" t="s">
        <v>5555</v>
      </c>
      <c r="D3143" s="582">
        <v>4.3099999999999996</v>
      </c>
    </row>
    <row r="3144" spans="1:4" x14ac:dyDescent="0.2">
      <c r="A3144" s="574">
        <v>3905</v>
      </c>
      <c r="B3144" s="574" t="s">
        <v>8726</v>
      </c>
      <c r="C3144" s="574" t="s">
        <v>5555</v>
      </c>
      <c r="D3144" s="582">
        <v>9.5399999999999991</v>
      </c>
    </row>
    <row r="3145" spans="1:4" x14ac:dyDescent="0.2">
      <c r="A3145" s="574">
        <v>3871</v>
      </c>
      <c r="B3145" s="574" t="s">
        <v>8727</v>
      </c>
      <c r="C3145" s="574" t="s">
        <v>5555</v>
      </c>
      <c r="D3145" s="582">
        <v>19.809999999999999</v>
      </c>
    </row>
    <row r="3146" spans="1:4" x14ac:dyDescent="0.2">
      <c r="A3146" s="574">
        <v>37429</v>
      </c>
      <c r="B3146" s="574" t="s">
        <v>8728</v>
      </c>
      <c r="C3146" s="574" t="s">
        <v>5555</v>
      </c>
      <c r="D3146" s="583">
        <v>1968.71</v>
      </c>
    </row>
    <row r="3147" spans="1:4" x14ac:dyDescent="0.2">
      <c r="A3147" s="574">
        <v>37426</v>
      </c>
      <c r="B3147" s="574" t="s">
        <v>8729</v>
      </c>
      <c r="C3147" s="574" t="s">
        <v>5555</v>
      </c>
      <c r="D3147" s="582">
        <v>18.93</v>
      </c>
    </row>
    <row r="3148" spans="1:4" x14ac:dyDescent="0.2">
      <c r="A3148" s="574">
        <v>37427</v>
      </c>
      <c r="B3148" s="574" t="s">
        <v>8730</v>
      </c>
      <c r="C3148" s="574" t="s">
        <v>5555</v>
      </c>
      <c r="D3148" s="582">
        <v>45.17</v>
      </c>
    </row>
    <row r="3149" spans="1:4" x14ac:dyDescent="0.2">
      <c r="A3149" s="574">
        <v>37424</v>
      </c>
      <c r="B3149" s="574" t="s">
        <v>8731</v>
      </c>
      <c r="C3149" s="574" t="s">
        <v>5555</v>
      </c>
      <c r="D3149" s="582">
        <v>8.6999999999999993</v>
      </c>
    </row>
    <row r="3150" spans="1:4" x14ac:dyDescent="0.2">
      <c r="A3150" s="574">
        <v>37428</v>
      </c>
      <c r="B3150" s="574" t="s">
        <v>8732</v>
      </c>
      <c r="C3150" s="574" t="s">
        <v>5555</v>
      </c>
      <c r="D3150" s="582">
        <v>155.68</v>
      </c>
    </row>
    <row r="3151" spans="1:4" x14ac:dyDescent="0.2">
      <c r="A3151" s="574">
        <v>37425</v>
      </c>
      <c r="B3151" s="574" t="s">
        <v>8733</v>
      </c>
      <c r="C3151" s="574" t="s">
        <v>5555</v>
      </c>
      <c r="D3151" s="582">
        <v>9.3800000000000008</v>
      </c>
    </row>
    <row r="3152" spans="1:4" x14ac:dyDescent="0.2">
      <c r="A3152" s="574">
        <v>11519</v>
      </c>
      <c r="B3152" s="574" t="s">
        <v>8734</v>
      </c>
      <c r="C3152" s="574" t="s">
        <v>6022</v>
      </c>
      <c r="D3152" s="582">
        <v>24.81</v>
      </c>
    </row>
    <row r="3153" spans="1:4" x14ac:dyDescent="0.2">
      <c r="A3153" s="574">
        <v>11520</v>
      </c>
      <c r="B3153" s="574" t="s">
        <v>8735</v>
      </c>
      <c r="C3153" s="574" t="s">
        <v>6022</v>
      </c>
      <c r="D3153" s="582">
        <v>9.83</v>
      </c>
    </row>
    <row r="3154" spans="1:4" x14ac:dyDescent="0.2">
      <c r="A3154" s="574">
        <v>11518</v>
      </c>
      <c r="B3154" s="574" t="s">
        <v>8736</v>
      </c>
      <c r="C3154" s="574" t="s">
        <v>6022</v>
      </c>
      <c r="D3154" s="582">
        <v>28.63</v>
      </c>
    </row>
    <row r="3155" spans="1:4" x14ac:dyDescent="0.2">
      <c r="A3155" s="574">
        <v>38473</v>
      </c>
      <c r="B3155" s="574" t="s">
        <v>8737</v>
      </c>
      <c r="C3155" s="574" t="s">
        <v>5555</v>
      </c>
      <c r="D3155" s="582">
        <v>99.06</v>
      </c>
    </row>
    <row r="3156" spans="1:4" x14ac:dyDescent="0.2">
      <c r="A3156" s="574">
        <v>4244</v>
      </c>
      <c r="B3156" s="574" t="s">
        <v>8738</v>
      </c>
      <c r="C3156" s="574" t="s">
        <v>5566</v>
      </c>
      <c r="D3156" s="582">
        <v>15.57</v>
      </c>
    </row>
    <row r="3157" spans="1:4" x14ac:dyDescent="0.2">
      <c r="A3157" s="574">
        <v>40977</v>
      </c>
      <c r="B3157" s="574" t="s">
        <v>8739</v>
      </c>
      <c r="C3157" s="574" t="s">
        <v>5755</v>
      </c>
      <c r="D3157" s="583">
        <v>2723.81</v>
      </c>
    </row>
    <row r="3158" spans="1:4" x14ac:dyDescent="0.2">
      <c r="A3158" s="574">
        <v>2742</v>
      </c>
      <c r="B3158" s="574" t="s">
        <v>8740</v>
      </c>
      <c r="C3158" s="574" t="s">
        <v>5575</v>
      </c>
      <c r="D3158" s="582">
        <v>2.1800000000000002</v>
      </c>
    </row>
    <row r="3159" spans="1:4" x14ac:dyDescent="0.2">
      <c r="A3159" s="574">
        <v>2748</v>
      </c>
      <c r="B3159" s="574" t="s">
        <v>8741</v>
      </c>
      <c r="C3159" s="574" t="s">
        <v>5575</v>
      </c>
      <c r="D3159" s="582">
        <v>6.39</v>
      </c>
    </row>
    <row r="3160" spans="1:4" x14ac:dyDescent="0.2">
      <c r="A3160" s="574">
        <v>2736</v>
      </c>
      <c r="B3160" s="574" t="s">
        <v>8742</v>
      </c>
      <c r="C3160" s="574" t="s">
        <v>5575</v>
      </c>
      <c r="D3160" s="582">
        <v>8.92</v>
      </c>
    </row>
    <row r="3161" spans="1:4" x14ac:dyDescent="0.2">
      <c r="A3161" s="574">
        <v>2745</v>
      </c>
      <c r="B3161" s="574" t="s">
        <v>8743</v>
      </c>
      <c r="C3161" s="574" t="s">
        <v>5575</v>
      </c>
      <c r="D3161" s="582">
        <v>1.8</v>
      </c>
    </row>
    <row r="3162" spans="1:4" x14ac:dyDescent="0.2">
      <c r="A3162" s="574">
        <v>2751</v>
      </c>
      <c r="B3162" s="574" t="s">
        <v>8744</v>
      </c>
      <c r="C3162" s="574" t="s">
        <v>5575</v>
      </c>
      <c r="D3162" s="582">
        <v>2.2999999999999998</v>
      </c>
    </row>
    <row r="3163" spans="1:4" x14ac:dyDescent="0.2">
      <c r="A3163" s="574">
        <v>14439</v>
      </c>
      <c r="B3163" s="574" t="s">
        <v>8745</v>
      </c>
      <c r="C3163" s="574" t="s">
        <v>5575</v>
      </c>
      <c r="D3163" s="582">
        <v>2.04</v>
      </c>
    </row>
    <row r="3164" spans="1:4" x14ac:dyDescent="0.2">
      <c r="A3164" s="574">
        <v>2731</v>
      </c>
      <c r="B3164" s="574" t="s">
        <v>8746</v>
      </c>
      <c r="C3164" s="574" t="s">
        <v>5575</v>
      </c>
      <c r="D3164" s="582">
        <v>56.59</v>
      </c>
    </row>
    <row r="3165" spans="1:4" x14ac:dyDescent="0.2">
      <c r="A3165" s="574">
        <v>21138</v>
      </c>
      <c r="B3165" s="574" t="s">
        <v>8747</v>
      </c>
      <c r="C3165" s="574" t="s">
        <v>5575</v>
      </c>
      <c r="D3165" s="582">
        <v>6.14</v>
      </c>
    </row>
    <row r="3166" spans="1:4" x14ac:dyDescent="0.2">
      <c r="A3166" s="574">
        <v>2747</v>
      </c>
      <c r="B3166" s="574" t="s">
        <v>8748</v>
      </c>
      <c r="C3166" s="574" t="s">
        <v>5575</v>
      </c>
      <c r="D3166" s="582">
        <v>15.17</v>
      </c>
    </row>
    <row r="3167" spans="1:4" x14ac:dyDescent="0.2">
      <c r="A3167" s="574">
        <v>4115</v>
      </c>
      <c r="B3167" s="574" t="s">
        <v>8749</v>
      </c>
      <c r="C3167" s="574" t="s">
        <v>5575</v>
      </c>
      <c r="D3167" s="582">
        <v>11.88</v>
      </c>
    </row>
    <row r="3168" spans="1:4" x14ac:dyDescent="0.2">
      <c r="A3168" s="574">
        <v>2729</v>
      </c>
      <c r="B3168" s="574" t="s">
        <v>8750</v>
      </c>
      <c r="C3168" s="574" t="s">
        <v>5555</v>
      </c>
      <c r="D3168" s="582">
        <v>14.3</v>
      </c>
    </row>
    <row r="3169" spans="1:4" x14ac:dyDescent="0.2">
      <c r="A3169" s="574">
        <v>4119</v>
      </c>
      <c r="B3169" s="574" t="s">
        <v>8751</v>
      </c>
      <c r="C3169" s="574" t="s">
        <v>5575</v>
      </c>
      <c r="D3169" s="582">
        <v>23.9</v>
      </c>
    </row>
    <row r="3170" spans="1:4" x14ac:dyDescent="0.2">
      <c r="A3170" s="574">
        <v>2794</v>
      </c>
      <c r="B3170" s="574" t="s">
        <v>8752</v>
      </c>
      <c r="C3170" s="574" t="s">
        <v>5575</v>
      </c>
      <c r="D3170" s="582">
        <v>59.01</v>
      </c>
    </row>
    <row r="3171" spans="1:4" x14ac:dyDescent="0.2">
      <c r="A3171" s="574">
        <v>2788</v>
      </c>
      <c r="B3171" s="574" t="s">
        <v>8753</v>
      </c>
      <c r="C3171" s="574" t="s">
        <v>5575</v>
      </c>
      <c r="D3171" s="582">
        <v>119.31</v>
      </c>
    </row>
    <row r="3172" spans="1:4" x14ac:dyDescent="0.2">
      <c r="A3172" s="574">
        <v>4006</v>
      </c>
      <c r="B3172" s="574" t="s">
        <v>8754</v>
      </c>
      <c r="C3172" s="574" t="s">
        <v>5751</v>
      </c>
      <c r="D3172" s="582">
        <v>894.91</v>
      </c>
    </row>
    <row r="3173" spans="1:4" x14ac:dyDescent="0.2">
      <c r="A3173" s="574">
        <v>36151</v>
      </c>
      <c r="B3173" s="574" t="s">
        <v>8755</v>
      </c>
      <c r="C3173" s="574" t="s">
        <v>5555</v>
      </c>
      <c r="D3173" s="582">
        <v>24.5</v>
      </c>
    </row>
    <row r="3174" spans="1:4" x14ac:dyDescent="0.2">
      <c r="A3174" s="574">
        <v>37457</v>
      </c>
      <c r="B3174" s="574" t="s">
        <v>8756</v>
      </c>
      <c r="C3174" s="574" t="s">
        <v>5575</v>
      </c>
      <c r="D3174" s="582">
        <v>1.98</v>
      </c>
    </row>
    <row r="3175" spans="1:4" x14ac:dyDescent="0.2">
      <c r="A3175" s="574">
        <v>37456</v>
      </c>
      <c r="B3175" s="574" t="s">
        <v>8757</v>
      </c>
      <c r="C3175" s="574" t="s">
        <v>5575</v>
      </c>
      <c r="D3175" s="582">
        <v>1.04</v>
      </c>
    </row>
    <row r="3176" spans="1:4" x14ac:dyDescent="0.2">
      <c r="A3176" s="574">
        <v>37461</v>
      </c>
      <c r="B3176" s="574" t="s">
        <v>8758</v>
      </c>
      <c r="C3176" s="574" t="s">
        <v>5575</v>
      </c>
      <c r="D3176" s="582">
        <v>7.37</v>
      </c>
    </row>
    <row r="3177" spans="1:4" x14ac:dyDescent="0.2">
      <c r="A3177" s="574">
        <v>37460</v>
      </c>
      <c r="B3177" s="574" t="s">
        <v>8759</v>
      </c>
      <c r="C3177" s="574" t="s">
        <v>5575</v>
      </c>
      <c r="D3177" s="582">
        <v>10.06</v>
      </c>
    </row>
    <row r="3178" spans="1:4" x14ac:dyDescent="0.2">
      <c r="A3178" s="574">
        <v>37458</v>
      </c>
      <c r="B3178" s="574" t="s">
        <v>8760</v>
      </c>
      <c r="C3178" s="574" t="s">
        <v>5575</v>
      </c>
      <c r="D3178" s="582">
        <v>2.95</v>
      </c>
    </row>
    <row r="3179" spans="1:4" x14ac:dyDescent="0.2">
      <c r="A3179" s="574">
        <v>37454</v>
      </c>
      <c r="B3179" s="574" t="s">
        <v>8761</v>
      </c>
      <c r="C3179" s="574" t="s">
        <v>5575</v>
      </c>
      <c r="D3179" s="582">
        <v>0.77</v>
      </c>
    </row>
    <row r="3180" spans="1:4" x14ac:dyDescent="0.2">
      <c r="A3180" s="574">
        <v>37455</v>
      </c>
      <c r="B3180" s="574" t="s">
        <v>8762</v>
      </c>
      <c r="C3180" s="574" t="s">
        <v>5575</v>
      </c>
      <c r="D3180" s="582">
        <v>1.3</v>
      </c>
    </row>
    <row r="3181" spans="1:4" x14ac:dyDescent="0.2">
      <c r="A3181" s="574">
        <v>37459</v>
      </c>
      <c r="B3181" s="574" t="s">
        <v>8763</v>
      </c>
      <c r="C3181" s="574" t="s">
        <v>5575</v>
      </c>
      <c r="D3181" s="582">
        <v>4.1399999999999997</v>
      </c>
    </row>
    <row r="3182" spans="1:4" x14ac:dyDescent="0.2">
      <c r="A3182" s="574">
        <v>21029</v>
      </c>
      <c r="B3182" s="574" t="s">
        <v>8764</v>
      </c>
      <c r="C3182" s="574" t="s">
        <v>5555</v>
      </c>
      <c r="D3182" s="582">
        <v>310.45</v>
      </c>
    </row>
    <row r="3183" spans="1:4" x14ac:dyDescent="0.2">
      <c r="A3183" s="574">
        <v>21030</v>
      </c>
      <c r="B3183" s="574" t="s">
        <v>8765</v>
      </c>
      <c r="C3183" s="574" t="s">
        <v>5555</v>
      </c>
      <c r="D3183" s="582">
        <v>382.68</v>
      </c>
    </row>
    <row r="3184" spans="1:4" x14ac:dyDescent="0.2">
      <c r="A3184" s="574">
        <v>21031</v>
      </c>
      <c r="B3184" s="574" t="s">
        <v>8766</v>
      </c>
      <c r="C3184" s="574" t="s">
        <v>5555</v>
      </c>
      <c r="D3184" s="582">
        <v>476.43</v>
      </c>
    </row>
    <row r="3185" spans="1:4" x14ac:dyDescent="0.2">
      <c r="A3185" s="574">
        <v>21032</v>
      </c>
      <c r="B3185" s="574" t="s">
        <v>8767</v>
      </c>
      <c r="C3185" s="574" t="s">
        <v>5555</v>
      </c>
      <c r="D3185" s="582">
        <v>508.7</v>
      </c>
    </row>
    <row r="3186" spans="1:4" x14ac:dyDescent="0.2">
      <c r="A3186" s="574">
        <v>37527</v>
      </c>
      <c r="B3186" s="574" t="s">
        <v>8768</v>
      </c>
      <c r="C3186" s="574" t="s">
        <v>5555</v>
      </c>
      <c r="D3186" s="582">
        <v>459.52</v>
      </c>
    </row>
    <row r="3187" spans="1:4" x14ac:dyDescent="0.2">
      <c r="A3187" s="574">
        <v>37528</v>
      </c>
      <c r="B3187" s="574" t="s">
        <v>8769</v>
      </c>
      <c r="C3187" s="574" t="s">
        <v>5555</v>
      </c>
      <c r="D3187" s="582">
        <v>547.89</v>
      </c>
    </row>
    <row r="3188" spans="1:4" x14ac:dyDescent="0.2">
      <c r="A3188" s="574">
        <v>37529</v>
      </c>
      <c r="B3188" s="574" t="s">
        <v>8770</v>
      </c>
      <c r="C3188" s="574" t="s">
        <v>5555</v>
      </c>
      <c r="D3188" s="582">
        <v>553.27</v>
      </c>
    </row>
    <row r="3189" spans="1:4" x14ac:dyDescent="0.2">
      <c r="A3189" s="574">
        <v>37530</v>
      </c>
      <c r="B3189" s="574" t="s">
        <v>8771</v>
      </c>
      <c r="C3189" s="574" t="s">
        <v>5555</v>
      </c>
      <c r="D3189" s="582">
        <v>722.33</v>
      </c>
    </row>
    <row r="3190" spans="1:4" x14ac:dyDescent="0.2">
      <c r="A3190" s="574">
        <v>21034</v>
      </c>
      <c r="B3190" s="574" t="s">
        <v>8772</v>
      </c>
      <c r="C3190" s="574" t="s">
        <v>5555</v>
      </c>
      <c r="D3190" s="582">
        <v>616.28</v>
      </c>
    </row>
    <row r="3191" spans="1:4" x14ac:dyDescent="0.2">
      <c r="A3191" s="574">
        <v>37531</v>
      </c>
      <c r="B3191" s="574" t="s">
        <v>8773</v>
      </c>
      <c r="C3191" s="574" t="s">
        <v>5555</v>
      </c>
      <c r="D3191" s="582">
        <v>776.12</v>
      </c>
    </row>
    <row r="3192" spans="1:4" x14ac:dyDescent="0.2">
      <c r="A3192" s="574">
        <v>21036</v>
      </c>
      <c r="B3192" s="574" t="s">
        <v>8774</v>
      </c>
      <c r="C3192" s="574" t="s">
        <v>5555</v>
      </c>
      <c r="D3192" s="582">
        <v>943.64</v>
      </c>
    </row>
    <row r="3193" spans="1:4" x14ac:dyDescent="0.2">
      <c r="A3193" s="574">
        <v>21037</v>
      </c>
      <c r="B3193" s="574" t="s">
        <v>8775</v>
      </c>
      <c r="C3193" s="574" t="s">
        <v>5555</v>
      </c>
      <c r="D3193" s="583">
        <v>1075.81</v>
      </c>
    </row>
    <row r="3194" spans="1:4" x14ac:dyDescent="0.2">
      <c r="A3194" s="574">
        <v>20185</v>
      </c>
      <c r="B3194" s="574" t="s">
        <v>8776</v>
      </c>
      <c r="C3194" s="574" t="s">
        <v>5575</v>
      </c>
      <c r="D3194" s="582">
        <v>11.98</v>
      </c>
    </row>
    <row r="3195" spans="1:4" x14ac:dyDescent="0.2">
      <c r="A3195" s="574">
        <v>20260</v>
      </c>
      <c r="B3195" s="574" t="s">
        <v>8777</v>
      </c>
      <c r="C3195" s="574" t="s">
        <v>5555</v>
      </c>
      <c r="D3195" s="582">
        <v>9.6300000000000008</v>
      </c>
    </row>
    <row r="3196" spans="1:4" x14ac:dyDescent="0.2">
      <c r="A3196" s="574">
        <v>37523</v>
      </c>
      <c r="B3196" s="574" t="s">
        <v>8778</v>
      </c>
      <c r="C3196" s="574" t="s">
        <v>5555</v>
      </c>
      <c r="D3196" s="583">
        <v>418767.64</v>
      </c>
    </row>
    <row r="3197" spans="1:4" x14ac:dyDescent="0.2">
      <c r="A3197" s="574">
        <v>37515</v>
      </c>
      <c r="B3197" s="574" t="s">
        <v>8779</v>
      </c>
      <c r="C3197" s="574" t="s">
        <v>5555</v>
      </c>
      <c r="D3197" s="583">
        <v>372305.85</v>
      </c>
    </row>
    <row r="3198" spans="1:4" x14ac:dyDescent="0.2">
      <c r="A3198" s="574">
        <v>12899</v>
      </c>
      <c r="B3198" s="574" t="s">
        <v>8780</v>
      </c>
      <c r="C3198" s="574" t="s">
        <v>5555</v>
      </c>
      <c r="D3198" s="582">
        <v>83.64</v>
      </c>
    </row>
    <row r="3199" spans="1:4" x14ac:dyDescent="0.2">
      <c r="A3199" s="574">
        <v>12898</v>
      </c>
      <c r="B3199" s="574" t="s">
        <v>8781</v>
      </c>
      <c r="C3199" s="574" t="s">
        <v>5555</v>
      </c>
      <c r="D3199" s="582">
        <v>132.68</v>
      </c>
    </row>
    <row r="3200" spans="1:4" x14ac:dyDescent="0.2">
      <c r="A3200" s="574">
        <v>42528</v>
      </c>
      <c r="B3200" s="574" t="s">
        <v>8782</v>
      </c>
      <c r="C3200" s="574" t="s">
        <v>5564</v>
      </c>
      <c r="D3200" s="582">
        <v>7.62</v>
      </c>
    </row>
    <row r="3201" spans="1:4" x14ac:dyDescent="0.2">
      <c r="A3201" s="574">
        <v>39696</v>
      </c>
      <c r="B3201" s="574" t="s">
        <v>8783</v>
      </c>
      <c r="C3201" s="574" t="s">
        <v>5564</v>
      </c>
      <c r="D3201" s="582">
        <v>5.36</v>
      </c>
    </row>
    <row r="3202" spans="1:4" x14ac:dyDescent="0.2">
      <c r="A3202" s="574">
        <v>39700</v>
      </c>
      <c r="B3202" s="574" t="s">
        <v>8784</v>
      </c>
      <c r="C3202" s="574" t="s">
        <v>5564</v>
      </c>
      <c r="D3202" s="582">
        <v>16.59</v>
      </c>
    </row>
    <row r="3203" spans="1:4" x14ac:dyDescent="0.2">
      <c r="A3203" s="574">
        <v>11621</v>
      </c>
      <c r="B3203" s="574" t="s">
        <v>8785</v>
      </c>
      <c r="C3203" s="574" t="s">
        <v>5564</v>
      </c>
      <c r="D3203" s="582">
        <v>33.020000000000003</v>
      </c>
    </row>
    <row r="3204" spans="1:4" x14ac:dyDescent="0.2">
      <c r="A3204" s="574">
        <v>4014</v>
      </c>
      <c r="B3204" s="574" t="s">
        <v>8786</v>
      </c>
      <c r="C3204" s="574" t="s">
        <v>5564</v>
      </c>
      <c r="D3204" s="582">
        <v>34.159999999999997</v>
      </c>
    </row>
    <row r="3205" spans="1:4" x14ac:dyDescent="0.2">
      <c r="A3205" s="574">
        <v>4015</v>
      </c>
      <c r="B3205" s="574" t="s">
        <v>8787</v>
      </c>
      <c r="C3205" s="574" t="s">
        <v>5564</v>
      </c>
      <c r="D3205" s="582">
        <v>41.95</v>
      </c>
    </row>
    <row r="3206" spans="1:4" x14ac:dyDescent="0.2">
      <c r="A3206" s="574">
        <v>4017</v>
      </c>
      <c r="B3206" s="574" t="s">
        <v>8788</v>
      </c>
      <c r="C3206" s="574" t="s">
        <v>5564</v>
      </c>
      <c r="D3206" s="582">
        <v>61.04</v>
      </c>
    </row>
    <row r="3207" spans="1:4" x14ac:dyDescent="0.2">
      <c r="A3207" s="574">
        <v>4016</v>
      </c>
      <c r="B3207" s="574" t="s">
        <v>8789</v>
      </c>
      <c r="C3207" s="574" t="s">
        <v>5564</v>
      </c>
      <c r="D3207" s="582">
        <v>24.11</v>
      </c>
    </row>
    <row r="3208" spans="1:4" x14ac:dyDescent="0.2">
      <c r="A3208" s="574">
        <v>39699</v>
      </c>
      <c r="B3208" s="574" t="s">
        <v>8790</v>
      </c>
      <c r="C3208" s="574" t="s">
        <v>5564</v>
      </c>
      <c r="D3208" s="582">
        <v>11.78</v>
      </c>
    </row>
    <row r="3209" spans="1:4" x14ac:dyDescent="0.2">
      <c r="A3209" s="574">
        <v>38544</v>
      </c>
      <c r="B3209" s="574" t="s">
        <v>8791</v>
      </c>
      <c r="C3209" s="574" t="s">
        <v>5564</v>
      </c>
      <c r="D3209" s="582">
        <v>6.18</v>
      </c>
    </row>
    <row r="3210" spans="1:4" x14ac:dyDescent="0.2">
      <c r="A3210" s="574">
        <v>38545</v>
      </c>
      <c r="B3210" s="574" t="s">
        <v>8792</v>
      </c>
      <c r="C3210" s="574" t="s">
        <v>5564</v>
      </c>
      <c r="D3210" s="582">
        <v>3.97</v>
      </c>
    </row>
    <row r="3211" spans="1:4" x14ac:dyDescent="0.2">
      <c r="A3211" s="574">
        <v>42527</v>
      </c>
      <c r="B3211" s="574" t="s">
        <v>8793</v>
      </c>
      <c r="C3211" s="574" t="s">
        <v>5564</v>
      </c>
      <c r="D3211" s="582">
        <v>20.14</v>
      </c>
    </row>
    <row r="3212" spans="1:4" x14ac:dyDescent="0.2">
      <c r="A3212" s="574">
        <v>39323</v>
      </c>
      <c r="B3212" s="574" t="s">
        <v>8794</v>
      </c>
      <c r="C3212" s="574" t="s">
        <v>5564</v>
      </c>
      <c r="D3212" s="582">
        <v>15.16</v>
      </c>
    </row>
    <row r="3213" spans="1:4" x14ac:dyDescent="0.2">
      <c r="A3213" s="574">
        <v>626</v>
      </c>
      <c r="B3213" s="574" t="s">
        <v>8795</v>
      </c>
      <c r="C3213" s="574" t="s">
        <v>5626</v>
      </c>
      <c r="D3213" s="582">
        <v>11.11</v>
      </c>
    </row>
    <row r="3214" spans="1:4" x14ac:dyDescent="0.2">
      <c r="A3214" s="574">
        <v>25860</v>
      </c>
      <c r="B3214" s="574" t="s">
        <v>8796</v>
      </c>
      <c r="C3214" s="574" t="s">
        <v>5564</v>
      </c>
      <c r="D3214" s="582">
        <v>9.93</v>
      </c>
    </row>
    <row r="3215" spans="1:4" x14ac:dyDescent="0.2">
      <c r="A3215" s="574">
        <v>25861</v>
      </c>
      <c r="B3215" s="574" t="s">
        <v>8797</v>
      </c>
      <c r="C3215" s="574" t="s">
        <v>5564</v>
      </c>
      <c r="D3215" s="582">
        <v>14.99</v>
      </c>
    </row>
    <row r="3216" spans="1:4" x14ac:dyDescent="0.2">
      <c r="A3216" s="574">
        <v>25862</v>
      </c>
      <c r="B3216" s="574" t="s">
        <v>8798</v>
      </c>
      <c r="C3216" s="574" t="s">
        <v>5564</v>
      </c>
      <c r="D3216" s="582">
        <v>15.91</v>
      </c>
    </row>
    <row r="3217" spans="1:4" x14ac:dyDescent="0.2">
      <c r="A3217" s="574">
        <v>25863</v>
      </c>
      <c r="B3217" s="574" t="s">
        <v>8799</v>
      </c>
      <c r="C3217" s="574" t="s">
        <v>5564</v>
      </c>
      <c r="D3217" s="582">
        <v>19.89</v>
      </c>
    </row>
    <row r="3218" spans="1:4" x14ac:dyDescent="0.2">
      <c r="A3218" s="574">
        <v>25864</v>
      </c>
      <c r="B3218" s="574" t="s">
        <v>8800</v>
      </c>
      <c r="C3218" s="574" t="s">
        <v>5564</v>
      </c>
      <c r="D3218" s="582">
        <v>29.83</v>
      </c>
    </row>
    <row r="3219" spans="1:4" x14ac:dyDescent="0.2">
      <c r="A3219" s="574">
        <v>25865</v>
      </c>
      <c r="B3219" s="574" t="s">
        <v>8801</v>
      </c>
      <c r="C3219" s="574" t="s">
        <v>5564</v>
      </c>
      <c r="D3219" s="582">
        <v>39.96</v>
      </c>
    </row>
    <row r="3220" spans="1:4" x14ac:dyDescent="0.2">
      <c r="A3220" s="574">
        <v>25866</v>
      </c>
      <c r="B3220" s="574" t="s">
        <v>8802</v>
      </c>
      <c r="C3220" s="574" t="s">
        <v>5564</v>
      </c>
      <c r="D3220" s="582">
        <v>49.62</v>
      </c>
    </row>
    <row r="3221" spans="1:4" x14ac:dyDescent="0.2">
      <c r="A3221" s="574">
        <v>25868</v>
      </c>
      <c r="B3221" s="574" t="s">
        <v>8803</v>
      </c>
      <c r="C3221" s="574" t="s">
        <v>5564</v>
      </c>
      <c r="D3221" s="582">
        <v>11.07</v>
      </c>
    </row>
    <row r="3222" spans="1:4" x14ac:dyDescent="0.2">
      <c r="A3222" s="574">
        <v>25869</v>
      </c>
      <c r="B3222" s="574" t="s">
        <v>8804</v>
      </c>
      <c r="C3222" s="574" t="s">
        <v>5564</v>
      </c>
      <c r="D3222" s="582">
        <v>15.63</v>
      </c>
    </row>
    <row r="3223" spans="1:4" x14ac:dyDescent="0.2">
      <c r="A3223" s="574">
        <v>25870</v>
      </c>
      <c r="B3223" s="574" t="s">
        <v>8805</v>
      </c>
      <c r="C3223" s="574" t="s">
        <v>5564</v>
      </c>
      <c r="D3223" s="582">
        <v>17.72</v>
      </c>
    </row>
    <row r="3224" spans="1:4" x14ac:dyDescent="0.2">
      <c r="A3224" s="574">
        <v>25871</v>
      </c>
      <c r="B3224" s="574" t="s">
        <v>8806</v>
      </c>
      <c r="C3224" s="574" t="s">
        <v>5564</v>
      </c>
      <c r="D3224" s="582">
        <v>21.76</v>
      </c>
    </row>
    <row r="3225" spans="1:4" x14ac:dyDescent="0.2">
      <c r="A3225" s="574">
        <v>25867</v>
      </c>
      <c r="B3225" s="574" t="s">
        <v>8807</v>
      </c>
      <c r="C3225" s="574" t="s">
        <v>5564</v>
      </c>
      <c r="D3225" s="582">
        <v>32.21</v>
      </c>
    </row>
    <row r="3226" spans="1:4" x14ac:dyDescent="0.2">
      <c r="A3226" s="574">
        <v>25872</v>
      </c>
      <c r="B3226" s="574" t="s">
        <v>8808</v>
      </c>
      <c r="C3226" s="574" t="s">
        <v>5564</v>
      </c>
      <c r="D3226" s="582">
        <v>43.53</v>
      </c>
    </row>
    <row r="3227" spans="1:4" x14ac:dyDescent="0.2">
      <c r="A3227" s="574">
        <v>25873</v>
      </c>
      <c r="B3227" s="574" t="s">
        <v>8809</v>
      </c>
      <c r="C3227" s="574" t="s">
        <v>5564</v>
      </c>
      <c r="D3227" s="582">
        <v>54.29</v>
      </c>
    </row>
    <row r="3228" spans="1:4" x14ac:dyDescent="0.2">
      <c r="A3228" s="574">
        <v>40637</v>
      </c>
      <c r="B3228" s="574" t="s">
        <v>8810</v>
      </c>
      <c r="C3228" s="574" t="s">
        <v>5555</v>
      </c>
      <c r="D3228" s="583">
        <v>505925.24</v>
      </c>
    </row>
    <row r="3229" spans="1:4" x14ac:dyDescent="0.2">
      <c r="A3229" s="574">
        <v>13836</v>
      </c>
      <c r="B3229" s="574" t="s">
        <v>8811</v>
      </c>
      <c r="C3229" s="574" t="s">
        <v>5555</v>
      </c>
      <c r="D3229" s="583">
        <v>58736.45</v>
      </c>
    </row>
    <row r="3230" spans="1:4" x14ac:dyDescent="0.2">
      <c r="A3230" s="574">
        <v>14534</v>
      </c>
      <c r="B3230" s="574" t="s">
        <v>8812</v>
      </c>
      <c r="C3230" s="574" t="s">
        <v>5555</v>
      </c>
      <c r="D3230" s="583">
        <v>24588.63</v>
      </c>
    </row>
    <row r="3231" spans="1:4" x14ac:dyDescent="0.2">
      <c r="A3231" s="574">
        <v>14619</v>
      </c>
      <c r="B3231" s="574" t="s">
        <v>8813</v>
      </c>
      <c r="C3231" s="574" t="s">
        <v>5555</v>
      </c>
      <c r="D3231" s="583">
        <v>11542.05</v>
      </c>
    </row>
    <row r="3232" spans="1:4" x14ac:dyDescent="0.2">
      <c r="A3232" s="574">
        <v>14535</v>
      </c>
      <c r="B3232" s="574" t="s">
        <v>8814</v>
      </c>
      <c r="C3232" s="574" t="s">
        <v>5555</v>
      </c>
      <c r="D3232" s="583">
        <v>244044.55</v>
      </c>
    </row>
    <row r="3233" spans="1:4" x14ac:dyDescent="0.2">
      <c r="A3233" s="574">
        <v>39813</v>
      </c>
      <c r="B3233" s="574" t="s">
        <v>8815</v>
      </c>
      <c r="C3233" s="574" t="s">
        <v>5555</v>
      </c>
      <c r="D3233" s="583">
        <v>20467.599999999999</v>
      </c>
    </row>
    <row r="3234" spans="1:4" x14ac:dyDescent="0.2">
      <c r="A3234" s="574">
        <v>40403</v>
      </c>
      <c r="B3234" s="574" t="s">
        <v>8816</v>
      </c>
      <c r="C3234" s="574" t="s">
        <v>5555</v>
      </c>
      <c r="D3234" s="582">
        <v>611.52</v>
      </c>
    </row>
    <row r="3235" spans="1:4" x14ac:dyDescent="0.2">
      <c r="A3235" s="574">
        <v>12868</v>
      </c>
      <c r="B3235" s="574" t="s">
        <v>8817</v>
      </c>
      <c r="C3235" s="574" t="s">
        <v>5566</v>
      </c>
      <c r="D3235" s="582">
        <v>15.38</v>
      </c>
    </row>
    <row r="3236" spans="1:4" x14ac:dyDescent="0.2">
      <c r="A3236" s="574">
        <v>40916</v>
      </c>
      <c r="B3236" s="574" t="s">
        <v>8818</v>
      </c>
      <c r="C3236" s="574" t="s">
        <v>5755</v>
      </c>
      <c r="D3236" s="583">
        <v>2690.9</v>
      </c>
    </row>
    <row r="3237" spans="1:4" x14ac:dyDescent="0.2">
      <c r="A3237" s="574">
        <v>4755</v>
      </c>
      <c r="B3237" s="574" t="s">
        <v>8819</v>
      </c>
      <c r="C3237" s="574" t="s">
        <v>5566</v>
      </c>
      <c r="D3237" s="582">
        <v>17.399999999999999</v>
      </c>
    </row>
    <row r="3238" spans="1:4" x14ac:dyDescent="0.2">
      <c r="A3238" s="574">
        <v>41067</v>
      </c>
      <c r="B3238" s="574" t="s">
        <v>8820</v>
      </c>
      <c r="C3238" s="574" t="s">
        <v>5755</v>
      </c>
      <c r="D3238" s="583">
        <v>3044.19</v>
      </c>
    </row>
    <row r="3239" spans="1:4" x14ac:dyDescent="0.2">
      <c r="A3239" s="574">
        <v>38463</v>
      </c>
      <c r="B3239" s="574" t="s">
        <v>8821</v>
      </c>
      <c r="C3239" s="574" t="s">
        <v>5555</v>
      </c>
      <c r="D3239" s="582">
        <v>24.06</v>
      </c>
    </row>
    <row r="3240" spans="1:4" x14ac:dyDescent="0.2">
      <c r="A3240" s="574">
        <v>40703</v>
      </c>
      <c r="B3240" s="574" t="s">
        <v>8822</v>
      </c>
      <c r="C3240" s="574" t="s">
        <v>5555</v>
      </c>
      <c r="D3240" s="583">
        <v>7599.78</v>
      </c>
    </row>
    <row r="3241" spans="1:4" x14ac:dyDescent="0.2">
      <c r="A3241" s="574">
        <v>14531</v>
      </c>
      <c r="B3241" s="574" t="s">
        <v>8823</v>
      </c>
      <c r="C3241" s="574" t="s">
        <v>5555</v>
      </c>
      <c r="D3241" s="583">
        <v>14168.85</v>
      </c>
    </row>
    <row r="3242" spans="1:4" x14ac:dyDescent="0.2">
      <c r="A3242" s="574">
        <v>36533</v>
      </c>
      <c r="B3242" s="574" t="s">
        <v>8824</v>
      </c>
      <c r="C3242" s="574" t="s">
        <v>5555</v>
      </c>
      <c r="D3242" s="583">
        <v>16304.73</v>
      </c>
    </row>
    <row r="3243" spans="1:4" x14ac:dyDescent="0.2">
      <c r="A3243" s="574">
        <v>11616</v>
      </c>
      <c r="B3243" s="574" t="s">
        <v>8825</v>
      </c>
      <c r="C3243" s="574" t="s">
        <v>5555</v>
      </c>
      <c r="D3243" s="583">
        <v>15399.57</v>
      </c>
    </row>
    <row r="3244" spans="1:4" x14ac:dyDescent="0.2">
      <c r="A3244" s="574">
        <v>41898</v>
      </c>
      <c r="B3244" s="574" t="s">
        <v>8826</v>
      </c>
      <c r="C3244" s="574" t="s">
        <v>5555</v>
      </c>
      <c r="D3244" s="583">
        <v>17326.61</v>
      </c>
    </row>
    <row r="3245" spans="1:4" x14ac:dyDescent="0.2">
      <c r="A3245" s="574">
        <v>13447</v>
      </c>
      <c r="B3245" s="574" t="s">
        <v>8827</v>
      </c>
      <c r="C3245" s="574" t="s">
        <v>5555</v>
      </c>
      <c r="D3245" s="583">
        <v>31882.16</v>
      </c>
    </row>
    <row r="3246" spans="1:4" x14ac:dyDescent="0.2">
      <c r="A3246" s="574">
        <v>14529</v>
      </c>
      <c r="B3246" s="574" t="s">
        <v>8828</v>
      </c>
      <c r="C3246" s="574" t="s">
        <v>5555</v>
      </c>
      <c r="D3246" s="583">
        <v>17830.88</v>
      </c>
    </row>
    <row r="3247" spans="1:4" x14ac:dyDescent="0.2">
      <c r="A3247" s="574">
        <v>10747</v>
      </c>
      <c r="B3247" s="574" t="s">
        <v>8829</v>
      </c>
      <c r="C3247" s="574" t="s">
        <v>5555</v>
      </c>
      <c r="D3247" s="583">
        <v>17494.82</v>
      </c>
    </row>
    <row r="3248" spans="1:4" x14ac:dyDescent="0.2">
      <c r="A3248" s="574">
        <v>36141</v>
      </c>
      <c r="B3248" s="574" t="s">
        <v>8830</v>
      </c>
      <c r="C3248" s="574" t="s">
        <v>5555</v>
      </c>
      <c r="D3248" s="582">
        <v>33.07</v>
      </c>
    </row>
    <row r="3249" spans="1:4" x14ac:dyDescent="0.2">
      <c r="A3249" s="574">
        <v>39434</v>
      </c>
      <c r="B3249" s="574" t="s">
        <v>8835</v>
      </c>
      <c r="C3249" s="574" t="s">
        <v>5626</v>
      </c>
      <c r="D3249" s="582">
        <v>3.97</v>
      </c>
    </row>
    <row r="3250" spans="1:4" x14ac:dyDescent="0.2">
      <c r="A3250" s="574">
        <v>39433</v>
      </c>
      <c r="B3250" s="574" t="s">
        <v>8836</v>
      </c>
      <c r="C3250" s="574" t="s">
        <v>5626</v>
      </c>
      <c r="D3250" s="582">
        <v>2.85</v>
      </c>
    </row>
    <row r="3251" spans="1:4" x14ac:dyDescent="0.2">
      <c r="A3251" s="574">
        <v>4049</v>
      </c>
      <c r="B3251" s="574" t="s">
        <v>8837</v>
      </c>
      <c r="C3251" s="574" t="s">
        <v>5628</v>
      </c>
      <c r="D3251" s="582">
        <v>43.98</v>
      </c>
    </row>
    <row r="3252" spans="1:4" x14ac:dyDescent="0.2">
      <c r="A3252" s="574">
        <v>38120</v>
      </c>
      <c r="B3252" s="574" t="s">
        <v>8838</v>
      </c>
      <c r="C3252" s="574" t="s">
        <v>5626</v>
      </c>
      <c r="D3252" s="582">
        <v>79.06</v>
      </c>
    </row>
    <row r="3253" spans="1:4" x14ac:dyDescent="0.2">
      <c r="A3253" s="574">
        <v>38877</v>
      </c>
      <c r="B3253" s="574" t="s">
        <v>8839</v>
      </c>
      <c r="C3253" s="574" t="s">
        <v>5626</v>
      </c>
      <c r="D3253" s="582">
        <v>7.37</v>
      </c>
    </row>
    <row r="3254" spans="1:4" x14ac:dyDescent="0.2">
      <c r="A3254" s="574">
        <v>34546</v>
      </c>
      <c r="B3254" s="574" t="s">
        <v>8840</v>
      </c>
      <c r="C3254" s="574" t="s">
        <v>5626</v>
      </c>
      <c r="D3254" s="582">
        <v>7.43</v>
      </c>
    </row>
    <row r="3255" spans="1:4" x14ac:dyDescent="0.2">
      <c r="A3255" s="574">
        <v>10498</v>
      </c>
      <c r="B3255" s="574" t="s">
        <v>8841</v>
      </c>
      <c r="C3255" s="574" t="s">
        <v>5626</v>
      </c>
      <c r="D3255" s="582">
        <v>10.59</v>
      </c>
    </row>
    <row r="3256" spans="1:4" x14ac:dyDescent="0.2">
      <c r="A3256" s="574">
        <v>4823</v>
      </c>
      <c r="B3256" s="574" t="s">
        <v>8842</v>
      </c>
      <c r="C3256" s="574" t="s">
        <v>5626</v>
      </c>
      <c r="D3256" s="582">
        <v>35.950000000000003</v>
      </c>
    </row>
    <row r="3257" spans="1:4" x14ac:dyDescent="0.2">
      <c r="A3257" s="574">
        <v>12357</v>
      </c>
      <c r="B3257" s="574" t="s">
        <v>8843</v>
      </c>
      <c r="C3257" s="574" t="s">
        <v>5555</v>
      </c>
      <c r="D3257" s="582">
        <v>173.14</v>
      </c>
    </row>
    <row r="3258" spans="1:4" x14ac:dyDescent="0.2">
      <c r="A3258" s="574">
        <v>12358</v>
      </c>
      <c r="B3258" s="574" t="s">
        <v>8844</v>
      </c>
      <c r="C3258" s="574" t="s">
        <v>5555</v>
      </c>
      <c r="D3258" s="582">
        <v>194.75</v>
      </c>
    </row>
    <row r="3259" spans="1:4" x14ac:dyDescent="0.2">
      <c r="A3259" s="574">
        <v>11079</v>
      </c>
      <c r="B3259" s="574" t="s">
        <v>8845</v>
      </c>
      <c r="C3259" s="574" t="s">
        <v>5751</v>
      </c>
      <c r="D3259" s="583">
        <v>1091.6500000000001</v>
      </c>
    </row>
    <row r="3260" spans="1:4" x14ac:dyDescent="0.2">
      <c r="A3260" s="574">
        <v>11082</v>
      </c>
      <c r="B3260" s="574" t="s">
        <v>8846</v>
      </c>
      <c r="C3260" s="574" t="s">
        <v>5751</v>
      </c>
      <c r="D3260" s="583">
        <v>1113.74</v>
      </c>
    </row>
    <row r="3261" spans="1:4" x14ac:dyDescent="0.2">
      <c r="A3261" s="574">
        <v>4058</v>
      </c>
      <c r="B3261" s="574" t="s">
        <v>8847</v>
      </c>
      <c r="C3261" s="574" t="s">
        <v>5566</v>
      </c>
      <c r="D3261" s="582">
        <v>19.62</v>
      </c>
    </row>
    <row r="3262" spans="1:4" x14ac:dyDescent="0.2">
      <c r="A3262" s="574">
        <v>40974</v>
      </c>
      <c r="B3262" s="574" t="s">
        <v>8848</v>
      </c>
      <c r="C3262" s="574" t="s">
        <v>5755</v>
      </c>
      <c r="D3262" s="583">
        <v>3431.08</v>
      </c>
    </row>
    <row r="3263" spans="1:4" x14ac:dyDescent="0.2">
      <c r="A3263" s="574">
        <v>34794</v>
      </c>
      <c r="B3263" s="574" t="s">
        <v>8849</v>
      </c>
      <c r="C3263" s="574" t="s">
        <v>5566</v>
      </c>
      <c r="D3263" s="582">
        <v>10.56</v>
      </c>
    </row>
    <row r="3264" spans="1:4" x14ac:dyDescent="0.2">
      <c r="A3264" s="574">
        <v>40925</v>
      </c>
      <c r="B3264" s="574" t="s">
        <v>8850</v>
      </c>
      <c r="C3264" s="574" t="s">
        <v>5755</v>
      </c>
      <c r="D3264" s="583">
        <v>1849.71</v>
      </c>
    </row>
    <row r="3265" spans="1:4" x14ac:dyDescent="0.2">
      <c r="A3265" s="574">
        <v>13741</v>
      </c>
      <c r="B3265" s="574" t="s">
        <v>8851</v>
      </c>
      <c r="C3265" s="574" t="s">
        <v>5555</v>
      </c>
      <c r="D3265" s="583">
        <v>2056.12</v>
      </c>
    </row>
    <row r="3266" spans="1:4" x14ac:dyDescent="0.2">
      <c r="A3266" s="574">
        <v>3288</v>
      </c>
      <c r="B3266" s="574" t="s">
        <v>8852</v>
      </c>
      <c r="C3266" s="574" t="s">
        <v>5575</v>
      </c>
      <c r="D3266" s="582">
        <v>3.38</v>
      </c>
    </row>
    <row r="3267" spans="1:4" x14ac:dyDescent="0.2">
      <c r="A3267" s="574">
        <v>13587</v>
      </c>
      <c r="B3267" s="574" t="s">
        <v>8853</v>
      </c>
      <c r="C3267" s="574" t="s">
        <v>5575</v>
      </c>
      <c r="D3267" s="582">
        <v>2.04</v>
      </c>
    </row>
    <row r="3268" spans="1:4" x14ac:dyDescent="0.2">
      <c r="A3268" s="574">
        <v>38598</v>
      </c>
      <c r="B3268" s="574" t="s">
        <v>13606</v>
      </c>
      <c r="C3268" s="574" t="s">
        <v>5555</v>
      </c>
      <c r="D3268" s="582">
        <v>2.73</v>
      </c>
    </row>
    <row r="3269" spans="1:4" x14ac:dyDescent="0.2">
      <c r="A3269" s="574">
        <v>38595</v>
      </c>
      <c r="B3269" s="574" t="s">
        <v>13607</v>
      </c>
      <c r="C3269" s="574" t="s">
        <v>5555</v>
      </c>
      <c r="D3269" s="582">
        <v>2.31</v>
      </c>
    </row>
    <row r="3270" spans="1:4" x14ac:dyDescent="0.2">
      <c r="A3270" s="574">
        <v>38592</v>
      </c>
      <c r="B3270" s="574" t="s">
        <v>13608</v>
      </c>
      <c r="C3270" s="574" t="s">
        <v>5555</v>
      </c>
      <c r="D3270" s="582">
        <v>2.34</v>
      </c>
    </row>
    <row r="3271" spans="1:4" x14ac:dyDescent="0.2">
      <c r="A3271" s="574">
        <v>38588</v>
      </c>
      <c r="B3271" s="574" t="s">
        <v>13609</v>
      </c>
      <c r="C3271" s="574" t="s">
        <v>5555</v>
      </c>
      <c r="D3271" s="582">
        <v>1.87</v>
      </c>
    </row>
    <row r="3272" spans="1:4" x14ac:dyDescent="0.2">
      <c r="A3272" s="574">
        <v>38593</v>
      </c>
      <c r="B3272" s="574" t="s">
        <v>13610</v>
      </c>
      <c r="C3272" s="574" t="s">
        <v>5555</v>
      </c>
      <c r="D3272" s="582">
        <v>2.59</v>
      </c>
    </row>
    <row r="3273" spans="1:4" x14ac:dyDescent="0.2">
      <c r="A3273" s="574">
        <v>38589</v>
      </c>
      <c r="B3273" s="574" t="s">
        <v>13611</v>
      </c>
      <c r="C3273" s="574" t="s">
        <v>5555</v>
      </c>
      <c r="D3273" s="582">
        <v>1.96</v>
      </c>
    </row>
    <row r="3274" spans="1:4" x14ac:dyDescent="0.2">
      <c r="A3274" s="574">
        <v>38594</v>
      </c>
      <c r="B3274" s="574" t="s">
        <v>13612</v>
      </c>
      <c r="C3274" s="574" t="s">
        <v>5555</v>
      </c>
      <c r="D3274" s="582">
        <v>4.08</v>
      </c>
    </row>
    <row r="3275" spans="1:4" x14ac:dyDescent="0.2">
      <c r="A3275" s="574">
        <v>34773</v>
      </c>
      <c r="B3275" s="574" t="s">
        <v>13613</v>
      </c>
      <c r="C3275" s="574" t="s">
        <v>5555</v>
      </c>
      <c r="D3275" s="582">
        <v>1.93</v>
      </c>
    </row>
    <row r="3276" spans="1:4" x14ac:dyDescent="0.2">
      <c r="A3276" s="574">
        <v>34769</v>
      </c>
      <c r="B3276" s="574" t="s">
        <v>13614</v>
      </c>
      <c r="C3276" s="574" t="s">
        <v>5555</v>
      </c>
      <c r="D3276" s="582">
        <v>2.39</v>
      </c>
    </row>
    <row r="3277" spans="1:4" x14ac:dyDescent="0.2">
      <c r="A3277" s="574">
        <v>34763</v>
      </c>
      <c r="B3277" s="574" t="s">
        <v>13615</v>
      </c>
      <c r="C3277" s="574" t="s">
        <v>5555</v>
      </c>
      <c r="D3277" s="582">
        <v>1.47</v>
      </c>
    </row>
    <row r="3278" spans="1:4" x14ac:dyDescent="0.2">
      <c r="A3278" s="574">
        <v>34774</v>
      </c>
      <c r="B3278" s="574" t="s">
        <v>13616</v>
      </c>
      <c r="C3278" s="574" t="s">
        <v>5555</v>
      </c>
      <c r="D3278" s="582">
        <v>1.83</v>
      </c>
    </row>
    <row r="3279" spans="1:4" x14ac:dyDescent="0.2">
      <c r="A3279" s="574">
        <v>34771</v>
      </c>
      <c r="B3279" s="574" t="s">
        <v>13617</v>
      </c>
      <c r="C3279" s="574" t="s">
        <v>5555</v>
      </c>
      <c r="D3279" s="582">
        <v>2.21</v>
      </c>
    </row>
    <row r="3280" spans="1:4" x14ac:dyDescent="0.2">
      <c r="A3280" s="574">
        <v>34764</v>
      </c>
      <c r="B3280" s="574" t="s">
        <v>13618</v>
      </c>
      <c r="C3280" s="574" t="s">
        <v>5555</v>
      </c>
      <c r="D3280" s="582">
        <v>1.45</v>
      </c>
    </row>
    <row r="3281" spans="1:4" x14ac:dyDescent="0.2">
      <c r="A3281" s="574">
        <v>34788</v>
      </c>
      <c r="B3281" s="574" t="s">
        <v>8862</v>
      </c>
      <c r="C3281" s="574" t="s">
        <v>5555</v>
      </c>
      <c r="D3281" s="582">
        <v>0.87</v>
      </c>
    </row>
    <row r="3282" spans="1:4" x14ac:dyDescent="0.2">
      <c r="A3282" s="574">
        <v>34781</v>
      </c>
      <c r="B3282" s="574" t="s">
        <v>8864</v>
      </c>
      <c r="C3282" s="574" t="s">
        <v>5555</v>
      </c>
      <c r="D3282" s="582">
        <v>0.99</v>
      </c>
    </row>
    <row r="3283" spans="1:4" x14ac:dyDescent="0.2">
      <c r="A3283" s="574">
        <v>4062</v>
      </c>
      <c r="B3283" s="574" t="s">
        <v>8871</v>
      </c>
      <c r="C3283" s="574" t="s">
        <v>5555</v>
      </c>
      <c r="D3283" s="582">
        <v>20.11</v>
      </c>
    </row>
    <row r="3284" spans="1:4" x14ac:dyDescent="0.2">
      <c r="A3284" s="574">
        <v>4059</v>
      </c>
      <c r="B3284" s="574" t="s">
        <v>8872</v>
      </c>
      <c r="C3284" s="574" t="s">
        <v>5575</v>
      </c>
      <c r="D3284" s="582">
        <v>24.38</v>
      </c>
    </row>
    <row r="3285" spans="1:4" x14ac:dyDescent="0.2">
      <c r="A3285" s="574">
        <v>4061</v>
      </c>
      <c r="B3285" s="574" t="s">
        <v>8873</v>
      </c>
      <c r="C3285" s="574" t="s">
        <v>5555</v>
      </c>
      <c r="D3285" s="582">
        <v>19.5</v>
      </c>
    </row>
    <row r="3286" spans="1:4" x14ac:dyDescent="0.2">
      <c r="A3286" s="574">
        <v>41315</v>
      </c>
      <c r="B3286" s="574" t="s">
        <v>13619</v>
      </c>
      <c r="C3286" s="574" t="s">
        <v>5626</v>
      </c>
      <c r="D3286" s="582">
        <v>67.89</v>
      </c>
    </row>
    <row r="3287" spans="1:4" x14ac:dyDescent="0.2">
      <c r="A3287" s="574">
        <v>43148</v>
      </c>
      <c r="B3287" s="574" t="s">
        <v>13620</v>
      </c>
      <c r="C3287" s="574" t="s">
        <v>5626</v>
      </c>
      <c r="D3287" s="582">
        <v>46.08</v>
      </c>
    </row>
    <row r="3288" spans="1:4" x14ac:dyDescent="0.2">
      <c r="A3288" s="574">
        <v>43147</v>
      </c>
      <c r="B3288" s="574" t="s">
        <v>13621</v>
      </c>
      <c r="C3288" s="574" t="s">
        <v>5626</v>
      </c>
      <c r="D3288" s="582">
        <v>17.84</v>
      </c>
    </row>
    <row r="3289" spans="1:4" x14ac:dyDescent="0.2">
      <c r="A3289" s="574">
        <v>10608</v>
      </c>
      <c r="B3289" s="574" t="s">
        <v>8874</v>
      </c>
      <c r="C3289" s="574" t="s">
        <v>5555</v>
      </c>
      <c r="D3289" s="583">
        <v>8402.5</v>
      </c>
    </row>
    <row r="3290" spans="1:4" x14ac:dyDescent="0.2">
      <c r="A3290" s="574">
        <v>4069</v>
      </c>
      <c r="B3290" s="574" t="s">
        <v>8875</v>
      </c>
      <c r="C3290" s="574" t="s">
        <v>5566</v>
      </c>
      <c r="D3290" s="582">
        <v>26.26</v>
      </c>
    </row>
    <row r="3291" spans="1:4" x14ac:dyDescent="0.2">
      <c r="A3291" s="574">
        <v>40819</v>
      </c>
      <c r="B3291" s="574" t="s">
        <v>8876</v>
      </c>
      <c r="C3291" s="574" t="s">
        <v>5755</v>
      </c>
      <c r="D3291" s="583">
        <v>4595.01</v>
      </c>
    </row>
    <row r="3292" spans="1:4" x14ac:dyDescent="0.2">
      <c r="A3292" s="574">
        <v>34361</v>
      </c>
      <c r="B3292" s="574" t="s">
        <v>8877</v>
      </c>
      <c r="C3292" s="574" t="s">
        <v>5626</v>
      </c>
      <c r="D3292" s="582">
        <v>12.99</v>
      </c>
    </row>
    <row r="3293" spans="1:4" x14ac:dyDescent="0.2">
      <c r="A3293" s="574">
        <v>36512</v>
      </c>
      <c r="B3293" s="574" t="s">
        <v>8878</v>
      </c>
      <c r="C3293" s="574" t="s">
        <v>5555</v>
      </c>
      <c r="D3293" s="583">
        <v>10144.84</v>
      </c>
    </row>
    <row r="3294" spans="1:4" x14ac:dyDescent="0.2">
      <c r="A3294" s="574">
        <v>25972</v>
      </c>
      <c r="B3294" s="574" t="s">
        <v>8879</v>
      </c>
      <c r="C3294" s="574" t="s">
        <v>5626</v>
      </c>
      <c r="D3294" s="582">
        <v>13.88</v>
      </c>
    </row>
    <row r="3295" spans="1:4" x14ac:dyDescent="0.2">
      <c r="A3295" s="574">
        <v>25973</v>
      </c>
      <c r="B3295" s="574" t="s">
        <v>8880</v>
      </c>
      <c r="C3295" s="574" t="s">
        <v>5626</v>
      </c>
      <c r="D3295" s="582">
        <v>13.88</v>
      </c>
    </row>
    <row r="3296" spans="1:4" x14ac:dyDescent="0.2">
      <c r="A3296" s="574">
        <v>11697</v>
      </c>
      <c r="B3296" s="574" t="s">
        <v>8881</v>
      </c>
      <c r="C3296" s="574" t="s">
        <v>5555</v>
      </c>
      <c r="D3296" s="582">
        <v>585.25</v>
      </c>
    </row>
    <row r="3297" spans="1:4" x14ac:dyDescent="0.2">
      <c r="A3297" s="574">
        <v>11698</v>
      </c>
      <c r="B3297" s="574" t="s">
        <v>8882</v>
      </c>
      <c r="C3297" s="574" t="s">
        <v>5555</v>
      </c>
      <c r="D3297" s="582">
        <v>698.17</v>
      </c>
    </row>
    <row r="3298" spans="1:4" x14ac:dyDescent="0.2">
      <c r="A3298" s="574">
        <v>11699</v>
      </c>
      <c r="B3298" s="574" t="s">
        <v>8883</v>
      </c>
      <c r="C3298" s="574" t="s">
        <v>5555</v>
      </c>
      <c r="D3298" s="582">
        <v>771.63</v>
      </c>
    </row>
    <row r="3299" spans="1:4" x14ac:dyDescent="0.2">
      <c r="A3299" s="574">
        <v>10432</v>
      </c>
      <c r="B3299" s="574" t="s">
        <v>8884</v>
      </c>
      <c r="C3299" s="574" t="s">
        <v>5555</v>
      </c>
      <c r="D3299" s="582">
        <v>287.01</v>
      </c>
    </row>
    <row r="3300" spans="1:4" x14ac:dyDescent="0.2">
      <c r="A3300" s="574">
        <v>10430</v>
      </c>
      <c r="B3300" s="574" t="s">
        <v>8885</v>
      </c>
      <c r="C3300" s="574" t="s">
        <v>5555</v>
      </c>
      <c r="D3300" s="582">
        <v>309.10000000000002</v>
      </c>
    </row>
    <row r="3301" spans="1:4" x14ac:dyDescent="0.2">
      <c r="A3301" s="574">
        <v>37514</v>
      </c>
      <c r="B3301" s="574" t="s">
        <v>8886</v>
      </c>
      <c r="C3301" s="574" t="s">
        <v>5555</v>
      </c>
      <c r="D3301" s="583">
        <v>170871.38</v>
      </c>
    </row>
    <row r="3302" spans="1:4" x14ac:dyDescent="0.2">
      <c r="A3302" s="574">
        <v>37519</v>
      </c>
      <c r="B3302" s="574" t="s">
        <v>8887</v>
      </c>
      <c r="C3302" s="574" t="s">
        <v>5555</v>
      </c>
      <c r="D3302" s="583">
        <v>263704.67</v>
      </c>
    </row>
    <row r="3303" spans="1:4" x14ac:dyDescent="0.2">
      <c r="A3303" s="574">
        <v>37520</v>
      </c>
      <c r="B3303" s="574" t="s">
        <v>8888</v>
      </c>
      <c r="C3303" s="574" t="s">
        <v>5555</v>
      </c>
      <c r="D3303" s="583">
        <v>259381.64</v>
      </c>
    </row>
    <row r="3304" spans="1:4" x14ac:dyDescent="0.2">
      <c r="A3304" s="574">
        <v>37521</v>
      </c>
      <c r="B3304" s="574" t="s">
        <v>8889</v>
      </c>
      <c r="C3304" s="574" t="s">
        <v>5555</v>
      </c>
      <c r="D3304" s="583">
        <v>316445.61</v>
      </c>
    </row>
    <row r="3305" spans="1:4" x14ac:dyDescent="0.2">
      <c r="A3305" s="574">
        <v>37522</v>
      </c>
      <c r="B3305" s="574" t="s">
        <v>8890</v>
      </c>
      <c r="C3305" s="574" t="s">
        <v>5555</v>
      </c>
      <c r="D3305" s="583">
        <v>325966.12</v>
      </c>
    </row>
    <row r="3306" spans="1:4" x14ac:dyDescent="0.2">
      <c r="A3306" s="574">
        <v>21109</v>
      </c>
      <c r="B3306" s="574" t="s">
        <v>8891</v>
      </c>
      <c r="C3306" s="574" t="s">
        <v>5555</v>
      </c>
      <c r="D3306" s="582">
        <v>55.88</v>
      </c>
    </row>
    <row r="3307" spans="1:4" x14ac:dyDescent="0.2">
      <c r="A3307" s="574">
        <v>36800</v>
      </c>
      <c r="B3307" s="574" t="s">
        <v>8892</v>
      </c>
      <c r="C3307" s="574" t="s">
        <v>5555</v>
      </c>
      <c r="D3307" s="582">
        <v>76.849999999999994</v>
      </c>
    </row>
    <row r="3308" spans="1:4" x14ac:dyDescent="0.2">
      <c r="A3308" s="574">
        <v>11769</v>
      </c>
      <c r="B3308" s="574" t="s">
        <v>8893</v>
      </c>
      <c r="C3308" s="574" t="s">
        <v>5555</v>
      </c>
      <c r="D3308" s="582">
        <v>188.35</v>
      </c>
    </row>
    <row r="3309" spans="1:4" x14ac:dyDescent="0.2">
      <c r="A3309" s="574">
        <v>36793</v>
      </c>
      <c r="B3309" s="574" t="s">
        <v>8894</v>
      </c>
      <c r="C3309" s="574" t="s">
        <v>5555</v>
      </c>
      <c r="D3309" s="582">
        <v>304.95</v>
      </c>
    </row>
    <row r="3310" spans="1:4" x14ac:dyDescent="0.2">
      <c r="A3310" s="574">
        <v>37546</v>
      </c>
      <c r="B3310" s="574" t="s">
        <v>8895</v>
      </c>
      <c r="C3310" s="574" t="s">
        <v>5555</v>
      </c>
      <c r="D3310" s="583">
        <v>8570.42</v>
      </c>
    </row>
    <row r="3311" spans="1:4" x14ac:dyDescent="0.2">
      <c r="A3311" s="574">
        <v>37544</v>
      </c>
      <c r="B3311" s="574" t="s">
        <v>8896</v>
      </c>
      <c r="C3311" s="574" t="s">
        <v>5555</v>
      </c>
      <c r="D3311" s="583">
        <v>9064.66</v>
      </c>
    </row>
    <row r="3312" spans="1:4" x14ac:dyDescent="0.2">
      <c r="A3312" s="574">
        <v>37545</v>
      </c>
      <c r="B3312" s="574" t="s">
        <v>8897</v>
      </c>
      <c r="C3312" s="574" t="s">
        <v>5555</v>
      </c>
      <c r="D3312" s="583">
        <v>10785.72</v>
      </c>
    </row>
    <row r="3313" spans="1:4" x14ac:dyDescent="0.2">
      <c r="A3313" s="574">
        <v>11771</v>
      </c>
      <c r="B3313" s="574" t="s">
        <v>8898</v>
      </c>
      <c r="C3313" s="574" t="s">
        <v>5555</v>
      </c>
      <c r="D3313" s="582">
        <v>233.62</v>
      </c>
    </row>
    <row r="3314" spans="1:4" x14ac:dyDescent="0.2">
      <c r="A3314" s="574">
        <v>39919</v>
      </c>
      <c r="B3314" s="574" t="s">
        <v>8899</v>
      </c>
      <c r="C3314" s="574" t="s">
        <v>5555</v>
      </c>
      <c r="D3314" s="583">
        <v>42899.68</v>
      </c>
    </row>
    <row r="3315" spans="1:4" x14ac:dyDescent="0.2">
      <c r="A3315" s="574">
        <v>38385</v>
      </c>
      <c r="B3315" s="574" t="s">
        <v>8900</v>
      </c>
      <c r="C3315" s="574" t="s">
        <v>5555</v>
      </c>
      <c r="D3315" s="582">
        <v>40.72</v>
      </c>
    </row>
    <row r="3316" spans="1:4" x14ac:dyDescent="0.2">
      <c r="A3316" s="574">
        <v>37587</v>
      </c>
      <c r="B3316" s="574" t="s">
        <v>8901</v>
      </c>
      <c r="C3316" s="574" t="s">
        <v>5555</v>
      </c>
      <c r="D3316" s="582">
        <v>212.49</v>
      </c>
    </row>
    <row r="3317" spans="1:4" x14ac:dyDescent="0.2">
      <c r="A3317" s="574">
        <v>11561</v>
      </c>
      <c r="B3317" s="574" t="s">
        <v>8903</v>
      </c>
      <c r="C3317" s="574" t="s">
        <v>5555</v>
      </c>
      <c r="D3317" s="582">
        <v>144.69999999999999</v>
      </c>
    </row>
    <row r="3318" spans="1:4" x14ac:dyDescent="0.2">
      <c r="A3318" s="574">
        <v>11560</v>
      </c>
      <c r="B3318" s="574" t="s">
        <v>8904</v>
      </c>
      <c r="C3318" s="574" t="s">
        <v>5555</v>
      </c>
      <c r="D3318" s="582">
        <v>123.16</v>
      </c>
    </row>
    <row r="3319" spans="1:4" x14ac:dyDescent="0.2">
      <c r="A3319" s="574">
        <v>11499</v>
      </c>
      <c r="B3319" s="574" t="s">
        <v>8905</v>
      </c>
      <c r="C3319" s="574" t="s">
        <v>5555</v>
      </c>
      <c r="D3319" s="582">
        <v>987.01</v>
      </c>
    </row>
    <row r="3320" spans="1:4" x14ac:dyDescent="0.2">
      <c r="A3320" s="574">
        <v>34761</v>
      </c>
      <c r="B3320" s="574" t="s">
        <v>8906</v>
      </c>
      <c r="C3320" s="574" t="s">
        <v>5566</v>
      </c>
      <c r="D3320" s="582">
        <v>15.72</v>
      </c>
    </row>
    <row r="3321" spans="1:4" x14ac:dyDescent="0.2">
      <c r="A3321" s="574">
        <v>40924</v>
      </c>
      <c r="B3321" s="574" t="s">
        <v>8907</v>
      </c>
      <c r="C3321" s="574" t="s">
        <v>5755</v>
      </c>
      <c r="D3321" s="583">
        <v>2751.37</v>
      </c>
    </row>
    <row r="3322" spans="1:4" x14ac:dyDescent="0.2">
      <c r="A3322" s="574">
        <v>25957</v>
      </c>
      <c r="B3322" s="574" t="s">
        <v>8908</v>
      </c>
      <c r="C3322" s="574" t="s">
        <v>5566</v>
      </c>
      <c r="D3322" s="582">
        <v>15.25</v>
      </c>
    </row>
    <row r="3323" spans="1:4" x14ac:dyDescent="0.2">
      <c r="A3323" s="574">
        <v>40983</v>
      </c>
      <c r="B3323" s="574" t="s">
        <v>8909</v>
      </c>
      <c r="C3323" s="574" t="s">
        <v>5755</v>
      </c>
      <c r="D3323" s="583">
        <v>2668.93</v>
      </c>
    </row>
    <row r="3324" spans="1:4" x14ac:dyDescent="0.2">
      <c r="A3324" s="574">
        <v>2437</v>
      </c>
      <c r="B3324" s="574" t="s">
        <v>8910</v>
      </c>
      <c r="C3324" s="574" t="s">
        <v>5566</v>
      </c>
      <c r="D3324" s="582">
        <v>28.61</v>
      </c>
    </row>
    <row r="3325" spans="1:4" x14ac:dyDescent="0.2">
      <c r="A3325" s="574">
        <v>40921</v>
      </c>
      <c r="B3325" s="574" t="s">
        <v>8911</v>
      </c>
      <c r="C3325" s="574" t="s">
        <v>5755</v>
      </c>
      <c r="D3325" s="583">
        <v>5005.55</v>
      </c>
    </row>
    <row r="3326" spans="1:4" x14ac:dyDescent="0.2">
      <c r="A3326" s="574">
        <v>14252</v>
      </c>
      <c r="B3326" s="574" t="s">
        <v>8913</v>
      </c>
      <c r="C3326" s="574" t="s">
        <v>5555</v>
      </c>
      <c r="D3326" s="583">
        <v>2064.79</v>
      </c>
    </row>
    <row r="3327" spans="1:4" x14ac:dyDescent="0.2">
      <c r="A3327" s="574">
        <v>730</v>
      </c>
      <c r="B3327" s="574" t="s">
        <v>8914</v>
      </c>
      <c r="C3327" s="574" t="s">
        <v>5555</v>
      </c>
      <c r="D3327" s="583">
        <v>5516.72</v>
      </c>
    </row>
    <row r="3328" spans="1:4" x14ac:dyDescent="0.2">
      <c r="A3328" s="574">
        <v>723</v>
      </c>
      <c r="B3328" s="574" t="s">
        <v>8915</v>
      </c>
      <c r="C3328" s="574" t="s">
        <v>5555</v>
      </c>
      <c r="D3328" s="583">
        <v>2742</v>
      </c>
    </row>
    <row r="3329" spans="1:4" x14ac:dyDescent="0.2">
      <c r="A3329" s="574">
        <v>36502</v>
      </c>
      <c r="B3329" s="574" t="s">
        <v>8916</v>
      </c>
      <c r="C3329" s="574" t="s">
        <v>5555</v>
      </c>
      <c r="D3329" s="583">
        <v>2577.16</v>
      </c>
    </row>
    <row r="3330" spans="1:4" x14ac:dyDescent="0.2">
      <c r="A3330" s="574">
        <v>36503</v>
      </c>
      <c r="B3330" s="574" t="s">
        <v>8917</v>
      </c>
      <c r="C3330" s="574" t="s">
        <v>5555</v>
      </c>
      <c r="D3330" s="583">
        <v>3177.94</v>
      </c>
    </row>
    <row r="3331" spans="1:4" x14ac:dyDescent="0.2">
      <c r="A3331" s="574">
        <v>4090</v>
      </c>
      <c r="B3331" s="574" t="s">
        <v>8918</v>
      </c>
      <c r="C3331" s="574" t="s">
        <v>5555</v>
      </c>
      <c r="D3331" s="583">
        <v>591000</v>
      </c>
    </row>
    <row r="3332" spans="1:4" x14ac:dyDescent="0.2">
      <c r="A3332" s="574">
        <v>13227</v>
      </c>
      <c r="B3332" s="574" t="s">
        <v>8919</v>
      </c>
      <c r="C3332" s="574" t="s">
        <v>5555</v>
      </c>
      <c r="D3332" s="583">
        <v>734391.19</v>
      </c>
    </row>
    <row r="3333" spans="1:4" x14ac:dyDescent="0.2">
      <c r="A3333" s="574">
        <v>10597</v>
      </c>
      <c r="B3333" s="574" t="s">
        <v>8920</v>
      </c>
      <c r="C3333" s="574" t="s">
        <v>5555</v>
      </c>
      <c r="D3333" s="583">
        <v>773041.47</v>
      </c>
    </row>
    <row r="3334" spans="1:4" x14ac:dyDescent="0.2">
      <c r="A3334" s="574">
        <v>39628</v>
      </c>
      <c r="B3334" s="574" t="s">
        <v>8921</v>
      </c>
      <c r="C3334" s="574" t="s">
        <v>5555</v>
      </c>
      <c r="D3334" s="583">
        <v>3147</v>
      </c>
    </row>
    <row r="3335" spans="1:4" x14ac:dyDescent="0.2">
      <c r="A3335" s="574">
        <v>39404</v>
      </c>
      <c r="B3335" s="574" t="s">
        <v>8922</v>
      </c>
      <c r="C3335" s="574" t="s">
        <v>5555</v>
      </c>
      <c r="D3335" s="583">
        <v>1560.49</v>
      </c>
    </row>
    <row r="3336" spans="1:4" x14ac:dyDescent="0.2">
      <c r="A3336" s="574">
        <v>39402</v>
      </c>
      <c r="B3336" s="574" t="s">
        <v>8923</v>
      </c>
      <c r="C3336" s="574" t="s">
        <v>5555</v>
      </c>
      <c r="D3336" s="583">
        <v>1285.55</v>
      </c>
    </row>
    <row r="3337" spans="1:4" x14ac:dyDescent="0.2">
      <c r="A3337" s="574">
        <v>39403</v>
      </c>
      <c r="B3337" s="574" t="s">
        <v>8924</v>
      </c>
      <c r="C3337" s="574" t="s">
        <v>5555</v>
      </c>
      <c r="D3337" s="583">
        <v>1257.58</v>
      </c>
    </row>
    <row r="3338" spans="1:4" x14ac:dyDescent="0.2">
      <c r="A3338" s="574">
        <v>4093</v>
      </c>
      <c r="B3338" s="574" t="s">
        <v>8925</v>
      </c>
      <c r="C3338" s="574" t="s">
        <v>5566</v>
      </c>
      <c r="D3338" s="582">
        <v>14.24</v>
      </c>
    </row>
    <row r="3339" spans="1:4" x14ac:dyDescent="0.2">
      <c r="A3339" s="574">
        <v>10512</v>
      </c>
      <c r="B3339" s="574" t="s">
        <v>8926</v>
      </c>
      <c r="C3339" s="574" t="s">
        <v>5755</v>
      </c>
      <c r="D3339" s="583">
        <v>2490.46</v>
      </c>
    </row>
    <row r="3340" spans="1:4" x14ac:dyDescent="0.2">
      <c r="A3340" s="574">
        <v>20020</v>
      </c>
      <c r="B3340" s="574" t="s">
        <v>8927</v>
      </c>
      <c r="C3340" s="574" t="s">
        <v>5566</v>
      </c>
      <c r="D3340" s="582">
        <v>13.42</v>
      </c>
    </row>
    <row r="3341" spans="1:4" x14ac:dyDescent="0.2">
      <c r="A3341" s="574">
        <v>41038</v>
      </c>
      <c r="B3341" s="574" t="s">
        <v>8928</v>
      </c>
      <c r="C3341" s="574" t="s">
        <v>5755</v>
      </c>
      <c r="D3341" s="583">
        <v>2349.14</v>
      </c>
    </row>
    <row r="3342" spans="1:4" x14ac:dyDescent="0.2">
      <c r="A3342" s="574">
        <v>4094</v>
      </c>
      <c r="B3342" s="574" t="s">
        <v>8929</v>
      </c>
      <c r="C3342" s="574" t="s">
        <v>5566</v>
      </c>
      <c r="D3342" s="582">
        <v>19.010000000000002</v>
      </c>
    </row>
    <row r="3343" spans="1:4" x14ac:dyDescent="0.2">
      <c r="A3343" s="574">
        <v>40988</v>
      </c>
      <c r="B3343" s="574" t="s">
        <v>8930</v>
      </c>
      <c r="C3343" s="574" t="s">
        <v>5755</v>
      </c>
      <c r="D3343" s="583">
        <v>3325.86</v>
      </c>
    </row>
    <row r="3344" spans="1:4" x14ac:dyDescent="0.2">
      <c r="A3344" s="574">
        <v>4095</v>
      </c>
      <c r="B3344" s="574" t="s">
        <v>8931</v>
      </c>
      <c r="C3344" s="574" t="s">
        <v>5566</v>
      </c>
      <c r="D3344" s="582">
        <v>15.53</v>
      </c>
    </row>
    <row r="3345" spans="1:4" x14ac:dyDescent="0.2">
      <c r="A3345" s="574">
        <v>40990</v>
      </c>
      <c r="B3345" s="574" t="s">
        <v>8932</v>
      </c>
      <c r="C3345" s="574" t="s">
        <v>5755</v>
      </c>
      <c r="D3345" s="583">
        <v>2718.17</v>
      </c>
    </row>
    <row r="3346" spans="1:4" x14ac:dyDescent="0.2">
      <c r="A3346" s="574">
        <v>4097</v>
      </c>
      <c r="B3346" s="574" t="s">
        <v>8933</v>
      </c>
      <c r="C3346" s="574" t="s">
        <v>5566</v>
      </c>
      <c r="D3346" s="582">
        <v>19.190000000000001</v>
      </c>
    </row>
    <row r="3347" spans="1:4" x14ac:dyDescent="0.2">
      <c r="A3347" s="574">
        <v>40994</v>
      </c>
      <c r="B3347" s="574" t="s">
        <v>8934</v>
      </c>
      <c r="C3347" s="574" t="s">
        <v>5755</v>
      </c>
      <c r="D3347" s="583">
        <v>3355.25</v>
      </c>
    </row>
    <row r="3348" spans="1:4" x14ac:dyDescent="0.2">
      <c r="A3348" s="574">
        <v>4096</v>
      </c>
      <c r="B3348" s="574" t="s">
        <v>8935</v>
      </c>
      <c r="C3348" s="574" t="s">
        <v>5566</v>
      </c>
      <c r="D3348" s="582">
        <v>17.809999999999999</v>
      </c>
    </row>
    <row r="3349" spans="1:4" x14ac:dyDescent="0.2">
      <c r="A3349" s="574">
        <v>40992</v>
      </c>
      <c r="B3349" s="574" t="s">
        <v>8936</v>
      </c>
      <c r="C3349" s="574" t="s">
        <v>5755</v>
      </c>
      <c r="D3349" s="583">
        <v>3116.43</v>
      </c>
    </row>
    <row r="3350" spans="1:4" x14ac:dyDescent="0.2">
      <c r="A3350" s="574">
        <v>13955</v>
      </c>
      <c r="B3350" s="574" t="s">
        <v>8937</v>
      </c>
      <c r="C3350" s="574" t="s">
        <v>5555</v>
      </c>
      <c r="D3350" s="583">
        <v>2489.33</v>
      </c>
    </row>
    <row r="3351" spans="1:4" x14ac:dyDescent="0.2">
      <c r="A3351" s="574">
        <v>4114</v>
      </c>
      <c r="B3351" s="574" t="s">
        <v>8938</v>
      </c>
      <c r="C3351" s="574" t="s">
        <v>5555</v>
      </c>
      <c r="D3351" s="582">
        <v>39.71</v>
      </c>
    </row>
    <row r="3352" spans="1:4" x14ac:dyDescent="0.2">
      <c r="A3352" s="574">
        <v>36797</v>
      </c>
      <c r="B3352" s="574" t="s">
        <v>8939</v>
      </c>
      <c r="C3352" s="574" t="s">
        <v>5555</v>
      </c>
      <c r="D3352" s="582">
        <v>34.729999999999997</v>
      </c>
    </row>
    <row r="3353" spans="1:4" x14ac:dyDescent="0.2">
      <c r="A3353" s="574">
        <v>4107</v>
      </c>
      <c r="B3353" s="574" t="s">
        <v>8940</v>
      </c>
      <c r="C3353" s="574" t="s">
        <v>5555</v>
      </c>
      <c r="D3353" s="582">
        <v>33.44</v>
      </c>
    </row>
    <row r="3354" spans="1:4" x14ac:dyDescent="0.2">
      <c r="A3354" s="574">
        <v>36799</v>
      </c>
      <c r="B3354" s="574" t="s">
        <v>8941</v>
      </c>
      <c r="C3354" s="574" t="s">
        <v>5555</v>
      </c>
      <c r="D3354" s="582">
        <v>31.93</v>
      </c>
    </row>
    <row r="3355" spans="1:4" x14ac:dyDescent="0.2">
      <c r="A3355" s="574">
        <v>4108</v>
      </c>
      <c r="B3355" s="574" t="s">
        <v>8942</v>
      </c>
      <c r="C3355" s="574" t="s">
        <v>5555</v>
      </c>
      <c r="D3355" s="582">
        <v>26.89</v>
      </c>
    </row>
    <row r="3356" spans="1:4" x14ac:dyDescent="0.2">
      <c r="A3356" s="574">
        <v>4102</v>
      </c>
      <c r="B3356" s="574" t="s">
        <v>8943</v>
      </c>
      <c r="C3356" s="574" t="s">
        <v>5555</v>
      </c>
      <c r="D3356" s="582">
        <v>40</v>
      </c>
    </row>
    <row r="3357" spans="1:4" x14ac:dyDescent="0.2">
      <c r="A3357" s="574">
        <v>10826</v>
      </c>
      <c r="B3357" s="574" t="s">
        <v>8944</v>
      </c>
      <c r="C3357" s="574" t="s">
        <v>5555</v>
      </c>
      <c r="D3357" s="582">
        <v>165.22</v>
      </c>
    </row>
    <row r="3358" spans="1:4" x14ac:dyDescent="0.2">
      <c r="A3358" s="574">
        <v>365</v>
      </c>
      <c r="B3358" s="574" t="s">
        <v>8945</v>
      </c>
      <c r="C3358" s="574" t="s">
        <v>5555</v>
      </c>
      <c r="D3358" s="582">
        <v>102.44</v>
      </c>
    </row>
    <row r="3359" spans="1:4" x14ac:dyDescent="0.2">
      <c r="A3359" s="574">
        <v>38639</v>
      </c>
      <c r="B3359" s="574" t="s">
        <v>8946</v>
      </c>
      <c r="C3359" s="574" t="s">
        <v>5555</v>
      </c>
      <c r="D3359" s="582">
        <v>396.55</v>
      </c>
    </row>
    <row r="3360" spans="1:4" x14ac:dyDescent="0.2">
      <c r="A3360" s="574">
        <v>38640</v>
      </c>
      <c r="B3360" s="574" t="s">
        <v>8947</v>
      </c>
      <c r="C3360" s="574" t="s">
        <v>5555</v>
      </c>
      <c r="D3360" s="582">
        <v>5.94</v>
      </c>
    </row>
    <row r="3361" spans="1:4" x14ac:dyDescent="0.2">
      <c r="A3361" s="574">
        <v>358</v>
      </c>
      <c r="B3361" s="574" t="s">
        <v>8948</v>
      </c>
      <c r="C3361" s="574" t="s">
        <v>5555</v>
      </c>
      <c r="D3361" s="582">
        <v>122.27</v>
      </c>
    </row>
    <row r="3362" spans="1:4" x14ac:dyDescent="0.2">
      <c r="A3362" s="574">
        <v>359</v>
      </c>
      <c r="B3362" s="574" t="s">
        <v>8949</v>
      </c>
      <c r="C3362" s="574" t="s">
        <v>5555</v>
      </c>
      <c r="D3362" s="582">
        <v>251.14</v>
      </c>
    </row>
    <row r="3363" spans="1:4" x14ac:dyDescent="0.2">
      <c r="A3363" s="574">
        <v>38641</v>
      </c>
      <c r="B3363" s="574" t="s">
        <v>8950</v>
      </c>
      <c r="C3363" s="574" t="s">
        <v>5555</v>
      </c>
      <c r="D3363" s="582">
        <v>247.84</v>
      </c>
    </row>
    <row r="3364" spans="1:4" x14ac:dyDescent="0.2">
      <c r="A3364" s="574">
        <v>360</v>
      </c>
      <c r="B3364" s="574" t="s">
        <v>8951</v>
      </c>
      <c r="C3364" s="574" t="s">
        <v>5555</v>
      </c>
      <c r="D3364" s="582">
        <v>5.75</v>
      </c>
    </row>
    <row r="3365" spans="1:4" x14ac:dyDescent="0.2">
      <c r="A3365" s="574">
        <v>4127</v>
      </c>
      <c r="B3365" s="574" t="s">
        <v>8952</v>
      </c>
      <c r="C3365" s="574" t="s">
        <v>5555</v>
      </c>
      <c r="D3365" s="582">
        <v>202.03</v>
      </c>
    </row>
    <row r="3366" spans="1:4" x14ac:dyDescent="0.2">
      <c r="A3366" s="574">
        <v>4154</v>
      </c>
      <c r="B3366" s="574" t="s">
        <v>8953</v>
      </c>
      <c r="C3366" s="574" t="s">
        <v>5555</v>
      </c>
      <c r="D3366" s="582">
        <v>246.84</v>
      </c>
    </row>
    <row r="3367" spans="1:4" x14ac:dyDescent="0.2">
      <c r="A3367" s="574">
        <v>4168</v>
      </c>
      <c r="B3367" s="574" t="s">
        <v>8954</v>
      </c>
      <c r="C3367" s="574" t="s">
        <v>5555</v>
      </c>
      <c r="D3367" s="582">
        <v>260.69</v>
      </c>
    </row>
    <row r="3368" spans="1:4" x14ac:dyDescent="0.2">
      <c r="A3368" s="574">
        <v>4161</v>
      </c>
      <c r="B3368" s="574" t="s">
        <v>8955</v>
      </c>
      <c r="C3368" s="574" t="s">
        <v>5555</v>
      </c>
      <c r="D3368" s="582">
        <v>250.91</v>
      </c>
    </row>
    <row r="3369" spans="1:4" x14ac:dyDescent="0.2">
      <c r="A3369" s="574">
        <v>42430</v>
      </c>
      <c r="B3369" s="574" t="s">
        <v>8956</v>
      </c>
      <c r="C3369" s="574" t="s">
        <v>5555</v>
      </c>
      <c r="D3369" s="583">
        <v>3581.17</v>
      </c>
    </row>
    <row r="3370" spans="1:4" x14ac:dyDescent="0.2">
      <c r="A3370" s="574">
        <v>4214</v>
      </c>
      <c r="B3370" s="574" t="s">
        <v>8957</v>
      </c>
      <c r="C3370" s="574" t="s">
        <v>5555</v>
      </c>
      <c r="D3370" s="582">
        <v>7.41</v>
      </c>
    </row>
    <row r="3371" spans="1:4" x14ac:dyDescent="0.2">
      <c r="A3371" s="574">
        <v>4215</v>
      </c>
      <c r="B3371" s="574" t="s">
        <v>8958</v>
      </c>
      <c r="C3371" s="574" t="s">
        <v>5555</v>
      </c>
      <c r="D3371" s="582">
        <v>4.87</v>
      </c>
    </row>
    <row r="3372" spans="1:4" x14ac:dyDescent="0.2">
      <c r="A3372" s="574">
        <v>4210</v>
      </c>
      <c r="B3372" s="574" t="s">
        <v>8959</v>
      </c>
      <c r="C3372" s="574" t="s">
        <v>5555</v>
      </c>
      <c r="D3372" s="582">
        <v>0.82</v>
      </c>
    </row>
    <row r="3373" spans="1:4" x14ac:dyDescent="0.2">
      <c r="A3373" s="574">
        <v>4212</v>
      </c>
      <c r="B3373" s="574" t="s">
        <v>8960</v>
      </c>
      <c r="C3373" s="574" t="s">
        <v>5555</v>
      </c>
      <c r="D3373" s="582">
        <v>2.35</v>
      </c>
    </row>
    <row r="3374" spans="1:4" x14ac:dyDescent="0.2">
      <c r="A3374" s="574">
        <v>4213</v>
      </c>
      <c r="B3374" s="574" t="s">
        <v>8961</v>
      </c>
      <c r="C3374" s="574" t="s">
        <v>5555</v>
      </c>
      <c r="D3374" s="582">
        <v>10.52</v>
      </c>
    </row>
    <row r="3375" spans="1:4" x14ac:dyDescent="0.2">
      <c r="A3375" s="574">
        <v>4211</v>
      </c>
      <c r="B3375" s="574" t="s">
        <v>8962</v>
      </c>
      <c r="C3375" s="574" t="s">
        <v>5555</v>
      </c>
      <c r="D3375" s="582">
        <v>1.17</v>
      </c>
    </row>
    <row r="3376" spans="1:4" x14ac:dyDescent="0.2">
      <c r="A3376" s="574">
        <v>4209</v>
      </c>
      <c r="B3376" s="574" t="s">
        <v>8963</v>
      </c>
      <c r="C3376" s="574" t="s">
        <v>5555</v>
      </c>
      <c r="D3376" s="582">
        <v>13.57</v>
      </c>
    </row>
    <row r="3377" spans="1:4" x14ac:dyDescent="0.2">
      <c r="A3377" s="574">
        <v>4180</v>
      </c>
      <c r="B3377" s="574" t="s">
        <v>8964</v>
      </c>
      <c r="C3377" s="574" t="s">
        <v>5555</v>
      </c>
      <c r="D3377" s="582">
        <v>10.220000000000001</v>
      </c>
    </row>
    <row r="3378" spans="1:4" x14ac:dyDescent="0.2">
      <c r="A3378" s="574">
        <v>4177</v>
      </c>
      <c r="B3378" s="574" t="s">
        <v>8965</v>
      </c>
      <c r="C3378" s="574" t="s">
        <v>5555</v>
      </c>
      <c r="D3378" s="582">
        <v>3.39</v>
      </c>
    </row>
    <row r="3379" spans="1:4" x14ac:dyDescent="0.2">
      <c r="A3379" s="574">
        <v>4179</v>
      </c>
      <c r="B3379" s="574" t="s">
        <v>8966</v>
      </c>
      <c r="C3379" s="574" t="s">
        <v>5555</v>
      </c>
      <c r="D3379" s="582">
        <v>6.94</v>
      </c>
    </row>
    <row r="3380" spans="1:4" x14ac:dyDescent="0.2">
      <c r="A3380" s="574">
        <v>4208</v>
      </c>
      <c r="B3380" s="574" t="s">
        <v>8967</v>
      </c>
      <c r="C3380" s="574" t="s">
        <v>5555</v>
      </c>
      <c r="D3380" s="582">
        <v>32.31</v>
      </c>
    </row>
    <row r="3381" spans="1:4" x14ac:dyDescent="0.2">
      <c r="A3381" s="574">
        <v>4181</v>
      </c>
      <c r="B3381" s="574" t="s">
        <v>8968</v>
      </c>
      <c r="C3381" s="574" t="s">
        <v>5555</v>
      </c>
      <c r="D3381" s="582">
        <v>21.11</v>
      </c>
    </row>
    <row r="3382" spans="1:4" x14ac:dyDescent="0.2">
      <c r="A3382" s="574">
        <v>4178</v>
      </c>
      <c r="B3382" s="574" t="s">
        <v>8969</v>
      </c>
      <c r="C3382" s="574" t="s">
        <v>5555</v>
      </c>
      <c r="D3382" s="582">
        <v>4.7</v>
      </c>
    </row>
    <row r="3383" spans="1:4" x14ac:dyDescent="0.2">
      <c r="A3383" s="574">
        <v>4182</v>
      </c>
      <c r="B3383" s="574" t="s">
        <v>8970</v>
      </c>
      <c r="C3383" s="574" t="s">
        <v>5555</v>
      </c>
      <c r="D3383" s="582">
        <v>52.57</v>
      </c>
    </row>
    <row r="3384" spans="1:4" x14ac:dyDescent="0.2">
      <c r="A3384" s="574">
        <v>4183</v>
      </c>
      <c r="B3384" s="574" t="s">
        <v>8971</v>
      </c>
      <c r="C3384" s="574" t="s">
        <v>5555</v>
      </c>
      <c r="D3384" s="582">
        <v>84.63</v>
      </c>
    </row>
    <row r="3385" spans="1:4" x14ac:dyDescent="0.2">
      <c r="A3385" s="574">
        <v>4184</v>
      </c>
      <c r="B3385" s="574" t="s">
        <v>8972</v>
      </c>
      <c r="C3385" s="574" t="s">
        <v>5555</v>
      </c>
      <c r="D3385" s="582">
        <v>186.81</v>
      </c>
    </row>
    <row r="3386" spans="1:4" x14ac:dyDescent="0.2">
      <c r="A3386" s="574">
        <v>4185</v>
      </c>
      <c r="B3386" s="574" t="s">
        <v>8973</v>
      </c>
      <c r="C3386" s="574" t="s">
        <v>5555</v>
      </c>
      <c r="D3386" s="582">
        <v>310.39999999999998</v>
      </c>
    </row>
    <row r="3387" spans="1:4" x14ac:dyDescent="0.2">
      <c r="A3387" s="574">
        <v>4205</v>
      </c>
      <c r="B3387" s="574" t="s">
        <v>8974</v>
      </c>
      <c r="C3387" s="574" t="s">
        <v>5555</v>
      </c>
      <c r="D3387" s="582">
        <v>17.920000000000002</v>
      </c>
    </row>
    <row r="3388" spans="1:4" x14ac:dyDescent="0.2">
      <c r="A3388" s="574">
        <v>4192</v>
      </c>
      <c r="B3388" s="574" t="s">
        <v>8975</v>
      </c>
      <c r="C3388" s="574" t="s">
        <v>5555</v>
      </c>
      <c r="D3388" s="582">
        <v>17.920000000000002</v>
      </c>
    </row>
    <row r="3389" spans="1:4" x14ac:dyDescent="0.2">
      <c r="A3389" s="574">
        <v>4191</v>
      </c>
      <c r="B3389" s="574" t="s">
        <v>8976</v>
      </c>
      <c r="C3389" s="574" t="s">
        <v>5555</v>
      </c>
      <c r="D3389" s="582">
        <v>17.920000000000002</v>
      </c>
    </row>
    <row r="3390" spans="1:4" x14ac:dyDescent="0.2">
      <c r="A3390" s="574">
        <v>4207</v>
      </c>
      <c r="B3390" s="574" t="s">
        <v>8977</v>
      </c>
      <c r="C3390" s="574" t="s">
        <v>5555</v>
      </c>
      <c r="D3390" s="582">
        <v>14.42</v>
      </c>
    </row>
    <row r="3391" spans="1:4" x14ac:dyDescent="0.2">
      <c r="A3391" s="574">
        <v>4206</v>
      </c>
      <c r="B3391" s="574" t="s">
        <v>8978</v>
      </c>
      <c r="C3391" s="574" t="s">
        <v>5555</v>
      </c>
      <c r="D3391" s="582">
        <v>14.01</v>
      </c>
    </row>
    <row r="3392" spans="1:4" x14ac:dyDescent="0.2">
      <c r="A3392" s="574">
        <v>4190</v>
      </c>
      <c r="B3392" s="574" t="s">
        <v>8979</v>
      </c>
      <c r="C3392" s="574" t="s">
        <v>5555</v>
      </c>
      <c r="D3392" s="582">
        <v>14.01</v>
      </c>
    </row>
    <row r="3393" spans="1:4" x14ac:dyDescent="0.2">
      <c r="A3393" s="574">
        <v>4186</v>
      </c>
      <c r="B3393" s="574" t="s">
        <v>8980</v>
      </c>
      <c r="C3393" s="574" t="s">
        <v>5555</v>
      </c>
      <c r="D3393" s="582">
        <v>4.1399999999999997</v>
      </c>
    </row>
    <row r="3394" spans="1:4" x14ac:dyDescent="0.2">
      <c r="A3394" s="574">
        <v>4188</v>
      </c>
      <c r="B3394" s="574" t="s">
        <v>8981</v>
      </c>
      <c r="C3394" s="574" t="s">
        <v>5555</v>
      </c>
      <c r="D3394" s="582">
        <v>8.4499999999999993</v>
      </c>
    </row>
    <row r="3395" spans="1:4" x14ac:dyDescent="0.2">
      <c r="A3395" s="574">
        <v>4189</v>
      </c>
      <c r="B3395" s="574" t="s">
        <v>8982</v>
      </c>
      <c r="C3395" s="574" t="s">
        <v>5555</v>
      </c>
      <c r="D3395" s="582">
        <v>8.4499999999999993</v>
      </c>
    </row>
    <row r="3396" spans="1:4" x14ac:dyDescent="0.2">
      <c r="A3396" s="574">
        <v>4197</v>
      </c>
      <c r="B3396" s="574" t="s">
        <v>8983</v>
      </c>
      <c r="C3396" s="574" t="s">
        <v>5555</v>
      </c>
      <c r="D3396" s="582">
        <v>44.76</v>
      </c>
    </row>
    <row r="3397" spans="1:4" x14ac:dyDescent="0.2">
      <c r="A3397" s="574">
        <v>4194</v>
      </c>
      <c r="B3397" s="574" t="s">
        <v>8984</v>
      </c>
      <c r="C3397" s="574" t="s">
        <v>5555</v>
      </c>
      <c r="D3397" s="582">
        <v>27.04</v>
      </c>
    </row>
    <row r="3398" spans="1:4" x14ac:dyDescent="0.2">
      <c r="A3398" s="574">
        <v>4193</v>
      </c>
      <c r="B3398" s="574" t="s">
        <v>8985</v>
      </c>
      <c r="C3398" s="574" t="s">
        <v>5555</v>
      </c>
      <c r="D3398" s="582">
        <v>27.04</v>
      </c>
    </row>
    <row r="3399" spans="1:4" x14ac:dyDescent="0.2">
      <c r="A3399" s="574">
        <v>4204</v>
      </c>
      <c r="B3399" s="574" t="s">
        <v>8986</v>
      </c>
      <c r="C3399" s="574" t="s">
        <v>5555</v>
      </c>
      <c r="D3399" s="582">
        <v>27.04</v>
      </c>
    </row>
    <row r="3400" spans="1:4" x14ac:dyDescent="0.2">
      <c r="A3400" s="574">
        <v>4187</v>
      </c>
      <c r="B3400" s="574" t="s">
        <v>8987</v>
      </c>
      <c r="C3400" s="574" t="s">
        <v>5555</v>
      </c>
      <c r="D3400" s="582">
        <v>5.39</v>
      </c>
    </row>
    <row r="3401" spans="1:4" x14ac:dyDescent="0.2">
      <c r="A3401" s="574">
        <v>4202</v>
      </c>
      <c r="B3401" s="574" t="s">
        <v>8988</v>
      </c>
      <c r="C3401" s="574" t="s">
        <v>5555</v>
      </c>
      <c r="D3401" s="582">
        <v>81.739999999999995</v>
      </c>
    </row>
    <row r="3402" spans="1:4" x14ac:dyDescent="0.2">
      <c r="A3402" s="574">
        <v>4203</v>
      </c>
      <c r="B3402" s="574" t="s">
        <v>8989</v>
      </c>
      <c r="C3402" s="574" t="s">
        <v>5555</v>
      </c>
      <c r="D3402" s="582">
        <v>72.19</v>
      </c>
    </row>
    <row r="3403" spans="1:4" x14ac:dyDescent="0.2">
      <c r="A3403" s="574">
        <v>40368</v>
      </c>
      <c r="B3403" s="574" t="s">
        <v>8990</v>
      </c>
      <c r="C3403" s="574" t="s">
        <v>5555</v>
      </c>
      <c r="D3403" s="582">
        <v>31.84</v>
      </c>
    </row>
    <row r="3404" spans="1:4" x14ac:dyDescent="0.2">
      <c r="A3404" s="574">
        <v>40365</v>
      </c>
      <c r="B3404" s="574" t="s">
        <v>8991</v>
      </c>
      <c r="C3404" s="574" t="s">
        <v>5555</v>
      </c>
      <c r="D3404" s="582">
        <v>21.48</v>
      </c>
    </row>
    <row r="3405" spans="1:4" x14ac:dyDescent="0.2">
      <c r="A3405" s="574">
        <v>40356</v>
      </c>
      <c r="B3405" s="574" t="s">
        <v>8992</v>
      </c>
      <c r="C3405" s="574" t="s">
        <v>5555</v>
      </c>
      <c r="D3405" s="582">
        <v>7.34</v>
      </c>
    </row>
    <row r="3406" spans="1:4" x14ac:dyDescent="0.2">
      <c r="A3406" s="574">
        <v>40362</v>
      </c>
      <c r="B3406" s="574" t="s">
        <v>8993</v>
      </c>
      <c r="C3406" s="574" t="s">
        <v>5555</v>
      </c>
      <c r="D3406" s="582">
        <v>14.23</v>
      </c>
    </row>
    <row r="3407" spans="1:4" x14ac:dyDescent="0.2">
      <c r="A3407" s="574">
        <v>40374</v>
      </c>
      <c r="B3407" s="574" t="s">
        <v>8994</v>
      </c>
      <c r="C3407" s="574" t="s">
        <v>5555</v>
      </c>
      <c r="D3407" s="582">
        <v>83.22</v>
      </c>
    </row>
    <row r="3408" spans="1:4" x14ac:dyDescent="0.2">
      <c r="A3408" s="574">
        <v>40371</v>
      </c>
      <c r="B3408" s="574" t="s">
        <v>8995</v>
      </c>
      <c r="C3408" s="574" t="s">
        <v>5555</v>
      </c>
      <c r="D3408" s="582">
        <v>52.38</v>
      </c>
    </row>
    <row r="3409" spans="1:4" x14ac:dyDescent="0.2">
      <c r="A3409" s="574">
        <v>40359</v>
      </c>
      <c r="B3409" s="574" t="s">
        <v>8996</v>
      </c>
      <c r="C3409" s="574" t="s">
        <v>5555</v>
      </c>
      <c r="D3409" s="582">
        <v>9.48</v>
      </c>
    </row>
    <row r="3410" spans="1:4" x14ac:dyDescent="0.2">
      <c r="A3410" s="574">
        <v>7595</v>
      </c>
      <c r="B3410" s="574" t="s">
        <v>8997</v>
      </c>
      <c r="C3410" s="574" t="s">
        <v>5566</v>
      </c>
      <c r="D3410" s="582">
        <v>16.71</v>
      </c>
    </row>
    <row r="3411" spans="1:4" x14ac:dyDescent="0.2">
      <c r="A3411" s="574">
        <v>41094</v>
      </c>
      <c r="B3411" s="574" t="s">
        <v>8998</v>
      </c>
      <c r="C3411" s="574" t="s">
        <v>5755</v>
      </c>
      <c r="D3411" s="583">
        <v>2922.32</v>
      </c>
    </row>
    <row r="3412" spans="1:4" x14ac:dyDescent="0.2">
      <c r="A3412" s="574">
        <v>39609</v>
      </c>
      <c r="B3412" s="574" t="s">
        <v>13622</v>
      </c>
      <c r="C3412" s="574" t="s">
        <v>5555</v>
      </c>
      <c r="D3412" s="583">
        <v>47786.43</v>
      </c>
    </row>
    <row r="3413" spans="1:4" x14ac:dyDescent="0.2">
      <c r="A3413" s="574">
        <v>39610</v>
      </c>
      <c r="B3413" s="574" t="s">
        <v>13623</v>
      </c>
      <c r="C3413" s="574" t="s">
        <v>5555</v>
      </c>
      <c r="D3413" s="583">
        <v>69753.279999999999</v>
      </c>
    </row>
    <row r="3414" spans="1:4" x14ac:dyDescent="0.2">
      <c r="A3414" s="574">
        <v>39611</v>
      </c>
      <c r="B3414" s="574" t="s">
        <v>13624</v>
      </c>
      <c r="C3414" s="574" t="s">
        <v>5555</v>
      </c>
      <c r="D3414" s="583">
        <v>84412.88</v>
      </c>
    </row>
    <row r="3415" spans="1:4" x14ac:dyDescent="0.2">
      <c r="A3415" s="574">
        <v>39612</v>
      </c>
      <c r="B3415" s="574" t="s">
        <v>13625</v>
      </c>
      <c r="C3415" s="574" t="s">
        <v>5555</v>
      </c>
      <c r="D3415" s="583">
        <v>132234.69</v>
      </c>
    </row>
    <row r="3416" spans="1:4" x14ac:dyDescent="0.2">
      <c r="A3416" s="574">
        <v>39608</v>
      </c>
      <c r="B3416" s="574" t="s">
        <v>13626</v>
      </c>
      <c r="C3416" s="574" t="s">
        <v>5555</v>
      </c>
      <c r="D3416" s="583">
        <v>38209.519999999997</v>
      </c>
    </row>
    <row r="3417" spans="1:4" x14ac:dyDescent="0.2">
      <c r="A3417" s="574">
        <v>38175</v>
      </c>
      <c r="B3417" s="574" t="s">
        <v>8999</v>
      </c>
      <c r="C3417" s="574" t="s">
        <v>5555</v>
      </c>
      <c r="D3417" s="582">
        <v>2.4900000000000002</v>
      </c>
    </row>
    <row r="3418" spans="1:4" x14ac:dyDescent="0.2">
      <c r="A3418" s="574">
        <v>38176</v>
      </c>
      <c r="B3418" s="574" t="s">
        <v>9000</v>
      </c>
      <c r="C3418" s="574" t="s">
        <v>5555</v>
      </c>
      <c r="D3418" s="582">
        <v>6.76</v>
      </c>
    </row>
    <row r="3419" spans="1:4" x14ac:dyDescent="0.2">
      <c r="A3419" s="574">
        <v>36152</v>
      </c>
      <c r="B3419" s="574" t="s">
        <v>9001</v>
      </c>
      <c r="C3419" s="574" t="s">
        <v>5555</v>
      </c>
      <c r="D3419" s="582">
        <v>4.7699999999999996</v>
      </c>
    </row>
    <row r="3420" spans="1:4" x14ac:dyDescent="0.2">
      <c r="A3420" s="574">
        <v>11138</v>
      </c>
      <c r="B3420" s="574" t="s">
        <v>9002</v>
      </c>
      <c r="C3420" s="574" t="s">
        <v>5628</v>
      </c>
      <c r="D3420" s="582">
        <v>2.2000000000000002</v>
      </c>
    </row>
    <row r="3421" spans="1:4" x14ac:dyDescent="0.2">
      <c r="A3421" s="574">
        <v>5333</v>
      </c>
      <c r="B3421" s="574" t="s">
        <v>9003</v>
      </c>
      <c r="C3421" s="574" t="s">
        <v>5628</v>
      </c>
      <c r="D3421" s="582">
        <v>18.989999999999998</v>
      </c>
    </row>
    <row r="3422" spans="1:4" x14ac:dyDescent="0.2">
      <c r="A3422" s="574">
        <v>4221</v>
      </c>
      <c r="B3422" s="574" t="s">
        <v>9004</v>
      </c>
      <c r="C3422" s="574" t="s">
        <v>5628</v>
      </c>
      <c r="D3422" s="582">
        <v>3.43</v>
      </c>
    </row>
    <row r="3423" spans="1:4" x14ac:dyDescent="0.2">
      <c r="A3423" s="574">
        <v>4227</v>
      </c>
      <c r="B3423" s="574" t="s">
        <v>9005</v>
      </c>
      <c r="C3423" s="574" t="s">
        <v>5628</v>
      </c>
      <c r="D3423" s="582">
        <v>14</v>
      </c>
    </row>
    <row r="3424" spans="1:4" x14ac:dyDescent="0.2">
      <c r="A3424" s="574">
        <v>38170</v>
      </c>
      <c r="B3424" s="574" t="s">
        <v>9006</v>
      </c>
      <c r="C3424" s="574" t="s">
        <v>5555</v>
      </c>
      <c r="D3424" s="582">
        <v>11.4</v>
      </c>
    </row>
    <row r="3425" spans="1:4" x14ac:dyDescent="0.2">
      <c r="A3425" s="574">
        <v>4252</v>
      </c>
      <c r="B3425" s="574" t="s">
        <v>9007</v>
      </c>
      <c r="C3425" s="574" t="s">
        <v>5566</v>
      </c>
      <c r="D3425" s="582">
        <v>18.48</v>
      </c>
    </row>
    <row r="3426" spans="1:4" x14ac:dyDescent="0.2">
      <c r="A3426" s="574">
        <v>40980</v>
      </c>
      <c r="B3426" s="574" t="s">
        <v>9008</v>
      </c>
      <c r="C3426" s="574" t="s">
        <v>5755</v>
      </c>
      <c r="D3426" s="583">
        <v>3233.27</v>
      </c>
    </row>
    <row r="3427" spans="1:4" x14ac:dyDescent="0.2">
      <c r="A3427" s="574">
        <v>4243</v>
      </c>
      <c r="B3427" s="574" t="s">
        <v>9009</v>
      </c>
      <c r="C3427" s="574" t="s">
        <v>5566</v>
      </c>
      <c r="D3427" s="582">
        <v>12.84</v>
      </c>
    </row>
    <row r="3428" spans="1:4" x14ac:dyDescent="0.2">
      <c r="A3428" s="574">
        <v>41031</v>
      </c>
      <c r="B3428" s="574" t="s">
        <v>9010</v>
      </c>
      <c r="C3428" s="574" t="s">
        <v>5755</v>
      </c>
      <c r="D3428" s="583">
        <v>2245.5100000000002</v>
      </c>
    </row>
    <row r="3429" spans="1:4" x14ac:dyDescent="0.2">
      <c r="A3429" s="574">
        <v>37666</v>
      </c>
      <c r="B3429" s="574" t="s">
        <v>13627</v>
      </c>
      <c r="C3429" s="574" t="s">
        <v>5566</v>
      </c>
      <c r="D3429" s="582">
        <v>12.39</v>
      </c>
    </row>
    <row r="3430" spans="1:4" x14ac:dyDescent="0.2">
      <c r="A3430" s="574">
        <v>40986</v>
      </c>
      <c r="B3430" s="574" t="s">
        <v>9011</v>
      </c>
      <c r="C3430" s="574" t="s">
        <v>5755</v>
      </c>
      <c r="D3430" s="583">
        <v>2166.9899999999998</v>
      </c>
    </row>
    <row r="3431" spans="1:4" x14ac:dyDescent="0.2">
      <c r="A3431" s="574">
        <v>4250</v>
      </c>
      <c r="B3431" s="574" t="s">
        <v>9013</v>
      </c>
      <c r="C3431" s="574" t="s">
        <v>5566</v>
      </c>
      <c r="D3431" s="582">
        <v>16.670000000000002</v>
      </c>
    </row>
    <row r="3432" spans="1:4" x14ac:dyDescent="0.2">
      <c r="A3432" s="574">
        <v>40978</v>
      </c>
      <c r="B3432" s="574" t="s">
        <v>9014</v>
      </c>
      <c r="C3432" s="574" t="s">
        <v>5755</v>
      </c>
      <c r="D3432" s="583">
        <v>2916.4</v>
      </c>
    </row>
    <row r="3433" spans="1:4" x14ac:dyDescent="0.2">
      <c r="A3433" s="574">
        <v>25960</v>
      </c>
      <c r="B3433" s="574" t="s">
        <v>9015</v>
      </c>
      <c r="C3433" s="574" t="s">
        <v>5566</v>
      </c>
      <c r="D3433" s="582">
        <v>15.79</v>
      </c>
    </row>
    <row r="3434" spans="1:4" x14ac:dyDescent="0.2">
      <c r="A3434" s="574">
        <v>41043</v>
      </c>
      <c r="B3434" s="574" t="s">
        <v>9016</v>
      </c>
      <c r="C3434" s="574" t="s">
        <v>5755</v>
      </c>
      <c r="D3434" s="583">
        <v>2763.71</v>
      </c>
    </row>
    <row r="3435" spans="1:4" x14ac:dyDescent="0.2">
      <c r="A3435" s="574">
        <v>4234</v>
      </c>
      <c r="B3435" s="574" t="s">
        <v>9017</v>
      </c>
      <c r="C3435" s="574" t="s">
        <v>5566</v>
      </c>
      <c r="D3435" s="582">
        <v>17.309999999999999</v>
      </c>
    </row>
    <row r="3436" spans="1:4" x14ac:dyDescent="0.2">
      <c r="A3436" s="574">
        <v>40987</v>
      </c>
      <c r="B3436" s="574" t="s">
        <v>9018</v>
      </c>
      <c r="C3436" s="574" t="s">
        <v>5755</v>
      </c>
      <c r="D3436" s="583">
        <v>3027.52</v>
      </c>
    </row>
    <row r="3437" spans="1:4" x14ac:dyDescent="0.2">
      <c r="A3437" s="574">
        <v>4253</v>
      </c>
      <c r="B3437" s="574" t="s">
        <v>13628</v>
      </c>
      <c r="C3437" s="574" t="s">
        <v>5566</v>
      </c>
      <c r="D3437" s="582">
        <v>14.95</v>
      </c>
    </row>
    <row r="3438" spans="1:4" x14ac:dyDescent="0.2">
      <c r="A3438" s="574">
        <v>40981</v>
      </c>
      <c r="B3438" s="574" t="s">
        <v>9020</v>
      </c>
      <c r="C3438" s="574" t="s">
        <v>5755</v>
      </c>
      <c r="D3438" s="583">
        <v>2614.38</v>
      </c>
    </row>
    <row r="3439" spans="1:4" x14ac:dyDescent="0.2">
      <c r="A3439" s="574">
        <v>4254</v>
      </c>
      <c r="B3439" s="574" t="s">
        <v>9021</v>
      </c>
      <c r="C3439" s="574" t="s">
        <v>5566</v>
      </c>
      <c r="D3439" s="582">
        <v>19.440000000000001</v>
      </c>
    </row>
    <row r="3440" spans="1:4" x14ac:dyDescent="0.2">
      <c r="A3440" s="574">
        <v>41036</v>
      </c>
      <c r="B3440" s="574" t="s">
        <v>9022</v>
      </c>
      <c r="C3440" s="574" t="s">
        <v>5755</v>
      </c>
      <c r="D3440" s="583">
        <v>3400.28</v>
      </c>
    </row>
    <row r="3441" spans="1:4" x14ac:dyDescent="0.2">
      <c r="A3441" s="574">
        <v>4251</v>
      </c>
      <c r="B3441" s="574" t="s">
        <v>9023</v>
      </c>
      <c r="C3441" s="574" t="s">
        <v>5566</v>
      </c>
      <c r="D3441" s="582">
        <v>15.49</v>
      </c>
    </row>
    <row r="3442" spans="1:4" x14ac:dyDescent="0.2">
      <c r="A3442" s="574">
        <v>40979</v>
      </c>
      <c r="B3442" s="574" t="s">
        <v>9024</v>
      </c>
      <c r="C3442" s="574" t="s">
        <v>5755</v>
      </c>
      <c r="D3442" s="583">
        <v>2710.3</v>
      </c>
    </row>
    <row r="3443" spans="1:4" x14ac:dyDescent="0.2">
      <c r="A3443" s="574">
        <v>4230</v>
      </c>
      <c r="B3443" s="574" t="s">
        <v>9025</v>
      </c>
      <c r="C3443" s="574" t="s">
        <v>5566</v>
      </c>
      <c r="D3443" s="582">
        <v>18</v>
      </c>
    </row>
    <row r="3444" spans="1:4" x14ac:dyDescent="0.2">
      <c r="A3444" s="574">
        <v>40998</v>
      </c>
      <c r="B3444" s="574" t="s">
        <v>9026</v>
      </c>
      <c r="C3444" s="574" t="s">
        <v>5755</v>
      </c>
      <c r="D3444" s="583">
        <v>3149.59</v>
      </c>
    </row>
    <row r="3445" spans="1:4" x14ac:dyDescent="0.2">
      <c r="A3445" s="574">
        <v>4257</v>
      </c>
      <c r="B3445" s="574" t="s">
        <v>9027</v>
      </c>
      <c r="C3445" s="574" t="s">
        <v>5566</v>
      </c>
      <c r="D3445" s="582">
        <v>14.95</v>
      </c>
    </row>
    <row r="3446" spans="1:4" x14ac:dyDescent="0.2">
      <c r="A3446" s="574">
        <v>40982</v>
      </c>
      <c r="B3446" s="574" t="s">
        <v>9028</v>
      </c>
      <c r="C3446" s="574" t="s">
        <v>5755</v>
      </c>
      <c r="D3446" s="583">
        <v>2614.4</v>
      </c>
    </row>
    <row r="3447" spans="1:4" x14ac:dyDescent="0.2">
      <c r="A3447" s="574">
        <v>4240</v>
      </c>
      <c r="B3447" s="574" t="s">
        <v>9029</v>
      </c>
      <c r="C3447" s="574" t="s">
        <v>5566</v>
      </c>
      <c r="D3447" s="582">
        <v>16.07</v>
      </c>
    </row>
    <row r="3448" spans="1:4" x14ac:dyDescent="0.2">
      <c r="A3448" s="574">
        <v>41026</v>
      </c>
      <c r="B3448" s="574" t="s">
        <v>9030</v>
      </c>
      <c r="C3448" s="574" t="s">
        <v>5755</v>
      </c>
      <c r="D3448" s="583">
        <v>2810.81</v>
      </c>
    </row>
    <row r="3449" spans="1:4" x14ac:dyDescent="0.2">
      <c r="A3449" s="574">
        <v>4239</v>
      </c>
      <c r="B3449" s="574" t="s">
        <v>9031</v>
      </c>
      <c r="C3449" s="574" t="s">
        <v>5566</v>
      </c>
      <c r="D3449" s="582">
        <v>19.7</v>
      </c>
    </row>
    <row r="3450" spans="1:4" x14ac:dyDescent="0.2">
      <c r="A3450" s="574">
        <v>41024</v>
      </c>
      <c r="B3450" s="574" t="s">
        <v>9032</v>
      </c>
      <c r="C3450" s="574" t="s">
        <v>5755</v>
      </c>
      <c r="D3450" s="583">
        <v>3448.35</v>
      </c>
    </row>
    <row r="3451" spans="1:4" x14ac:dyDescent="0.2">
      <c r="A3451" s="574">
        <v>4248</v>
      </c>
      <c r="B3451" s="574" t="s">
        <v>9033</v>
      </c>
      <c r="C3451" s="574" t="s">
        <v>5566</v>
      </c>
      <c r="D3451" s="582">
        <v>17.079999999999998</v>
      </c>
    </row>
    <row r="3452" spans="1:4" x14ac:dyDescent="0.2">
      <c r="A3452" s="574">
        <v>41033</v>
      </c>
      <c r="B3452" s="574" t="s">
        <v>9034</v>
      </c>
      <c r="C3452" s="574" t="s">
        <v>5755</v>
      </c>
      <c r="D3452" s="583">
        <v>2987.77</v>
      </c>
    </row>
    <row r="3453" spans="1:4" x14ac:dyDescent="0.2">
      <c r="A3453" s="574">
        <v>25959</v>
      </c>
      <c r="B3453" s="574" t="s">
        <v>13629</v>
      </c>
      <c r="C3453" s="574" t="s">
        <v>5566</v>
      </c>
      <c r="D3453" s="582">
        <v>16.579999999999998</v>
      </c>
    </row>
    <row r="3454" spans="1:4" x14ac:dyDescent="0.2">
      <c r="A3454" s="574">
        <v>41040</v>
      </c>
      <c r="B3454" s="574" t="s">
        <v>13630</v>
      </c>
      <c r="C3454" s="574" t="s">
        <v>5755</v>
      </c>
      <c r="D3454" s="583">
        <v>2901.89</v>
      </c>
    </row>
    <row r="3455" spans="1:4" x14ac:dyDescent="0.2">
      <c r="A3455" s="574">
        <v>4238</v>
      </c>
      <c r="B3455" s="574" t="s">
        <v>9037</v>
      </c>
      <c r="C3455" s="574" t="s">
        <v>5566</v>
      </c>
      <c r="D3455" s="582">
        <v>16.88</v>
      </c>
    </row>
    <row r="3456" spans="1:4" x14ac:dyDescent="0.2">
      <c r="A3456" s="574">
        <v>41012</v>
      </c>
      <c r="B3456" s="574" t="s">
        <v>9038</v>
      </c>
      <c r="C3456" s="574" t="s">
        <v>5755</v>
      </c>
      <c r="D3456" s="583">
        <v>2955.6</v>
      </c>
    </row>
    <row r="3457" spans="1:4" x14ac:dyDescent="0.2">
      <c r="A3457" s="574">
        <v>4237</v>
      </c>
      <c r="B3457" s="574" t="s">
        <v>9039</v>
      </c>
      <c r="C3457" s="574" t="s">
        <v>5566</v>
      </c>
      <c r="D3457" s="582">
        <v>16.559999999999999</v>
      </c>
    </row>
    <row r="3458" spans="1:4" x14ac:dyDescent="0.2">
      <c r="A3458" s="574">
        <v>41002</v>
      </c>
      <c r="B3458" s="574" t="s">
        <v>9040</v>
      </c>
      <c r="C3458" s="574" t="s">
        <v>5755</v>
      </c>
      <c r="D3458" s="583">
        <v>2897.22</v>
      </c>
    </row>
    <row r="3459" spans="1:4" x14ac:dyDescent="0.2">
      <c r="A3459" s="574">
        <v>4233</v>
      </c>
      <c r="B3459" s="574" t="s">
        <v>9041</v>
      </c>
      <c r="C3459" s="574" t="s">
        <v>5566</v>
      </c>
      <c r="D3459" s="582">
        <v>14.24</v>
      </c>
    </row>
    <row r="3460" spans="1:4" x14ac:dyDescent="0.2">
      <c r="A3460" s="574">
        <v>41001</v>
      </c>
      <c r="B3460" s="574" t="s">
        <v>9042</v>
      </c>
      <c r="C3460" s="574" t="s">
        <v>5755</v>
      </c>
      <c r="D3460" s="583">
        <v>2492.04</v>
      </c>
    </row>
    <row r="3461" spans="1:4" x14ac:dyDescent="0.2">
      <c r="A3461" s="574">
        <v>2</v>
      </c>
      <c r="B3461" s="574" t="s">
        <v>9043</v>
      </c>
      <c r="C3461" s="574" t="s">
        <v>5751</v>
      </c>
      <c r="D3461" s="582">
        <v>9.8000000000000007</v>
      </c>
    </row>
    <row r="3462" spans="1:4" x14ac:dyDescent="0.2">
      <c r="A3462" s="574">
        <v>36517</v>
      </c>
      <c r="B3462" s="574" t="s">
        <v>13631</v>
      </c>
      <c r="C3462" s="574" t="s">
        <v>5555</v>
      </c>
      <c r="D3462" s="583">
        <v>341843.94</v>
      </c>
    </row>
    <row r="3463" spans="1:4" x14ac:dyDescent="0.2">
      <c r="A3463" s="574">
        <v>4262</v>
      </c>
      <c r="B3463" s="574" t="s">
        <v>13632</v>
      </c>
      <c r="C3463" s="574" t="s">
        <v>5555</v>
      </c>
      <c r="D3463" s="583">
        <v>384959.4</v>
      </c>
    </row>
    <row r="3464" spans="1:4" x14ac:dyDescent="0.2">
      <c r="A3464" s="574">
        <v>4263</v>
      </c>
      <c r="B3464" s="574" t="s">
        <v>13633</v>
      </c>
      <c r="C3464" s="574" t="s">
        <v>5555</v>
      </c>
      <c r="D3464" s="583">
        <v>533810.34</v>
      </c>
    </row>
    <row r="3465" spans="1:4" x14ac:dyDescent="0.2">
      <c r="A3465" s="574">
        <v>36518</v>
      </c>
      <c r="B3465" s="574" t="s">
        <v>13634</v>
      </c>
      <c r="C3465" s="574" t="s">
        <v>5555</v>
      </c>
      <c r="D3465" s="583">
        <v>607722.54</v>
      </c>
    </row>
    <row r="3466" spans="1:4" x14ac:dyDescent="0.2">
      <c r="A3466" s="574">
        <v>14221</v>
      </c>
      <c r="B3466" s="574" t="s">
        <v>13635</v>
      </c>
      <c r="C3466" s="574" t="s">
        <v>5555</v>
      </c>
      <c r="D3466" s="583">
        <v>354675.91</v>
      </c>
    </row>
    <row r="3467" spans="1:4" x14ac:dyDescent="0.2">
      <c r="A3467" s="574">
        <v>38402</v>
      </c>
      <c r="B3467" s="574" t="s">
        <v>9049</v>
      </c>
      <c r="C3467" s="574" t="s">
        <v>5555</v>
      </c>
      <c r="D3467" s="582">
        <v>5.81</v>
      </c>
    </row>
    <row r="3468" spans="1:4" x14ac:dyDescent="0.2">
      <c r="A3468" s="574">
        <v>3412</v>
      </c>
      <c r="B3468" s="574" t="s">
        <v>9050</v>
      </c>
      <c r="C3468" s="574" t="s">
        <v>5564</v>
      </c>
      <c r="D3468" s="582">
        <v>13.77</v>
      </c>
    </row>
    <row r="3469" spans="1:4" x14ac:dyDescent="0.2">
      <c r="A3469" s="574">
        <v>3413</v>
      </c>
      <c r="B3469" s="574" t="s">
        <v>9051</v>
      </c>
      <c r="C3469" s="574" t="s">
        <v>5564</v>
      </c>
      <c r="D3469" s="582">
        <v>31</v>
      </c>
    </row>
    <row r="3470" spans="1:4" x14ac:dyDescent="0.2">
      <c r="A3470" s="574">
        <v>39744</v>
      </c>
      <c r="B3470" s="574" t="s">
        <v>9052</v>
      </c>
      <c r="C3470" s="574" t="s">
        <v>5564</v>
      </c>
      <c r="D3470" s="582">
        <v>24.07</v>
      </c>
    </row>
    <row r="3471" spans="1:4" x14ac:dyDescent="0.2">
      <c r="A3471" s="574">
        <v>39745</v>
      </c>
      <c r="B3471" s="574" t="s">
        <v>9053</v>
      </c>
      <c r="C3471" s="574" t="s">
        <v>5564</v>
      </c>
      <c r="D3471" s="582">
        <v>50.81</v>
      </c>
    </row>
    <row r="3472" spans="1:4" x14ac:dyDescent="0.2">
      <c r="A3472" s="574">
        <v>39637</v>
      </c>
      <c r="B3472" s="574" t="s">
        <v>9054</v>
      </c>
      <c r="C3472" s="574" t="s">
        <v>5564</v>
      </c>
      <c r="D3472" s="582">
        <v>64.08</v>
      </c>
    </row>
    <row r="3473" spans="1:4" x14ac:dyDescent="0.2">
      <c r="A3473" s="574">
        <v>39638</v>
      </c>
      <c r="B3473" s="574" t="s">
        <v>9055</v>
      </c>
      <c r="C3473" s="574" t="s">
        <v>5564</v>
      </c>
      <c r="D3473" s="582">
        <v>119.33</v>
      </c>
    </row>
    <row r="3474" spans="1:4" x14ac:dyDescent="0.2">
      <c r="A3474" s="574">
        <v>39639</v>
      </c>
      <c r="B3474" s="574" t="s">
        <v>9056</v>
      </c>
      <c r="C3474" s="574" t="s">
        <v>5564</v>
      </c>
      <c r="D3474" s="582">
        <v>157.32</v>
      </c>
    </row>
    <row r="3475" spans="1:4" x14ac:dyDescent="0.2">
      <c r="A3475" s="574">
        <v>39517</v>
      </c>
      <c r="B3475" s="574" t="s">
        <v>13636</v>
      </c>
      <c r="C3475" s="574" t="s">
        <v>5564</v>
      </c>
      <c r="D3475" s="582">
        <v>160.49</v>
      </c>
    </row>
    <row r="3476" spans="1:4" x14ac:dyDescent="0.2">
      <c r="A3476" s="574">
        <v>39518</v>
      </c>
      <c r="B3476" s="574" t="s">
        <v>13637</v>
      </c>
      <c r="C3476" s="574" t="s">
        <v>5564</v>
      </c>
      <c r="D3476" s="582">
        <v>190.27</v>
      </c>
    </row>
    <row r="3477" spans="1:4" x14ac:dyDescent="0.2">
      <c r="A3477" s="574">
        <v>38366</v>
      </c>
      <c r="B3477" s="574" t="s">
        <v>9059</v>
      </c>
      <c r="C3477" s="574" t="s">
        <v>5564</v>
      </c>
      <c r="D3477" s="582">
        <v>3.5</v>
      </c>
    </row>
    <row r="3478" spans="1:4" x14ac:dyDescent="0.2">
      <c r="A3478" s="574">
        <v>11703</v>
      </c>
      <c r="B3478" s="574" t="s">
        <v>9060</v>
      </c>
      <c r="C3478" s="574" t="s">
        <v>5555</v>
      </c>
      <c r="D3478" s="582">
        <v>23.8</v>
      </c>
    </row>
    <row r="3479" spans="1:4" x14ac:dyDescent="0.2">
      <c r="A3479" s="574">
        <v>37400</v>
      </c>
      <c r="B3479" s="574" t="s">
        <v>9061</v>
      </c>
      <c r="C3479" s="574" t="s">
        <v>5555</v>
      </c>
      <c r="D3479" s="582">
        <v>60.57</v>
      </c>
    </row>
    <row r="3480" spans="1:4" x14ac:dyDescent="0.2">
      <c r="A3480" s="574">
        <v>25400</v>
      </c>
      <c r="B3480" s="574" t="s">
        <v>9062</v>
      </c>
      <c r="C3480" s="574" t="s">
        <v>5555</v>
      </c>
      <c r="D3480" s="583">
        <v>1097.6300000000001</v>
      </c>
    </row>
    <row r="3481" spans="1:4" x14ac:dyDescent="0.2">
      <c r="A3481" s="574">
        <v>4272</v>
      </c>
      <c r="B3481" s="574" t="s">
        <v>9063</v>
      </c>
      <c r="C3481" s="574" t="s">
        <v>5555</v>
      </c>
      <c r="D3481" s="582">
        <v>99.41</v>
      </c>
    </row>
    <row r="3482" spans="1:4" x14ac:dyDescent="0.2">
      <c r="A3482" s="574">
        <v>4276</v>
      </c>
      <c r="B3482" s="574" t="s">
        <v>9064</v>
      </c>
      <c r="C3482" s="574" t="s">
        <v>5555</v>
      </c>
      <c r="D3482" s="582">
        <v>293.39999999999998</v>
      </c>
    </row>
    <row r="3483" spans="1:4" x14ac:dyDescent="0.2">
      <c r="A3483" s="574">
        <v>4273</v>
      </c>
      <c r="B3483" s="574" t="s">
        <v>9065</v>
      </c>
      <c r="C3483" s="574" t="s">
        <v>5555</v>
      </c>
      <c r="D3483" s="582">
        <v>487.4</v>
      </c>
    </row>
    <row r="3484" spans="1:4" x14ac:dyDescent="0.2">
      <c r="A3484" s="574">
        <v>4274</v>
      </c>
      <c r="B3484" s="574" t="s">
        <v>9066</v>
      </c>
      <c r="C3484" s="574" t="s">
        <v>5555</v>
      </c>
      <c r="D3484" s="582">
        <v>113.02</v>
      </c>
    </row>
    <row r="3485" spans="1:4" x14ac:dyDescent="0.2">
      <c r="A3485" s="574">
        <v>39438</v>
      </c>
      <c r="B3485" s="574" t="s">
        <v>9067</v>
      </c>
      <c r="C3485" s="574" t="s">
        <v>5555</v>
      </c>
      <c r="D3485" s="582">
        <v>0.16</v>
      </c>
    </row>
    <row r="3486" spans="1:4" x14ac:dyDescent="0.2">
      <c r="A3486" s="574">
        <v>11963</v>
      </c>
      <c r="B3486" s="574" t="s">
        <v>9068</v>
      </c>
      <c r="C3486" s="574" t="s">
        <v>5555</v>
      </c>
      <c r="D3486" s="582">
        <v>5.81</v>
      </c>
    </row>
    <row r="3487" spans="1:4" x14ac:dyDescent="0.2">
      <c r="A3487" s="574">
        <v>11964</v>
      </c>
      <c r="B3487" s="574" t="s">
        <v>9069</v>
      </c>
      <c r="C3487" s="574" t="s">
        <v>5555</v>
      </c>
      <c r="D3487" s="582">
        <v>1.46</v>
      </c>
    </row>
    <row r="3488" spans="1:4" x14ac:dyDescent="0.2">
      <c r="A3488" s="574">
        <v>4379</v>
      </c>
      <c r="B3488" s="574" t="s">
        <v>9070</v>
      </c>
      <c r="C3488" s="574" t="s">
        <v>5555</v>
      </c>
      <c r="D3488" s="582">
        <v>0.03</v>
      </c>
    </row>
    <row r="3489" spans="1:4" x14ac:dyDescent="0.2">
      <c r="A3489" s="574">
        <v>4377</v>
      </c>
      <c r="B3489" s="574" t="s">
        <v>9071</v>
      </c>
      <c r="C3489" s="574" t="s">
        <v>5555</v>
      </c>
      <c r="D3489" s="582">
        <v>0.11</v>
      </c>
    </row>
    <row r="3490" spans="1:4" x14ac:dyDescent="0.2">
      <c r="A3490" s="574">
        <v>4356</v>
      </c>
      <c r="B3490" s="574" t="s">
        <v>9072</v>
      </c>
      <c r="C3490" s="574" t="s">
        <v>5555</v>
      </c>
      <c r="D3490" s="582">
        <v>0.16</v>
      </c>
    </row>
    <row r="3491" spans="1:4" x14ac:dyDescent="0.2">
      <c r="A3491" s="574">
        <v>13246</v>
      </c>
      <c r="B3491" s="574" t="s">
        <v>9073</v>
      </c>
      <c r="C3491" s="574" t="s">
        <v>5555</v>
      </c>
      <c r="D3491" s="582">
        <v>0.27</v>
      </c>
    </row>
    <row r="3492" spans="1:4" x14ac:dyDescent="0.2">
      <c r="A3492" s="574">
        <v>4346</v>
      </c>
      <c r="B3492" s="574" t="s">
        <v>9074</v>
      </c>
      <c r="C3492" s="574" t="s">
        <v>5555</v>
      </c>
      <c r="D3492" s="582">
        <v>6.23</v>
      </c>
    </row>
    <row r="3493" spans="1:4" x14ac:dyDescent="0.2">
      <c r="A3493" s="574">
        <v>11955</v>
      </c>
      <c r="B3493" s="574" t="s">
        <v>9075</v>
      </c>
      <c r="C3493" s="574" t="s">
        <v>5555</v>
      </c>
      <c r="D3493" s="582">
        <v>2.72</v>
      </c>
    </row>
    <row r="3494" spans="1:4" x14ac:dyDescent="0.2">
      <c r="A3494" s="574">
        <v>11960</v>
      </c>
      <c r="B3494" s="574" t="s">
        <v>9076</v>
      </c>
      <c r="C3494" s="574" t="s">
        <v>5555</v>
      </c>
      <c r="D3494" s="582">
        <v>0.09</v>
      </c>
    </row>
    <row r="3495" spans="1:4" x14ac:dyDescent="0.2">
      <c r="A3495" s="574">
        <v>4333</v>
      </c>
      <c r="B3495" s="574" t="s">
        <v>9077</v>
      </c>
      <c r="C3495" s="574" t="s">
        <v>5555</v>
      </c>
      <c r="D3495" s="582">
        <v>0.16</v>
      </c>
    </row>
    <row r="3496" spans="1:4" x14ac:dyDescent="0.2">
      <c r="A3496" s="574">
        <v>4358</v>
      </c>
      <c r="B3496" s="574" t="s">
        <v>9078</v>
      </c>
      <c r="C3496" s="574" t="s">
        <v>5555</v>
      </c>
      <c r="D3496" s="582">
        <v>1.24</v>
      </c>
    </row>
    <row r="3497" spans="1:4" x14ac:dyDescent="0.2">
      <c r="A3497" s="574">
        <v>39435</v>
      </c>
      <c r="B3497" s="574" t="s">
        <v>9079</v>
      </c>
      <c r="C3497" s="574" t="s">
        <v>5555</v>
      </c>
      <c r="D3497" s="582">
        <v>0.06</v>
      </c>
    </row>
    <row r="3498" spans="1:4" x14ac:dyDescent="0.2">
      <c r="A3498" s="574">
        <v>39436</v>
      </c>
      <c r="B3498" s="574" t="s">
        <v>9080</v>
      </c>
      <c r="C3498" s="574" t="s">
        <v>5555</v>
      </c>
      <c r="D3498" s="582">
        <v>0.1</v>
      </c>
    </row>
    <row r="3499" spans="1:4" x14ac:dyDescent="0.2">
      <c r="A3499" s="574">
        <v>39437</v>
      </c>
      <c r="B3499" s="574" t="s">
        <v>9081</v>
      </c>
      <c r="C3499" s="574" t="s">
        <v>5555</v>
      </c>
      <c r="D3499" s="582">
        <v>0.14000000000000001</v>
      </c>
    </row>
    <row r="3500" spans="1:4" x14ac:dyDescent="0.2">
      <c r="A3500" s="574">
        <v>39439</v>
      </c>
      <c r="B3500" s="574" t="s">
        <v>9082</v>
      </c>
      <c r="C3500" s="574" t="s">
        <v>5555</v>
      </c>
      <c r="D3500" s="582">
        <v>0.09</v>
      </c>
    </row>
    <row r="3501" spans="1:4" x14ac:dyDescent="0.2">
      <c r="A3501" s="574">
        <v>39440</v>
      </c>
      <c r="B3501" s="574" t="s">
        <v>9083</v>
      </c>
      <c r="C3501" s="574" t="s">
        <v>5555</v>
      </c>
      <c r="D3501" s="582">
        <v>0.12</v>
      </c>
    </row>
    <row r="3502" spans="1:4" x14ac:dyDescent="0.2">
      <c r="A3502" s="574">
        <v>39441</v>
      </c>
      <c r="B3502" s="574" t="s">
        <v>9084</v>
      </c>
      <c r="C3502" s="574" t="s">
        <v>5555</v>
      </c>
      <c r="D3502" s="582">
        <v>0.15</v>
      </c>
    </row>
    <row r="3503" spans="1:4" x14ac:dyDescent="0.2">
      <c r="A3503" s="574">
        <v>39442</v>
      </c>
      <c r="B3503" s="574" t="s">
        <v>9085</v>
      </c>
      <c r="C3503" s="574" t="s">
        <v>5555</v>
      </c>
      <c r="D3503" s="582">
        <v>0.11</v>
      </c>
    </row>
    <row r="3504" spans="1:4" x14ac:dyDescent="0.2">
      <c r="A3504" s="574">
        <v>39443</v>
      </c>
      <c r="B3504" s="574" t="s">
        <v>9086</v>
      </c>
      <c r="C3504" s="574" t="s">
        <v>5555</v>
      </c>
      <c r="D3504" s="582">
        <v>0.14000000000000001</v>
      </c>
    </row>
    <row r="3505" spans="1:4" x14ac:dyDescent="0.2">
      <c r="A3505" s="574">
        <v>4329</v>
      </c>
      <c r="B3505" s="574" t="s">
        <v>9087</v>
      </c>
      <c r="C3505" s="574" t="s">
        <v>5555</v>
      </c>
      <c r="D3505" s="582">
        <v>1.33</v>
      </c>
    </row>
    <row r="3506" spans="1:4" x14ac:dyDescent="0.2">
      <c r="A3506" s="574">
        <v>4383</v>
      </c>
      <c r="B3506" s="574" t="s">
        <v>9088</v>
      </c>
      <c r="C3506" s="574" t="s">
        <v>5555</v>
      </c>
      <c r="D3506" s="582">
        <v>12.02</v>
      </c>
    </row>
    <row r="3507" spans="1:4" x14ac:dyDescent="0.2">
      <c r="A3507" s="574">
        <v>4344</v>
      </c>
      <c r="B3507" s="574" t="s">
        <v>9089</v>
      </c>
      <c r="C3507" s="574" t="s">
        <v>5555</v>
      </c>
      <c r="D3507" s="582">
        <v>12.6</v>
      </c>
    </row>
    <row r="3508" spans="1:4" x14ac:dyDescent="0.2">
      <c r="A3508" s="574">
        <v>436</v>
      </c>
      <c r="B3508" s="574" t="s">
        <v>9090</v>
      </c>
      <c r="C3508" s="574" t="s">
        <v>5555</v>
      </c>
      <c r="D3508" s="582">
        <v>6.24</v>
      </c>
    </row>
    <row r="3509" spans="1:4" x14ac:dyDescent="0.2">
      <c r="A3509" s="574">
        <v>442</v>
      </c>
      <c r="B3509" s="574" t="s">
        <v>9091</v>
      </c>
      <c r="C3509" s="574" t="s">
        <v>5555</v>
      </c>
      <c r="D3509" s="582">
        <v>3.69</v>
      </c>
    </row>
    <row r="3510" spans="1:4" x14ac:dyDescent="0.2">
      <c r="A3510" s="574">
        <v>11953</v>
      </c>
      <c r="B3510" s="574" t="s">
        <v>9092</v>
      </c>
      <c r="C3510" s="574" t="s">
        <v>5555</v>
      </c>
      <c r="D3510" s="582">
        <v>2</v>
      </c>
    </row>
    <row r="3511" spans="1:4" x14ac:dyDescent="0.2">
      <c r="A3511" s="574">
        <v>4335</v>
      </c>
      <c r="B3511" s="574" t="s">
        <v>9093</v>
      </c>
      <c r="C3511" s="574" t="s">
        <v>5555</v>
      </c>
      <c r="D3511" s="582">
        <v>8.4600000000000009</v>
      </c>
    </row>
    <row r="3512" spans="1:4" x14ac:dyDescent="0.2">
      <c r="A3512" s="574">
        <v>4334</v>
      </c>
      <c r="B3512" s="574" t="s">
        <v>9094</v>
      </c>
      <c r="C3512" s="574" t="s">
        <v>5555</v>
      </c>
      <c r="D3512" s="582">
        <v>11.61</v>
      </c>
    </row>
    <row r="3513" spans="1:4" x14ac:dyDescent="0.2">
      <c r="A3513" s="574">
        <v>4343</v>
      </c>
      <c r="B3513" s="574" t="s">
        <v>9095</v>
      </c>
      <c r="C3513" s="574" t="s">
        <v>5555</v>
      </c>
      <c r="D3513" s="582">
        <v>2.85</v>
      </c>
    </row>
    <row r="3514" spans="1:4" x14ac:dyDescent="0.2">
      <c r="A3514" s="574">
        <v>430</v>
      </c>
      <c r="B3514" s="574" t="s">
        <v>9096</v>
      </c>
      <c r="C3514" s="574" t="s">
        <v>5555</v>
      </c>
      <c r="D3514" s="582">
        <v>5.58</v>
      </c>
    </row>
    <row r="3515" spans="1:4" x14ac:dyDescent="0.2">
      <c r="A3515" s="574">
        <v>441</v>
      </c>
      <c r="B3515" s="574" t="s">
        <v>9097</v>
      </c>
      <c r="C3515" s="574" t="s">
        <v>5555</v>
      </c>
      <c r="D3515" s="582">
        <v>6.15</v>
      </c>
    </row>
    <row r="3516" spans="1:4" x14ac:dyDescent="0.2">
      <c r="A3516" s="574">
        <v>431</v>
      </c>
      <c r="B3516" s="574" t="s">
        <v>9098</v>
      </c>
      <c r="C3516" s="574" t="s">
        <v>5555</v>
      </c>
      <c r="D3516" s="582">
        <v>7.42</v>
      </c>
    </row>
    <row r="3517" spans="1:4" x14ac:dyDescent="0.2">
      <c r="A3517" s="574">
        <v>432</v>
      </c>
      <c r="B3517" s="574" t="s">
        <v>9099</v>
      </c>
      <c r="C3517" s="574" t="s">
        <v>5555</v>
      </c>
      <c r="D3517" s="582">
        <v>8.19</v>
      </c>
    </row>
    <row r="3518" spans="1:4" x14ac:dyDescent="0.2">
      <c r="A3518" s="574">
        <v>429</v>
      </c>
      <c r="B3518" s="574" t="s">
        <v>9100</v>
      </c>
      <c r="C3518" s="574" t="s">
        <v>5555</v>
      </c>
      <c r="D3518" s="582">
        <v>11.04</v>
      </c>
    </row>
    <row r="3519" spans="1:4" x14ac:dyDescent="0.2">
      <c r="A3519" s="574">
        <v>439</v>
      </c>
      <c r="B3519" s="574" t="s">
        <v>9101</v>
      </c>
      <c r="C3519" s="574" t="s">
        <v>5555</v>
      </c>
      <c r="D3519" s="582">
        <v>9.41</v>
      </c>
    </row>
    <row r="3520" spans="1:4" x14ac:dyDescent="0.2">
      <c r="A3520" s="574">
        <v>433</v>
      </c>
      <c r="B3520" s="574" t="s">
        <v>9102</v>
      </c>
      <c r="C3520" s="574" t="s">
        <v>5555</v>
      </c>
      <c r="D3520" s="582">
        <v>10.98</v>
      </c>
    </row>
    <row r="3521" spans="1:4" x14ac:dyDescent="0.2">
      <c r="A3521" s="574">
        <v>437</v>
      </c>
      <c r="B3521" s="574" t="s">
        <v>9103</v>
      </c>
      <c r="C3521" s="574" t="s">
        <v>5555</v>
      </c>
      <c r="D3521" s="582">
        <v>14.59</v>
      </c>
    </row>
    <row r="3522" spans="1:4" x14ac:dyDescent="0.2">
      <c r="A3522" s="574">
        <v>11790</v>
      </c>
      <c r="B3522" s="574" t="s">
        <v>9104</v>
      </c>
      <c r="C3522" s="574" t="s">
        <v>5555</v>
      </c>
      <c r="D3522" s="582">
        <v>16.55</v>
      </c>
    </row>
    <row r="3523" spans="1:4" x14ac:dyDescent="0.2">
      <c r="A3523" s="574">
        <v>428</v>
      </c>
      <c r="B3523" s="574" t="s">
        <v>9105</v>
      </c>
      <c r="C3523" s="574" t="s">
        <v>5555</v>
      </c>
      <c r="D3523" s="582">
        <v>18</v>
      </c>
    </row>
    <row r="3524" spans="1:4" x14ac:dyDescent="0.2">
      <c r="A3524" s="574">
        <v>4384</v>
      </c>
      <c r="B3524" s="574" t="s">
        <v>9106</v>
      </c>
      <c r="C3524" s="574" t="s">
        <v>5555</v>
      </c>
      <c r="D3524" s="582">
        <v>13.82</v>
      </c>
    </row>
    <row r="3525" spans="1:4" x14ac:dyDescent="0.2">
      <c r="A3525" s="574">
        <v>4351</v>
      </c>
      <c r="B3525" s="574" t="s">
        <v>9107</v>
      </c>
      <c r="C3525" s="574" t="s">
        <v>5555</v>
      </c>
      <c r="D3525" s="582">
        <v>10.24</v>
      </c>
    </row>
    <row r="3526" spans="1:4" x14ac:dyDescent="0.2">
      <c r="A3526" s="574">
        <v>11054</v>
      </c>
      <c r="B3526" s="574" t="s">
        <v>9108</v>
      </c>
      <c r="C3526" s="574" t="s">
        <v>5555</v>
      </c>
      <c r="D3526" s="582">
        <v>0.02</v>
      </c>
    </row>
    <row r="3527" spans="1:4" x14ac:dyDescent="0.2">
      <c r="A3527" s="574">
        <v>11055</v>
      </c>
      <c r="B3527" s="574" t="s">
        <v>9109</v>
      </c>
      <c r="C3527" s="574" t="s">
        <v>5555</v>
      </c>
      <c r="D3527" s="582">
        <v>0.04</v>
      </c>
    </row>
    <row r="3528" spans="1:4" x14ac:dyDescent="0.2">
      <c r="A3528" s="574">
        <v>11056</v>
      </c>
      <c r="B3528" s="574" t="s">
        <v>9110</v>
      </c>
      <c r="C3528" s="574" t="s">
        <v>5555</v>
      </c>
      <c r="D3528" s="582">
        <v>0.05</v>
      </c>
    </row>
    <row r="3529" spans="1:4" x14ac:dyDescent="0.2">
      <c r="A3529" s="574">
        <v>11057</v>
      </c>
      <c r="B3529" s="574" t="s">
        <v>9111</v>
      </c>
      <c r="C3529" s="574" t="s">
        <v>5555</v>
      </c>
      <c r="D3529" s="582">
        <v>0.1</v>
      </c>
    </row>
    <row r="3530" spans="1:4" x14ac:dyDescent="0.2">
      <c r="A3530" s="574">
        <v>11059</v>
      </c>
      <c r="B3530" s="574" t="s">
        <v>9112</v>
      </c>
      <c r="C3530" s="574" t="s">
        <v>5555</v>
      </c>
      <c r="D3530" s="582">
        <v>0.2</v>
      </c>
    </row>
    <row r="3531" spans="1:4" x14ac:dyDescent="0.2">
      <c r="A3531" s="574">
        <v>11058</v>
      </c>
      <c r="B3531" s="574" t="s">
        <v>9113</v>
      </c>
      <c r="C3531" s="574" t="s">
        <v>5555</v>
      </c>
      <c r="D3531" s="582">
        <v>0.26</v>
      </c>
    </row>
    <row r="3532" spans="1:4" x14ac:dyDescent="0.2">
      <c r="A3532" s="574">
        <v>4380</v>
      </c>
      <c r="B3532" s="574" t="s">
        <v>9114</v>
      </c>
      <c r="C3532" s="574" t="s">
        <v>5555</v>
      </c>
      <c r="D3532" s="582">
        <v>0.87</v>
      </c>
    </row>
    <row r="3533" spans="1:4" x14ac:dyDescent="0.2">
      <c r="A3533" s="574">
        <v>4299</v>
      </c>
      <c r="B3533" s="574" t="s">
        <v>9115</v>
      </c>
      <c r="C3533" s="574" t="s">
        <v>5555</v>
      </c>
      <c r="D3533" s="582">
        <v>0.82</v>
      </c>
    </row>
    <row r="3534" spans="1:4" x14ac:dyDescent="0.2">
      <c r="A3534" s="574">
        <v>4304</v>
      </c>
      <c r="B3534" s="574" t="s">
        <v>9116</v>
      </c>
      <c r="C3534" s="574" t="s">
        <v>5555</v>
      </c>
      <c r="D3534" s="582">
        <v>1.1100000000000001</v>
      </c>
    </row>
    <row r="3535" spans="1:4" x14ac:dyDescent="0.2">
      <c r="A3535" s="574">
        <v>4305</v>
      </c>
      <c r="B3535" s="574" t="s">
        <v>9117</v>
      </c>
      <c r="C3535" s="574" t="s">
        <v>5555</v>
      </c>
      <c r="D3535" s="582">
        <v>1.3</v>
      </c>
    </row>
    <row r="3536" spans="1:4" x14ac:dyDescent="0.2">
      <c r="A3536" s="574">
        <v>4306</v>
      </c>
      <c r="B3536" s="574" t="s">
        <v>9118</v>
      </c>
      <c r="C3536" s="574" t="s">
        <v>5555</v>
      </c>
      <c r="D3536" s="582">
        <v>1.5</v>
      </c>
    </row>
    <row r="3537" spans="1:4" x14ac:dyDescent="0.2">
      <c r="A3537" s="574">
        <v>4308</v>
      </c>
      <c r="B3537" s="574" t="s">
        <v>9119</v>
      </c>
      <c r="C3537" s="574" t="s">
        <v>5555</v>
      </c>
      <c r="D3537" s="582">
        <v>3.12</v>
      </c>
    </row>
    <row r="3538" spans="1:4" x14ac:dyDescent="0.2">
      <c r="A3538" s="574">
        <v>4302</v>
      </c>
      <c r="B3538" s="574" t="s">
        <v>9120</v>
      </c>
      <c r="C3538" s="574" t="s">
        <v>5555</v>
      </c>
      <c r="D3538" s="582">
        <v>2.34</v>
      </c>
    </row>
    <row r="3539" spans="1:4" x14ac:dyDescent="0.2">
      <c r="A3539" s="574">
        <v>4300</v>
      </c>
      <c r="B3539" s="574" t="s">
        <v>9121</v>
      </c>
      <c r="C3539" s="574" t="s">
        <v>5555</v>
      </c>
      <c r="D3539" s="582">
        <v>0.55000000000000004</v>
      </c>
    </row>
    <row r="3540" spans="1:4" x14ac:dyDescent="0.2">
      <c r="A3540" s="574">
        <v>4301</v>
      </c>
      <c r="B3540" s="574" t="s">
        <v>9122</v>
      </c>
      <c r="C3540" s="574" t="s">
        <v>5555</v>
      </c>
      <c r="D3540" s="582">
        <v>0.68</v>
      </c>
    </row>
    <row r="3541" spans="1:4" x14ac:dyDescent="0.2">
      <c r="A3541" s="574">
        <v>4320</v>
      </c>
      <c r="B3541" s="574" t="s">
        <v>9123</v>
      </c>
      <c r="C3541" s="574" t="s">
        <v>5555</v>
      </c>
      <c r="D3541" s="582">
        <v>2.06</v>
      </c>
    </row>
    <row r="3542" spans="1:4" x14ac:dyDescent="0.2">
      <c r="A3542" s="574">
        <v>4318</v>
      </c>
      <c r="B3542" s="574" t="s">
        <v>9124</v>
      </c>
      <c r="C3542" s="574" t="s">
        <v>5555</v>
      </c>
      <c r="D3542" s="582">
        <v>1</v>
      </c>
    </row>
    <row r="3543" spans="1:4" x14ac:dyDescent="0.2">
      <c r="A3543" s="574">
        <v>40547</v>
      </c>
      <c r="B3543" s="574" t="s">
        <v>11251</v>
      </c>
      <c r="C3543" s="574" t="s">
        <v>7833</v>
      </c>
      <c r="D3543" s="582">
        <v>16.79</v>
      </c>
    </row>
    <row r="3544" spans="1:4" x14ac:dyDescent="0.2">
      <c r="A3544" s="574">
        <v>11962</v>
      </c>
      <c r="B3544" s="574" t="s">
        <v>9125</v>
      </c>
      <c r="C3544" s="574" t="s">
        <v>5555</v>
      </c>
      <c r="D3544" s="582">
        <v>0.13</v>
      </c>
    </row>
    <row r="3545" spans="1:4" x14ac:dyDescent="0.2">
      <c r="A3545" s="574">
        <v>4332</v>
      </c>
      <c r="B3545" s="574" t="s">
        <v>9126</v>
      </c>
      <c r="C3545" s="574" t="s">
        <v>5555</v>
      </c>
      <c r="D3545" s="582">
        <v>0.67</v>
      </c>
    </row>
    <row r="3546" spans="1:4" x14ac:dyDescent="0.2">
      <c r="A3546" s="574">
        <v>4331</v>
      </c>
      <c r="B3546" s="574" t="s">
        <v>9127</v>
      </c>
      <c r="C3546" s="574" t="s">
        <v>5555</v>
      </c>
      <c r="D3546" s="582">
        <v>2.52</v>
      </c>
    </row>
    <row r="3547" spans="1:4" x14ac:dyDescent="0.2">
      <c r="A3547" s="574">
        <v>4336</v>
      </c>
      <c r="B3547" s="574" t="s">
        <v>9128</v>
      </c>
      <c r="C3547" s="574" t="s">
        <v>5555</v>
      </c>
      <c r="D3547" s="582">
        <v>3.22</v>
      </c>
    </row>
    <row r="3548" spans="1:4" x14ac:dyDescent="0.2">
      <c r="A3548" s="574">
        <v>13294</v>
      </c>
      <c r="B3548" s="574" t="s">
        <v>9129</v>
      </c>
      <c r="C3548" s="574" t="s">
        <v>5555</v>
      </c>
      <c r="D3548" s="582">
        <v>0.92</v>
      </c>
    </row>
    <row r="3549" spans="1:4" x14ac:dyDescent="0.2">
      <c r="A3549" s="574">
        <v>11948</v>
      </c>
      <c r="B3549" s="574" t="s">
        <v>9130</v>
      </c>
      <c r="C3549" s="574" t="s">
        <v>5555</v>
      </c>
      <c r="D3549" s="582">
        <v>0.41</v>
      </c>
    </row>
    <row r="3550" spans="1:4" x14ac:dyDescent="0.2">
      <c r="A3550" s="574">
        <v>4382</v>
      </c>
      <c r="B3550" s="574" t="s">
        <v>9131</v>
      </c>
      <c r="C3550" s="574" t="s">
        <v>5555</v>
      </c>
      <c r="D3550" s="582">
        <v>0.69</v>
      </c>
    </row>
    <row r="3551" spans="1:4" x14ac:dyDescent="0.2">
      <c r="A3551" s="574">
        <v>4354</v>
      </c>
      <c r="B3551" s="574" t="s">
        <v>9132</v>
      </c>
      <c r="C3551" s="574" t="s">
        <v>5555</v>
      </c>
      <c r="D3551" s="582">
        <v>28.91</v>
      </c>
    </row>
    <row r="3552" spans="1:4" x14ac:dyDescent="0.2">
      <c r="A3552" s="574">
        <v>40839</v>
      </c>
      <c r="B3552" s="574" t="s">
        <v>9133</v>
      </c>
      <c r="C3552" s="574" t="s">
        <v>7833</v>
      </c>
      <c r="D3552" s="582">
        <v>69.569999999999993</v>
      </c>
    </row>
    <row r="3553" spans="1:4" x14ac:dyDescent="0.2">
      <c r="A3553" s="574">
        <v>40552</v>
      </c>
      <c r="B3553" s="574" t="s">
        <v>9134</v>
      </c>
      <c r="C3553" s="574" t="s">
        <v>7833</v>
      </c>
      <c r="D3553" s="582">
        <v>28.78</v>
      </c>
    </row>
    <row r="3554" spans="1:4" x14ac:dyDescent="0.2">
      <c r="A3554" s="574">
        <v>40549</v>
      </c>
      <c r="B3554" s="574" t="s">
        <v>9135</v>
      </c>
      <c r="C3554" s="574" t="s">
        <v>7833</v>
      </c>
      <c r="D3554" s="582">
        <v>113.95</v>
      </c>
    </row>
    <row r="3555" spans="1:4" x14ac:dyDescent="0.2">
      <c r="A3555" s="574">
        <v>4385</v>
      </c>
      <c r="B3555" s="574" t="s">
        <v>9136</v>
      </c>
      <c r="C3555" s="574" t="s">
        <v>6074</v>
      </c>
      <c r="D3555" s="583">
        <v>1363.5</v>
      </c>
    </row>
    <row r="3556" spans="1:4" x14ac:dyDescent="0.2">
      <c r="A3556" s="574">
        <v>38397</v>
      </c>
      <c r="B3556" s="574" t="s">
        <v>9137</v>
      </c>
      <c r="C3556" s="574" t="s">
        <v>5626</v>
      </c>
      <c r="D3556" s="582">
        <v>5.09</v>
      </c>
    </row>
    <row r="3557" spans="1:4" x14ac:dyDescent="0.2">
      <c r="A3557" s="574">
        <v>20078</v>
      </c>
      <c r="B3557" s="574" t="s">
        <v>9138</v>
      </c>
      <c r="C3557" s="574" t="s">
        <v>5555</v>
      </c>
      <c r="D3557" s="582">
        <v>19.84</v>
      </c>
    </row>
    <row r="3558" spans="1:4" x14ac:dyDescent="0.2">
      <c r="A3558" s="574">
        <v>20079</v>
      </c>
      <c r="B3558" s="574" t="s">
        <v>9139</v>
      </c>
      <c r="C3558" s="574" t="s">
        <v>5555</v>
      </c>
      <c r="D3558" s="582">
        <v>123.77</v>
      </c>
    </row>
    <row r="3559" spans="1:4" x14ac:dyDescent="0.2">
      <c r="A3559" s="574">
        <v>39897</v>
      </c>
      <c r="B3559" s="574" t="s">
        <v>9140</v>
      </c>
      <c r="C3559" s="574" t="s">
        <v>5555</v>
      </c>
      <c r="D3559" s="582">
        <v>35.700000000000003</v>
      </c>
    </row>
    <row r="3560" spans="1:4" x14ac:dyDescent="0.2">
      <c r="A3560" s="574">
        <v>118</v>
      </c>
      <c r="B3560" s="574" t="s">
        <v>9141</v>
      </c>
      <c r="C3560" s="574" t="s">
        <v>5555</v>
      </c>
      <c r="D3560" s="582">
        <v>75.02</v>
      </c>
    </row>
    <row r="3561" spans="1:4" x14ac:dyDescent="0.2">
      <c r="A3561" s="574">
        <v>4396</v>
      </c>
      <c r="B3561" s="574" t="s">
        <v>9142</v>
      </c>
      <c r="C3561" s="574" t="s">
        <v>5564</v>
      </c>
      <c r="D3561" s="582">
        <v>204.87</v>
      </c>
    </row>
    <row r="3562" spans="1:4" x14ac:dyDescent="0.2">
      <c r="A3562" s="574">
        <v>36881</v>
      </c>
      <c r="B3562" s="574" t="s">
        <v>9143</v>
      </c>
      <c r="C3562" s="574" t="s">
        <v>5564</v>
      </c>
      <c r="D3562" s="582">
        <v>183.07</v>
      </c>
    </row>
    <row r="3563" spans="1:4" x14ac:dyDescent="0.2">
      <c r="A3563" s="574">
        <v>36882</v>
      </c>
      <c r="B3563" s="574" t="s">
        <v>9144</v>
      </c>
      <c r="C3563" s="574" t="s">
        <v>5564</v>
      </c>
      <c r="D3563" s="582">
        <v>213.58</v>
      </c>
    </row>
    <row r="3564" spans="1:4" x14ac:dyDescent="0.2">
      <c r="A3564" s="574">
        <v>4397</v>
      </c>
      <c r="B3564" s="574" t="s">
        <v>9145</v>
      </c>
      <c r="C3564" s="574" t="s">
        <v>5564</v>
      </c>
      <c r="D3564" s="582">
        <v>332.22</v>
      </c>
    </row>
    <row r="3565" spans="1:4" x14ac:dyDescent="0.2">
      <c r="A3565" s="574">
        <v>34754</v>
      </c>
      <c r="B3565" s="574" t="s">
        <v>9146</v>
      </c>
      <c r="C3565" s="574" t="s">
        <v>5564</v>
      </c>
      <c r="D3565" s="582">
        <v>615.16</v>
      </c>
    </row>
    <row r="3566" spans="1:4" x14ac:dyDescent="0.2">
      <c r="A3566" s="574">
        <v>25962</v>
      </c>
      <c r="B3566" s="574" t="s">
        <v>9147</v>
      </c>
      <c r="C3566" s="574" t="s">
        <v>5564</v>
      </c>
      <c r="D3566" s="582">
        <v>389.62</v>
      </c>
    </row>
    <row r="3567" spans="1:4" x14ac:dyDescent="0.2">
      <c r="A3567" s="574">
        <v>34752</v>
      </c>
      <c r="B3567" s="574" t="s">
        <v>9148</v>
      </c>
      <c r="C3567" s="574" t="s">
        <v>5564</v>
      </c>
      <c r="D3567" s="582">
        <v>686.11</v>
      </c>
    </row>
    <row r="3568" spans="1:4" x14ac:dyDescent="0.2">
      <c r="A3568" s="574">
        <v>4751</v>
      </c>
      <c r="B3568" s="574" t="s">
        <v>9149</v>
      </c>
      <c r="C3568" s="574" t="s">
        <v>5566</v>
      </c>
      <c r="D3568" s="582">
        <v>18.61</v>
      </c>
    </row>
    <row r="3569" spans="1:4" x14ac:dyDescent="0.2">
      <c r="A3569" s="574">
        <v>41066</v>
      </c>
      <c r="B3569" s="574" t="s">
        <v>9150</v>
      </c>
      <c r="C3569" s="574" t="s">
        <v>5755</v>
      </c>
      <c r="D3569" s="583">
        <v>3255.36</v>
      </c>
    </row>
    <row r="3570" spans="1:4" x14ac:dyDescent="0.2">
      <c r="A3570" s="574">
        <v>39604</v>
      </c>
      <c r="B3570" s="574" t="s">
        <v>9151</v>
      </c>
      <c r="C3570" s="574" t="s">
        <v>5555</v>
      </c>
      <c r="D3570" s="582">
        <v>8.8800000000000008</v>
      </c>
    </row>
    <row r="3571" spans="1:4" x14ac:dyDescent="0.2">
      <c r="A3571" s="574">
        <v>39605</v>
      </c>
      <c r="B3571" s="574" t="s">
        <v>9152</v>
      </c>
      <c r="C3571" s="574" t="s">
        <v>5555</v>
      </c>
      <c r="D3571" s="582">
        <v>12.32</v>
      </c>
    </row>
    <row r="3572" spans="1:4" x14ac:dyDescent="0.2">
      <c r="A3572" s="574">
        <v>39606</v>
      </c>
      <c r="B3572" s="574" t="s">
        <v>9153</v>
      </c>
      <c r="C3572" s="574" t="s">
        <v>5555</v>
      </c>
      <c r="D3572" s="582">
        <v>15.65</v>
      </c>
    </row>
    <row r="3573" spans="1:4" x14ac:dyDescent="0.2">
      <c r="A3573" s="574">
        <v>39607</v>
      </c>
      <c r="B3573" s="574" t="s">
        <v>9154</v>
      </c>
      <c r="C3573" s="574" t="s">
        <v>5555</v>
      </c>
      <c r="D3573" s="582">
        <v>17.95</v>
      </c>
    </row>
    <row r="3574" spans="1:4" x14ac:dyDescent="0.2">
      <c r="A3574" s="574">
        <v>39594</v>
      </c>
      <c r="B3574" s="574" t="s">
        <v>9155</v>
      </c>
      <c r="C3574" s="574" t="s">
        <v>5555</v>
      </c>
      <c r="D3574" s="582">
        <v>170</v>
      </c>
    </row>
    <row r="3575" spans="1:4" x14ac:dyDescent="0.2">
      <c r="A3575" s="574">
        <v>39596</v>
      </c>
      <c r="B3575" s="574" t="s">
        <v>9156</v>
      </c>
      <c r="C3575" s="574" t="s">
        <v>5555</v>
      </c>
      <c r="D3575" s="582">
        <v>296.3</v>
      </c>
    </row>
    <row r="3576" spans="1:4" x14ac:dyDescent="0.2">
      <c r="A3576" s="574">
        <v>39595</v>
      </c>
      <c r="B3576" s="574" t="s">
        <v>9157</v>
      </c>
      <c r="C3576" s="574" t="s">
        <v>5555</v>
      </c>
      <c r="D3576" s="582">
        <v>248.72</v>
      </c>
    </row>
    <row r="3577" spans="1:4" x14ac:dyDescent="0.2">
      <c r="A3577" s="574">
        <v>39597</v>
      </c>
      <c r="B3577" s="574" t="s">
        <v>9158</v>
      </c>
      <c r="C3577" s="574" t="s">
        <v>5555</v>
      </c>
      <c r="D3577" s="582">
        <v>399.58</v>
      </c>
    </row>
    <row r="3578" spans="1:4" x14ac:dyDescent="0.2">
      <c r="A3578" s="574">
        <v>20209</v>
      </c>
      <c r="B3578" s="574" t="s">
        <v>9159</v>
      </c>
      <c r="C3578" s="574" t="s">
        <v>5575</v>
      </c>
      <c r="D3578" s="582">
        <v>10.11</v>
      </c>
    </row>
    <row r="3579" spans="1:4" x14ac:dyDescent="0.2">
      <c r="A3579" s="574">
        <v>4433</v>
      </c>
      <c r="B3579" s="574" t="s">
        <v>9160</v>
      </c>
      <c r="C3579" s="574" t="s">
        <v>5575</v>
      </c>
      <c r="D3579" s="582">
        <v>7.35</v>
      </c>
    </row>
    <row r="3580" spans="1:4" x14ac:dyDescent="0.2">
      <c r="A3580" s="574">
        <v>10731</v>
      </c>
      <c r="B3580" s="574" t="s">
        <v>9161</v>
      </c>
      <c r="C3580" s="574" t="s">
        <v>5564</v>
      </c>
      <c r="D3580" s="582">
        <v>24.65</v>
      </c>
    </row>
    <row r="3581" spans="1:4" x14ac:dyDescent="0.2">
      <c r="A3581" s="574">
        <v>4704</v>
      </c>
      <c r="B3581" s="574" t="s">
        <v>9162</v>
      </c>
      <c r="C3581" s="574" t="s">
        <v>5564</v>
      </c>
      <c r="D3581" s="582">
        <v>22.24</v>
      </c>
    </row>
    <row r="3582" spans="1:4" x14ac:dyDescent="0.2">
      <c r="A3582" s="574">
        <v>10730</v>
      </c>
      <c r="B3582" s="574" t="s">
        <v>9163</v>
      </c>
      <c r="C3582" s="574" t="s">
        <v>5564</v>
      </c>
      <c r="D3582" s="582">
        <v>23.83</v>
      </c>
    </row>
    <row r="3583" spans="1:4" x14ac:dyDescent="0.2">
      <c r="A3583" s="574">
        <v>4729</v>
      </c>
      <c r="B3583" s="574" t="s">
        <v>9164</v>
      </c>
      <c r="C3583" s="574" t="s">
        <v>5751</v>
      </c>
      <c r="D3583" s="582">
        <v>102.18</v>
      </c>
    </row>
    <row r="3584" spans="1:4" x14ac:dyDescent="0.2">
      <c r="A3584" s="574">
        <v>4720</v>
      </c>
      <c r="B3584" s="574" t="s">
        <v>9165</v>
      </c>
      <c r="C3584" s="574" t="s">
        <v>5751</v>
      </c>
      <c r="D3584" s="582">
        <v>111.72</v>
      </c>
    </row>
    <row r="3585" spans="1:4" x14ac:dyDescent="0.2">
      <c r="A3585" s="574">
        <v>4721</v>
      </c>
      <c r="B3585" s="574" t="s">
        <v>9166</v>
      </c>
      <c r="C3585" s="574" t="s">
        <v>5751</v>
      </c>
      <c r="D3585" s="582">
        <v>87.5</v>
      </c>
    </row>
    <row r="3586" spans="1:4" x14ac:dyDescent="0.2">
      <c r="A3586" s="574">
        <v>4718</v>
      </c>
      <c r="B3586" s="574" t="s">
        <v>9167</v>
      </c>
      <c r="C3586" s="574" t="s">
        <v>5751</v>
      </c>
      <c r="D3586" s="582">
        <v>87.5</v>
      </c>
    </row>
    <row r="3587" spans="1:4" x14ac:dyDescent="0.2">
      <c r="A3587" s="574">
        <v>4722</v>
      </c>
      <c r="B3587" s="574" t="s">
        <v>9168</v>
      </c>
      <c r="C3587" s="574" t="s">
        <v>5751</v>
      </c>
      <c r="D3587" s="582">
        <v>87.5</v>
      </c>
    </row>
    <row r="3588" spans="1:4" x14ac:dyDescent="0.2">
      <c r="A3588" s="574">
        <v>4723</v>
      </c>
      <c r="B3588" s="574" t="s">
        <v>9169</v>
      </c>
      <c r="C3588" s="574" t="s">
        <v>5751</v>
      </c>
      <c r="D3588" s="582">
        <v>95.46</v>
      </c>
    </row>
    <row r="3589" spans="1:4" x14ac:dyDescent="0.2">
      <c r="A3589" s="574">
        <v>4727</v>
      </c>
      <c r="B3589" s="574" t="s">
        <v>9170</v>
      </c>
      <c r="C3589" s="574" t="s">
        <v>5751</v>
      </c>
      <c r="D3589" s="582">
        <v>98.11</v>
      </c>
    </row>
    <row r="3590" spans="1:4" x14ac:dyDescent="0.2">
      <c r="A3590" s="574">
        <v>4748</v>
      </c>
      <c r="B3590" s="574" t="s">
        <v>9171</v>
      </c>
      <c r="C3590" s="574" t="s">
        <v>5751</v>
      </c>
      <c r="D3590" s="582">
        <v>94.66</v>
      </c>
    </row>
    <row r="3591" spans="1:4" x14ac:dyDescent="0.2">
      <c r="A3591" s="574">
        <v>4730</v>
      </c>
      <c r="B3591" s="574" t="s">
        <v>9172</v>
      </c>
      <c r="C3591" s="574" t="s">
        <v>5751</v>
      </c>
      <c r="D3591" s="582">
        <v>91.48</v>
      </c>
    </row>
    <row r="3592" spans="1:4" x14ac:dyDescent="0.2">
      <c r="A3592" s="574">
        <v>13186</v>
      </c>
      <c r="B3592" s="574" t="s">
        <v>9173</v>
      </c>
      <c r="C3592" s="574" t="s">
        <v>5751</v>
      </c>
      <c r="D3592" s="582">
        <v>81.09</v>
      </c>
    </row>
    <row r="3593" spans="1:4" x14ac:dyDescent="0.2">
      <c r="A3593" s="574">
        <v>10737</v>
      </c>
      <c r="B3593" s="574" t="s">
        <v>9174</v>
      </c>
      <c r="C3593" s="574" t="s">
        <v>5564</v>
      </c>
      <c r="D3593" s="582">
        <v>77.459999999999994</v>
      </c>
    </row>
    <row r="3594" spans="1:4" x14ac:dyDescent="0.2">
      <c r="A3594" s="574">
        <v>10734</v>
      </c>
      <c r="B3594" s="574" t="s">
        <v>9175</v>
      </c>
      <c r="C3594" s="574" t="s">
        <v>5564</v>
      </c>
      <c r="D3594" s="582">
        <v>46.08</v>
      </c>
    </row>
    <row r="3595" spans="1:4" x14ac:dyDescent="0.2">
      <c r="A3595" s="574">
        <v>4708</v>
      </c>
      <c r="B3595" s="574" t="s">
        <v>9176</v>
      </c>
      <c r="C3595" s="574" t="s">
        <v>5564</v>
      </c>
      <c r="D3595" s="582">
        <v>89.38</v>
      </c>
    </row>
    <row r="3596" spans="1:4" x14ac:dyDescent="0.2">
      <c r="A3596" s="574">
        <v>4712</v>
      </c>
      <c r="B3596" s="574" t="s">
        <v>9177</v>
      </c>
      <c r="C3596" s="574" t="s">
        <v>5564</v>
      </c>
      <c r="D3596" s="582">
        <v>43.69</v>
      </c>
    </row>
    <row r="3597" spans="1:4" x14ac:dyDescent="0.2">
      <c r="A3597" s="574">
        <v>4710</v>
      </c>
      <c r="B3597" s="574" t="s">
        <v>9178</v>
      </c>
      <c r="C3597" s="574" t="s">
        <v>5564</v>
      </c>
      <c r="D3597" s="582">
        <v>140.13</v>
      </c>
    </row>
    <row r="3598" spans="1:4" x14ac:dyDescent="0.2">
      <c r="A3598" s="574">
        <v>4746</v>
      </c>
      <c r="B3598" s="574" t="s">
        <v>9179</v>
      </c>
      <c r="C3598" s="574" t="s">
        <v>5751</v>
      </c>
      <c r="D3598" s="582">
        <v>84.85</v>
      </c>
    </row>
    <row r="3599" spans="1:4" x14ac:dyDescent="0.2">
      <c r="A3599" s="574">
        <v>4750</v>
      </c>
      <c r="B3599" s="574" t="s">
        <v>9180</v>
      </c>
      <c r="C3599" s="574" t="s">
        <v>5566</v>
      </c>
      <c r="D3599" s="582">
        <v>15.42</v>
      </c>
    </row>
    <row r="3600" spans="1:4" x14ac:dyDescent="0.2">
      <c r="A3600" s="574">
        <v>41065</v>
      </c>
      <c r="B3600" s="574" t="s">
        <v>9181</v>
      </c>
      <c r="C3600" s="574" t="s">
        <v>5755</v>
      </c>
      <c r="D3600" s="583">
        <v>2696.56</v>
      </c>
    </row>
    <row r="3601" spans="1:4" x14ac:dyDescent="0.2">
      <c r="A3601" s="574">
        <v>34747</v>
      </c>
      <c r="B3601" s="574" t="s">
        <v>9182</v>
      </c>
      <c r="C3601" s="574" t="s">
        <v>5575</v>
      </c>
      <c r="D3601" s="582">
        <v>91.84</v>
      </c>
    </row>
    <row r="3602" spans="1:4" x14ac:dyDescent="0.2">
      <c r="A3602" s="574">
        <v>4826</v>
      </c>
      <c r="B3602" s="574" t="s">
        <v>9183</v>
      </c>
      <c r="C3602" s="574" t="s">
        <v>5575</v>
      </c>
      <c r="D3602" s="582">
        <v>98.75</v>
      </c>
    </row>
    <row r="3603" spans="1:4" x14ac:dyDescent="0.2">
      <c r="A3603" s="574">
        <v>41975</v>
      </c>
      <c r="B3603" s="574" t="s">
        <v>9184</v>
      </c>
      <c r="C3603" s="574" t="s">
        <v>5564</v>
      </c>
      <c r="D3603" s="582">
        <v>61.73</v>
      </c>
    </row>
    <row r="3604" spans="1:4" x14ac:dyDescent="0.2">
      <c r="A3604" s="574">
        <v>4825</v>
      </c>
      <c r="B3604" s="574" t="s">
        <v>9185</v>
      </c>
      <c r="C3604" s="574" t="s">
        <v>5575</v>
      </c>
      <c r="D3604" s="582">
        <v>136.69</v>
      </c>
    </row>
    <row r="3605" spans="1:4" x14ac:dyDescent="0.2">
      <c r="A3605" s="574">
        <v>34744</v>
      </c>
      <c r="B3605" s="574" t="s">
        <v>9186</v>
      </c>
      <c r="C3605" s="574" t="s">
        <v>5564</v>
      </c>
      <c r="D3605" s="582">
        <v>27.9</v>
      </c>
    </row>
    <row r="3606" spans="1:4" x14ac:dyDescent="0.2">
      <c r="A3606" s="574">
        <v>39430</v>
      </c>
      <c r="B3606" s="574" t="s">
        <v>9187</v>
      </c>
      <c r="C3606" s="574" t="s">
        <v>5555</v>
      </c>
      <c r="D3606" s="582">
        <v>1.1399999999999999</v>
      </c>
    </row>
    <row r="3607" spans="1:4" x14ac:dyDescent="0.2">
      <c r="A3607" s="574">
        <v>39573</v>
      </c>
      <c r="B3607" s="574" t="s">
        <v>9188</v>
      </c>
      <c r="C3607" s="574" t="s">
        <v>5555</v>
      </c>
      <c r="D3607" s="582">
        <v>1.1200000000000001</v>
      </c>
    </row>
    <row r="3608" spans="1:4" x14ac:dyDescent="0.2">
      <c r="A3608" s="574">
        <v>38410</v>
      </c>
      <c r="B3608" s="574" t="s">
        <v>9189</v>
      </c>
      <c r="C3608" s="574" t="s">
        <v>5555</v>
      </c>
      <c r="D3608" s="583">
        <v>10035.84</v>
      </c>
    </row>
    <row r="3609" spans="1:4" x14ac:dyDescent="0.2">
      <c r="A3609" s="574">
        <v>41596</v>
      </c>
      <c r="B3609" s="574" t="s">
        <v>13638</v>
      </c>
      <c r="C3609" s="574" t="s">
        <v>5626</v>
      </c>
      <c r="D3609" s="582">
        <v>6.38</v>
      </c>
    </row>
    <row r="3610" spans="1:4" x14ac:dyDescent="0.2">
      <c r="A3610" s="574">
        <v>41598</v>
      </c>
      <c r="B3610" s="574" t="s">
        <v>13639</v>
      </c>
      <c r="C3610" s="574" t="s">
        <v>5626</v>
      </c>
      <c r="D3610" s="582">
        <v>6.38</v>
      </c>
    </row>
    <row r="3611" spans="1:4" x14ac:dyDescent="0.2">
      <c r="A3611" s="574">
        <v>41594</v>
      </c>
      <c r="B3611" s="574" t="s">
        <v>13640</v>
      </c>
      <c r="C3611" s="574" t="s">
        <v>5626</v>
      </c>
      <c r="D3611" s="582">
        <v>6.48</v>
      </c>
    </row>
    <row r="3612" spans="1:4" x14ac:dyDescent="0.2">
      <c r="A3612" s="574">
        <v>43663</v>
      </c>
      <c r="B3612" s="574" t="s">
        <v>13641</v>
      </c>
      <c r="C3612" s="574" t="s">
        <v>5626</v>
      </c>
      <c r="D3612" s="582">
        <v>5.34</v>
      </c>
    </row>
    <row r="3613" spans="1:4" x14ac:dyDescent="0.2">
      <c r="A3613" s="574">
        <v>4766</v>
      </c>
      <c r="B3613" s="574" t="s">
        <v>13642</v>
      </c>
      <c r="C3613" s="574" t="s">
        <v>5626</v>
      </c>
      <c r="D3613" s="582">
        <v>5.0199999999999996</v>
      </c>
    </row>
    <row r="3614" spans="1:4" x14ac:dyDescent="0.2">
      <c r="A3614" s="574">
        <v>43664</v>
      </c>
      <c r="B3614" s="574" t="s">
        <v>13643</v>
      </c>
      <c r="C3614" s="574" t="s">
        <v>5626</v>
      </c>
      <c r="D3614" s="582">
        <v>5.36</v>
      </c>
    </row>
    <row r="3615" spans="1:4" x14ac:dyDescent="0.2">
      <c r="A3615" s="574">
        <v>43082</v>
      </c>
      <c r="B3615" s="574" t="s">
        <v>13644</v>
      </c>
      <c r="C3615" s="574" t="s">
        <v>5626</v>
      </c>
      <c r="D3615" s="582">
        <v>5.85</v>
      </c>
    </row>
    <row r="3616" spans="1:4" x14ac:dyDescent="0.2">
      <c r="A3616" s="574">
        <v>43665</v>
      </c>
      <c r="B3616" s="574" t="s">
        <v>9200</v>
      </c>
      <c r="C3616" s="574" t="s">
        <v>5626</v>
      </c>
      <c r="D3616" s="582">
        <v>5.0199999999999996</v>
      </c>
    </row>
    <row r="3617" spans="1:4" x14ac:dyDescent="0.2">
      <c r="A3617" s="574">
        <v>10966</v>
      </c>
      <c r="B3617" s="574" t="s">
        <v>9201</v>
      </c>
      <c r="C3617" s="574" t="s">
        <v>5626</v>
      </c>
      <c r="D3617" s="582">
        <v>5.34</v>
      </c>
    </row>
    <row r="3618" spans="1:4" x14ac:dyDescent="0.2">
      <c r="A3618" s="574">
        <v>43692</v>
      </c>
      <c r="B3618" s="574" t="s">
        <v>13645</v>
      </c>
      <c r="C3618" s="574" t="s">
        <v>5626</v>
      </c>
      <c r="D3618" s="582">
        <v>5.34</v>
      </c>
    </row>
    <row r="3619" spans="1:4" x14ac:dyDescent="0.2">
      <c r="A3619" s="574">
        <v>43083</v>
      </c>
      <c r="B3619" s="574" t="s">
        <v>13646</v>
      </c>
      <c r="C3619" s="574" t="s">
        <v>5626</v>
      </c>
      <c r="D3619" s="582">
        <v>5.0599999999999996</v>
      </c>
    </row>
    <row r="3620" spans="1:4" x14ac:dyDescent="0.2">
      <c r="A3620" s="574">
        <v>40535</v>
      </c>
      <c r="B3620" s="574" t="s">
        <v>9204</v>
      </c>
      <c r="C3620" s="574" t="s">
        <v>5626</v>
      </c>
      <c r="D3620" s="582">
        <v>5.0599999999999996</v>
      </c>
    </row>
    <row r="3621" spans="1:4" x14ac:dyDescent="0.2">
      <c r="A3621" s="574">
        <v>39427</v>
      </c>
      <c r="B3621" s="574" t="s">
        <v>9205</v>
      </c>
      <c r="C3621" s="574" t="s">
        <v>5575</v>
      </c>
      <c r="D3621" s="582">
        <v>3.04</v>
      </c>
    </row>
    <row r="3622" spans="1:4" x14ac:dyDescent="0.2">
      <c r="A3622" s="574">
        <v>39424</v>
      </c>
      <c r="B3622" s="574" t="s">
        <v>9206</v>
      </c>
      <c r="C3622" s="574" t="s">
        <v>5575</v>
      </c>
      <c r="D3622" s="582">
        <v>1.81</v>
      </c>
    </row>
    <row r="3623" spans="1:4" x14ac:dyDescent="0.2">
      <c r="A3623" s="574">
        <v>39425</v>
      </c>
      <c r="B3623" s="574" t="s">
        <v>9207</v>
      </c>
      <c r="C3623" s="574" t="s">
        <v>5575</v>
      </c>
      <c r="D3623" s="582">
        <v>1.78</v>
      </c>
    </row>
    <row r="3624" spans="1:4" x14ac:dyDescent="0.2">
      <c r="A3624" s="574">
        <v>40664</v>
      </c>
      <c r="B3624" s="574" t="s">
        <v>9208</v>
      </c>
      <c r="C3624" s="574" t="s">
        <v>5626</v>
      </c>
      <c r="D3624" s="582">
        <v>10.39</v>
      </c>
    </row>
    <row r="3625" spans="1:4" x14ac:dyDescent="0.2">
      <c r="A3625" s="574">
        <v>34360</v>
      </c>
      <c r="B3625" s="574" t="s">
        <v>9209</v>
      </c>
      <c r="C3625" s="574" t="s">
        <v>5626</v>
      </c>
      <c r="D3625" s="582">
        <v>29.63</v>
      </c>
    </row>
    <row r="3626" spans="1:4" x14ac:dyDescent="0.2">
      <c r="A3626" s="574">
        <v>20259</v>
      </c>
      <c r="B3626" s="574" t="s">
        <v>9210</v>
      </c>
      <c r="C3626" s="574" t="s">
        <v>5575</v>
      </c>
      <c r="D3626" s="582">
        <v>8.8000000000000007</v>
      </c>
    </row>
    <row r="3627" spans="1:4" x14ac:dyDescent="0.2">
      <c r="A3627" s="574">
        <v>14077</v>
      </c>
      <c r="B3627" s="574" t="s">
        <v>9211</v>
      </c>
      <c r="C3627" s="574" t="s">
        <v>5575</v>
      </c>
      <c r="D3627" s="582">
        <v>134.69</v>
      </c>
    </row>
    <row r="3628" spans="1:4" x14ac:dyDescent="0.2">
      <c r="A3628" s="574">
        <v>3678</v>
      </c>
      <c r="B3628" s="574" t="s">
        <v>9212</v>
      </c>
      <c r="C3628" s="574" t="s">
        <v>5575</v>
      </c>
      <c r="D3628" s="582">
        <v>60.88</v>
      </c>
    </row>
    <row r="3629" spans="1:4" x14ac:dyDescent="0.2">
      <c r="A3629" s="574">
        <v>39418</v>
      </c>
      <c r="B3629" s="574" t="s">
        <v>9213</v>
      </c>
      <c r="C3629" s="574" t="s">
        <v>5575</v>
      </c>
      <c r="D3629" s="582">
        <v>3.39</v>
      </c>
    </row>
    <row r="3630" spans="1:4" x14ac:dyDescent="0.2">
      <c r="A3630" s="574">
        <v>39419</v>
      </c>
      <c r="B3630" s="574" t="s">
        <v>9214</v>
      </c>
      <c r="C3630" s="574" t="s">
        <v>5575</v>
      </c>
      <c r="D3630" s="582">
        <v>4.13</v>
      </c>
    </row>
    <row r="3631" spans="1:4" x14ac:dyDescent="0.2">
      <c r="A3631" s="574">
        <v>39420</v>
      </c>
      <c r="B3631" s="574" t="s">
        <v>9215</v>
      </c>
      <c r="C3631" s="574" t="s">
        <v>5575</v>
      </c>
      <c r="D3631" s="582">
        <v>4.5599999999999996</v>
      </c>
    </row>
    <row r="3632" spans="1:4" x14ac:dyDescent="0.2">
      <c r="A3632" s="574">
        <v>39571</v>
      </c>
      <c r="B3632" s="574" t="s">
        <v>9216</v>
      </c>
      <c r="C3632" s="574" t="s">
        <v>5575</v>
      </c>
      <c r="D3632" s="582">
        <v>2.75</v>
      </c>
    </row>
    <row r="3633" spans="1:4" x14ac:dyDescent="0.2">
      <c r="A3633" s="574">
        <v>39421</v>
      </c>
      <c r="B3633" s="574" t="s">
        <v>9217</v>
      </c>
      <c r="C3633" s="574" t="s">
        <v>5575</v>
      </c>
      <c r="D3633" s="582">
        <v>4.01</v>
      </c>
    </row>
    <row r="3634" spans="1:4" x14ac:dyDescent="0.2">
      <c r="A3634" s="574">
        <v>39422</v>
      </c>
      <c r="B3634" s="574" t="s">
        <v>9218</v>
      </c>
      <c r="C3634" s="574" t="s">
        <v>5575</v>
      </c>
      <c r="D3634" s="582">
        <v>4.6900000000000004</v>
      </c>
    </row>
    <row r="3635" spans="1:4" x14ac:dyDescent="0.2">
      <c r="A3635" s="574">
        <v>39423</v>
      </c>
      <c r="B3635" s="574" t="s">
        <v>9219</v>
      </c>
      <c r="C3635" s="574" t="s">
        <v>5575</v>
      </c>
      <c r="D3635" s="582">
        <v>5.44</v>
      </c>
    </row>
    <row r="3636" spans="1:4" x14ac:dyDescent="0.2">
      <c r="A3636" s="574">
        <v>39426</v>
      </c>
      <c r="B3636" s="574" t="s">
        <v>9220</v>
      </c>
      <c r="C3636" s="574" t="s">
        <v>5575</v>
      </c>
      <c r="D3636" s="582">
        <v>12.24</v>
      </c>
    </row>
    <row r="3637" spans="1:4" x14ac:dyDescent="0.2">
      <c r="A3637" s="574">
        <v>39429</v>
      </c>
      <c r="B3637" s="574" t="s">
        <v>9221</v>
      </c>
      <c r="C3637" s="574" t="s">
        <v>5575</v>
      </c>
      <c r="D3637" s="582">
        <v>3.86</v>
      </c>
    </row>
    <row r="3638" spans="1:4" x14ac:dyDescent="0.2">
      <c r="A3638" s="574">
        <v>39428</v>
      </c>
      <c r="B3638" s="574" t="s">
        <v>9222</v>
      </c>
      <c r="C3638" s="574" t="s">
        <v>5575</v>
      </c>
      <c r="D3638" s="582">
        <v>2.95</v>
      </c>
    </row>
    <row r="3639" spans="1:4" x14ac:dyDescent="0.2">
      <c r="A3639" s="574">
        <v>39572</v>
      </c>
      <c r="B3639" s="574" t="s">
        <v>9223</v>
      </c>
      <c r="C3639" s="574" t="s">
        <v>5575</v>
      </c>
      <c r="D3639" s="582">
        <v>2.5499999999999998</v>
      </c>
    </row>
    <row r="3640" spans="1:4" x14ac:dyDescent="0.2">
      <c r="A3640" s="574">
        <v>39570</v>
      </c>
      <c r="B3640" s="574" t="s">
        <v>9224</v>
      </c>
      <c r="C3640" s="574" t="s">
        <v>5575</v>
      </c>
      <c r="D3640" s="582">
        <v>2.71</v>
      </c>
    </row>
    <row r="3641" spans="1:4" x14ac:dyDescent="0.2">
      <c r="A3641" s="574">
        <v>39569</v>
      </c>
      <c r="B3641" s="574" t="s">
        <v>9225</v>
      </c>
      <c r="C3641" s="574" t="s">
        <v>5575</v>
      </c>
      <c r="D3641" s="582">
        <v>2.67</v>
      </c>
    </row>
    <row r="3642" spans="1:4" x14ac:dyDescent="0.2">
      <c r="A3642" s="574">
        <v>11552</v>
      </c>
      <c r="B3642" s="574" t="s">
        <v>9226</v>
      </c>
      <c r="C3642" s="574" t="s">
        <v>5575</v>
      </c>
      <c r="D3642" s="582">
        <v>8.61</v>
      </c>
    </row>
    <row r="3643" spans="1:4" x14ac:dyDescent="0.2">
      <c r="A3643" s="574">
        <v>40598</v>
      </c>
      <c r="B3643" s="574" t="s">
        <v>9227</v>
      </c>
      <c r="C3643" s="574" t="s">
        <v>5626</v>
      </c>
      <c r="D3643" s="582">
        <v>4.9400000000000004</v>
      </c>
    </row>
    <row r="3644" spans="1:4" x14ac:dyDescent="0.2">
      <c r="A3644" s="574">
        <v>39029</v>
      </c>
      <c r="B3644" s="574" t="s">
        <v>9228</v>
      </c>
      <c r="C3644" s="574" t="s">
        <v>5575</v>
      </c>
      <c r="D3644" s="582">
        <v>8.64</v>
      </c>
    </row>
    <row r="3645" spans="1:4" x14ac:dyDescent="0.2">
      <c r="A3645" s="574">
        <v>39028</v>
      </c>
      <c r="B3645" s="574" t="s">
        <v>9229</v>
      </c>
      <c r="C3645" s="574" t="s">
        <v>5575</v>
      </c>
      <c r="D3645" s="582">
        <v>5.03</v>
      </c>
    </row>
    <row r="3646" spans="1:4" x14ac:dyDescent="0.2">
      <c r="A3646" s="574">
        <v>39328</v>
      </c>
      <c r="B3646" s="574" t="s">
        <v>9230</v>
      </c>
      <c r="C3646" s="574" t="s">
        <v>5575</v>
      </c>
      <c r="D3646" s="582">
        <v>2.76</v>
      </c>
    </row>
    <row r="3647" spans="1:4" x14ac:dyDescent="0.2">
      <c r="A3647" s="574">
        <v>38541</v>
      </c>
      <c r="B3647" s="574" t="s">
        <v>9231</v>
      </c>
      <c r="C3647" s="574" t="s">
        <v>5555</v>
      </c>
      <c r="D3647" s="583">
        <v>2723881.55</v>
      </c>
    </row>
    <row r="3648" spans="1:4" x14ac:dyDescent="0.2">
      <c r="A3648" s="574">
        <v>38542</v>
      </c>
      <c r="B3648" s="574" t="s">
        <v>9232</v>
      </c>
      <c r="C3648" s="574" t="s">
        <v>5555</v>
      </c>
      <c r="D3648" s="583">
        <v>4235526.28</v>
      </c>
    </row>
    <row r="3649" spans="1:4" x14ac:dyDescent="0.2">
      <c r="A3649" s="574">
        <v>38543</v>
      </c>
      <c r="B3649" s="574" t="s">
        <v>9233</v>
      </c>
      <c r="C3649" s="574" t="s">
        <v>5555</v>
      </c>
      <c r="D3649" s="583">
        <v>1036973.71</v>
      </c>
    </row>
    <row r="3650" spans="1:4" x14ac:dyDescent="0.2">
      <c r="A3650" s="574">
        <v>40406</v>
      </c>
      <c r="B3650" s="574" t="s">
        <v>9234</v>
      </c>
      <c r="C3650" s="574" t="s">
        <v>5555</v>
      </c>
      <c r="D3650" s="583">
        <v>51178.69</v>
      </c>
    </row>
    <row r="3651" spans="1:4" x14ac:dyDescent="0.2">
      <c r="A3651" s="574">
        <v>40789</v>
      </c>
      <c r="B3651" s="574" t="s">
        <v>9235</v>
      </c>
      <c r="C3651" s="574" t="s">
        <v>5555</v>
      </c>
      <c r="D3651" s="583">
        <v>7375.37</v>
      </c>
    </row>
    <row r="3652" spans="1:4" x14ac:dyDescent="0.2">
      <c r="A3652" s="574">
        <v>40791</v>
      </c>
      <c r="B3652" s="574" t="s">
        <v>9236</v>
      </c>
      <c r="C3652" s="574" t="s">
        <v>5555</v>
      </c>
      <c r="D3652" s="583">
        <v>23088.13</v>
      </c>
    </row>
    <row r="3653" spans="1:4" x14ac:dyDescent="0.2">
      <c r="A3653" s="574">
        <v>11651</v>
      </c>
      <c r="B3653" s="574" t="s">
        <v>9237</v>
      </c>
      <c r="C3653" s="574" t="s">
        <v>5555</v>
      </c>
      <c r="D3653" s="583">
        <v>12627.22</v>
      </c>
    </row>
    <row r="3654" spans="1:4" x14ac:dyDescent="0.2">
      <c r="A3654" s="574">
        <v>42002</v>
      </c>
      <c r="B3654" s="574" t="s">
        <v>9238</v>
      </c>
      <c r="C3654" s="574" t="s">
        <v>5555</v>
      </c>
      <c r="D3654" s="583">
        <v>888142.41</v>
      </c>
    </row>
    <row r="3655" spans="1:4" x14ac:dyDescent="0.2">
      <c r="A3655" s="574">
        <v>40435</v>
      </c>
      <c r="B3655" s="574" t="s">
        <v>9239</v>
      </c>
      <c r="C3655" s="574" t="s">
        <v>5555</v>
      </c>
      <c r="D3655" s="583">
        <v>568875</v>
      </c>
    </row>
    <row r="3656" spans="1:4" x14ac:dyDescent="0.2">
      <c r="A3656" s="574">
        <v>39012</v>
      </c>
      <c r="B3656" s="574" t="s">
        <v>9240</v>
      </c>
      <c r="C3656" s="574" t="s">
        <v>5555</v>
      </c>
      <c r="D3656" s="583">
        <v>593542.41</v>
      </c>
    </row>
    <row r="3657" spans="1:4" x14ac:dyDescent="0.2">
      <c r="A3657" s="574">
        <v>13617</v>
      </c>
      <c r="B3657" s="574" t="s">
        <v>9241</v>
      </c>
      <c r="C3657" s="574" t="s">
        <v>5555</v>
      </c>
      <c r="D3657" s="583">
        <v>50289.56</v>
      </c>
    </row>
    <row r="3658" spans="1:4" x14ac:dyDescent="0.2">
      <c r="A3658" s="574">
        <v>5327</v>
      </c>
      <c r="B3658" s="574" t="s">
        <v>9242</v>
      </c>
      <c r="C3658" s="574" t="s">
        <v>5626</v>
      </c>
      <c r="D3658" s="582">
        <v>30.13</v>
      </c>
    </row>
    <row r="3659" spans="1:4" x14ac:dyDescent="0.2">
      <c r="A3659" s="574">
        <v>35274</v>
      </c>
      <c r="B3659" s="574" t="s">
        <v>9243</v>
      </c>
      <c r="C3659" s="574" t="s">
        <v>5575</v>
      </c>
      <c r="D3659" s="582">
        <v>22.62</v>
      </c>
    </row>
    <row r="3660" spans="1:4" x14ac:dyDescent="0.2">
      <c r="A3660" s="574">
        <v>35275</v>
      </c>
      <c r="B3660" s="574" t="s">
        <v>9244</v>
      </c>
      <c r="C3660" s="574" t="s">
        <v>5575</v>
      </c>
      <c r="D3660" s="582">
        <v>48.31</v>
      </c>
    </row>
    <row r="3661" spans="1:4" x14ac:dyDescent="0.2">
      <c r="A3661" s="574">
        <v>35276</v>
      </c>
      <c r="B3661" s="574" t="s">
        <v>9245</v>
      </c>
      <c r="C3661" s="574" t="s">
        <v>5575</v>
      </c>
      <c r="D3661" s="582">
        <v>79</v>
      </c>
    </row>
    <row r="3662" spans="1:4" x14ac:dyDescent="0.2">
      <c r="A3662" s="574">
        <v>38386</v>
      </c>
      <c r="B3662" s="574" t="s">
        <v>9246</v>
      </c>
      <c r="C3662" s="574" t="s">
        <v>5555</v>
      </c>
      <c r="D3662" s="582">
        <v>4.37</v>
      </c>
    </row>
    <row r="3663" spans="1:4" x14ac:dyDescent="0.2">
      <c r="A3663" s="574">
        <v>11091</v>
      </c>
      <c r="B3663" s="574" t="s">
        <v>9247</v>
      </c>
      <c r="C3663" s="574" t="s">
        <v>5555</v>
      </c>
      <c r="D3663" s="582">
        <v>1</v>
      </c>
    </row>
    <row r="3664" spans="1:4" x14ac:dyDescent="0.2">
      <c r="A3664" s="574">
        <v>37586</v>
      </c>
      <c r="B3664" s="574" t="s">
        <v>9248</v>
      </c>
      <c r="C3664" s="574" t="s">
        <v>7833</v>
      </c>
      <c r="D3664" s="582">
        <v>39.700000000000003</v>
      </c>
    </row>
    <row r="3665" spans="1:4" x14ac:dyDescent="0.2">
      <c r="A3665" s="574">
        <v>37395</v>
      </c>
      <c r="B3665" s="574" t="s">
        <v>9249</v>
      </c>
      <c r="C3665" s="574" t="s">
        <v>7833</v>
      </c>
      <c r="D3665" s="582">
        <v>34.130000000000003</v>
      </c>
    </row>
    <row r="3666" spans="1:4" x14ac:dyDescent="0.2">
      <c r="A3666" s="574">
        <v>14147</v>
      </c>
      <c r="B3666" s="574" t="s">
        <v>9250</v>
      </c>
      <c r="C3666" s="574" t="s">
        <v>7833</v>
      </c>
      <c r="D3666" s="582">
        <v>45.28</v>
      </c>
    </row>
    <row r="3667" spans="1:4" x14ac:dyDescent="0.2">
      <c r="A3667" s="574">
        <v>37396</v>
      </c>
      <c r="B3667" s="574" t="s">
        <v>9251</v>
      </c>
      <c r="C3667" s="574" t="s">
        <v>7833</v>
      </c>
      <c r="D3667" s="582">
        <v>27.93</v>
      </c>
    </row>
    <row r="3668" spans="1:4" x14ac:dyDescent="0.2">
      <c r="A3668" s="574">
        <v>37397</v>
      </c>
      <c r="B3668" s="574" t="s">
        <v>9252</v>
      </c>
      <c r="C3668" s="574" t="s">
        <v>7833</v>
      </c>
      <c r="D3668" s="582">
        <v>29.26</v>
      </c>
    </row>
    <row r="3669" spans="1:4" x14ac:dyDescent="0.2">
      <c r="A3669" s="574">
        <v>444</v>
      </c>
      <c r="B3669" s="574" t="s">
        <v>9254</v>
      </c>
      <c r="C3669" s="574" t="s">
        <v>5555</v>
      </c>
      <c r="D3669" s="582">
        <v>17.920000000000002</v>
      </c>
    </row>
    <row r="3670" spans="1:4" x14ac:dyDescent="0.2">
      <c r="A3670" s="574">
        <v>445</v>
      </c>
      <c r="B3670" s="574" t="s">
        <v>9255</v>
      </c>
      <c r="C3670" s="574" t="s">
        <v>5555</v>
      </c>
      <c r="D3670" s="582">
        <v>24.52</v>
      </c>
    </row>
    <row r="3671" spans="1:4" x14ac:dyDescent="0.2">
      <c r="A3671" s="574">
        <v>4783</v>
      </c>
      <c r="B3671" s="574" t="s">
        <v>9256</v>
      </c>
      <c r="C3671" s="574" t="s">
        <v>5566</v>
      </c>
      <c r="D3671" s="582">
        <v>15.06</v>
      </c>
    </row>
    <row r="3672" spans="1:4" x14ac:dyDescent="0.2">
      <c r="A3672" s="574">
        <v>41079</v>
      </c>
      <c r="B3672" s="574" t="s">
        <v>9257</v>
      </c>
      <c r="C3672" s="574" t="s">
        <v>5755</v>
      </c>
      <c r="D3672" s="583">
        <v>2632.63</v>
      </c>
    </row>
    <row r="3673" spans="1:4" x14ac:dyDescent="0.2">
      <c r="A3673" s="574">
        <v>12874</v>
      </c>
      <c r="B3673" s="574" t="s">
        <v>9258</v>
      </c>
      <c r="C3673" s="574" t="s">
        <v>5566</v>
      </c>
      <c r="D3673" s="582">
        <v>17.920000000000002</v>
      </c>
    </row>
    <row r="3674" spans="1:4" x14ac:dyDescent="0.2">
      <c r="A3674" s="574">
        <v>41082</v>
      </c>
      <c r="B3674" s="574" t="s">
        <v>9259</v>
      </c>
      <c r="C3674" s="574" t="s">
        <v>5755</v>
      </c>
      <c r="D3674" s="583">
        <v>3134.52</v>
      </c>
    </row>
    <row r="3675" spans="1:4" x14ac:dyDescent="0.2">
      <c r="A3675" s="574">
        <v>4785</v>
      </c>
      <c r="B3675" s="574" t="s">
        <v>9260</v>
      </c>
      <c r="C3675" s="574" t="s">
        <v>5566</v>
      </c>
      <c r="D3675" s="582">
        <v>16.170000000000002</v>
      </c>
    </row>
    <row r="3676" spans="1:4" x14ac:dyDescent="0.2">
      <c r="A3676" s="574">
        <v>41081</v>
      </c>
      <c r="B3676" s="574" t="s">
        <v>9261</v>
      </c>
      <c r="C3676" s="574" t="s">
        <v>5755</v>
      </c>
      <c r="D3676" s="583">
        <v>2831.66</v>
      </c>
    </row>
    <row r="3677" spans="1:4" x14ac:dyDescent="0.2">
      <c r="A3677" s="574">
        <v>4801</v>
      </c>
      <c r="B3677" s="574" t="s">
        <v>9262</v>
      </c>
      <c r="C3677" s="574" t="s">
        <v>5564</v>
      </c>
      <c r="D3677" s="582">
        <v>56.13</v>
      </c>
    </row>
    <row r="3678" spans="1:4" x14ac:dyDescent="0.2">
      <c r="A3678" s="574">
        <v>4794</v>
      </c>
      <c r="B3678" s="574" t="s">
        <v>9263</v>
      </c>
      <c r="C3678" s="574" t="s">
        <v>5564</v>
      </c>
      <c r="D3678" s="582">
        <v>255.66</v>
      </c>
    </row>
    <row r="3679" spans="1:4" x14ac:dyDescent="0.2">
      <c r="A3679" s="574">
        <v>4796</v>
      </c>
      <c r="B3679" s="574" t="s">
        <v>9264</v>
      </c>
      <c r="C3679" s="574" t="s">
        <v>5564</v>
      </c>
      <c r="D3679" s="582">
        <v>155.29</v>
      </c>
    </row>
    <row r="3680" spans="1:4" x14ac:dyDescent="0.2">
      <c r="A3680" s="574">
        <v>4800</v>
      </c>
      <c r="B3680" s="574" t="s">
        <v>9265</v>
      </c>
      <c r="C3680" s="574" t="s">
        <v>5564</v>
      </c>
      <c r="D3680" s="582">
        <v>42.7</v>
      </c>
    </row>
    <row r="3681" spans="1:4" x14ac:dyDescent="0.2">
      <c r="A3681" s="574">
        <v>4795</v>
      </c>
      <c r="B3681" s="574" t="s">
        <v>9266</v>
      </c>
      <c r="C3681" s="574" t="s">
        <v>5564</v>
      </c>
      <c r="D3681" s="582">
        <v>248.87</v>
      </c>
    </row>
    <row r="3682" spans="1:4" x14ac:dyDescent="0.2">
      <c r="A3682" s="574">
        <v>39694</v>
      </c>
      <c r="B3682" s="574" t="s">
        <v>9267</v>
      </c>
      <c r="C3682" s="574" t="s">
        <v>5564</v>
      </c>
      <c r="D3682" s="582">
        <v>234.81</v>
      </c>
    </row>
    <row r="3683" spans="1:4" x14ac:dyDescent="0.2">
      <c r="A3683" s="574">
        <v>1292</v>
      </c>
      <c r="B3683" s="574" t="s">
        <v>9268</v>
      </c>
      <c r="C3683" s="574" t="s">
        <v>5564</v>
      </c>
      <c r="D3683" s="582">
        <v>48.92</v>
      </c>
    </row>
    <row r="3684" spans="1:4" x14ac:dyDescent="0.2">
      <c r="A3684" s="574">
        <v>1287</v>
      </c>
      <c r="B3684" s="574" t="s">
        <v>9269</v>
      </c>
      <c r="C3684" s="574" t="s">
        <v>5564</v>
      </c>
      <c r="D3684" s="582">
        <v>24</v>
      </c>
    </row>
    <row r="3685" spans="1:4" x14ac:dyDescent="0.2">
      <c r="A3685" s="574">
        <v>1297</v>
      </c>
      <c r="B3685" s="574" t="s">
        <v>9270</v>
      </c>
      <c r="C3685" s="574" t="s">
        <v>5564</v>
      </c>
      <c r="D3685" s="582">
        <v>19.899999999999999</v>
      </c>
    </row>
    <row r="3686" spans="1:4" x14ac:dyDescent="0.2">
      <c r="A3686" s="574">
        <v>4786</v>
      </c>
      <c r="B3686" s="574" t="s">
        <v>9271</v>
      </c>
      <c r="C3686" s="574" t="s">
        <v>5564</v>
      </c>
      <c r="D3686" s="582">
        <v>71</v>
      </c>
    </row>
    <row r="3687" spans="1:4" x14ac:dyDescent="0.2">
      <c r="A3687" s="574">
        <v>10840</v>
      </c>
      <c r="B3687" s="574" t="s">
        <v>9272</v>
      </c>
      <c r="C3687" s="574" t="s">
        <v>5564</v>
      </c>
      <c r="D3687" s="582">
        <v>300</v>
      </c>
    </row>
    <row r="3688" spans="1:4" x14ac:dyDescent="0.2">
      <c r="A3688" s="574">
        <v>10841</v>
      </c>
      <c r="B3688" s="574" t="s">
        <v>9273</v>
      </c>
      <c r="C3688" s="574" t="s">
        <v>5564</v>
      </c>
      <c r="D3688" s="582">
        <v>226.41</v>
      </c>
    </row>
    <row r="3689" spans="1:4" x14ac:dyDescent="0.2">
      <c r="A3689" s="574">
        <v>25980</v>
      </c>
      <c r="B3689" s="574" t="s">
        <v>9274</v>
      </c>
      <c r="C3689" s="574" t="s">
        <v>5564</v>
      </c>
      <c r="D3689" s="582">
        <v>289.3</v>
      </c>
    </row>
    <row r="3690" spans="1:4" x14ac:dyDescent="0.2">
      <c r="A3690" s="574">
        <v>10842</v>
      </c>
      <c r="B3690" s="574" t="s">
        <v>9275</v>
      </c>
      <c r="C3690" s="574" t="s">
        <v>5564</v>
      </c>
      <c r="D3690" s="582">
        <v>327.04000000000002</v>
      </c>
    </row>
    <row r="3691" spans="1:4" x14ac:dyDescent="0.2">
      <c r="A3691" s="574">
        <v>21108</v>
      </c>
      <c r="B3691" s="574" t="s">
        <v>9276</v>
      </c>
      <c r="C3691" s="574" t="s">
        <v>5564</v>
      </c>
      <c r="D3691" s="582">
        <v>65.2</v>
      </c>
    </row>
    <row r="3692" spans="1:4" x14ac:dyDescent="0.2">
      <c r="A3692" s="574">
        <v>38180</v>
      </c>
      <c r="B3692" s="574" t="s">
        <v>9277</v>
      </c>
      <c r="C3692" s="574" t="s">
        <v>5564</v>
      </c>
      <c r="D3692" s="582">
        <v>125.02</v>
      </c>
    </row>
    <row r="3693" spans="1:4" x14ac:dyDescent="0.2">
      <c r="A3693" s="574">
        <v>40648</v>
      </c>
      <c r="B3693" s="574" t="s">
        <v>9278</v>
      </c>
      <c r="C3693" s="574" t="s">
        <v>5564</v>
      </c>
      <c r="D3693" s="582">
        <v>136.32</v>
      </c>
    </row>
    <row r="3694" spans="1:4" x14ac:dyDescent="0.2">
      <c r="A3694" s="574">
        <v>40649</v>
      </c>
      <c r="B3694" s="574" t="s">
        <v>9279</v>
      </c>
      <c r="C3694" s="574" t="s">
        <v>5564</v>
      </c>
      <c r="D3694" s="582">
        <v>79.400000000000006</v>
      </c>
    </row>
    <row r="3695" spans="1:4" x14ac:dyDescent="0.2">
      <c r="A3695" s="574">
        <v>40650</v>
      </c>
      <c r="B3695" s="574" t="s">
        <v>9280</v>
      </c>
      <c r="C3695" s="574" t="s">
        <v>5564</v>
      </c>
      <c r="D3695" s="582">
        <v>102.24</v>
      </c>
    </row>
    <row r="3696" spans="1:4" x14ac:dyDescent="0.2">
      <c r="A3696" s="574">
        <v>40651</v>
      </c>
      <c r="B3696" s="574" t="s">
        <v>9281</v>
      </c>
      <c r="C3696" s="574" t="s">
        <v>5564</v>
      </c>
      <c r="D3696" s="582">
        <v>188.57</v>
      </c>
    </row>
    <row r="3697" spans="1:4" x14ac:dyDescent="0.2">
      <c r="A3697" s="574">
        <v>40652</v>
      </c>
      <c r="B3697" s="574" t="s">
        <v>9282</v>
      </c>
      <c r="C3697" s="574" t="s">
        <v>5564</v>
      </c>
      <c r="D3697" s="582">
        <v>101.1</v>
      </c>
    </row>
    <row r="3698" spans="1:4" x14ac:dyDescent="0.2">
      <c r="A3698" s="574">
        <v>40647</v>
      </c>
      <c r="B3698" s="574" t="s">
        <v>9283</v>
      </c>
      <c r="C3698" s="574" t="s">
        <v>5564</v>
      </c>
      <c r="D3698" s="582">
        <v>111.32</v>
      </c>
    </row>
    <row r="3699" spans="1:4" x14ac:dyDescent="0.2">
      <c r="A3699" s="574">
        <v>40653</v>
      </c>
      <c r="B3699" s="574" t="s">
        <v>9284</v>
      </c>
      <c r="C3699" s="574" t="s">
        <v>5564</v>
      </c>
      <c r="D3699" s="582">
        <v>85.2</v>
      </c>
    </row>
    <row r="3700" spans="1:4" x14ac:dyDescent="0.2">
      <c r="A3700" s="574">
        <v>36178</v>
      </c>
      <c r="B3700" s="574" t="s">
        <v>9285</v>
      </c>
      <c r="C3700" s="574" t="s">
        <v>5555</v>
      </c>
      <c r="D3700" s="582">
        <v>11.88</v>
      </c>
    </row>
    <row r="3701" spans="1:4" x14ac:dyDescent="0.2">
      <c r="A3701" s="574">
        <v>38195</v>
      </c>
      <c r="B3701" s="574" t="s">
        <v>9286</v>
      </c>
      <c r="C3701" s="574" t="s">
        <v>5564</v>
      </c>
      <c r="D3701" s="582">
        <v>77.010000000000005</v>
      </c>
    </row>
    <row r="3702" spans="1:4" x14ac:dyDescent="0.2">
      <c r="A3702" s="574">
        <v>38181</v>
      </c>
      <c r="B3702" s="574" t="s">
        <v>9287</v>
      </c>
      <c r="C3702" s="574" t="s">
        <v>5564</v>
      </c>
      <c r="D3702" s="582">
        <v>170.68</v>
      </c>
    </row>
    <row r="3703" spans="1:4" x14ac:dyDescent="0.2">
      <c r="A3703" s="574">
        <v>38182</v>
      </c>
      <c r="B3703" s="574" t="s">
        <v>9288</v>
      </c>
      <c r="C3703" s="574" t="s">
        <v>5564</v>
      </c>
      <c r="D3703" s="582">
        <v>162.58000000000001</v>
      </c>
    </row>
    <row r="3704" spans="1:4" x14ac:dyDescent="0.2">
      <c r="A3704" s="574">
        <v>38186</v>
      </c>
      <c r="B3704" s="574" t="s">
        <v>9289</v>
      </c>
      <c r="C3704" s="574" t="s">
        <v>5564</v>
      </c>
      <c r="D3704" s="582">
        <v>422.59</v>
      </c>
    </row>
    <row r="3705" spans="1:4" x14ac:dyDescent="0.2">
      <c r="A3705" s="574">
        <v>38185</v>
      </c>
      <c r="B3705" s="574" t="s">
        <v>9290</v>
      </c>
      <c r="C3705" s="574" t="s">
        <v>5564</v>
      </c>
      <c r="D3705" s="582">
        <v>376.26</v>
      </c>
    </row>
    <row r="3706" spans="1:4" x14ac:dyDescent="0.2">
      <c r="A3706" s="574">
        <v>40654</v>
      </c>
      <c r="B3706" s="574" t="s">
        <v>9291</v>
      </c>
      <c r="C3706" s="574" t="s">
        <v>5564</v>
      </c>
      <c r="D3706" s="582">
        <v>132.34</v>
      </c>
    </row>
    <row r="3707" spans="1:4" x14ac:dyDescent="0.2">
      <c r="A3707" s="574">
        <v>25981</v>
      </c>
      <c r="B3707" s="574" t="s">
        <v>9292</v>
      </c>
      <c r="C3707" s="574" t="s">
        <v>5564</v>
      </c>
      <c r="D3707" s="582">
        <v>238.99</v>
      </c>
    </row>
    <row r="3708" spans="1:4" x14ac:dyDescent="0.2">
      <c r="A3708" s="574">
        <v>4822</v>
      </c>
      <c r="B3708" s="574" t="s">
        <v>9293</v>
      </c>
      <c r="C3708" s="574" t="s">
        <v>5564</v>
      </c>
      <c r="D3708" s="582">
        <v>378.35</v>
      </c>
    </row>
    <row r="3709" spans="1:4" x14ac:dyDescent="0.2">
      <c r="A3709" s="574">
        <v>4818</v>
      </c>
      <c r="B3709" s="574" t="s">
        <v>9294</v>
      </c>
      <c r="C3709" s="574" t="s">
        <v>5564</v>
      </c>
      <c r="D3709" s="582">
        <v>388.89</v>
      </c>
    </row>
    <row r="3710" spans="1:4" x14ac:dyDescent="0.2">
      <c r="A3710" s="574">
        <v>39567</v>
      </c>
      <c r="B3710" s="574" t="s">
        <v>9295</v>
      </c>
      <c r="C3710" s="574" t="s">
        <v>5564</v>
      </c>
      <c r="D3710" s="582">
        <v>47.27</v>
      </c>
    </row>
    <row r="3711" spans="1:4" x14ac:dyDescent="0.2">
      <c r="A3711" s="574">
        <v>39566</v>
      </c>
      <c r="B3711" s="574" t="s">
        <v>9296</v>
      </c>
      <c r="C3711" s="574" t="s">
        <v>5564</v>
      </c>
      <c r="D3711" s="582">
        <v>54.59</v>
      </c>
    </row>
    <row r="3712" spans="1:4" x14ac:dyDescent="0.2">
      <c r="A3712" s="574">
        <v>11062</v>
      </c>
      <c r="B3712" s="574" t="s">
        <v>9297</v>
      </c>
      <c r="C3712" s="574" t="s">
        <v>5564</v>
      </c>
      <c r="D3712" s="582">
        <v>45.83</v>
      </c>
    </row>
    <row r="3713" spans="1:4" x14ac:dyDescent="0.2">
      <c r="A3713" s="574">
        <v>11063</v>
      </c>
      <c r="B3713" s="574" t="s">
        <v>9298</v>
      </c>
      <c r="C3713" s="574" t="s">
        <v>5564</v>
      </c>
      <c r="D3713" s="582">
        <v>44.37</v>
      </c>
    </row>
    <row r="3714" spans="1:4" x14ac:dyDescent="0.2">
      <c r="A3714" s="574">
        <v>13521</v>
      </c>
      <c r="B3714" s="574" t="s">
        <v>9299</v>
      </c>
      <c r="C3714" s="574" t="s">
        <v>5555</v>
      </c>
      <c r="D3714" s="582">
        <v>99</v>
      </c>
    </row>
    <row r="3715" spans="1:4" x14ac:dyDescent="0.2">
      <c r="A3715" s="574">
        <v>10851</v>
      </c>
      <c r="B3715" s="574" t="s">
        <v>9300</v>
      </c>
      <c r="C3715" s="574" t="s">
        <v>5555</v>
      </c>
      <c r="D3715" s="582">
        <v>43.99</v>
      </c>
    </row>
    <row r="3716" spans="1:4" x14ac:dyDescent="0.2">
      <c r="A3716" s="574">
        <v>39515</v>
      </c>
      <c r="B3716" s="574" t="s">
        <v>9301</v>
      </c>
      <c r="C3716" s="574" t="s">
        <v>5555</v>
      </c>
      <c r="D3716" s="582">
        <v>44.11</v>
      </c>
    </row>
    <row r="3717" spans="1:4" x14ac:dyDescent="0.2">
      <c r="A3717" s="574">
        <v>39516</v>
      </c>
      <c r="B3717" s="574" t="s">
        <v>9302</v>
      </c>
      <c r="C3717" s="574" t="s">
        <v>5555</v>
      </c>
      <c r="D3717" s="582">
        <v>37.19</v>
      </c>
    </row>
    <row r="3718" spans="1:4" x14ac:dyDescent="0.2">
      <c r="A3718" s="574">
        <v>39514</v>
      </c>
      <c r="B3718" s="574" t="s">
        <v>9303</v>
      </c>
      <c r="C3718" s="574" t="s">
        <v>5555</v>
      </c>
      <c r="D3718" s="582">
        <v>23.14</v>
      </c>
    </row>
    <row r="3719" spans="1:4" x14ac:dyDescent="0.2">
      <c r="A3719" s="574">
        <v>4812</v>
      </c>
      <c r="B3719" s="574" t="s">
        <v>9304</v>
      </c>
      <c r="C3719" s="574" t="s">
        <v>5564</v>
      </c>
      <c r="D3719" s="582">
        <v>13.06</v>
      </c>
    </row>
    <row r="3720" spans="1:4" x14ac:dyDescent="0.2">
      <c r="A3720" s="574">
        <v>10849</v>
      </c>
      <c r="B3720" s="574" t="s">
        <v>9305</v>
      </c>
      <c r="C3720" s="574" t="s">
        <v>5555</v>
      </c>
      <c r="D3720" s="583">
        <v>1440.01</v>
      </c>
    </row>
    <row r="3721" spans="1:4" x14ac:dyDescent="0.2">
      <c r="A3721" s="574">
        <v>10848</v>
      </c>
      <c r="B3721" s="574" t="s">
        <v>9306</v>
      </c>
      <c r="C3721" s="574" t="s">
        <v>5555</v>
      </c>
      <c r="D3721" s="582">
        <v>904.5</v>
      </c>
    </row>
    <row r="3722" spans="1:4" x14ac:dyDescent="0.2">
      <c r="A3722" s="574">
        <v>4813</v>
      </c>
      <c r="B3722" s="574" t="s">
        <v>9307</v>
      </c>
      <c r="C3722" s="574" t="s">
        <v>5564</v>
      </c>
      <c r="D3722" s="582">
        <v>300</v>
      </c>
    </row>
    <row r="3723" spans="1:4" x14ac:dyDescent="0.2">
      <c r="A3723" s="574">
        <v>37560</v>
      </c>
      <c r="B3723" s="574" t="s">
        <v>9308</v>
      </c>
      <c r="C3723" s="574" t="s">
        <v>5555</v>
      </c>
      <c r="D3723" s="582">
        <v>35.43</v>
      </c>
    </row>
    <row r="3724" spans="1:4" x14ac:dyDescent="0.2">
      <c r="A3724" s="574">
        <v>37557</v>
      </c>
      <c r="B3724" s="574" t="s">
        <v>9309</v>
      </c>
      <c r="C3724" s="574" t="s">
        <v>5555</v>
      </c>
      <c r="D3724" s="582">
        <v>10.76</v>
      </c>
    </row>
    <row r="3725" spans="1:4" x14ac:dyDescent="0.2">
      <c r="A3725" s="574">
        <v>37556</v>
      </c>
      <c r="B3725" s="574" t="s">
        <v>9310</v>
      </c>
      <c r="C3725" s="574" t="s">
        <v>5555</v>
      </c>
      <c r="D3725" s="582">
        <v>20.82</v>
      </c>
    </row>
    <row r="3726" spans="1:4" x14ac:dyDescent="0.2">
      <c r="A3726" s="574">
        <v>37559</v>
      </c>
      <c r="B3726" s="574" t="s">
        <v>9311</v>
      </c>
      <c r="C3726" s="574" t="s">
        <v>5555</v>
      </c>
      <c r="D3726" s="582">
        <v>25.54</v>
      </c>
    </row>
    <row r="3727" spans="1:4" x14ac:dyDescent="0.2">
      <c r="A3727" s="574">
        <v>37539</v>
      </c>
      <c r="B3727" s="574" t="s">
        <v>9312</v>
      </c>
      <c r="C3727" s="574" t="s">
        <v>5555</v>
      </c>
      <c r="D3727" s="582">
        <v>18</v>
      </c>
    </row>
    <row r="3728" spans="1:4" x14ac:dyDescent="0.2">
      <c r="A3728" s="574">
        <v>37558</v>
      </c>
      <c r="B3728" s="574" t="s">
        <v>9313</v>
      </c>
      <c r="C3728" s="574" t="s">
        <v>5555</v>
      </c>
      <c r="D3728" s="582">
        <v>33.56</v>
      </c>
    </row>
    <row r="3729" spans="1:4" x14ac:dyDescent="0.2">
      <c r="A3729" s="574">
        <v>34723</v>
      </c>
      <c r="B3729" s="574" t="s">
        <v>9314</v>
      </c>
      <c r="C3729" s="574" t="s">
        <v>5564</v>
      </c>
      <c r="D3729" s="582">
        <v>693</v>
      </c>
    </row>
    <row r="3730" spans="1:4" x14ac:dyDescent="0.2">
      <c r="A3730" s="574">
        <v>34721</v>
      </c>
      <c r="B3730" s="574" t="s">
        <v>9315</v>
      </c>
      <c r="C3730" s="574" t="s">
        <v>5564</v>
      </c>
      <c r="D3730" s="582">
        <v>864</v>
      </c>
    </row>
    <row r="3731" spans="1:4" x14ac:dyDescent="0.2">
      <c r="A3731" s="574">
        <v>4309</v>
      </c>
      <c r="B3731" s="574" t="s">
        <v>9316</v>
      </c>
      <c r="C3731" s="574" t="s">
        <v>5555</v>
      </c>
      <c r="D3731" s="582">
        <v>4.49</v>
      </c>
    </row>
    <row r="3732" spans="1:4" x14ac:dyDescent="0.2">
      <c r="A3732" s="574">
        <v>4307</v>
      </c>
      <c r="B3732" s="574" t="s">
        <v>9317</v>
      </c>
      <c r="C3732" s="574" t="s">
        <v>5555</v>
      </c>
      <c r="D3732" s="582">
        <v>7.67</v>
      </c>
    </row>
    <row r="3733" spans="1:4" x14ac:dyDescent="0.2">
      <c r="A3733" s="574">
        <v>10850</v>
      </c>
      <c r="B3733" s="574" t="s">
        <v>9318</v>
      </c>
      <c r="C3733" s="574" t="s">
        <v>5555</v>
      </c>
      <c r="D3733" s="582">
        <v>45</v>
      </c>
    </row>
    <row r="3734" spans="1:4" x14ac:dyDescent="0.2">
      <c r="A3734" s="574">
        <v>42438</v>
      </c>
      <c r="B3734" s="574" t="s">
        <v>9319</v>
      </c>
      <c r="C3734" s="574" t="s">
        <v>5555</v>
      </c>
      <c r="D3734" s="583">
        <v>1163.67</v>
      </c>
    </row>
    <row r="3735" spans="1:4" x14ac:dyDescent="0.2">
      <c r="A3735" s="574">
        <v>4792</v>
      </c>
      <c r="B3735" s="574" t="s">
        <v>9320</v>
      </c>
      <c r="C3735" s="574" t="s">
        <v>5564</v>
      </c>
      <c r="D3735" s="582">
        <v>120.02</v>
      </c>
    </row>
    <row r="3736" spans="1:4" x14ac:dyDescent="0.2">
      <c r="A3736" s="574">
        <v>4790</v>
      </c>
      <c r="B3736" s="574" t="s">
        <v>9321</v>
      </c>
      <c r="C3736" s="574" t="s">
        <v>5564</v>
      </c>
      <c r="D3736" s="582">
        <v>72.16</v>
      </c>
    </row>
    <row r="3737" spans="1:4" x14ac:dyDescent="0.2">
      <c r="A3737" s="574">
        <v>40671</v>
      </c>
      <c r="B3737" s="574" t="s">
        <v>9322</v>
      </c>
      <c r="C3737" s="574" t="s">
        <v>5564</v>
      </c>
      <c r="D3737" s="582">
        <v>77.989999999999995</v>
      </c>
    </row>
    <row r="3738" spans="1:4" x14ac:dyDescent="0.2">
      <c r="A3738" s="574">
        <v>7552</v>
      </c>
      <c r="B3738" s="574" t="s">
        <v>9323</v>
      </c>
      <c r="C3738" s="574" t="s">
        <v>5555</v>
      </c>
      <c r="D3738" s="582">
        <v>23.12</v>
      </c>
    </row>
    <row r="3739" spans="1:4" x14ac:dyDescent="0.2">
      <c r="A3739" s="574">
        <v>4893</v>
      </c>
      <c r="B3739" s="574" t="s">
        <v>9324</v>
      </c>
      <c r="C3739" s="574" t="s">
        <v>5555</v>
      </c>
      <c r="D3739" s="582">
        <v>8.4700000000000006</v>
      </c>
    </row>
    <row r="3740" spans="1:4" x14ac:dyDescent="0.2">
      <c r="A3740" s="574">
        <v>4894</v>
      </c>
      <c r="B3740" s="574" t="s">
        <v>9325</v>
      </c>
      <c r="C3740" s="574" t="s">
        <v>5555</v>
      </c>
      <c r="D3740" s="582">
        <v>7.26</v>
      </c>
    </row>
    <row r="3741" spans="1:4" x14ac:dyDescent="0.2">
      <c r="A3741" s="574">
        <v>4888</v>
      </c>
      <c r="B3741" s="574" t="s">
        <v>9326</v>
      </c>
      <c r="C3741" s="574" t="s">
        <v>5555</v>
      </c>
      <c r="D3741" s="582">
        <v>2.4700000000000002</v>
      </c>
    </row>
    <row r="3742" spans="1:4" x14ac:dyDescent="0.2">
      <c r="A3742" s="574">
        <v>4890</v>
      </c>
      <c r="B3742" s="574" t="s">
        <v>9327</v>
      </c>
      <c r="C3742" s="574" t="s">
        <v>5555</v>
      </c>
      <c r="D3742" s="582">
        <v>4.6500000000000004</v>
      </c>
    </row>
    <row r="3743" spans="1:4" x14ac:dyDescent="0.2">
      <c r="A3743" s="574">
        <v>12411</v>
      </c>
      <c r="B3743" s="574" t="s">
        <v>9328</v>
      </c>
      <c r="C3743" s="574" t="s">
        <v>5555</v>
      </c>
      <c r="D3743" s="582">
        <v>25.04</v>
      </c>
    </row>
    <row r="3744" spans="1:4" x14ac:dyDescent="0.2">
      <c r="A3744" s="574">
        <v>4891</v>
      </c>
      <c r="B3744" s="574" t="s">
        <v>9329</v>
      </c>
      <c r="C3744" s="574" t="s">
        <v>5555</v>
      </c>
      <c r="D3744" s="582">
        <v>12.52</v>
      </c>
    </row>
    <row r="3745" spans="1:4" x14ac:dyDescent="0.2">
      <c r="A3745" s="574">
        <v>4889</v>
      </c>
      <c r="B3745" s="574" t="s">
        <v>9330</v>
      </c>
      <c r="C3745" s="574" t="s">
        <v>5555</v>
      </c>
      <c r="D3745" s="582">
        <v>3.34</v>
      </c>
    </row>
    <row r="3746" spans="1:4" x14ac:dyDescent="0.2">
      <c r="A3746" s="574">
        <v>4892</v>
      </c>
      <c r="B3746" s="574" t="s">
        <v>9331</v>
      </c>
      <c r="C3746" s="574" t="s">
        <v>5555</v>
      </c>
      <c r="D3746" s="582">
        <v>35.06</v>
      </c>
    </row>
    <row r="3747" spans="1:4" x14ac:dyDescent="0.2">
      <c r="A3747" s="574">
        <v>12412</v>
      </c>
      <c r="B3747" s="574" t="s">
        <v>9332</v>
      </c>
      <c r="C3747" s="574" t="s">
        <v>5555</v>
      </c>
      <c r="D3747" s="582">
        <v>65.16</v>
      </c>
    </row>
    <row r="3748" spans="1:4" x14ac:dyDescent="0.2">
      <c r="A3748" s="574">
        <v>11073</v>
      </c>
      <c r="B3748" s="574" t="s">
        <v>9333</v>
      </c>
      <c r="C3748" s="574" t="s">
        <v>5555</v>
      </c>
      <c r="D3748" s="582">
        <v>3.42</v>
      </c>
    </row>
    <row r="3749" spans="1:4" x14ac:dyDescent="0.2">
      <c r="A3749" s="574">
        <v>11071</v>
      </c>
      <c r="B3749" s="574" t="s">
        <v>9334</v>
      </c>
      <c r="C3749" s="574" t="s">
        <v>5555</v>
      </c>
      <c r="D3749" s="582">
        <v>5.54</v>
      </c>
    </row>
    <row r="3750" spans="1:4" x14ac:dyDescent="0.2">
      <c r="A3750" s="574">
        <v>11072</v>
      </c>
      <c r="B3750" s="574" t="s">
        <v>9335</v>
      </c>
      <c r="C3750" s="574" t="s">
        <v>5555</v>
      </c>
      <c r="D3750" s="582">
        <v>1.93</v>
      </c>
    </row>
    <row r="3751" spans="1:4" x14ac:dyDescent="0.2">
      <c r="A3751" s="574">
        <v>4895</v>
      </c>
      <c r="B3751" s="574" t="s">
        <v>9336</v>
      </c>
      <c r="C3751" s="574" t="s">
        <v>5555</v>
      </c>
      <c r="D3751" s="582">
        <v>0.44</v>
      </c>
    </row>
    <row r="3752" spans="1:4" x14ac:dyDescent="0.2">
      <c r="A3752" s="574">
        <v>4907</v>
      </c>
      <c r="B3752" s="574" t="s">
        <v>9337</v>
      </c>
      <c r="C3752" s="574" t="s">
        <v>5555</v>
      </c>
      <c r="D3752" s="582">
        <v>15.76</v>
      </c>
    </row>
    <row r="3753" spans="1:4" x14ac:dyDescent="0.2">
      <c r="A3753" s="574">
        <v>4902</v>
      </c>
      <c r="B3753" s="574" t="s">
        <v>9338</v>
      </c>
      <c r="C3753" s="574" t="s">
        <v>5555</v>
      </c>
      <c r="D3753" s="582">
        <v>35.69</v>
      </c>
    </row>
    <row r="3754" spans="1:4" x14ac:dyDescent="0.2">
      <c r="A3754" s="574">
        <v>4908</v>
      </c>
      <c r="B3754" s="574" t="s">
        <v>9339</v>
      </c>
      <c r="C3754" s="574" t="s">
        <v>5555</v>
      </c>
      <c r="D3754" s="582">
        <v>72.47</v>
      </c>
    </row>
    <row r="3755" spans="1:4" x14ac:dyDescent="0.2">
      <c r="A3755" s="574">
        <v>4909</v>
      </c>
      <c r="B3755" s="574" t="s">
        <v>9340</v>
      </c>
      <c r="C3755" s="574" t="s">
        <v>5555</v>
      </c>
      <c r="D3755" s="582">
        <v>139.94999999999999</v>
      </c>
    </row>
    <row r="3756" spans="1:4" x14ac:dyDescent="0.2">
      <c r="A3756" s="574">
        <v>4903</v>
      </c>
      <c r="B3756" s="574" t="s">
        <v>9341</v>
      </c>
      <c r="C3756" s="574" t="s">
        <v>5555</v>
      </c>
      <c r="D3756" s="582">
        <v>411.52</v>
      </c>
    </row>
    <row r="3757" spans="1:4" x14ac:dyDescent="0.2">
      <c r="A3757" s="574">
        <v>4897</v>
      </c>
      <c r="B3757" s="574" t="s">
        <v>9342</v>
      </c>
      <c r="C3757" s="574" t="s">
        <v>5555</v>
      </c>
      <c r="D3757" s="582">
        <v>1.87</v>
      </c>
    </row>
    <row r="3758" spans="1:4" x14ac:dyDescent="0.2">
      <c r="A3758" s="574">
        <v>4896</v>
      </c>
      <c r="B3758" s="574" t="s">
        <v>9343</v>
      </c>
      <c r="C3758" s="574" t="s">
        <v>5555</v>
      </c>
      <c r="D3758" s="582">
        <v>0.66</v>
      </c>
    </row>
    <row r="3759" spans="1:4" x14ac:dyDescent="0.2">
      <c r="A3759" s="574">
        <v>4900</v>
      </c>
      <c r="B3759" s="574" t="s">
        <v>9344</v>
      </c>
      <c r="C3759" s="574" t="s">
        <v>5555</v>
      </c>
      <c r="D3759" s="582">
        <v>5.56</v>
      </c>
    </row>
    <row r="3760" spans="1:4" x14ac:dyDescent="0.2">
      <c r="A3760" s="574">
        <v>4898</v>
      </c>
      <c r="B3760" s="574" t="s">
        <v>9345</v>
      </c>
      <c r="C3760" s="574" t="s">
        <v>5555</v>
      </c>
      <c r="D3760" s="582">
        <v>2.08</v>
      </c>
    </row>
    <row r="3761" spans="1:4" x14ac:dyDescent="0.2">
      <c r="A3761" s="574">
        <v>4899</v>
      </c>
      <c r="B3761" s="574" t="s">
        <v>9346</v>
      </c>
      <c r="C3761" s="574" t="s">
        <v>5555</v>
      </c>
      <c r="D3761" s="582">
        <v>7.63</v>
      </c>
    </row>
    <row r="3762" spans="1:4" x14ac:dyDescent="0.2">
      <c r="A3762" s="574">
        <v>11096</v>
      </c>
      <c r="B3762" s="574" t="s">
        <v>9347</v>
      </c>
      <c r="C3762" s="574" t="s">
        <v>5626</v>
      </c>
      <c r="D3762" s="582">
        <v>0.45</v>
      </c>
    </row>
    <row r="3763" spans="1:4" x14ac:dyDescent="0.2">
      <c r="A3763" s="574">
        <v>4741</v>
      </c>
      <c r="B3763" s="574" t="s">
        <v>9348</v>
      </c>
      <c r="C3763" s="574" t="s">
        <v>5751</v>
      </c>
      <c r="D3763" s="582">
        <v>83.53</v>
      </c>
    </row>
    <row r="3764" spans="1:4" x14ac:dyDescent="0.2">
      <c r="A3764" s="574">
        <v>4752</v>
      </c>
      <c r="B3764" s="574" t="s">
        <v>9349</v>
      </c>
      <c r="C3764" s="574" t="s">
        <v>5566</v>
      </c>
      <c r="D3764" s="582">
        <v>15.98</v>
      </c>
    </row>
    <row r="3765" spans="1:4" x14ac:dyDescent="0.2">
      <c r="A3765" s="574">
        <v>41091</v>
      </c>
      <c r="B3765" s="574" t="s">
        <v>9350</v>
      </c>
      <c r="C3765" s="574" t="s">
        <v>5755</v>
      </c>
      <c r="D3765" s="583">
        <v>2797.04</v>
      </c>
    </row>
    <row r="3766" spans="1:4" x14ac:dyDescent="0.2">
      <c r="A3766" s="574">
        <v>13954</v>
      </c>
      <c r="B3766" s="574" t="s">
        <v>9351</v>
      </c>
      <c r="C3766" s="574" t="s">
        <v>5555</v>
      </c>
      <c r="D3766" s="583">
        <v>6387.96</v>
      </c>
    </row>
    <row r="3767" spans="1:4" x14ac:dyDescent="0.2">
      <c r="A3767" s="574">
        <v>3411</v>
      </c>
      <c r="B3767" s="574" t="s">
        <v>9352</v>
      </c>
      <c r="C3767" s="574" t="s">
        <v>5626</v>
      </c>
      <c r="D3767" s="582">
        <v>38.659999999999997</v>
      </c>
    </row>
    <row r="3768" spans="1:4" x14ac:dyDescent="0.2">
      <c r="A3768" s="574">
        <v>39995</v>
      </c>
      <c r="B3768" s="574" t="s">
        <v>9353</v>
      </c>
      <c r="C3768" s="574" t="s">
        <v>5751</v>
      </c>
      <c r="D3768" s="582">
        <v>297.42</v>
      </c>
    </row>
    <row r="3769" spans="1:4" x14ac:dyDescent="0.2">
      <c r="A3769" s="574">
        <v>11615</v>
      </c>
      <c r="B3769" s="574" t="s">
        <v>9354</v>
      </c>
      <c r="C3769" s="574" t="s">
        <v>5564</v>
      </c>
      <c r="D3769" s="582">
        <v>2.52</v>
      </c>
    </row>
    <row r="3770" spans="1:4" x14ac:dyDescent="0.2">
      <c r="A3770" s="574">
        <v>3408</v>
      </c>
      <c r="B3770" s="574" t="s">
        <v>9355</v>
      </c>
      <c r="C3770" s="574" t="s">
        <v>5564</v>
      </c>
      <c r="D3770" s="582">
        <v>6.7</v>
      </c>
    </row>
    <row r="3771" spans="1:4" x14ac:dyDescent="0.2">
      <c r="A3771" s="574">
        <v>3409</v>
      </c>
      <c r="B3771" s="574" t="s">
        <v>9356</v>
      </c>
      <c r="C3771" s="574" t="s">
        <v>5564</v>
      </c>
      <c r="D3771" s="582">
        <v>16.75</v>
      </c>
    </row>
    <row r="3772" spans="1:4" x14ac:dyDescent="0.2">
      <c r="A3772" s="574">
        <v>11427</v>
      </c>
      <c r="B3772" s="574" t="s">
        <v>9357</v>
      </c>
      <c r="C3772" s="574" t="s">
        <v>5626</v>
      </c>
      <c r="D3772" s="582">
        <v>76.66</v>
      </c>
    </row>
    <row r="3773" spans="1:4" x14ac:dyDescent="0.2">
      <c r="A3773" s="574">
        <v>4491</v>
      </c>
      <c r="B3773" s="574" t="s">
        <v>9358</v>
      </c>
      <c r="C3773" s="574" t="s">
        <v>5575</v>
      </c>
      <c r="D3773" s="582">
        <v>2.96</v>
      </c>
    </row>
    <row r="3774" spans="1:4" x14ac:dyDescent="0.2">
      <c r="A3774" s="574">
        <v>26022</v>
      </c>
      <c r="B3774" s="574" t="s">
        <v>9359</v>
      </c>
      <c r="C3774" s="574" t="s">
        <v>5555</v>
      </c>
      <c r="D3774" s="582">
        <v>108.72</v>
      </c>
    </row>
    <row r="3775" spans="1:4" x14ac:dyDescent="0.2">
      <c r="A3775" s="574">
        <v>421</v>
      </c>
      <c r="B3775" s="574" t="s">
        <v>9360</v>
      </c>
      <c r="C3775" s="574" t="s">
        <v>5555</v>
      </c>
      <c r="D3775" s="582">
        <v>10.87</v>
      </c>
    </row>
    <row r="3776" spans="1:4" x14ac:dyDescent="0.2">
      <c r="A3776" s="574">
        <v>12362</v>
      </c>
      <c r="B3776" s="574" t="s">
        <v>9361</v>
      </c>
      <c r="C3776" s="574" t="s">
        <v>5555</v>
      </c>
      <c r="D3776" s="582">
        <v>9.73</v>
      </c>
    </row>
    <row r="3777" spans="1:4" x14ac:dyDescent="0.2">
      <c r="A3777" s="574">
        <v>14148</v>
      </c>
      <c r="B3777" s="574" t="s">
        <v>9362</v>
      </c>
      <c r="C3777" s="574" t="s">
        <v>5555</v>
      </c>
      <c r="D3777" s="582">
        <v>0.77</v>
      </c>
    </row>
    <row r="3778" spans="1:4" x14ac:dyDescent="0.2">
      <c r="A3778" s="574">
        <v>4341</v>
      </c>
      <c r="B3778" s="574" t="s">
        <v>9363</v>
      </c>
      <c r="C3778" s="574" t="s">
        <v>5555</v>
      </c>
      <c r="D3778" s="582">
        <v>0.62</v>
      </c>
    </row>
    <row r="3779" spans="1:4" x14ac:dyDescent="0.2">
      <c r="A3779" s="574">
        <v>4337</v>
      </c>
      <c r="B3779" s="574" t="s">
        <v>9364</v>
      </c>
      <c r="C3779" s="574" t="s">
        <v>5555</v>
      </c>
      <c r="D3779" s="582">
        <v>1.57</v>
      </c>
    </row>
    <row r="3780" spans="1:4" x14ac:dyDescent="0.2">
      <c r="A3780" s="574">
        <v>4339</v>
      </c>
      <c r="B3780" s="574" t="s">
        <v>9365</v>
      </c>
      <c r="C3780" s="574" t="s">
        <v>5555</v>
      </c>
      <c r="D3780" s="582">
        <v>0.33</v>
      </c>
    </row>
    <row r="3781" spans="1:4" x14ac:dyDescent="0.2">
      <c r="A3781" s="574">
        <v>39997</v>
      </c>
      <c r="B3781" s="574" t="s">
        <v>9366</v>
      </c>
      <c r="C3781" s="574" t="s">
        <v>5555</v>
      </c>
      <c r="D3781" s="582">
        <v>0.18</v>
      </c>
    </row>
    <row r="3782" spans="1:4" x14ac:dyDescent="0.2">
      <c r="A3782" s="574">
        <v>11971</v>
      </c>
      <c r="B3782" s="574" t="s">
        <v>9367</v>
      </c>
      <c r="C3782" s="574" t="s">
        <v>5555</v>
      </c>
      <c r="D3782" s="582">
        <v>2.6</v>
      </c>
    </row>
    <row r="3783" spans="1:4" x14ac:dyDescent="0.2">
      <c r="A3783" s="574">
        <v>4342</v>
      </c>
      <c r="B3783" s="574" t="s">
        <v>9368</v>
      </c>
      <c r="C3783" s="574" t="s">
        <v>5555</v>
      </c>
      <c r="D3783" s="582">
        <v>0.13</v>
      </c>
    </row>
    <row r="3784" spans="1:4" x14ac:dyDescent="0.2">
      <c r="A3784" s="574">
        <v>4330</v>
      </c>
      <c r="B3784" s="574" t="s">
        <v>9369</v>
      </c>
      <c r="C3784" s="574" t="s">
        <v>5555</v>
      </c>
      <c r="D3784" s="582">
        <v>0.09</v>
      </c>
    </row>
    <row r="3785" spans="1:4" x14ac:dyDescent="0.2">
      <c r="A3785" s="574">
        <v>4340</v>
      </c>
      <c r="B3785" s="574" t="s">
        <v>9370</v>
      </c>
      <c r="C3785" s="574" t="s">
        <v>5555</v>
      </c>
      <c r="D3785" s="582">
        <v>0.72</v>
      </c>
    </row>
    <row r="3786" spans="1:4" x14ac:dyDescent="0.2">
      <c r="A3786" s="574">
        <v>5088</v>
      </c>
      <c r="B3786" s="574" t="s">
        <v>9371</v>
      </c>
      <c r="C3786" s="574" t="s">
        <v>5555</v>
      </c>
      <c r="D3786" s="582">
        <v>2.5299999999999998</v>
      </c>
    </row>
    <row r="3787" spans="1:4" x14ac:dyDescent="0.2">
      <c r="A3787" s="574">
        <v>11154</v>
      </c>
      <c r="B3787" s="574" t="s">
        <v>9372</v>
      </c>
      <c r="C3787" s="574" t="s">
        <v>5555</v>
      </c>
      <c r="D3787" s="582">
        <v>545.15</v>
      </c>
    </row>
    <row r="3788" spans="1:4" x14ac:dyDescent="0.2">
      <c r="A3788" s="574">
        <v>39021</v>
      </c>
      <c r="B3788" s="574" t="s">
        <v>9373</v>
      </c>
      <c r="C3788" s="574" t="s">
        <v>5555</v>
      </c>
      <c r="D3788" s="582">
        <v>245.21</v>
      </c>
    </row>
    <row r="3789" spans="1:4" x14ac:dyDescent="0.2">
      <c r="A3789" s="574">
        <v>39022</v>
      </c>
      <c r="B3789" s="574" t="s">
        <v>9374</v>
      </c>
      <c r="C3789" s="574" t="s">
        <v>5555</v>
      </c>
      <c r="D3789" s="582">
        <v>303.25</v>
      </c>
    </row>
    <row r="3790" spans="1:4" x14ac:dyDescent="0.2">
      <c r="A3790" s="574">
        <v>39024</v>
      </c>
      <c r="B3790" s="574" t="s">
        <v>9375</v>
      </c>
      <c r="C3790" s="574" t="s">
        <v>5555</v>
      </c>
      <c r="D3790" s="582">
        <v>892.63</v>
      </c>
    </row>
    <row r="3791" spans="1:4" x14ac:dyDescent="0.2">
      <c r="A3791" s="574">
        <v>4914</v>
      </c>
      <c r="B3791" s="574" t="s">
        <v>9376</v>
      </c>
      <c r="C3791" s="574" t="s">
        <v>5564</v>
      </c>
      <c r="D3791" s="582">
        <v>723.77</v>
      </c>
    </row>
    <row r="3792" spans="1:4" x14ac:dyDescent="0.2">
      <c r="A3792" s="574">
        <v>4917</v>
      </c>
      <c r="B3792" s="574" t="s">
        <v>9377</v>
      </c>
      <c r="C3792" s="574" t="s">
        <v>5564</v>
      </c>
      <c r="D3792" s="582">
        <v>499.84</v>
      </c>
    </row>
    <row r="3793" spans="1:4" x14ac:dyDescent="0.2">
      <c r="A3793" s="574">
        <v>39025</v>
      </c>
      <c r="B3793" s="574" t="s">
        <v>9378</v>
      </c>
      <c r="C3793" s="574" t="s">
        <v>5555</v>
      </c>
      <c r="D3793" s="582">
        <v>915.3</v>
      </c>
    </row>
    <row r="3794" spans="1:4" x14ac:dyDescent="0.2">
      <c r="A3794" s="574">
        <v>4930</v>
      </c>
      <c r="B3794" s="574" t="s">
        <v>9379</v>
      </c>
      <c r="C3794" s="574" t="s">
        <v>5564</v>
      </c>
      <c r="D3794" s="582">
        <v>263.52999999999997</v>
      </c>
    </row>
    <row r="3795" spans="1:4" x14ac:dyDescent="0.2">
      <c r="A3795" s="574">
        <v>4922</v>
      </c>
      <c r="B3795" s="574" t="s">
        <v>9380</v>
      </c>
      <c r="C3795" s="574" t="s">
        <v>5564</v>
      </c>
      <c r="D3795" s="582">
        <v>463.65</v>
      </c>
    </row>
    <row r="3796" spans="1:4" x14ac:dyDescent="0.2">
      <c r="A3796" s="574">
        <v>4911</v>
      </c>
      <c r="B3796" s="574" t="s">
        <v>9381</v>
      </c>
      <c r="C3796" s="574" t="s">
        <v>5564</v>
      </c>
      <c r="D3796" s="582">
        <v>238</v>
      </c>
    </row>
    <row r="3797" spans="1:4" x14ac:dyDescent="0.2">
      <c r="A3797" s="574">
        <v>37518</v>
      </c>
      <c r="B3797" s="574" t="s">
        <v>9382</v>
      </c>
      <c r="C3797" s="574" t="s">
        <v>5564</v>
      </c>
      <c r="D3797" s="582">
        <v>386.75</v>
      </c>
    </row>
    <row r="3798" spans="1:4" x14ac:dyDescent="0.2">
      <c r="A3798" s="574">
        <v>4910</v>
      </c>
      <c r="B3798" s="574" t="s">
        <v>9383</v>
      </c>
      <c r="C3798" s="574" t="s">
        <v>5564</v>
      </c>
      <c r="D3798" s="582">
        <v>326.02999999999997</v>
      </c>
    </row>
    <row r="3799" spans="1:4" x14ac:dyDescent="0.2">
      <c r="A3799" s="574">
        <v>4943</v>
      </c>
      <c r="B3799" s="574" t="s">
        <v>9384</v>
      </c>
      <c r="C3799" s="574" t="s">
        <v>5564</v>
      </c>
      <c r="D3799" s="582">
        <v>485.71</v>
      </c>
    </row>
    <row r="3800" spans="1:4" x14ac:dyDescent="0.2">
      <c r="A3800" s="574">
        <v>5002</v>
      </c>
      <c r="B3800" s="574" t="s">
        <v>9385</v>
      </c>
      <c r="C3800" s="574" t="s">
        <v>5564</v>
      </c>
      <c r="D3800" s="582">
        <v>273.99</v>
      </c>
    </row>
    <row r="3801" spans="1:4" x14ac:dyDescent="0.2">
      <c r="A3801" s="574">
        <v>4977</v>
      </c>
      <c r="B3801" s="574" t="s">
        <v>9386</v>
      </c>
      <c r="C3801" s="574" t="s">
        <v>5564</v>
      </c>
      <c r="D3801" s="582">
        <v>184.95</v>
      </c>
    </row>
    <row r="3802" spans="1:4" x14ac:dyDescent="0.2">
      <c r="A3802" s="574">
        <v>5028</v>
      </c>
      <c r="B3802" s="574" t="s">
        <v>9387</v>
      </c>
      <c r="C3802" s="574" t="s">
        <v>5564</v>
      </c>
      <c r="D3802" s="582">
        <v>452.55</v>
      </c>
    </row>
    <row r="3803" spans="1:4" x14ac:dyDescent="0.2">
      <c r="A3803" s="574">
        <v>4998</v>
      </c>
      <c r="B3803" s="574" t="s">
        <v>9388</v>
      </c>
      <c r="C3803" s="574" t="s">
        <v>5564</v>
      </c>
      <c r="D3803" s="582">
        <v>375.85</v>
      </c>
    </row>
    <row r="3804" spans="1:4" x14ac:dyDescent="0.2">
      <c r="A3804" s="574">
        <v>4969</v>
      </c>
      <c r="B3804" s="574" t="s">
        <v>9389</v>
      </c>
      <c r="C3804" s="574" t="s">
        <v>5564</v>
      </c>
      <c r="D3804" s="582">
        <v>261.58</v>
      </c>
    </row>
    <row r="3805" spans="1:4" x14ac:dyDescent="0.2">
      <c r="A3805" s="574">
        <v>11364</v>
      </c>
      <c r="B3805" s="574" t="s">
        <v>9390</v>
      </c>
      <c r="C3805" s="574" t="s">
        <v>5555</v>
      </c>
      <c r="D3805" s="582">
        <v>81.11</v>
      </c>
    </row>
    <row r="3806" spans="1:4" x14ac:dyDescent="0.2">
      <c r="A3806" s="574">
        <v>11365</v>
      </c>
      <c r="B3806" s="574" t="s">
        <v>9391</v>
      </c>
      <c r="C3806" s="574" t="s">
        <v>5555</v>
      </c>
      <c r="D3806" s="582">
        <v>87.36</v>
      </c>
    </row>
    <row r="3807" spans="1:4" x14ac:dyDescent="0.2">
      <c r="A3807" s="574">
        <v>11366</v>
      </c>
      <c r="B3807" s="574" t="s">
        <v>9392</v>
      </c>
      <c r="C3807" s="574" t="s">
        <v>5555</v>
      </c>
      <c r="D3807" s="582">
        <v>92.45</v>
      </c>
    </row>
    <row r="3808" spans="1:4" x14ac:dyDescent="0.2">
      <c r="A3808" s="574">
        <v>4989</v>
      </c>
      <c r="B3808" s="574" t="s">
        <v>9394</v>
      </c>
      <c r="C3808" s="574" t="s">
        <v>5555</v>
      </c>
      <c r="D3808" s="582">
        <v>184.79</v>
      </c>
    </row>
    <row r="3809" spans="1:4" x14ac:dyDescent="0.2">
      <c r="A3809" s="574">
        <v>4982</v>
      </c>
      <c r="B3809" s="574" t="s">
        <v>9395</v>
      </c>
      <c r="C3809" s="574" t="s">
        <v>5555</v>
      </c>
      <c r="D3809" s="582">
        <v>160.43</v>
      </c>
    </row>
    <row r="3810" spans="1:4" x14ac:dyDescent="0.2">
      <c r="A3810" s="574">
        <v>20322</v>
      </c>
      <c r="B3810" s="574" t="s">
        <v>9396</v>
      </c>
      <c r="C3810" s="574" t="s">
        <v>5555</v>
      </c>
      <c r="D3810" s="582">
        <v>141.38999999999999</v>
      </c>
    </row>
    <row r="3811" spans="1:4" x14ac:dyDescent="0.2">
      <c r="A3811" s="574">
        <v>10553</v>
      </c>
      <c r="B3811" s="574" t="s">
        <v>9397</v>
      </c>
      <c r="C3811" s="574" t="s">
        <v>5555</v>
      </c>
      <c r="D3811" s="582">
        <v>150.75</v>
      </c>
    </row>
    <row r="3812" spans="1:4" x14ac:dyDescent="0.2">
      <c r="A3812" s="574">
        <v>5020</v>
      </c>
      <c r="B3812" s="574" t="s">
        <v>9398</v>
      </c>
      <c r="C3812" s="574" t="s">
        <v>5555</v>
      </c>
      <c r="D3812" s="582">
        <v>156.29</v>
      </c>
    </row>
    <row r="3813" spans="1:4" x14ac:dyDescent="0.2">
      <c r="A3813" s="574">
        <v>4962</v>
      </c>
      <c r="B3813" s="574" t="s">
        <v>9399</v>
      </c>
      <c r="C3813" s="574" t="s">
        <v>5555</v>
      </c>
      <c r="D3813" s="582">
        <v>152.27000000000001</v>
      </c>
    </row>
    <row r="3814" spans="1:4" x14ac:dyDescent="0.2">
      <c r="A3814" s="574">
        <v>4981</v>
      </c>
      <c r="B3814" s="574" t="s">
        <v>9400</v>
      </c>
      <c r="C3814" s="574" t="s">
        <v>5555</v>
      </c>
      <c r="D3814" s="582">
        <v>107.68</v>
      </c>
    </row>
    <row r="3815" spans="1:4" x14ac:dyDescent="0.2">
      <c r="A3815" s="574">
        <v>10554</v>
      </c>
      <c r="B3815" s="574" t="s">
        <v>9401</v>
      </c>
      <c r="C3815" s="574" t="s">
        <v>5555</v>
      </c>
      <c r="D3815" s="582">
        <v>168.48</v>
      </c>
    </row>
    <row r="3816" spans="1:4" x14ac:dyDescent="0.2">
      <c r="A3816" s="574">
        <v>4964</v>
      </c>
      <c r="B3816" s="574" t="s">
        <v>9402</v>
      </c>
      <c r="C3816" s="574" t="s">
        <v>5555</v>
      </c>
      <c r="D3816" s="582">
        <v>184.9</v>
      </c>
    </row>
    <row r="3817" spans="1:4" x14ac:dyDescent="0.2">
      <c r="A3817" s="574">
        <v>4992</v>
      </c>
      <c r="B3817" s="574" t="s">
        <v>9403</v>
      </c>
      <c r="C3817" s="574" t="s">
        <v>5555</v>
      </c>
      <c r="D3817" s="582">
        <v>183.38</v>
      </c>
    </row>
    <row r="3818" spans="1:4" x14ac:dyDescent="0.2">
      <c r="A3818" s="574">
        <v>10555</v>
      </c>
      <c r="B3818" s="574" t="s">
        <v>9404</v>
      </c>
      <c r="C3818" s="574" t="s">
        <v>5555</v>
      </c>
      <c r="D3818" s="582">
        <v>162.6</v>
      </c>
    </row>
    <row r="3819" spans="1:4" x14ac:dyDescent="0.2">
      <c r="A3819" s="574">
        <v>4987</v>
      </c>
      <c r="B3819" s="574" t="s">
        <v>9405</v>
      </c>
      <c r="C3819" s="574" t="s">
        <v>5555</v>
      </c>
      <c r="D3819" s="582">
        <v>168.48</v>
      </c>
    </row>
    <row r="3820" spans="1:4" x14ac:dyDescent="0.2">
      <c r="A3820" s="574">
        <v>10556</v>
      </c>
      <c r="B3820" s="574" t="s">
        <v>9406</v>
      </c>
      <c r="C3820" s="574" t="s">
        <v>5555</v>
      </c>
      <c r="D3820" s="582">
        <v>172.74</v>
      </c>
    </row>
    <row r="3821" spans="1:4" x14ac:dyDescent="0.2">
      <c r="A3821" s="574">
        <v>4958</v>
      </c>
      <c r="B3821" s="574" t="s">
        <v>9407</v>
      </c>
      <c r="C3821" s="574" t="s">
        <v>5564</v>
      </c>
      <c r="D3821" s="582">
        <v>98.73</v>
      </c>
    </row>
    <row r="3822" spans="1:4" x14ac:dyDescent="0.2">
      <c r="A3822" s="574">
        <v>39502</v>
      </c>
      <c r="B3822" s="574" t="s">
        <v>9408</v>
      </c>
      <c r="C3822" s="574" t="s">
        <v>5555</v>
      </c>
      <c r="D3822" s="582">
        <v>239.28</v>
      </c>
    </row>
    <row r="3823" spans="1:4" x14ac:dyDescent="0.2">
      <c r="A3823" s="574">
        <v>39504</v>
      </c>
      <c r="B3823" s="574" t="s">
        <v>9409</v>
      </c>
      <c r="C3823" s="574" t="s">
        <v>5555</v>
      </c>
      <c r="D3823" s="582">
        <v>169.67</v>
      </c>
    </row>
    <row r="3824" spans="1:4" x14ac:dyDescent="0.2">
      <c r="A3824" s="574">
        <v>39503</v>
      </c>
      <c r="B3824" s="574" t="s">
        <v>9410</v>
      </c>
      <c r="C3824" s="574" t="s">
        <v>5555</v>
      </c>
      <c r="D3824" s="582">
        <v>259.95</v>
      </c>
    </row>
    <row r="3825" spans="1:4" x14ac:dyDescent="0.2">
      <c r="A3825" s="574">
        <v>39505</v>
      </c>
      <c r="B3825" s="574" t="s">
        <v>9411</v>
      </c>
      <c r="C3825" s="574" t="s">
        <v>5555</v>
      </c>
      <c r="D3825" s="582">
        <v>184.9</v>
      </c>
    </row>
    <row r="3826" spans="1:4" x14ac:dyDescent="0.2">
      <c r="A3826" s="574">
        <v>25969</v>
      </c>
      <c r="B3826" s="574" t="s">
        <v>9412</v>
      </c>
      <c r="C3826" s="574" t="s">
        <v>5555</v>
      </c>
      <c r="D3826" s="582">
        <v>386.63</v>
      </c>
    </row>
    <row r="3827" spans="1:4" x14ac:dyDescent="0.2">
      <c r="A3827" s="574">
        <v>4944</v>
      </c>
      <c r="B3827" s="574" t="s">
        <v>9413</v>
      </c>
      <c r="C3827" s="574" t="s">
        <v>5564</v>
      </c>
      <c r="D3827" s="582">
        <v>726.14</v>
      </c>
    </row>
    <row r="3828" spans="1:4" x14ac:dyDescent="0.2">
      <c r="A3828" s="574">
        <v>21102</v>
      </c>
      <c r="B3828" s="574" t="s">
        <v>9414</v>
      </c>
      <c r="C3828" s="574" t="s">
        <v>5555</v>
      </c>
      <c r="D3828" s="582">
        <v>28.31</v>
      </c>
    </row>
    <row r="3829" spans="1:4" x14ac:dyDescent="0.2">
      <c r="A3829" s="574">
        <v>21101</v>
      </c>
      <c r="B3829" s="574" t="s">
        <v>9415</v>
      </c>
      <c r="C3829" s="574" t="s">
        <v>5555</v>
      </c>
      <c r="D3829" s="582">
        <v>18.18</v>
      </c>
    </row>
    <row r="3830" spans="1:4" x14ac:dyDescent="0.2">
      <c r="A3830" s="574">
        <v>34713</v>
      </c>
      <c r="B3830" s="574" t="s">
        <v>9416</v>
      </c>
      <c r="C3830" s="574" t="s">
        <v>5564</v>
      </c>
      <c r="D3830" s="582">
        <v>260.69</v>
      </c>
    </row>
    <row r="3831" spans="1:4" x14ac:dyDescent="0.2">
      <c r="A3831" s="574">
        <v>4947</v>
      </c>
      <c r="B3831" s="574" t="s">
        <v>9417</v>
      </c>
      <c r="C3831" s="574" t="s">
        <v>5564</v>
      </c>
      <c r="D3831" s="582">
        <v>338.65</v>
      </c>
    </row>
    <row r="3832" spans="1:4" x14ac:dyDescent="0.2">
      <c r="A3832" s="574">
        <v>37563</v>
      </c>
      <c r="B3832" s="574" t="s">
        <v>9418</v>
      </c>
      <c r="C3832" s="574" t="s">
        <v>5564</v>
      </c>
      <c r="D3832" s="582">
        <v>260.02999999999997</v>
      </c>
    </row>
    <row r="3833" spans="1:4" x14ac:dyDescent="0.2">
      <c r="A3833" s="574">
        <v>4948</v>
      </c>
      <c r="B3833" s="574" t="s">
        <v>9419</v>
      </c>
      <c r="C3833" s="574" t="s">
        <v>5564</v>
      </c>
      <c r="D3833" s="582">
        <v>235.99</v>
      </c>
    </row>
    <row r="3834" spans="1:4" x14ac:dyDescent="0.2">
      <c r="A3834" s="574">
        <v>37561</v>
      </c>
      <c r="B3834" s="574" t="s">
        <v>9420</v>
      </c>
      <c r="C3834" s="574" t="s">
        <v>5564</v>
      </c>
      <c r="D3834" s="582">
        <v>485.41</v>
      </c>
    </row>
    <row r="3835" spans="1:4" x14ac:dyDescent="0.2">
      <c r="A3835" s="574">
        <v>37562</v>
      </c>
      <c r="B3835" s="574" t="s">
        <v>9421</v>
      </c>
      <c r="C3835" s="574" t="s">
        <v>5564</v>
      </c>
      <c r="D3835" s="582">
        <v>311.33999999999997</v>
      </c>
    </row>
    <row r="3836" spans="1:4" x14ac:dyDescent="0.2">
      <c r="A3836" s="574">
        <v>37585</v>
      </c>
      <c r="B3836" s="574" t="s">
        <v>9422</v>
      </c>
      <c r="C3836" s="574" t="s">
        <v>5555</v>
      </c>
      <c r="D3836" s="582">
        <v>249.22</v>
      </c>
    </row>
    <row r="3837" spans="1:4" x14ac:dyDescent="0.2">
      <c r="A3837" s="574">
        <v>14164</v>
      </c>
      <c r="B3837" s="574" t="s">
        <v>9423</v>
      </c>
      <c r="C3837" s="574" t="s">
        <v>5555</v>
      </c>
      <c r="D3837" s="582">
        <v>958.07</v>
      </c>
    </row>
    <row r="3838" spans="1:4" x14ac:dyDescent="0.2">
      <c r="A3838" s="574">
        <v>14163</v>
      </c>
      <c r="B3838" s="574" t="s">
        <v>9424</v>
      </c>
      <c r="C3838" s="574" t="s">
        <v>5555</v>
      </c>
      <c r="D3838" s="583">
        <v>1088.9100000000001</v>
      </c>
    </row>
    <row r="3839" spans="1:4" x14ac:dyDescent="0.2">
      <c r="A3839" s="574">
        <v>5051</v>
      </c>
      <c r="B3839" s="574" t="s">
        <v>9425</v>
      </c>
      <c r="C3839" s="574" t="s">
        <v>5555</v>
      </c>
      <c r="D3839" s="582">
        <v>926.1</v>
      </c>
    </row>
    <row r="3840" spans="1:4" x14ac:dyDescent="0.2">
      <c r="A3840" s="574">
        <v>14162</v>
      </c>
      <c r="B3840" s="574" t="s">
        <v>9426</v>
      </c>
      <c r="C3840" s="574" t="s">
        <v>5555</v>
      </c>
      <c r="D3840" s="582">
        <v>924.76</v>
      </c>
    </row>
    <row r="3841" spans="1:4" x14ac:dyDescent="0.2">
      <c r="A3841" s="574">
        <v>5052</v>
      </c>
      <c r="B3841" s="574" t="s">
        <v>9427</v>
      </c>
      <c r="C3841" s="574" t="s">
        <v>5555</v>
      </c>
      <c r="D3841" s="582">
        <v>690</v>
      </c>
    </row>
    <row r="3842" spans="1:4" x14ac:dyDescent="0.2">
      <c r="A3842" s="574">
        <v>14166</v>
      </c>
      <c r="B3842" s="574" t="s">
        <v>9428</v>
      </c>
      <c r="C3842" s="574" t="s">
        <v>5555</v>
      </c>
      <c r="D3842" s="582">
        <v>698.76</v>
      </c>
    </row>
    <row r="3843" spans="1:4" x14ac:dyDescent="0.2">
      <c r="A3843" s="574">
        <v>14165</v>
      </c>
      <c r="B3843" s="574" t="s">
        <v>9429</v>
      </c>
      <c r="C3843" s="574" t="s">
        <v>5555</v>
      </c>
      <c r="D3843" s="582">
        <v>968.03</v>
      </c>
    </row>
    <row r="3844" spans="1:4" x14ac:dyDescent="0.2">
      <c r="A3844" s="574">
        <v>5050</v>
      </c>
      <c r="B3844" s="574" t="s">
        <v>9430</v>
      </c>
      <c r="C3844" s="574" t="s">
        <v>5555</v>
      </c>
      <c r="D3844" s="582">
        <v>238.25</v>
      </c>
    </row>
    <row r="3845" spans="1:4" x14ac:dyDescent="0.2">
      <c r="A3845" s="574">
        <v>12378</v>
      </c>
      <c r="B3845" s="574" t="s">
        <v>9431</v>
      </c>
      <c r="C3845" s="574" t="s">
        <v>5555</v>
      </c>
      <c r="D3845" s="582">
        <v>566.32000000000005</v>
      </c>
    </row>
    <row r="3846" spans="1:4" x14ac:dyDescent="0.2">
      <c r="A3846" s="574">
        <v>12366</v>
      </c>
      <c r="B3846" s="574" t="s">
        <v>9432</v>
      </c>
      <c r="C3846" s="574" t="s">
        <v>5555</v>
      </c>
      <c r="D3846" s="582">
        <v>540.11</v>
      </c>
    </row>
    <row r="3847" spans="1:4" x14ac:dyDescent="0.2">
      <c r="A3847" s="574">
        <v>5045</v>
      </c>
      <c r="B3847" s="574" t="s">
        <v>9433</v>
      </c>
      <c r="C3847" s="574" t="s">
        <v>5555</v>
      </c>
      <c r="D3847" s="582">
        <v>752.13</v>
      </c>
    </row>
    <row r="3848" spans="1:4" x14ac:dyDescent="0.2">
      <c r="A3848" s="574">
        <v>5044</v>
      </c>
      <c r="B3848" s="574" t="s">
        <v>9434</v>
      </c>
      <c r="C3848" s="574" t="s">
        <v>5555</v>
      </c>
      <c r="D3848" s="582">
        <v>530.64</v>
      </c>
    </row>
    <row r="3849" spans="1:4" x14ac:dyDescent="0.2">
      <c r="A3849" s="574">
        <v>5055</v>
      </c>
      <c r="B3849" s="574" t="s">
        <v>9435</v>
      </c>
      <c r="C3849" s="574" t="s">
        <v>5555</v>
      </c>
      <c r="D3849" s="582">
        <v>754.43</v>
      </c>
    </row>
    <row r="3850" spans="1:4" x14ac:dyDescent="0.2">
      <c r="A3850" s="574">
        <v>5053</v>
      </c>
      <c r="B3850" s="574" t="s">
        <v>9436</v>
      </c>
      <c r="C3850" s="574" t="s">
        <v>5555</v>
      </c>
      <c r="D3850" s="582">
        <v>587.19000000000005</v>
      </c>
    </row>
    <row r="3851" spans="1:4" x14ac:dyDescent="0.2">
      <c r="A3851" s="574">
        <v>5035</v>
      </c>
      <c r="B3851" s="574" t="s">
        <v>9437</v>
      </c>
      <c r="C3851" s="574" t="s">
        <v>5555</v>
      </c>
      <c r="D3851" s="582">
        <v>960.05</v>
      </c>
    </row>
    <row r="3852" spans="1:4" x14ac:dyDescent="0.2">
      <c r="A3852" s="574">
        <v>5036</v>
      </c>
      <c r="B3852" s="574" t="s">
        <v>9438</v>
      </c>
      <c r="C3852" s="574" t="s">
        <v>5555</v>
      </c>
      <c r="D3852" s="583">
        <v>1602.64</v>
      </c>
    </row>
    <row r="3853" spans="1:4" x14ac:dyDescent="0.2">
      <c r="A3853" s="574">
        <v>5059</v>
      </c>
      <c r="B3853" s="574" t="s">
        <v>9439</v>
      </c>
      <c r="C3853" s="574" t="s">
        <v>5555</v>
      </c>
      <c r="D3853" s="582">
        <v>750.85</v>
      </c>
    </row>
    <row r="3854" spans="1:4" x14ac:dyDescent="0.2">
      <c r="A3854" s="574">
        <v>5034</v>
      </c>
      <c r="B3854" s="574" t="s">
        <v>9440</v>
      </c>
      <c r="C3854" s="574" t="s">
        <v>5555</v>
      </c>
      <c r="D3854" s="583">
        <v>1036.0999999999999</v>
      </c>
    </row>
    <row r="3855" spans="1:4" x14ac:dyDescent="0.2">
      <c r="A3855" s="574">
        <v>5056</v>
      </c>
      <c r="B3855" s="574" t="s">
        <v>9441</v>
      </c>
      <c r="C3855" s="574" t="s">
        <v>5555</v>
      </c>
      <c r="D3855" s="582">
        <v>805.07</v>
      </c>
    </row>
    <row r="3856" spans="1:4" x14ac:dyDescent="0.2">
      <c r="A3856" s="574">
        <v>5057</v>
      </c>
      <c r="B3856" s="574" t="s">
        <v>9442</v>
      </c>
      <c r="C3856" s="574" t="s">
        <v>5555</v>
      </c>
      <c r="D3856" s="582">
        <v>645.66</v>
      </c>
    </row>
    <row r="3857" spans="1:4" x14ac:dyDescent="0.2">
      <c r="A3857" s="574">
        <v>5033</v>
      </c>
      <c r="B3857" s="574" t="s">
        <v>9443</v>
      </c>
      <c r="C3857" s="574" t="s">
        <v>5555</v>
      </c>
      <c r="D3857" s="582">
        <v>536</v>
      </c>
    </row>
    <row r="3858" spans="1:4" x14ac:dyDescent="0.2">
      <c r="A3858" s="574">
        <v>5038</v>
      </c>
      <c r="B3858" s="574" t="s">
        <v>9444</v>
      </c>
      <c r="C3858" s="574" t="s">
        <v>5555</v>
      </c>
      <c r="D3858" s="582">
        <v>436.84</v>
      </c>
    </row>
    <row r="3859" spans="1:4" x14ac:dyDescent="0.2">
      <c r="A3859" s="574">
        <v>12372</v>
      </c>
      <c r="B3859" s="574" t="s">
        <v>9445</v>
      </c>
      <c r="C3859" s="574" t="s">
        <v>5555</v>
      </c>
      <c r="D3859" s="582">
        <v>575.66</v>
      </c>
    </row>
    <row r="3860" spans="1:4" x14ac:dyDescent="0.2">
      <c r="A3860" s="574">
        <v>13339</v>
      </c>
      <c r="B3860" s="574" t="s">
        <v>9446</v>
      </c>
      <c r="C3860" s="574" t="s">
        <v>5555</v>
      </c>
      <c r="D3860" s="582">
        <v>855.78</v>
      </c>
    </row>
    <row r="3861" spans="1:4" x14ac:dyDescent="0.2">
      <c r="A3861" s="574">
        <v>12373</v>
      </c>
      <c r="B3861" s="574" t="s">
        <v>9447</v>
      </c>
      <c r="C3861" s="574" t="s">
        <v>5555</v>
      </c>
      <c r="D3861" s="582">
        <v>896.19</v>
      </c>
    </row>
    <row r="3862" spans="1:4" x14ac:dyDescent="0.2">
      <c r="A3862" s="574">
        <v>12388</v>
      </c>
      <c r="B3862" s="574" t="s">
        <v>9448</v>
      </c>
      <c r="C3862" s="574" t="s">
        <v>5555</v>
      </c>
      <c r="D3862" s="582">
        <v>141.03</v>
      </c>
    </row>
    <row r="3863" spans="1:4" x14ac:dyDescent="0.2">
      <c r="A3863" s="574">
        <v>34695</v>
      </c>
      <c r="B3863" s="574" t="s">
        <v>9449</v>
      </c>
      <c r="C3863" s="574" t="s">
        <v>5555</v>
      </c>
      <c r="D3863" s="582">
        <v>616.4</v>
      </c>
    </row>
    <row r="3864" spans="1:4" x14ac:dyDescent="0.2">
      <c r="A3864" s="574">
        <v>34692</v>
      </c>
      <c r="B3864" s="574" t="s">
        <v>9450</v>
      </c>
      <c r="C3864" s="574" t="s">
        <v>5555</v>
      </c>
      <c r="D3864" s="583">
        <v>1479.36</v>
      </c>
    </row>
    <row r="3865" spans="1:4" x14ac:dyDescent="0.2">
      <c r="A3865" s="574">
        <v>26028</v>
      </c>
      <c r="B3865" s="574" t="s">
        <v>9451</v>
      </c>
      <c r="C3865" s="574" t="s">
        <v>6708</v>
      </c>
      <c r="D3865" s="582">
        <v>269.8</v>
      </c>
    </row>
    <row r="3866" spans="1:4" x14ac:dyDescent="0.2">
      <c r="A3866" s="574">
        <v>11844</v>
      </c>
      <c r="B3866" s="574" t="s">
        <v>9452</v>
      </c>
      <c r="C3866" s="574" t="s">
        <v>5575</v>
      </c>
      <c r="D3866" s="582">
        <v>30.72</v>
      </c>
    </row>
    <row r="3867" spans="1:4" x14ac:dyDescent="0.2">
      <c r="A3867" s="574">
        <v>4465</v>
      </c>
      <c r="B3867" s="574" t="s">
        <v>9453</v>
      </c>
      <c r="C3867" s="574" t="s">
        <v>5575</v>
      </c>
      <c r="D3867" s="582">
        <v>29.44</v>
      </c>
    </row>
    <row r="3868" spans="1:4" x14ac:dyDescent="0.2">
      <c r="A3868" s="574">
        <v>35273</v>
      </c>
      <c r="B3868" s="574" t="s">
        <v>9454</v>
      </c>
      <c r="C3868" s="574" t="s">
        <v>5575</v>
      </c>
      <c r="D3868" s="582">
        <v>32.53</v>
      </c>
    </row>
    <row r="3869" spans="1:4" x14ac:dyDescent="0.2">
      <c r="A3869" s="574">
        <v>4470</v>
      </c>
      <c r="B3869" s="574" t="s">
        <v>9455</v>
      </c>
      <c r="C3869" s="574" t="s">
        <v>5575</v>
      </c>
      <c r="D3869" s="582">
        <v>48.6</v>
      </c>
    </row>
    <row r="3870" spans="1:4" x14ac:dyDescent="0.2">
      <c r="A3870" s="574">
        <v>20204</v>
      </c>
      <c r="B3870" s="574" t="s">
        <v>9456</v>
      </c>
      <c r="C3870" s="574" t="s">
        <v>5575</v>
      </c>
      <c r="D3870" s="582">
        <v>43.37</v>
      </c>
    </row>
    <row r="3871" spans="1:4" x14ac:dyDescent="0.2">
      <c r="A3871" s="574">
        <v>20208</v>
      </c>
      <c r="B3871" s="574" t="s">
        <v>9457</v>
      </c>
      <c r="C3871" s="574" t="s">
        <v>5575</v>
      </c>
      <c r="D3871" s="582">
        <v>50.93</v>
      </c>
    </row>
    <row r="3872" spans="1:4" x14ac:dyDescent="0.2">
      <c r="A3872" s="574">
        <v>4437</v>
      </c>
      <c r="B3872" s="574" t="s">
        <v>9458</v>
      </c>
      <c r="C3872" s="574" t="s">
        <v>5575</v>
      </c>
      <c r="D3872" s="582">
        <v>35.200000000000003</v>
      </c>
    </row>
    <row r="3873" spans="1:4" x14ac:dyDescent="0.2">
      <c r="A3873" s="574">
        <v>14580</v>
      </c>
      <c r="B3873" s="574" t="s">
        <v>9459</v>
      </c>
      <c r="C3873" s="574" t="s">
        <v>5575</v>
      </c>
      <c r="D3873" s="582">
        <v>38.33</v>
      </c>
    </row>
    <row r="3874" spans="1:4" x14ac:dyDescent="0.2">
      <c r="A3874" s="574">
        <v>40304</v>
      </c>
      <c r="B3874" s="574" t="s">
        <v>9460</v>
      </c>
      <c r="C3874" s="574" t="s">
        <v>5626</v>
      </c>
      <c r="D3874" s="582">
        <v>12.46</v>
      </c>
    </row>
    <row r="3875" spans="1:4" x14ac:dyDescent="0.2">
      <c r="A3875" s="574">
        <v>5065</v>
      </c>
      <c r="B3875" s="574" t="s">
        <v>9461</v>
      </c>
      <c r="C3875" s="574" t="s">
        <v>5626</v>
      </c>
      <c r="D3875" s="582">
        <v>19.21</v>
      </c>
    </row>
    <row r="3876" spans="1:4" x14ac:dyDescent="0.2">
      <c r="A3876" s="574">
        <v>5072</v>
      </c>
      <c r="B3876" s="574" t="s">
        <v>9462</v>
      </c>
      <c r="C3876" s="574" t="s">
        <v>5626</v>
      </c>
      <c r="D3876" s="582">
        <v>17.77</v>
      </c>
    </row>
    <row r="3877" spans="1:4" x14ac:dyDescent="0.2">
      <c r="A3877" s="574">
        <v>5066</v>
      </c>
      <c r="B3877" s="574" t="s">
        <v>9463</v>
      </c>
      <c r="C3877" s="574" t="s">
        <v>5626</v>
      </c>
      <c r="D3877" s="582">
        <v>13.31</v>
      </c>
    </row>
    <row r="3878" spans="1:4" x14ac:dyDescent="0.2">
      <c r="A3878" s="574">
        <v>5063</v>
      </c>
      <c r="B3878" s="574" t="s">
        <v>9464</v>
      </c>
      <c r="C3878" s="574" t="s">
        <v>5626</v>
      </c>
      <c r="D3878" s="582">
        <v>12.05</v>
      </c>
    </row>
    <row r="3879" spans="1:4" x14ac:dyDescent="0.2">
      <c r="A3879" s="574">
        <v>20247</v>
      </c>
      <c r="B3879" s="574" t="s">
        <v>9465</v>
      </c>
      <c r="C3879" s="574" t="s">
        <v>5626</v>
      </c>
      <c r="D3879" s="582">
        <v>11.18</v>
      </c>
    </row>
    <row r="3880" spans="1:4" x14ac:dyDescent="0.2">
      <c r="A3880" s="574">
        <v>5074</v>
      </c>
      <c r="B3880" s="574" t="s">
        <v>9466</v>
      </c>
      <c r="C3880" s="574" t="s">
        <v>5626</v>
      </c>
      <c r="D3880" s="582">
        <v>11.31</v>
      </c>
    </row>
    <row r="3881" spans="1:4" x14ac:dyDescent="0.2">
      <c r="A3881" s="574">
        <v>5067</v>
      </c>
      <c r="B3881" s="574" t="s">
        <v>9467</v>
      </c>
      <c r="C3881" s="574" t="s">
        <v>5626</v>
      </c>
      <c r="D3881" s="582">
        <v>10.76</v>
      </c>
    </row>
    <row r="3882" spans="1:4" x14ac:dyDescent="0.2">
      <c r="A3882" s="574">
        <v>5078</v>
      </c>
      <c r="B3882" s="574" t="s">
        <v>9468</v>
      </c>
      <c r="C3882" s="574" t="s">
        <v>5626</v>
      </c>
      <c r="D3882" s="582">
        <v>10.64</v>
      </c>
    </row>
    <row r="3883" spans="1:4" x14ac:dyDescent="0.2">
      <c r="A3883" s="574">
        <v>5068</v>
      </c>
      <c r="B3883" s="574" t="s">
        <v>9469</v>
      </c>
      <c r="C3883" s="574" t="s">
        <v>5626</v>
      </c>
      <c r="D3883" s="582">
        <v>10.1</v>
      </c>
    </row>
    <row r="3884" spans="1:4" x14ac:dyDescent="0.2">
      <c r="A3884" s="574">
        <v>5073</v>
      </c>
      <c r="B3884" s="574" t="s">
        <v>9470</v>
      </c>
      <c r="C3884" s="574" t="s">
        <v>5626</v>
      </c>
      <c r="D3884" s="582">
        <v>10.29</v>
      </c>
    </row>
    <row r="3885" spans="1:4" x14ac:dyDescent="0.2">
      <c r="A3885" s="574">
        <v>5069</v>
      </c>
      <c r="B3885" s="574" t="s">
        <v>9471</v>
      </c>
      <c r="C3885" s="574" t="s">
        <v>5626</v>
      </c>
      <c r="D3885" s="582">
        <v>10.29</v>
      </c>
    </row>
    <row r="3886" spans="1:4" x14ac:dyDescent="0.2">
      <c r="A3886" s="574">
        <v>5070</v>
      </c>
      <c r="B3886" s="574" t="s">
        <v>9472</v>
      </c>
      <c r="C3886" s="574" t="s">
        <v>5626</v>
      </c>
      <c r="D3886" s="582">
        <v>10.41</v>
      </c>
    </row>
    <row r="3887" spans="1:4" x14ac:dyDescent="0.2">
      <c r="A3887" s="574">
        <v>5071</v>
      </c>
      <c r="B3887" s="574" t="s">
        <v>9473</v>
      </c>
      <c r="C3887" s="574" t="s">
        <v>5626</v>
      </c>
      <c r="D3887" s="582">
        <v>10.1</v>
      </c>
    </row>
    <row r="3888" spans="1:4" x14ac:dyDescent="0.2">
      <c r="A3888" s="574">
        <v>5061</v>
      </c>
      <c r="B3888" s="574" t="s">
        <v>9474</v>
      </c>
      <c r="C3888" s="574" t="s">
        <v>5626</v>
      </c>
      <c r="D3888" s="582">
        <v>9.93</v>
      </c>
    </row>
    <row r="3889" spans="1:4" x14ac:dyDescent="0.2">
      <c r="A3889" s="574">
        <v>5075</v>
      </c>
      <c r="B3889" s="574" t="s">
        <v>9475</v>
      </c>
      <c r="C3889" s="574" t="s">
        <v>5626</v>
      </c>
      <c r="D3889" s="582">
        <v>10.1</v>
      </c>
    </row>
    <row r="3890" spans="1:4" x14ac:dyDescent="0.2">
      <c r="A3890" s="574">
        <v>39027</v>
      </c>
      <c r="B3890" s="574" t="s">
        <v>9476</v>
      </c>
      <c r="C3890" s="574" t="s">
        <v>5626</v>
      </c>
      <c r="D3890" s="582">
        <v>10.09</v>
      </c>
    </row>
    <row r="3891" spans="1:4" x14ac:dyDescent="0.2">
      <c r="A3891" s="574">
        <v>5062</v>
      </c>
      <c r="B3891" s="574" t="s">
        <v>9477</v>
      </c>
      <c r="C3891" s="574" t="s">
        <v>5626</v>
      </c>
      <c r="D3891" s="582">
        <v>10.23</v>
      </c>
    </row>
    <row r="3892" spans="1:4" x14ac:dyDescent="0.2">
      <c r="A3892" s="574">
        <v>40568</v>
      </c>
      <c r="B3892" s="574" t="s">
        <v>9478</v>
      </c>
      <c r="C3892" s="574" t="s">
        <v>5626</v>
      </c>
      <c r="D3892" s="582">
        <v>10.17</v>
      </c>
    </row>
    <row r="3893" spans="1:4" x14ac:dyDescent="0.2">
      <c r="A3893" s="574">
        <v>39026</v>
      </c>
      <c r="B3893" s="574" t="s">
        <v>9479</v>
      </c>
      <c r="C3893" s="574" t="s">
        <v>5626</v>
      </c>
      <c r="D3893" s="582">
        <v>11.36</v>
      </c>
    </row>
    <row r="3894" spans="1:4" x14ac:dyDescent="0.2">
      <c r="A3894" s="574">
        <v>11572</v>
      </c>
      <c r="B3894" s="574" t="s">
        <v>9480</v>
      </c>
      <c r="C3894" s="574" t="s">
        <v>5555</v>
      </c>
      <c r="D3894" s="582">
        <v>15.88</v>
      </c>
    </row>
    <row r="3895" spans="1:4" x14ac:dyDescent="0.2">
      <c r="A3895" s="574">
        <v>42431</v>
      </c>
      <c r="B3895" s="574" t="s">
        <v>9481</v>
      </c>
      <c r="C3895" s="574" t="s">
        <v>5555</v>
      </c>
      <c r="D3895" s="583">
        <v>2202.87</v>
      </c>
    </row>
    <row r="3896" spans="1:4" x14ac:dyDescent="0.2">
      <c r="A3896" s="574">
        <v>11149</v>
      </c>
      <c r="B3896" s="574" t="s">
        <v>9482</v>
      </c>
      <c r="C3896" s="574" t="s">
        <v>7915</v>
      </c>
      <c r="D3896" s="582">
        <v>176.83</v>
      </c>
    </row>
    <row r="3897" spans="1:4" x14ac:dyDescent="0.2">
      <c r="A3897" s="574">
        <v>511</v>
      </c>
      <c r="B3897" s="574" t="s">
        <v>9483</v>
      </c>
      <c r="C3897" s="574" t="s">
        <v>5628</v>
      </c>
      <c r="D3897" s="582">
        <v>15.79</v>
      </c>
    </row>
    <row r="3898" spans="1:4" x14ac:dyDescent="0.2">
      <c r="A3898" s="574">
        <v>11174</v>
      </c>
      <c r="B3898" s="574" t="s">
        <v>9484</v>
      </c>
      <c r="C3898" s="574" t="s">
        <v>5740</v>
      </c>
      <c r="D3898" s="582">
        <v>502.08</v>
      </c>
    </row>
    <row r="3899" spans="1:4" x14ac:dyDescent="0.2">
      <c r="A3899" s="574">
        <v>37540</v>
      </c>
      <c r="B3899" s="574" t="s">
        <v>9485</v>
      </c>
      <c r="C3899" s="574" t="s">
        <v>5555</v>
      </c>
      <c r="D3899" s="583">
        <v>55764.26</v>
      </c>
    </row>
    <row r="3900" spans="1:4" x14ac:dyDescent="0.2">
      <c r="A3900" s="574">
        <v>37548</v>
      </c>
      <c r="B3900" s="574" t="s">
        <v>9486</v>
      </c>
      <c r="C3900" s="574" t="s">
        <v>5555</v>
      </c>
      <c r="D3900" s="583">
        <v>73915.240000000005</v>
      </c>
    </row>
    <row r="3901" spans="1:4" x14ac:dyDescent="0.2">
      <c r="A3901" s="574">
        <v>39828</v>
      </c>
      <c r="B3901" s="574" t="s">
        <v>9487</v>
      </c>
      <c r="C3901" s="574" t="s">
        <v>5555</v>
      </c>
      <c r="D3901" s="582">
        <v>443.42</v>
      </c>
    </row>
    <row r="3902" spans="1:4" x14ac:dyDescent="0.2">
      <c r="A3902" s="574">
        <v>12273</v>
      </c>
      <c r="B3902" s="574" t="s">
        <v>9488</v>
      </c>
      <c r="C3902" s="574" t="s">
        <v>5555</v>
      </c>
      <c r="D3902" s="582">
        <v>69.790000000000006</v>
      </c>
    </row>
    <row r="3903" spans="1:4" x14ac:dyDescent="0.2">
      <c r="A3903" s="574">
        <v>38392</v>
      </c>
      <c r="B3903" s="574" t="s">
        <v>9489</v>
      </c>
      <c r="C3903" s="574" t="s">
        <v>5555</v>
      </c>
      <c r="D3903" s="582">
        <v>48.2</v>
      </c>
    </row>
    <row r="3904" spans="1:4" x14ac:dyDescent="0.2">
      <c r="A3904" s="574">
        <v>11735</v>
      </c>
      <c r="B3904" s="574" t="s">
        <v>9490</v>
      </c>
      <c r="C3904" s="574" t="s">
        <v>5555</v>
      </c>
      <c r="D3904" s="582">
        <v>3.65</v>
      </c>
    </row>
    <row r="3905" spans="1:4" x14ac:dyDescent="0.2">
      <c r="A3905" s="574">
        <v>11733</v>
      </c>
      <c r="B3905" s="574" t="s">
        <v>9491</v>
      </c>
      <c r="C3905" s="574" t="s">
        <v>5555</v>
      </c>
      <c r="D3905" s="582">
        <v>1.79</v>
      </c>
    </row>
    <row r="3906" spans="1:4" x14ac:dyDescent="0.2">
      <c r="A3906" s="574">
        <v>11734</v>
      </c>
      <c r="B3906" s="574" t="s">
        <v>9492</v>
      </c>
      <c r="C3906" s="574" t="s">
        <v>5555</v>
      </c>
      <c r="D3906" s="582">
        <v>2.75</v>
      </c>
    </row>
    <row r="3907" spans="1:4" x14ac:dyDescent="0.2">
      <c r="A3907" s="574">
        <v>11737</v>
      </c>
      <c r="B3907" s="574" t="s">
        <v>9493</v>
      </c>
      <c r="C3907" s="574" t="s">
        <v>5555</v>
      </c>
      <c r="D3907" s="582">
        <v>4.87</v>
      </c>
    </row>
    <row r="3908" spans="1:4" x14ac:dyDescent="0.2">
      <c r="A3908" s="574">
        <v>11738</v>
      </c>
      <c r="B3908" s="574" t="s">
        <v>9494</v>
      </c>
      <c r="C3908" s="574" t="s">
        <v>5555</v>
      </c>
      <c r="D3908" s="582">
        <v>7.92</v>
      </c>
    </row>
    <row r="3909" spans="1:4" x14ac:dyDescent="0.2">
      <c r="A3909" s="574">
        <v>36143</v>
      </c>
      <c r="B3909" s="574" t="s">
        <v>9495</v>
      </c>
      <c r="C3909" s="574" t="s">
        <v>5555</v>
      </c>
      <c r="D3909" s="582">
        <v>25.11</v>
      </c>
    </row>
    <row r="3910" spans="1:4" x14ac:dyDescent="0.2">
      <c r="A3910" s="574">
        <v>36142</v>
      </c>
      <c r="B3910" s="574" t="s">
        <v>9496</v>
      </c>
      <c r="C3910" s="574" t="s">
        <v>5555</v>
      </c>
      <c r="D3910" s="582">
        <v>1.83</v>
      </c>
    </row>
    <row r="3911" spans="1:4" x14ac:dyDescent="0.2">
      <c r="A3911" s="574">
        <v>36146</v>
      </c>
      <c r="B3911" s="574" t="s">
        <v>9497</v>
      </c>
      <c r="C3911" s="574" t="s">
        <v>5555</v>
      </c>
      <c r="D3911" s="582">
        <v>208.25</v>
      </c>
    </row>
    <row r="3912" spans="1:4" x14ac:dyDescent="0.2">
      <c r="A3912" s="574">
        <v>39015</v>
      </c>
      <c r="B3912" s="574" t="s">
        <v>9498</v>
      </c>
      <c r="C3912" s="574" t="s">
        <v>5555</v>
      </c>
      <c r="D3912" s="582">
        <v>0.6</v>
      </c>
    </row>
    <row r="3913" spans="1:4" x14ac:dyDescent="0.2">
      <c r="A3913" s="574">
        <v>38377</v>
      </c>
      <c r="B3913" s="574" t="s">
        <v>9499</v>
      </c>
      <c r="C3913" s="574" t="s">
        <v>5555</v>
      </c>
      <c r="D3913" s="582">
        <v>25.53</v>
      </c>
    </row>
    <row r="3914" spans="1:4" x14ac:dyDescent="0.2">
      <c r="A3914" s="574">
        <v>38376</v>
      </c>
      <c r="B3914" s="574" t="s">
        <v>9500</v>
      </c>
      <c r="C3914" s="574" t="s">
        <v>5555</v>
      </c>
      <c r="D3914" s="582">
        <v>29.11</v>
      </c>
    </row>
    <row r="3915" spans="1:4" x14ac:dyDescent="0.2">
      <c r="A3915" s="574">
        <v>38116</v>
      </c>
      <c r="B3915" s="574" t="s">
        <v>9501</v>
      </c>
      <c r="C3915" s="574" t="s">
        <v>5555</v>
      </c>
      <c r="D3915" s="582">
        <v>5.01</v>
      </c>
    </row>
    <row r="3916" spans="1:4" x14ac:dyDescent="0.2">
      <c r="A3916" s="574">
        <v>38066</v>
      </c>
      <c r="B3916" s="574" t="s">
        <v>9502</v>
      </c>
      <c r="C3916" s="574" t="s">
        <v>5555</v>
      </c>
      <c r="D3916" s="582">
        <v>8.27</v>
      </c>
    </row>
    <row r="3917" spans="1:4" x14ac:dyDescent="0.2">
      <c r="A3917" s="574">
        <v>38117</v>
      </c>
      <c r="B3917" s="574" t="s">
        <v>9503</v>
      </c>
      <c r="C3917" s="574" t="s">
        <v>5555</v>
      </c>
      <c r="D3917" s="582">
        <v>8.5299999999999994</v>
      </c>
    </row>
    <row r="3918" spans="1:4" x14ac:dyDescent="0.2">
      <c r="A3918" s="574">
        <v>38067</v>
      </c>
      <c r="B3918" s="574" t="s">
        <v>9504</v>
      </c>
      <c r="C3918" s="574" t="s">
        <v>5555</v>
      </c>
      <c r="D3918" s="582">
        <v>11.65</v>
      </c>
    </row>
    <row r="3919" spans="1:4" x14ac:dyDescent="0.2">
      <c r="A3919" s="574">
        <v>41757</v>
      </c>
      <c r="B3919" s="574" t="s">
        <v>9505</v>
      </c>
      <c r="C3919" s="574" t="s">
        <v>5555</v>
      </c>
      <c r="D3919" s="583">
        <v>2938.02</v>
      </c>
    </row>
    <row r="3920" spans="1:4" x14ac:dyDescent="0.2">
      <c r="A3920" s="574">
        <v>5080</v>
      </c>
      <c r="B3920" s="574" t="s">
        <v>9506</v>
      </c>
      <c r="C3920" s="574" t="s">
        <v>5555</v>
      </c>
      <c r="D3920" s="582">
        <v>11.26</v>
      </c>
    </row>
    <row r="3921" spans="1:4" x14ac:dyDescent="0.2">
      <c r="A3921" s="574">
        <v>11522</v>
      </c>
      <c r="B3921" s="574" t="s">
        <v>9507</v>
      </c>
      <c r="C3921" s="574" t="s">
        <v>5555</v>
      </c>
      <c r="D3921" s="582">
        <v>14.07</v>
      </c>
    </row>
    <row r="3922" spans="1:4" x14ac:dyDescent="0.2">
      <c r="A3922" s="574">
        <v>38168</v>
      </c>
      <c r="B3922" s="574" t="s">
        <v>9510</v>
      </c>
      <c r="C3922" s="574" t="s">
        <v>5555</v>
      </c>
      <c r="D3922" s="582">
        <v>130.87</v>
      </c>
    </row>
    <row r="3923" spans="1:4" x14ac:dyDescent="0.2">
      <c r="A3923" s="574">
        <v>13393</v>
      </c>
      <c r="B3923" s="574" t="s">
        <v>9511</v>
      </c>
      <c r="C3923" s="574" t="s">
        <v>5555</v>
      </c>
      <c r="D3923" s="582">
        <v>246.94</v>
      </c>
    </row>
    <row r="3924" spans="1:4" x14ac:dyDescent="0.2">
      <c r="A3924" s="574">
        <v>13395</v>
      </c>
      <c r="B3924" s="574" t="s">
        <v>13647</v>
      </c>
      <c r="C3924" s="574" t="s">
        <v>5555</v>
      </c>
      <c r="D3924" s="582">
        <v>346.07</v>
      </c>
    </row>
    <row r="3925" spans="1:4" x14ac:dyDescent="0.2">
      <c r="A3925" s="574">
        <v>12039</v>
      </c>
      <c r="B3925" s="574" t="s">
        <v>9513</v>
      </c>
      <c r="C3925" s="574" t="s">
        <v>5555</v>
      </c>
      <c r="D3925" s="582">
        <v>363.68</v>
      </c>
    </row>
    <row r="3926" spans="1:4" x14ac:dyDescent="0.2">
      <c r="A3926" s="574">
        <v>13396</v>
      </c>
      <c r="B3926" s="574" t="s">
        <v>9514</v>
      </c>
      <c r="C3926" s="574" t="s">
        <v>5555</v>
      </c>
      <c r="D3926" s="582">
        <v>510.77</v>
      </c>
    </row>
    <row r="3927" spans="1:4" x14ac:dyDescent="0.2">
      <c r="A3927" s="574">
        <v>12041</v>
      </c>
      <c r="B3927" s="574" t="s">
        <v>9516</v>
      </c>
      <c r="C3927" s="574" t="s">
        <v>5555</v>
      </c>
      <c r="D3927" s="582">
        <v>417.07</v>
      </c>
    </row>
    <row r="3928" spans="1:4" x14ac:dyDescent="0.2">
      <c r="A3928" s="574">
        <v>12043</v>
      </c>
      <c r="B3928" s="574" t="s">
        <v>9517</v>
      </c>
      <c r="C3928" s="574" t="s">
        <v>5555</v>
      </c>
      <c r="D3928" s="582">
        <v>880.58</v>
      </c>
    </row>
    <row r="3929" spans="1:4" x14ac:dyDescent="0.2">
      <c r="A3929" s="574">
        <v>39762</v>
      </c>
      <c r="B3929" s="574" t="s">
        <v>9518</v>
      </c>
      <c r="C3929" s="574" t="s">
        <v>5555</v>
      </c>
      <c r="D3929" s="582">
        <v>419.18</v>
      </c>
    </row>
    <row r="3930" spans="1:4" x14ac:dyDescent="0.2">
      <c r="A3930" s="574">
        <v>12042</v>
      </c>
      <c r="B3930" s="574" t="s">
        <v>9519</v>
      </c>
      <c r="C3930" s="574" t="s">
        <v>5555</v>
      </c>
      <c r="D3930" s="582">
        <v>611.99</v>
      </c>
    </row>
    <row r="3931" spans="1:4" x14ac:dyDescent="0.2">
      <c r="A3931" s="574">
        <v>39763</v>
      </c>
      <c r="B3931" s="574" t="s">
        <v>9520</v>
      </c>
      <c r="C3931" s="574" t="s">
        <v>5555</v>
      </c>
      <c r="D3931" s="582">
        <v>716.25</v>
      </c>
    </row>
    <row r="3932" spans="1:4" x14ac:dyDescent="0.2">
      <c r="A3932" s="574">
        <v>39760</v>
      </c>
      <c r="B3932" s="574" t="s">
        <v>13648</v>
      </c>
      <c r="C3932" s="574" t="s">
        <v>5555</v>
      </c>
      <c r="D3932" s="582">
        <v>713.9</v>
      </c>
    </row>
    <row r="3933" spans="1:4" x14ac:dyDescent="0.2">
      <c r="A3933" s="574">
        <v>39756</v>
      </c>
      <c r="B3933" s="574" t="s">
        <v>9521</v>
      </c>
      <c r="C3933" s="574" t="s">
        <v>5555</v>
      </c>
      <c r="D3933" s="582">
        <v>256.33</v>
      </c>
    </row>
    <row r="3934" spans="1:4" x14ac:dyDescent="0.2">
      <c r="A3934" s="574">
        <v>12038</v>
      </c>
      <c r="B3934" s="574" t="s">
        <v>9522</v>
      </c>
      <c r="C3934" s="574" t="s">
        <v>5555</v>
      </c>
      <c r="D3934" s="582">
        <v>320.29000000000002</v>
      </c>
    </row>
    <row r="3935" spans="1:4" x14ac:dyDescent="0.2">
      <c r="A3935" s="574">
        <v>39757</v>
      </c>
      <c r="B3935" s="574" t="s">
        <v>9524</v>
      </c>
      <c r="C3935" s="574" t="s">
        <v>5555</v>
      </c>
      <c r="D3935" s="582">
        <v>296.17</v>
      </c>
    </row>
    <row r="3936" spans="1:4" x14ac:dyDescent="0.2">
      <c r="A3936" s="574">
        <v>39758</v>
      </c>
      <c r="B3936" s="574" t="s">
        <v>9525</v>
      </c>
      <c r="C3936" s="574" t="s">
        <v>5555</v>
      </c>
      <c r="D3936" s="582">
        <v>431.63</v>
      </c>
    </row>
    <row r="3937" spans="1:4" x14ac:dyDescent="0.2">
      <c r="A3937" s="574">
        <v>39759</v>
      </c>
      <c r="B3937" s="574" t="s">
        <v>9526</v>
      </c>
      <c r="C3937" s="574" t="s">
        <v>5555</v>
      </c>
      <c r="D3937" s="582">
        <v>533.07000000000005</v>
      </c>
    </row>
    <row r="3938" spans="1:4" x14ac:dyDescent="0.2">
      <c r="A3938" s="574">
        <v>39761</v>
      </c>
      <c r="B3938" s="574" t="s">
        <v>9528</v>
      </c>
      <c r="C3938" s="574" t="s">
        <v>5555</v>
      </c>
      <c r="D3938" s="582">
        <v>640.76</v>
      </c>
    </row>
    <row r="3939" spans="1:4" x14ac:dyDescent="0.2">
      <c r="A3939" s="574">
        <v>39805</v>
      </c>
      <c r="B3939" s="574" t="s">
        <v>13649</v>
      </c>
      <c r="C3939" s="574" t="s">
        <v>5555</v>
      </c>
      <c r="D3939" s="582">
        <v>95.83</v>
      </c>
    </row>
    <row r="3940" spans="1:4" x14ac:dyDescent="0.2">
      <c r="A3940" s="574">
        <v>39806</v>
      </c>
      <c r="B3940" s="574" t="s">
        <v>13650</v>
      </c>
      <c r="C3940" s="574" t="s">
        <v>5555</v>
      </c>
      <c r="D3940" s="582">
        <v>177.54</v>
      </c>
    </row>
    <row r="3941" spans="1:4" x14ac:dyDescent="0.2">
      <c r="A3941" s="574">
        <v>39807</v>
      </c>
      <c r="B3941" s="574" t="s">
        <v>13651</v>
      </c>
      <c r="C3941" s="574" t="s">
        <v>5555</v>
      </c>
      <c r="D3941" s="582">
        <v>384.78</v>
      </c>
    </row>
    <row r="3942" spans="1:4" x14ac:dyDescent="0.2">
      <c r="A3942" s="574">
        <v>43100</v>
      </c>
      <c r="B3942" s="574" t="s">
        <v>13652</v>
      </c>
      <c r="C3942" s="574" t="s">
        <v>5555</v>
      </c>
      <c r="D3942" s="582">
        <v>300.81</v>
      </c>
    </row>
    <row r="3943" spans="1:4" x14ac:dyDescent="0.2">
      <c r="A3943" s="574">
        <v>39804</v>
      </c>
      <c r="B3943" s="574" t="s">
        <v>13653</v>
      </c>
      <c r="C3943" s="574" t="s">
        <v>5555</v>
      </c>
      <c r="D3943" s="582">
        <v>56.27</v>
      </c>
    </row>
    <row r="3944" spans="1:4" x14ac:dyDescent="0.2">
      <c r="A3944" s="574">
        <v>39796</v>
      </c>
      <c r="B3944" s="574" t="s">
        <v>13654</v>
      </c>
      <c r="C3944" s="574" t="s">
        <v>5555</v>
      </c>
      <c r="D3944" s="582">
        <v>58.28</v>
      </c>
    </row>
    <row r="3945" spans="1:4" x14ac:dyDescent="0.2">
      <c r="A3945" s="574">
        <v>39797</v>
      </c>
      <c r="B3945" s="574" t="s">
        <v>13655</v>
      </c>
      <c r="C3945" s="574" t="s">
        <v>5555</v>
      </c>
      <c r="D3945" s="582">
        <v>91.49</v>
      </c>
    </row>
    <row r="3946" spans="1:4" x14ac:dyDescent="0.2">
      <c r="A3946" s="574">
        <v>39798</v>
      </c>
      <c r="B3946" s="574" t="s">
        <v>13656</v>
      </c>
      <c r="C3946" s="574" t="s">
        <v>5555</v>
      </c>
      <c r="D3946" s="582">
        <v>156.93</v>
      </c>
    </row>
    <row r="3947" spans="1:4" x14ac:dyDescent="0.2">
      <c r="A3947" s="574">
        <v>39794</v>
      </c>
      <c r="B3947" s="574" t="s">
        <v>13657</v>
      </c>
      <c r="C3947" s="574" t="s">
        <v>5555</v>
      </c>
      <c r="D3947" s="582">
        <v>24.74</v>
      </c>
    </row>
    <row r="3948" spans="1:4" x14ac:dyDescent="0.2">
      <c r="A3948" s="574">
        <v>39795</v>
      </c>
      <c r="B3948" s="574" t="s">
        <v>13658</v>
      </c>
      <c r="C3948" s="574" t="s">
        <v>5555</v>
      </c>
      <c r="D3948" s="582">
        <v>39.08</v>
      </c>
    </row>
    <row r="3949" spans="1:4" x14ac:dyDescent="0.2">
      <c r="A3949" s="574">
        <v>39799</v>
      </c>
      <c r="B3949" s="574" t="s">
        <v>13659</v>
      </c>
      <c r="C3949" s="574" t="s">
        <v>5555</v>
      </c>
      <c r="D3949" s="582">
        <v>28.83</v>
      </c>
    </row>
    <row r="3950" spans="1:4" x14ac:dyDescent="0.2">
      <c r="A3950" s="574">
        <v>39801</v>
      </c>
      <c r="B3950" s="574" t="s">
        <v>13660</v>
      </c>
      <c r="C3950" s="574" t="s">
        <v>5555</v>
      </c>
      <c r="D3950" s="582">
        <v>82.53</v>
      </c>
    </row>
    <row r="3951" spans="1:4" x14ac:dyDescent="0.2">
      <c r="A3951" s="574">
        <v>39802</v>
      </c>
      <c r="B3951" s="574" t="s">
        <v>13661</v>
      </c>
      <c r="C3951" s="574" t="s">
        <v>5555</v>
      </c>
      <c r="D3951" s="582">
        <v>120.97</v>
      </c>
    </row>
    <row r="3952" spans="1:4" x14ac:dyDescent="0.2">
      <c r="A3952" s="574">
        <v>39803</v>
      </c>
      <c r="B3952" s="574" t="s">
        <v>13662</v>
      </c>
      <c r="C3952" s="574" t="s">
        <v>5555</v>
      </c>
      <c r="D3952" s="582">
        <v>168.76</v>
      </c>
    </row>
    <row r="3953" spans="1:4" x14ac:dyDescent="0.2">
      <c r="A3953" s="574">
        <v>39800</v>
      </c>
      <c r="B3953" s="574" t="s">
        <v>13663</v>
      </c>
      <c r="C3953" s="574" t="s">
        <v>5555</v>
      </c>
      <c r="D3953" s="582">
        <v>49.12</v>
      </c>
    </row>
    <row r="3954" spans="1:4" x14ac:dyDescent="0.2">
      <c r="A3954" s="574">
        <v>4224</v>
      </c>
      <c r="B3954" s="574" t="s">
        <v>9546</v>
      </c>
      <c r="C3954" s="574" t="s">
        <v>5628</v>
      </c>
      <c r="D3954" s="582">
        <v>13.15</v>
      </c>
    </row>
    <row r="3955" spans="1:4" x14ac:dyDescent="0.2">
      <c r="A3955" s="574">
        <v>21059</v>
      </c>
      <c r="B3955" s="574" t="s">
        <v>9547</v>
      </c>
      <c r="C3955" s="574" t="s">
        <v>5555</v>
      </c>
      <c r="D3955" s="582">
        <v>39.47</v>
      </c>
    </row>
    <row r="3956" spans="1:4" x14ac:dyDescent="0.2">
      <c r="A3956" s="574">
        <v>11234</v>
      </c>
      <c r="B3956" s="574" t="s">
        <v>9548</v>
      </c>
      <c r="C3956" s="574" t="s">
        <v>5555</v>
      </c>
      <c r="D3956" s="582">
        <v>59.49</v>
      </c>
    </row>
    <row r="3957" spans="1:4" x14ac:dyDescent="0.2">
      <c r="A3957" s="574">
        <v>21060</v>
      </c>
      <c r="B3957" s="574" t="s">
        <v>9549</v>
      </c>
      <c r="C3957" s="574" t="s">
        <v>5555</v>
      </c>
      <c r="D3957" s="582">
        <v>73.22</v>
      </c>
    </row>
    <row r="3958" spans="1:4" x14ac:dyDescent="0.2">
      <c r="A3958" s="574">
        <v>21061</v>
      </c>
      <c r="B3958" s="574" t="s">
        <v>9550</v>
      </c>
      <c r="C3958" s="574" t="s">
        <v>5555</v>
      </c>
      <c r="D3958" s="582">
        <v>91.53</v>
      </c>
    </row>
    <row r="3959" spans="1:4" x14ac:dyDescent="0.2">
      <c r="A3959" s="574">
        <v>21062</v>
      </c>
      <c r="B3959" s="574" t="s">
        <v>9551</v>
      </c>
      <c r="C3959" s="574" t="s">
        <v>5555</v>
      </c>
      <c r="D3959" s="582">
        <v>144.16</v>
      </c>
    </row>
    <row r="3960" spans="1:4" x14ac:dyDescent="0.2">
      <c r="A3960" s="574">
        <v>11708</v>
      </c>
      <c r="B3960" s="574" t="s">
        <v>9552</v>
      </c>
      <c r="C3960" s="574" t="s">
        <v>5555</v>
      </c>
      <c r="D3960" s="582">
        <v>15.73</v>
      </c>
    </row>
    <row r="3961" spans="1:4" x14ac:dyDescent="0.2">
      <c r="A3961" s="574">
        <v>11709</v>
      </c>
      <c r="B3961" s="574" t="s">
        <v>9553</v>
      </c>
      <c r="C3961" s="574" t="s">
        <v>5555</v>
      </c>
      <c r="D3961" s="582">
        <v>36.950000000000003</v>
      </c>
    </row>
    <row r="3962" spans="1:4" x14ac:dyDescent="0.2">
      <c r="A3962" s="574">
        <v>11710</v>
      </c>
      <c r="B3962" s="574" t="s">
        <v>9554</v>
      </c>
      <c r="C3962" s="574" t="s">
        <v>5555</v>
      </c>
      <c r="D3962" s="582">
        <v>84.95</v>
      </c>
    </row>
    <row r="3963" spans="1:4" x14ac:dyDescent="0.2">
      <c r="A3963" s="574">
        <v>11707</v>
      </c>
      <c r="B3963" s="574" t="s">
        <v>9555</v>
      </c>
      <c r="C3963" s="574" t="s">
        <v>5555</v>
      </c>
      <c r="D3963" s="582">
        <v>11.78</v>
      </c>
    </row>
    <row r="3964" spans="1:4" x14ac:dyDescent="0.2">
      <c r="A3964" s="574">
        <v>11739</v>
      </c>
      <c r="B3964" s="574" t="s">
        <v>9556</v>
      </c>
      <c r="C3964" s="574" t="s">
        <v>5555</v>
      </c>
      <c r="D3964" s="582">
        <v>5.31</v>
      </c>
    </row>
    <row r="3965" spans="1:4" x14ac:dyDescent="0.2">
      <c r="A3965" s="574">
        <v>11711</v>
      </c>
      <c r="B3965" s="574" t="s">
        <v>9557</v>
      </c>
      <c r="C3965" s="574" t="s">
        <v>5555</v>
      </c>
      <c r="D3965" s="582">
        <v>7.78</v>
      </c>
    </row>
    <row r="3966" spans="1:4" x14ac:dyDescent="0.2">
      <c r="A3966" s="574">
        <v>5102</v>
      </c>
      <c r="B3966" s="574" t="s">
        <v>9558</v>
      </c>
      <c r="C3966" s="574" t="s">
        <v>5555</v>
      </c>
      <c r="D3966" s="582">
        <v>7.52</v>
      </c>
    </row>
    <row r="3967" spans="1:4" x14ac:dyDescent="0.2">
      <c r="A3967" s="574">
        <v>11741</v>
      </c>
      <c r="B3967" s="574" t="s">
        <v>9559</v>
      </c>
      <c r="C3967" s="574" t="s">
        <v>5555</v>
      </c>
      <c r="D3967" s="582">
        <v>5.47</v>
      </c>
    </row>
    <row r="3968" spans="1:4" x14ac:dyDescent="0.2">
      <c r="A3968" s="574">
        <v>11743</v>
      </c>
      <c r="B3968" s="574" t="s">
        <v>9560</v>
      </c>
      <c r="C3968" s="574" t="s">
        <v>5555</v>
      </c>
      <c r="D3968" s="582">
        <v>4.97</v>
      </c>
    </row>
    <row r="3969" spans="1:4" x14ac:dyDescent="0.2">
      <c r="A3969" s="574">
        <v>11745</v>
      </c>
      <c r="B3969" s="574" t="s">
        <v>9561</v>
      </c>
      <c r="C3969" s="574" t="s">
        <v>5555</v>
      </c>
      <c r="D3969" s="582">
        <v>7.06</v>
      </c>
    </row>
    <row r="3970" spans="1:4" x14ac:dyDescent="0.2">
      <c r="A3970" s="574">
        <v>25961</v>
      </c>
      <c r="B3970" s="574" t="s">
        <v>9562</v>
      </c>
      <c r="C3970" s="574" t="s">
        <v>5566</v>
      </c>
      <c r="D3970" s="582">
        <v>11.2</v>
      </c>
    </row>
    <row r="3971" spans="1:4" x14ac:dyDescent="0.2">
      <c r="A3971" s="574">
        <v>40985</v>
      </c>
      <c r="B3971" s="574" t="s">
        <v>9563</v>
      </c>
      <c r="C3971" s="574" t="s">
        <v>5755</v>
      </c>
      <c r="D3971" s="583">
        <v>1962.86</v>
      </c>
    </row>
    <row r="3972" spans="1:4" x14ac:dyDescent="0.2">
      <c r="A3972" s="574">
        <v>1088</v>
      </c>
      <c r="B3972" s="574" t="s">
        <v>9564</v>
      </c>
      <c r="C3972" s="574" t="s">
        <v>5555</v>
      </c>
      <c r="D3972" s="582">
        <v>18.54</v>
      </c>
    </row>
    <row r="3973" spans="1:4" x14ac:dyDescent="0.2">
      <c r="A3973" s="574">
        <v>1087</v>
      </c>
      <c r="B3973" s="574" t="s">
        <v>9565</v>
      </c>
      <c r="C3973" s="574" t="s">
        <v>5555</v>
      </c>
      <c r="D3973" s="582">
        <v>23.16</v>
      </c>
    </row>
    <row r="3974" spans="1:4" x14ac:dyDescent="0.2">
      <c r="A3974" s="574">
        <v>38777</v>
      </c>
      <c r="B3974" s="574" t="s">
        <v>9566</v>
      </c>
      <c r="C3974" s="574" t="s">
        <v>5555</v>
      </c>
      <c r="D3974" s="582">
        <v>46.13</v>
      </c>
    </row>
    <row r="3975" spans="1:4" x14ac:dyDescent="0.2">
      <c r="A3975" s="574">
        <v>1086</v>
      </c>
      <c r="B3975" s="574" t="s">
        <v>9567</v>
      </c>
      <c r="C3975" s="574" t="s">
        <v>5555</v>
      </c>
      <c r="D3975" s="582">
        <v>24.34</v>
      </c>
    </row>
    <row r="3976" spans="1:4" x14ac:dyDescent="0.2">
      <c r="A3976" s="574">
        <v>1079</v>
      </c>
      <c r="B3976" s="574" t="s">
        <v>9568</v>
      </c>
      <c r="C3976" s="574" t="s">
        <v>5555</v>
      </c>
      <c r="D3976" s="582">
        <v>25.16</v>
      </c>
    </row>
    <row r="3977" spans="1:4" x14ac:dyDescent="0.2">
      <c r="A3977" s="574">
        <v>39374</v>
      </c>
      <c r="B3977" s="574" t="s">
        <v>9569</v>
      </c>
      <c r="C3977" s="574" t="s">
        <v>5555</v>
      </c>
      <c r="D3977" s="582">
        <v>113</v>
      </c>
    </row>
    <row r="3978" spans="1:4" x14ac:dyDescent="0.2">
      <c r="A3978" s="574">
        <v>1082</v>
      </c>
      <c r="B3978" s="574" t="s">
        <v>9570</v>
      </c>
      <c r="C3978" s="574" t="s">
        <v>5555</v>
      </c>
      <c r="D3978" s="582">
        <v>158.19999999999999</v>
      </c>
    </row>
    <row r="3979" spans="1:4" x14ac:dyDescent="0.2">
      <c r="A3979" s="574">
        <v>12316</v>
      </c>
      <c r="B3979" s="574" t="s">
        <v>9571</v>
      </c>
      <c r="C3979" s="574" t="s">
        <v>5555</v>
      </c>
      <c r="D3979" s="582">
        <v>72.510000000000005</v>
      </c>
    </row>
    <row r="3980" spans="1:4" x14ac:dyDescent="0.2">
      <c r="A3980" s="574">
        <v>12317</v>
      </c>
      <c r="B3980" s="574" t="s">
        <v>9572</v>
      </c>
      <c r="C3980" s="574" t="s">
        <v>5555</v>
      </c>
      <c r="D3980" s="582">
        <v>86.46</v>
      </c>
    </row>
    <row r="3981" spans="1:4" x14ac:dyDescent="0.2">
      <c r="A3981" s="574">
        <v>12318</v>
      </c>
      <c r="B3981" s="574" t="s">
        <v>9573</v>
      </c>
      <c r="C3981" s="574" t="s">
        <v>5555</v>
      </c>
      <c r="D3981" s="582">
        <v>99.61</v>
      </c>
    </row>
    <row r="3982" spans="1:4" x14ac:dyDescent="0.2">
      <c r="A3982" s="574">
        <v>5104</v>
      </c>
      <c r="B3982" s="574" t="s">
        <v>9574</v>
      </c>
      <c r="C3982" s="574" t="s">
        <v>5626</v>
      </c>
      <c r="D3982" s="582">
        <v>48.31</v>
      </c>
    </row>
    <row r="3983" spans="1:4" x14ac:dyDescent="0.2">
      <c r="A3983" s="574">
        <v>26023</v>
      </c>
      <c r="B3983" s="574" t="s">
        <v>9575</v>
      </c>
      <c r="C3983" s="574" t="s">
        <v>5555</v>
      </c>
      <c r="D3983" s="582">
        <v>38.619999999999997</v>
      </c>
    </row>
    <row r="3984" spans="1:4" x14ac:dyDescent="0.2">
      <c r="A3984" s="574">
        <v>2710</v>
      </c>
      <c r="B3984" s="574" t="s">
        <v>9576</v>
      </c>
      <c r="C3984" s="574" t="s">
        <v>5555</v>
      </c>
      <c r="D3984" s="582">
        <v>30.84</v>
      </c>
    </row>
    <row r="3985" spans="1:4" x14ac:dyDescent="0.2">
      <c r="A3985" s="574">
        <v>14575</v>
      </c>
      <c r="B3985" s="574" t="s">
        <v>9577</v>
      </c>
      <c r="C3985" s="574" t="s">
        <v>5555</v>
      </c>
      <c r="D3985" s="583">
        <v>3905271.1</v>
      </c>
    </row>
    <row r="3986" spans="1:4" x14ac:dyDescent="0.2">
      <c r="A3986" s="574">
        <v>20034</v>
      </c>
      <c r="B3986" s="574" t="s">
        <v>9578</v>
      </c>
      <c r="C3986" s="574" t="s">
        <v>5555</v>
      </c>
      <c r="D3986" s="582">
        <v>51.56</v>
      </c>
    </row>
    <row r="3987" spans="1:4" x14ac:dyDescent="0.2">
      <c r="A3987" s="574">
        <v>20036</v>
      </c>
      <c r="B3987" s="574" t="s">
        <v>9579</v>
      </c>
      <c r="C3987" s="574" t="s">
        <v>5555</v>
      </c>
      <c r="D3987" s="582">
        <v>99.17</v>
      </c>
    </row>
    <row r="3988" spans="1:4" x14ac:dyDescent="0.2">
      <c r="A3988" s="574">
        <v>20037</v>
      </c>
      <c r="B3988" s="574" t="s">
        <v>9580</v>
      </c>
      <c r="C3988" s="574" t="s">
        <v>5555</v>
      </c>
      <c r="D3988" s="582">
        <v>187.06</v>
      </c>
    </row>
    <row r="3989" spans="1:4" x14ac:dyDescent="0.2">
      <c r="A3989" s="574">
        <v>20043</v>
      </c>
      <c r="B3989" s="574" t="s">
        <v>9581</v>
      </c>
      <c r="C3989" s="574" t="s">
        <v>5555</v>
      </c>
      <c r="D3989" s="582">
        <v>4.6500000000000004</v>
      </c>
    </row>
    <row r="3990" spans="1:4" x14ac:dyDescent="0.2">
      <c r="A3990" s="574">
        <v>20044</v>
      </c>
      <c r="B3990" s="574" t="s">
        <v>9582</v>
      </c>
      <c r="C3990" s="574" t="s">
        <v>5555</v>
      </c>
      <c r="D3990" s="582">
        <v>5.43</v>
      </c>
    </row>
    <row r="3991" spans="1:4" x14ac:dyDescent="0.2">
      <c r="A3991" s="574">
        <v>20042</v>
      </c>
      <c r="B3991" s="574" t="s">
        <v>9583</v>
      </c>
      <c r="C3991" s="574" t="s">
        <v>5555</v>
      </c>
      <c r="D3991" s="582">
        <v>3.93</v>
      </c>
    </row>
    <row r="3992" spans="1:4" x14ac:dyDescent="0.2">
      <c r="A3992" s="574">
        <v>20046</v>
      </c>
      <c r="B3992" s="574" t="s">
        <v>9584</v>
      </c>
      <c r="C3992" s="574" t="s">
        <v>5555</v>
      </c>
      <c r="D3992" s="582">
        <v>11.52</v>
      </c>
    </row>
    <row r="3993" spans="1:4" x14ac:dyDescent="0.2">
      <c r="A3993" s="574">
        <v>20047</v>
      </c>
      <c r="B3993" s="574" t="s">
        <v>9585</v>
      </c>
      <c r="C3993" s="574" t="s">
        <v>5555</v>
      </c>
      <c r="D3993" s="582">
        <v>31.5</v>
      </c>
    </row>
    <row r="3994" spans="1:4" x14ac:dyDescent="0.2">
      <c r="A3994" s="574">
        <v>20045</v>
      </c>
      <c r="B3994" s="574" t="s">
        <v>9586</v>
      </c>
      <c r="C3994" s="574" t="s">
        <v>5555</v>
      </c>
      <c r="D3994" s="582">
        <v>4.74</v>
      </c>
    </row>
    <row r="3995" spans="1:4" x14ac:dyDescent="0.2">
      <c r="A3995" s="574">
        <v>20972</v>
      </c>
      <c r="B3995" s="574" t="s">
        <v>9587</v>
      </c>
      <c r="C3995" s="574" t="s">
        <v>5555</v>
      </c>
      <c r="D3995" s="582">
        <v>89.99</v>
      </c>
    </row>
    <row r="3996" spans="1:4" x14ac:dyDescent="0.2">
      <c r="A3996" s="574">
        <v>20032</v>
      </c>
      <c r="B3996" s="574" t="s">
        <v>9588</v>
      </c>
      <c r="C3996" s="574" t="s">
        <v>5555</v>
      </c>
      <c r="D3996" s="582">
        <v>47.4</v>
      </c>
    </row>
    <row r="3997" spans="1:4" x14ac:dyDescent="0.2">
      <c r="A3997" s="574">
        <v>11321</v>
      </c>
      <c r="B3997" s="574" t="s">
        <v>9589</v>
      </c>
      <c r="C3997" s="574" t="s">
        <v>5555</v>
      </c>
      <c r="D3997" s="582">
        <v>21.61</v>
      </c>
    </row>
    <row r="3998" spans="1:4" x14ac:dyDescent="0.2">
      <c r="A3998" s="574">
        <v>11323</v>
      </c>
      <c r="B3998" s="574" t="s">
        <v>9590</v>
      </c>
      <c r="C3998" s="574" t="s">
        <v>5555</v>
      </c>
      <c r="D3998" s="582">
        <v>24.85</v>
      </c>
    </row>
    <row r="3999" spans="1:4" x14ac:dyDescent="0.2">
      <c r="A3999" s="574">
        <v>20327</v>
      </c>
      <c r="B3999" s="574" t="s">
        <v>9591</v>
      </c>
      <c r="C3999" s="574" t="s">
        <v>5555</v>
      </c>
      <c r="D3999" s="582">
        <v>14.1</v>
      </c>
    </row>
    <row r="4000" spans="1:4" x14ac:dyDescent="0.2">
      <c r="A4000" s="574">
        <v>25966</v>
      </c>
      <c r="B4000" s="574" t="s">
        <v>9592</v>
      </c>
      <c r="C4000" s="574" t="s">
        <v>5628</v>
      </c>
      <c r="D4000" s="582">
        <v>16.8</v>
      </c>
    </row>
    <row r="4001" spans="1:4" x14ac:dyDescent="0.2">
      <c r="A4001" s="574">
        <v>13390</v>
      </c>
      <c r="B4001" s="574" t="s">
        <v>9593</v>
      </c>
      <c r="C4001" s="574" t="s">
        <v>5555</v>
      </c>
      <c r="D4001" s="582">
        <v>91.5</v>
      </c>
    </row>
    <row r="4002" spans="1:4" x14ac:dyDescent="0.2">
      <c r="A4002" s="574">
        <v>6034</v>
      </c>
      <c r="B4002" s="574" t="s">
        <v>9594</v>
      </c>
      <c r="C4002" s="574" t="s">
        <v>5555</v>
      </c>
      <c r="D4002" s="582">
        <v>7.5</v>
      </c>
    </row>
    <row r="4003" spans="1:4" x14ac:dyDescent="0.2">
      <c r="A4003" s="574">
        <v>6036</v>
      </c>
      <c r="B4003" s="574" t="s">
        <v>9595</v>
      </c>
      <c r="C4003" s="574" t="s">
        <v>5555</v>
      </c>
      <c r="D4003" s="582">
        <v>10.210000000000001</v>
      </c>
    </row>
    <row r="4004" spans="1:4" x14ac:dyDescent="0.2">
      <c r="A4004" s="574">
        <v>6031</v>
      </c>
      <c r="B4004" s="574" t="s">
        <v>9596</v>
      </c>
      <c r="C4004" s="574" t="s">
        <v>5555</v>
      </c>
      <c r="D4004" s="582">
        <v>12</v>
      </c>
    </row>
    <row r="4005" spans="1:4" x14ac:dyDescent="0.2">
      <c r="A4005" s="574">
        <v>6029</v>
      </c>
      <c r="B4005" s="574" t="s">
        <v>9597</v>
      </c>
      <c r="C4005" s="574" t="s">
        <v>5555</v>
      </c>
      <c r="D4005" s="582">
        <v>12.12</v>
      </c>
    </row>
    <row r="4006" spans="1:4" x14ac:dyDescent="0.2">
      <c r="A4006" s="574">
        <v>6033</v>
      </c>
      <c r="B4006" s="574" t="s">
        <v>9598</v>
      </c>
      <c r="C4006" s="574" t="s">
        <v>5555</v>
      </c>
      <c r="D4006" s="582">
        <v>15.98</v>
      </c>
    </row>
    <row r="4007" spans="1:4" x14ac:dyDescent="0.2">
      <c r="A4007" s="574">
        <v>11672</v>
      </c>
      <c r="B4007" s="574" t="s">
        <v>9599</v>
      </c>
      <c r="C4007" s="574" t="s">
        <v>5555</v>
      </c>
      <c r="D4007" s="582">
        <v>34.770000000000003</v>
      </c>
    </row>
    <row r="4008" spans="1:4" x14ac:dyDescent="0.2">
      <c r="A4008" s="574">
        <v>11669</v>
      </c>
      <c r="B4008" s="574" t="s">
        <v>9600</v>
      </c>
      <c r="C4008" s="574" t="s">
        <v>5555</v>
      </c>
      <c r="D4008" s="582">
        <v>33.11</v>
      </c>
    </row>
    <row r="4009" spans="1:4" x14ac:dyDescent="0.2">
      <c r="A4009" s="574">
        <v>11670</v>
      </c>
      <c r="B4009" s="574" t="s">
        <v>9601</v>
      </c>
      <c r="C4009" s="574" t="s">
        <v>5555</v>
      </c>
      <c r="D4009" s="582">
        <v>12.68</v>
      </c>
    </row>
    <row r="4010" spans="1:4" x14ac:dyDescent="0.2">
      <c r="A4010" s="574">
        <v>20055</v>
      </c>
      <c r="B4010" s="574" t="s">
        <v>9602</v>
      </c>
      <c r="C4010" s="574" t="s">
        <v>5555</v>
      </c>
      <c r="D4010" s="582">
        <v>24.8</v>
      </c>
    </row>
    <row r="4011" spans="1:4" x14ac:dyDescent="0.2">
      <c r="A4011" s="574">
        <v>11671</v>
      </c>
      <c r="B4011" s="574" t="s">
        <v>9603</v>
      </c>
      <c r="C4011" s="574" t="s">
        <v>5555</v>
      </c>
      <c r="D4011" s="582">
        <v>53.21</v>
      </c>
    </row>
    <row r="4012" spans="1:4" x14ac:dyDescent="0.2">
      <c r="A4012" s="574">
        <v>6032</v>
      </c>
      <c r="B4012" s="574" t="s">
        <v>9604</v>
      </c>
      <c r="C4012" s="574" t="s">
        <v>5555</v>
      </c>
      <c r="D4012" s="582">
        <v>15.2</v>
      </c>
    </row>
    <row r="4013" spans="1:4" x14ac:dyDescent="0.2">
      <c r="A4013" s="574">
        <v>11673</v>
      </c>
      <c r="B4013" s="574" t="s">
        <v>9605</v>
      </c>
      <c r="C4013" s="574" t="s">
        <v>5555</v>
      </c>
      <c r="D4013" s="582">
        <v>11.97</v>
      </c>
    </row>
    <row r="4014" spans="1:4" x14ac:dyDescent="0.2">
      <c r="A4014" s="574">
        <v>11674</v>
      </c>
      <c r="B4014" s="574" t="s">
        <v>9606</v>
      </c>
      <c r="C4014" s="574" t="s">
        <v>5555</v>
      </c>
      <c r="D4014" s="582">
        <v>15.41</v>
      </c>
    </row>
    <row r="4015" spans="1:4" x14ac:dyDescent="0.2">
      <c r="A4015" s="574">
        <v>11675</v>
      </c>
      <c r="B4015" s="574" t="s">
        <v>9607</v>
      </c>
      <c r="C4015" s="574" t="s">
        <v>5555</v>
      </c>
      <c r="D4015" s="582">
        <v>24.47</v>
      </c>
    </row>
    <row r="4016" spans="1:4" x14ac:dyDescent="0.2">
      <c r="A4016" s="574">
        <v>11676</v>
      </c>
      <c r="B4016" s="574" t="s">
        <v>9608</v>
      </c>
      <c r="C4016" s="574" t="s">
        <v>5555</v>
      </c>
      <c r="D4016" s="582">
        <v>32.72</v>
      </c>
    </row>
    <row r="4017" spans="1:4" x14ac:dyDescent="0.2">
      <c r="A4017" s="574">
        <v>11677</v>
      </c>
      <c r="B4017" s="574" t="s">
        <v>9609</v>
      </c>
      <c r="C4017" s="574" t="s">
        <v>5555</v>
      </c>
      <c r="D4017" s="582">
        <v>33.799999999999997</v>
      </c>
    </row>
    <row r="4018" spans="1:4" x14ac:dyDescent="0.2">
      <c r="A4018" s="574">
        <v>11678</v>
      </c>
      <c r="B4018" s="574" t="s">
        <v>9610</v>
      </c>
      <c r="C4018" s="574" t="s">
        <v>5555</v>
      </c>
      <c r="D4018" s="582">
        <v>61.89</v>
      </c>
    </row>
    <row r="4019" spans="1:4" x14ac:dyDescent="0.2">
      <c r="A4019" s="574">
        <v>6038</v>
      </c>
      <c r="B4019" s="574" t="s">
        <v>9611</v>
      </c>
      <c r="C4019" s="574" t="s">
        <v>5555</v>
      </c>
      <c r="D4019" s="582">
        <v>3.92</v>
      </c>
    </row>
    <row r="4020" spans="1:4" x14ac:dyDescent="0.2">
      <c r="A4020" s="574">
        <v>11718</v>
      </c>
      <c r="B4020" s="574" t="s">
        <v>9612</v>
      </c>
      <c r="C4020" s="574" t="s">
        <v>5555</v>
      </c>
      <c r="D4020" s="582">
        <v>11.19</v>
      </c>
    </row>
    <row r="4021" spans="1:4" x14ac:dyDescent="0.2">
      <c r="A4021" s="574">
        <v>6037</v>
      </c>
      <c r="B4021" s="574" t="s">
        <v>9613</v>
      </c>
      <c r="C4021" s="574" t="s">
        <v>5555</v>
      </c>
      <c r="D4021" s="582">
        <v>8.17</v>
      </c>
    </row>
    <row r="4022" spans="1:4" x14ac:dyDescent="0.2">
      <c r="A4022" s="574">
        <v>11719</v>
      </c>
      <c r="B4022" s="574" t="s">
        <v>9614</v>
      </c>
      <c r="C4022" s="574" t="s">
        <v>5555</v>
      </c>
      <c r="D4022" s="582">
        <v>9.08</v>
      </c>
    </row>
    <row r="4023" spans="1:4" x14ac:dyDescent="0.2">
      <c r="A4023" s="574">
        <v>6019</v>
      </c>
      <c r="B4023" s="574" t="s">
        <v>9615</v>
      </c>
      <c r="C4023" s="574" t="s">
        <v>5555</v>
      </c>
      <c r="D4023" s="582">
        <v>31.05</v>
      </c>
    </row>
    <row r="4024" spans="1:4" x14ac:dyDescent="0.2">
      <c r="A4024" s="574">
        <v>6010</v>
      </c>
      <c r="B4024" s="574" t="s">
        <v>9616</v>
      </c>
      <c r="C4024" s="574" t="s">
        <v>5555</v>
      </c>
      <c r="D4024" s="582">
        <v>53.43</v>
      </c>
    </row>
    <row r="4025" spans="1:4" x14ac:dyDescent="0.2">
      <c r="A4025" s="574">
        <v>6017</v>
      </c>
      <c r="B4025" s="574" t="s">
        <v>9617</v>
      </c>
      <c r="C4025" s="574" t="s">
        <v>5555</v>
      </c>
      <c r="D4025" s="582">
        <v>42.32</v>
      </c>
    </row>
    <row r="4026" spans="1:4" x14ac:dyDescent="0.2">
      <c r="A4026" s="574">
        <v>6020</v>
      </c>
      <c r="B4026" s="574" t="s">
        <v>9618</v>
      </c>
      <c r="C4026" s="574" t="s">
        <v>5555</v>
      </c>
      <c r="D4026" s="582">
        <v>18.649999999999999</v>
      </c>
    </row>
    <row r="4027" spans="1:4" x14ac:dyDescent="0.2">
      <c r="A4027" s="574">
        <v>6028</v>
      </c>
      <c r="B4027" s="574" t="s">
        <v>9619</v>
      </c>
      <c r="C4027" s="574" t="s">
        <v>5555</v>
      </c>
      <c r="D4027" s="582">
        <v>74.430000000000007</v>
      </c>
    </row>
    <row r="4028" spans="1:4" x14ac:dyDescent="0.2">
      <c r="A4028" s="574">
        <v>6011</v>
      </c>
      <c r="B4028" s="574" t="s">
        <v>9620</v>
      </c>
      <c r="C4028" s="574" t="s">
        <v>5555</v>
      </c>
      <c r="D4028" s="582">
        <v>154.36000000000001</v>
      </c>
    </row>
    <row r="4029" spans="1:4" x14ac:dyDescent="0.2">
      <c r="A4029" s="574">
        <v>6012</v>
      </c>
      <c r="B4029" s="574" t="s">
        <v>9621</v>
      </c>
      <c r="C4029" s="574" t="s">
        <v>5555</v>
      </c>
      <c r="D4029" s="582">
        <v>186.88</v>
      </c>
    </row>
    <row r="4030" spans="1:4" x14ac:dyDescent="0.2">
      <c r="A4030" s="574">
        <v>6016</v>
      </c>
      <c r="B4030" s="574" t="s">
        <v>9622</v>
      </c>
      <c r="C4030" s="574" t="s">
        <v>5555</v>
      </c>
      <c r="D4030" s="582">
        <v>19.670000000000002</v>
      </c>
    </row>
    <row r="4031" spans="1:4" x14ac:dyDescent="0.2">
      <c r="A4031" s="574">
        <v>6027</v>
      </c>
      <c r="B4031" s="574" t="s">
        <v>9623</v>
      </c>
      <c r="C4031" s="574" t="s">
        <v>5555</v>
      </c>
      <c r="D4031" s="582">
        <v>389.39</v>
      </c>
    </row>
    <row r="4032" spans="1:4" x14ac:dyDescent="0.2">
      <c r="A4032" s="574">
        <v>6013</v>
      </c>
      <c r="B4032" s="574" t="s">
        <v>9624</v>
      </c>
      <c r="C4032" s="574" t="s">
        <v>5555</v>
      </c>
      <c r="D4032" s="582">
        <v>58.76</v>
      </c>
    </row>
    <row r="4033" spans="1:4" x14ac:dyDescent="0.2">
      <c r="A4033" s="574">
        <v>6015</v>
      </c>
      <c r="B4033" s="574" t="s">
        <v>9625</v>
      </c>
      <c r="C4033" s="574" t="s">
        <v>5555</v>
      </c>
      <c r="D4033" s="582">
        <v>85.44</v>
      </c>
    </row>
    <row r="4034" spans="1:4" x14ac:dyDescent="0.2">
      <c r="A4034" s="574">
        <v>6014</v>
      </c>
      <c r="B4034" s="574" t="s">
        <v>9626</v>
      </c>
      <c r="C4034" s="574" t="s">
        <v>5555</v>
      </c>
      <c r="D4034" s="582">
        <v>81.69</v>
      </c>
    </row>
    <row r="4035" spans="1:4" x14ac:dyDescent="0.2">
      <c r="A4035" s="574">
        <v>6006</v>
      </c>
      <c r="B4035" s="574" t="s">
        <v>9627</v>
      </c>
      <c r="C4035" s="574" t="s">
        <v>5555</v>
      </c>
      <c r="D4035" s="582">
        <v>42.55</v>
      </c>
    </row>
    <row r="4036" spans="1:4" x14ac:dyDescent="0.2">
      <c r="A4036" s="574">
        <v>6005</v>
      </c>
      <c r="B4036" s="574" t="s">
        <v>9628</v>
      </c>
      <c r="C4036" s="574" t="s">
        <v>5555</v>
      </c>
      <c r="D4036" s="582">
        <v>48</v>
      </c>
    </row>
    <row r="4037" spans="1:4" x14ac:dyDescent="0.2">
      <c r="A4037" s="574">
        <v>11756</v>
      </c>
      <c r="B4037" s="574" t="s">
        <v>9629</v>
      </c>
      <c r="C4037" s="574" t="s">
        <v>5555</v>
      </c>
      <c r="D4037" s="582">
        <v>22.92</v>
      </c>
    </row>
    <row r="4038" spans="1:4" x14ac:dyDescent="0.2">
      <c r="A4038" s="574">
        <v>10904</v>
      </c>
      <c r="B4038" s="574" t="s">
        <v>9630</v>
      </c>
      <c r="C4038" s="574" t="s">
        <v>5555</v>
      </c>
      <c r="D4038" s="582">
        <v>126</v>
      </c>
    </row>
    <row r="4039" spans="1:4" x14ac:dyDescent="0.2">
      <c r="A4039" s="574">
        <v>11752</v>
      </c>
      <c r="B4039" s="574" t="s">
        <v>9631</v>
      </c>
      <c r="C4039" s="574" t="s">
        <v>5555</v>
      </c>
      <c r="D4039" s="582">
        <v>13.22</v>
      </c>
    </row>
    <row r="4040" spans="1:4" x14ac:dyDescent="0.2">
      <c r="A4040" s="574">
        <v>11753</v>
      </c>
      <c r="B4040" s="574" t="s">
        <v>9632</v>
      </c>
      <c r="C4040" s="574" t="s">
        <v>5555</v>
      </c>
      <c r="D4040" s="582">
        <v>15.78</v>
      </c>
    </row>
    <row r="4041" spans="1:4" x14ac:dyDescent="0.2">
      <c r="A4041" s="574">
        <v>6021</v>
      </c>
      <c r="B4041" s="574" t="s">
        <v>9633</v>
      </c>
      <c r="C4041" s="574" t="s">
        <v>5555</v>
      </c>
      <c r="D4041" s="582">
        <v>43.79</v>
      </c>
    </row>
    <row r="4042" spans="1:4" x14ac:dyDescent="0.2">
      <c r="A4042" s="574">
        <v>6024</v>
      </c>
      <c r="B4042" s="574" t="s">
        <v>9634</v>
      </c>
      <c r="C4042" s="574" t="s">
        <v>5555</v>
      </c>
      <c r="D4042" s="582">
        <v>45.27</v>
      </c>
    </row>
    <row r="4043" spans="1:4" x14ac:dyDescent="0.2">
      <c r="A4043" s="574">
        <v>38379</v>
      </c>
      <c r="B4043" s="574" t="s">
        <v>9635</v>
      </c>
      <c r="C4043" s="574" t="s">
        <v>5575</v>
      </c>
      <c r="D4043" s="582">
        <v>34.159999999999997</v>
      </c>
    </row>
    <row r="4044" spans="1:4" x14ac:dyDescent="0.2">
      <c r="A4044" s="574">
        <v>13897</v>
      </c>
      <c r="B4044" s="574" t="s">
        <v>9636</v>
      </c>
      <c r="C4044" s="574" t="s">
        <v>5555</v>
      </c>
      <c r="D4044" s="583">
        <v>5825.82</v>
      </c>
    </row>
    <row r="4045" spans="1:4" x14ac:dyDescent="0.2">
      <c r="A4045" s="574">
        <v>10640</v>
      </c>
      <c r="B4045" s="574" t="s">
        <v>9637</v>
      </c>
      <c r="C4045" s="574" t="s">
        <v>5555</v>
      </c>
      <c r="D4045" s="583">
        <v>12617.51</v>
      </c>
    </row>
    <row r="4046" spans="1:4" x14ac:dyDescent="0.2">
      <c r="A4046" s="574">
        <v>11086</v>
      </c>
      <c r="B4046" s="574" t="s">
        <v>9638</v>
      </c>
      <c r="C4046" s="574" t="s">
        <v>5751</v>
      </c>
      <c r="D4046" s="582">
        <v>78.66</v>
      </c>
    </row>
    <row r="4047" spans="1:4" x14ac:dyDescent="0.2">
      <c r="A4047" s="574">
        <v>34357</v>
      </c>
      <c r="B4047" s="574" t="s">
        <v>13664</v>
      </c>
      <c r="C4047" s="574" t="s">
        <v>5626</v>
      </c>
      <c r="D4047" s="582">
        <v>3.52</v>
      </c>
    </row>
    <row r="4048" spans="1:4" x14ac:dyDescent="0.2">
      <c r="A4048" s="574">
        <v>37329</v>
      </c>
      <c r="B4048" s="574" t="s">
        <v>13665</v>
      </c>
      <c r="C4048" s="574" t="s">
        <v>5626</v>
      </c>
      <c r="D4048" s="582">
        <v>74.2</v>
      </c>
    </row>
    <row r="4049" spans="1:4" x14ac:dyDescent="0.2">
      <c r="A4049" s="574">
        <v>2510</v>
      </c>
      <c r="B4049" s="574" t="s">
        <v>9643</v>
      </c>
      <c r="C4049" s="574" t="s">
        <v>5555</v>
      </c>
      <c r="D4049" s="582">
        <v>22.92</v>
      </c>
    </row>
    <row r="4050" spans="1:4" x14ac:dyDescent="0.2">
      <c r="A4050" s="574">
        <v>12359</v>
      </c>
      <c r="B4050" s="574" t="s">
        <v>9644</v>
      </c>
      <c r="C4050" s="574" t="s">
        <v>5555</v>
      </c>
      <c r="D4050" s="582">
        <v>99.5</v>
      </c>
    </row>
    <row r="4051" spans="1:4" x14ac:dyDescent="0.2">
      <c r="A4051" s="574">
        <v>5320</v>
      </c>
      <c r="B4051" s="574" t="s">
        <v>9645</v>
      </c>
      <c r="C4051" s="574" t="s">
        <v>5628</v>
      </c>
      <c r="D4051" s="582">
        <v>33.61</v>
      </c>
    </row>
    <row r="4052" spans="1:4" x14ac:dyDescent="0.2">
      <c r="A4052" s="574">
        <v>7353</v>
      </c>
      <c r="B4052" s="574" t="s">
        <v>9646</v>
      </c>
      <c r="C4052" s="574" t="s">
        <v>5628</v>
      </c>
      <c r="D4052" s="582">
        <v>27.73</v>
      </c>
    </row>
    <row r="4053" spans="1:4" x14ac:dyDescent="0.2">
      <c r="A4053" s="574">
        <v>36144</v>
      </c>
      <c r="B4053" s="574" t="s">
        <v>9647</v>
      </c>
      <c r="C4053" s="574" t="s">
        <v>5555</v>
      </c>
      <c r="D4053" s="582">
        <v>1.37</v>
      </c>
    </row>
    <row r="4054" spans="1:4" x14ac:dyDescent="0.2">
      <c r="A4054" s="574">
        <v>10518</v>
      </c>
      <c r="B4054" s="574" t="s">
        <v>9648</v>
      </c>
      <c r="C4054" s="574" t="s">
        <v>5555</v>
      </c>
      <c r="D4054" s="582">
        <v>70.08</v>
      </c>
    </row>
    <row r="4055" spans="1:4" x14ac:dyDescent="0.2">
      <c r="A4055" s="574">
        <v>36530</v>
      </c>
      <c r="B4055" s="574" t="s">
        <v>9649</v>
      </c>
      <c r="C4055" s="574" t="s">
        <v>5555</v>
      </c>
      <c r="D4055" s="583">
        <v>231074.55</v>
      </c>
    </row>
    <row r="4056" spans="1:4" x14ac:dyDescent="0.2">
      <c r="A4056" s="574">
        <v>6046</v>
      </c>
      <c r="B4056" s="574" t="s">
        <v>9650</v>
      </c>
      <c r="C4056" s="574" t="s">
        <v>5555</v>
      </c>
      <c r="D4056" s="583">
        <v>250636.43</v>
      </c>
    </row>
    <row r="4057" spans="1:4" x14ac:dyDescent="0.2">
      <c r="A4057" s="574">
        <v>36531</v>
      </c>
      <c r="B4057" s="574" t="s">
        <v>9651</v>
      </c>
      <c r="C4057" s="574" t="s">
        <v>5555</v>
      </c>
      <c r="D4057" s="583">
        <v>259806.03</v>
      </c>
    </row>
    <row r="4058" spans="1:4" x14ac:dyDescent="0.2">
      <c r="A4058" s="574">
        <v>34684</v>
      </c>
      <c r="B4058" s="574" t="s">
        <v>9652</v>
      </c>
      <c r="C4058" s="574" t="s">
        <v>5564</v>
      </c>
      <c r="D4058" s="582">
        <v>167.93</v>
      </c>
    </row>
    <row r="4059" spans="1:4" x14ac:dyDescent="0.2">
      <c r="A4059" s="574">
        <v>34683</v>
      </c>
      <c r="B4059" s="574" t="s">
        <v>9653</v>
      </c>
      <c r="C4059" s="574" t="s">
        <v>5564</v>
      </c>
      <c r="D4059" s="582">
        <v>104.95</v>
      </c>
    </row>
    <row r="4060" spans="1:4" x14ac:dyDescent="0.2">
      <c r="A4060" s="574">
        <v>533</v>
      </c>
      <c r="B4060" s="574" t="s">
        <v>9654</v>
      </c>
      <c r="C4060" s="574" t="s">
        <v>5564</v>
      </c>
      <c r="D4060" s="582">
        <v>14.36</v>
      </c>
    </row>
    <row r="4061" spans="1:4" x14ac:dyDescent="0.2">
      <c r="A4061" s="574">
        <v>10515</v>
      </c>
      <c r="B4061" s="574" t="s">
        <v>9655</v>
      </c>
      <c r="C4061" s="574" t="s">
        <v>5564</v>
      </c>
      <c r="D4061" s="582">
        <v>37.03</v>
      </c>
    </row>
    <row r="4062" spans="1:4" x14ac:dyDescent="0.2">
      <c r="A4062" s="574">
        <v>536</v>
      </c>
      <c r="B4062" s="574" t="s">
        <v>9656</v>
      </c>
      <c r="C4062" s="574" t="s">
        <v>5564</v>
      </c>
      <c r="D4062" s="582">
        <v>24.33</v>
      </c>
    </row>
    <row r="4063" spans="1:4" x14ac:dyDescent="0.2">
      <c r="A4063" s="574">
        <v>153</v>
      </c>
      <c r="B4063" s="574" t="s">
        <v>9657</v>
      </c>
      <c r="C4063" s="574" t="s">
        <v>5628</v>
      </c>
      <c r="D4063" s="582">
        <v>74.72</v>
      </c>
    </row>
    <row r="4064" spans="1:4" x14ac:dyDescent="0.2">
      <c r="A4064" s="574">
        <v>34682</v>
      </c>
      <c r="B4064" s="574" t="s">
        <v>9658</v>
      </c>
      <c r="C4064" s="574" t="s">
        <v>5564</v>
      </c>
      <c r="D4064" s="582">
        <v>80.260000000000005</v>
      </c>
    </row>
    <row r="4065" spans="1:4" x14ac:dyDescent="0.2">
      <c r="A4065" s="574">
        <v>20205</v>
      </c>
      <c r="B4065" s="574" t="s">
        <v>9659</v>
      </c>
      <c r="C4065" s="574" t="s">
        <v>5575</v>
      </c>
      <c r="D4065" s="582">
        <v>1.56</v>
      </c>
    </row>
    <row r="4066" spans="1:4" x14ac:dyDescent="0.2">
      <c r="A4066" s="574">
        <v>4412</v>
      </c>
      <c r="B4066" s="574" t="s">
        <v>9660</v>
      </c>
      <c r="C4066" s="574" t="s">
        <v>5575</v>
      </c>
      <c r="D4066" s="582">
        <v>0.99</v>
      </c>
    </row>
    <row r="4067" spans="1:4" x14ac:dyDescent="0.2">
      <c r="A4067" s="574">
        <v>4408</v>
      </c>
      <c r="B4067" s="574" t="s">
        <v>9661</v>
      </c>
      <c r="C4067" s="574" t="s">
        <v>5575</v>
      </c>
      <c r="D4067" s="582">
        <v>1.34</v>
      </c>
    </row>
    <row r="4068" spans="1:4" x14ac:dyDescent="0.2">
      <c r="A4068" s="574">
        <v>4505</v>
      </c>
      <c r="B4068" s="574" t="s">
        <v>9662</v>
      </c>
      <c r="C4068" s="574" t="s">
        <v>5575</v>
      </c>
      <c r="D4068" s="582">
        <v>1.32</v>
      </c>
    </row>
    <row r="4069" spans="1:4" x14ac:dyDescent="0.2">
      <c r="A4069" s="574">
        <v>10559</v>
      </c>
      <c r="B4069" s="574" t="s">
        <v>9663</v>
      </c>
      <c r="C4069" s="574" t="s">
        <v>5555</v>
      </c>
      <c r="D4069" s="583">
        <v>2540.5</v>
      </c>
    </row>
    <row r="4070" spans="1:4" x14ac:dyDescent="0.2">
      <c r="A4070" s="574">
        <v>10664</v>
      </c>
      <c r="B4070" s="574" t="s">
        <v>9664</v>
      </c>
      <c r="C4070" s="574" t="s">
        <v>5555</v>
      </c>
      <c r="D4070" s="583">
        <v>6904.53</v>
      </c>
    </row>
    <row r="4071" spans="1:4" x14ac:dyDescent="0.2">
      <c r="A4071" s="574">
        <v>36250</v>
      </c>
      <c r="B4071" s="574" t="s">
        <v>9665</v>
      </c>
      <c r="C4071" s="574" t="s">
        <v>5575</v>
      </c>
      <c r="D4071" s="582">
        <v>2.78</v>
      </c>
    </row>
    <row r="4072" spans="1:4" x14ac:dyDescent="0.2">
      <c r="A4072" s="574">
        <v>10857</v>
      </c>
      <c r="B4072" s="574" t="s">
        <v>9666</v>
      </c>
      <c r="C4072" s="574" t="s">
        <v>5575</v>
      </c>
      <c r="D4072" s="582">
        <v>9.6</v>
      </c>
    </row>
    <row r="4073" spans="1:4" x14ac:dyDescent="0.2">
      <c r="A4073" s="574">
        <v>4803</v>
      </c>
      <c r="B4073" s="574" t="s">
        <v>9667</v>
      </c>
      <c r="C4073" s="574" t="s">
        <v>5575</v>
      </c>
      <c r="D4073" s="582">
        <v>22.82</v>
      </c>
    </row>
    <row r="4074" spans="1:4" x14ac:dyDescent="0.2">
      <c r="A4074" s="574">
        <v>6186</v>
      </c>
      <c r="B4074" s="574" t="s">
        <v>9668</v>
      </c>
      <c r="C4074" s="574" t="s">
        <v>5575</v>
      </c>
      <c r="D4074" s="582">
        <v>4.16</v>
      </c>
    </row>
    <row r="4075" spans="1:4" x14ac:dyDescent="0.2">
      <c r="A4075" s="574">
        <v>4829</v>
      </c>
      <c r="B4075" s="574" t="s">
        <v>9669</v>
      </c>
      <c r="C4075" s="574" t="s">
        <v>5575</v>
      </c>
      <c r="D4075" s="582">
        <v>46.3</v>
      </c>
    </row>
    <row r="4076" spans="1:4" x14ac:dyDescent="0.2">
      <c r="A4076" s="574">
        <v>39829</v>
      </c>
      <c r="B4076" s="574" t="s">
        <v>9670</v>
      </c>
      <c r="C4076" s="574" t="s">
        <v>5575</v>
      </c>
      <c r="D4076" s="582">
        <v>20.37</v>
      </c>
    </row>
    <row r="4077" spans="1:4" x14ac:dyDescent="0.2">
      <c r="A4077" s="574">
        <v>20231</v>
      </c>
      <c r="B4077" s="574" t="s">
        <v>9671</v>
      </c>
      <c r="C4077" s="574" t="s">
        <v>5575</v>
      </c>
      <c r="D4077" s="582">
        <v>44.65</v>
      </c>
    </row>
    <row r="4078" spans="1:4" x14ac:dyDescent="0.2">
      <c r="A4078" s="574">
        <v>4804</v>
      </c>
      <c r="B4078" s="574" t="s">
        <v>9672</v>
      </c>
      <c r="C4078" s="574" t="s">
        <v>5575</v>
      </c>
      <c r="D4078" s="582">
        <v>17.52</v>
      </c>
    </row>
    <row r="4079" spans="1:4" x14ac:dyDescent="0.2">
      <c r="A4079" s="574">
        <v>34680</v>
      </c>
      <c r="B4079" s="574" t="s">
        <v>9673</v>
      </c>
      <c r="C4079" s="574" t="s">
        <v>5575</v>
      </c>
      <c r="D4079" s="582">
        <v>24.69</v>
      </c>
    </row>
    <row r="4080" spans="1:4" x14ac:dyDescent="0.2">
      <c r="A4080" s="574">
        <v>11573</v>
      </c>
      <c r="B4080" s="574" t="s">
        <v>9674</v>
      </c>
      <c r="C4080" s="574" t="s">
        <v>5555</v>
      </c>
      <c r="D4080" s="582">
        <v>6.36</v>
      </c>
    </row>
    <row r="4081" spans="1:4" x14ac:dyDescent="0.2">
      <c r="A4081" s="574">
        <v>38401</v>
      </c>
      <c r="B4081" s="574" t="s">
        <v>9675</v>
      </c>
      <c r="C4081" s="574" t="s">
        <v>5555</v>
      </c>
      <c r="D4081" s="582">
        <v>6.91</v>
      </c>
    </row>
    <row r="4082" spans="1:4" x14ac:dyDescent="0.2">
      <c r="A4082" s="574">
        <v>38179</v>
      </c>
      <c r="B4082" s="574" t="s">
        <v>9676</v>
      </c>
      <c r="C4082" s="574" t="s">
        <v>5555</v>
      </c>
      <c r="D4082" s="582">
        <v>27.91</v>
      </c>
    </row>
    <row r="4083" spans="1:4" x14ac:dyDescent="0.2">
      <c r="A4083" s="574">
        <v>11575</v>
      </c>
      <c r="B4083" s="574" t="s">
        <v>9677</v>
      </c>
      <c r="C4083" s="574" t="s">
        <v>5555</v>
      </c>
      <c r="D4083" s="582">
        <v>30.12</v>
      </c>
    </row>
    <row r="4084" spans="1:4" x14ac:dyDescent="0.2">
      <c r="A4084" s="574">
        <v>20256</v>
      </c>
      <c r="B4084" s="574" t="s">
        <v>9678</v>
      </c>
      <c r="C4084" s="574" t="s">
        <v>5555</v>
      </c>
      <c r="D4084" s="582">
        <v>0.3</v>
      </c>
    </row>
    <row r="4085" spans="1:4" x14ac:dyDescent="0.2">
      <c r="A4085" s="574">
        <v>14511</v>
      </c>
      <c r="B4085" s="574" t="s">
        <v>9679</v>
      </c>
      <c r="C4085" s="574" t="s">
        <v>5555</v>
      </c>
      <c r="D4085" s="583">
        <v>495462.77</v>
      </c>
    </row>
    <row r="4086" spans="1:4" x14ac:dyDescent="0.2">
      <c r="A4086" s="574">
        <v>10642</v>
      </c>
      <c r="B4086" s="574" t="s">
        <v>9680</v>
      </c>
      <c r="C4086" s="574" t="s">
        <v>5555</v>
      </c>
      <c r="D4086" s="583">
        <v>466750</v>
      </c>
    </row>
    <row r="4087" spans="1:4" x14ac:dyDescent="0.2">
      <c r="A4087" s="574">
        <v>14489</v>
      </c>
      <c r="B4087" s="574" t="s">
        <v>9681</v>
      </c>
      <c r="C4087" s="574" t="s">
        <v>5555</v>
      </c>
      <c r="D4087" s="583">
        <v>413998.56</v>
      </c>
    </row>
    <row r="4088" spans="1:4" x14ac:dyDescent="0.2">
      <c r="A4088" s="574">
        <v>14513</v>
      </c>
      <c r="B4088" s="574" t="s">
        <v>9682</v>
      </c>
      <c r="C4088" s="574" t="s">
        <v>5555</v>
      </c>
      <c r="D4088" s="583">
        <v>310508.75</v>
      </c>
    </row>
    <row r="4089" spans="1:4" x14ac:dyDescent="0.2">
      <c r="A4089" s="574">
        <v>13600</v>
      </c>
      <c r="B4089" s="574" t="s">
        <v>9683</v>
      </c>
      <c r="C4089" s="574" t="s">
        <v>5555</v>
      </c>
      <c r="D4089" s="583">
        <v>400643.73</v>
      </c>
    </row>
    <row r="4090" spans="1:4" x14ac:dyDescent="0.2">
      <c r="A4090" s="574">
        <v>10646</v>
      </c>
      <c r="B4090" s="574" t="s">
        <v>9684</v>
      </c>
      <c r="C4090" s="574" t="s">
        <v>5555</v>
      </c>
      <c r="D4090" s="583">
        <v>298653.2</v>
      </c>
    </row>
    <row r="4091" spans="1:4" x14ac:dyDescent="0.2">
      <c r="A4091" s="574">
        <v>6070</v>
      </c>
      <c r="B4091" s="574" t="s">
        <v>9685</v>
      </c>
      <c r="C4091" s="574" t="s">
        <v>5555</v>
      </c>
      <c r="D4091" s="583">
        <v>408072.85</v>
      </c>
    </row>
    <row r="4092" spans="1:4" x14ac:dyDescent="0.2">
      <c r="A4092" s="574">
        <v>6069</v>
      </c>
      <c r="B4092" s="574" t="s">
        <v>9686</v>
      </c>
      <c r="C4092" s="574" t="s">
        <v>5555</v>
      </c>
      <c r="D4092" s="583">
        <v>90149.440000000002</v>
      </c>
    </row>
    <row r="4093" spans="1:4" x14ac:dyDescent="0.2">
      <c r="A4093" s="574">
        <v>14626</v>
      </c>
      <c r="B4093" s="574" t="s">
        <v>9687</v>
      </c>
      <c r="C4093" s="574" t="s">
        <v>5555</v>
      </c>
      <c r="D4093" s="583">
        <v>446746.44</v>
      </c>
    </row>
    <row r="4094" spans="1:4" x14ac:dyDescent="0.2">
      <c r="A4094" s="574">
        <v>6067</v>
      </c>
      <c r="B4094" s="574" t="s">
        <v>9688</v>
      </c>
      <c r="C4094" s="574" t="s">
        <v>5555</v>
      </c>
      <c r="D4094" s="583">
        <v>366732.14</v>
      </c>
    </row>
    <row r="4095" spans="1:4" x14ac:dyDescent="0.2">
      <c r="A4095" s="574">
        <v>38393</v>
      </c>
      <c r="B4095" s="574" t="s">
        <v>9689</v>
      </c>
      <c r="C4095" s="574" t="s">
        <v>5555</v>
      </c>
      <c r="D4095" s="582">
        <v>13.5</v>
      </c>
    </row>
    <row r="4096" spans="1:4" x14ac:dyDescent="0.2">
      <c r="A4096" s="574">
        <v>38390</v>
      </c>
      <c r="B4096" s="574" t="s">
        <v>9690</v>
      </c>
      <c r="C4096" s="574" t="s">
        <v>5555</v>
      </c>
      <c r="D4096" s="582">
        <v>29.94</v>
      </c>
    </row>
    <row r="4097" spans="1:4" x14ac:dyDescent="0.2">
      <c r="A4097" s="574">
        <v>36532</v>
      </c>
      <c r="B4097" s="574" t="s">
        <v>9691</v>
      </c>
      <c r="C4097" s="574" t="s">
        <v>5555</v>
      </c>
      <c r="D4097" s="583">
        <v>19747</v>
      </c>
    </row>
    <row r="4098" spans="1:4" x14ac:dyDescent="0.2">
      <c r="A4098" s="574">
        <v>11578</v>
      </c>
      <c r="B4098" s="574" t="s">
        <v>9692</v>
      </c>
      <c r="C4098" s="574" t="s">
        <v>5555</v>
      </c>
      <c r="D4098" s="582">
        <v>9.67</v>
      </c>
    </row>
    <row r="4099" spans="1:4" x14ac:dyDescent="0.2">
      <c r="A4099" s="574">
        <v>11577</v>
      </c>
      <c r="B4099" s="574" t="s">
        <v>9693</v>
      </c>
      <c r="C4099" s="574" t="s">
        <v>5555</v>
      </c>
      <c r="D4099" s="582">
        <v>9.23</v>
      </c>
    </row>
    <row r="4100" spans="1:4" x14ac:dyDescent="0.2">
      <c r="A4100" s="574">
        <v>42432</v>
      </c>
      <c r="B4100" s="574" t="s">
        <v>9694</v>
      </c>
      <c r="C4100" s="574" t="s">
        <v>5555</v>
      </c>
      <c r="D4100" s="583">
        <v>1349.51</v>
      </c>
    </row>
    <row r="4101" spans="1:4" x14ac:dyDescent="0.2">
      <c r="A4101" s="574">
        <v>42437</v>
      </c>
      <c r="B4101" s="574" t="s">
        <v>9695</v>
      </c>
      <c r="C4101" s="574" t="s">
        <v>5555</v>
      </c>
      <c r="D4101" s="583">
        <v>1025.98</v>
      </c>
    </row>
    <row r="4102" spans="1:4" x14ac:dyDescent="0.2">
      <c r="A4102" s="574">
        <v>1116</v>
      </c>
      <c r="B4102" s="574" t="s">
        <v>9696</v>
      </c>
      <c r="C4102" s="574" t="s">
        <v>5575</v>
      </c>
      <c r="D4102" s="582">
        <v>14.19</v>
      </c>
    </row>
    <row r="4103" spans="1:4" x14ac:dyDescent="0.2">
      <c r="A4103" s="574">
        <v>1115</v>
      </c>
      <c r="B4103" s="574" t="s">
        <v>9697</v>
      </c>
      <c r="C4103" s="574" t="s">
        <v>5575</v>
      </c>
      <c r="D4103" s="582">
        <v>17</v>
      </c>
    </row>
    <row r="4104" spans="1:4" x14ac:dyDescent="0.2">
      <c r="A4104" s="574">
        <v>1113</v>
      </c>
      <c r="B4104" s="574" t="s">
        <v>9698</v>
      </c>
      <c r="C4104" s="574" t="s">
        <v>5575</v>
      </c>
      <c r="D4104" s="582">
        <v>19.87</v>
      </c>
    </row>
    <row r="4105" spans="1:4" x14ac:dyDescent="0.2">
      <c r="A4105" s="574">
        <v>1114</v>
      </c>
      <c r="B4105" s="574" t="s">
        <v>9699</v>
      </c>
      <c r="C4105" s="574" t="s">
        <v>5575</v>
      </c>
      <c r="D4105" s="582">
        <v>23.67</v>
      </c>
    </row>
    <row r="4106" spans="1:4" x14ac:dyDescent="0.2">
      <c r="A4106" s="574">
        <v>40873</v>
      </c>
      <c r="B4106" s="574" t="s">
        <v>13666</v>
      </c>
      <c r="C4106" s="574" t="s">
        <v>5575</v>
      </c>
      <c r="D4106" s="582">
        <v>18.53</v>
      </c>
    </row>
    <row r="4107" spans="1:4" x14ac:dyDescent="0.2">
      <c r="A4107" s="574">
        <v>20214</v>
      </c>
      <c r="B4107" s="574" t="s">
        <v>9701</v>
      </c>
      <c r="C4107" s="574" t="s">
        <v>5555</v>
      </c>
      <c r="D4107" s="582">
        <v>30.12</v>
      </c>
    </row>
    <row r="4108" spans="1:4" x14ac:dyDescent="0.2">
      <c r="A4108" s="574">
        <v>11064</v>
      </c>
      <c r="B4108" s="574" t="s">
        <v>9702</v>
      </c>
      <c r="C4108" s="574" t="s">
        <v>5555</v>
      </c>
      <c r="D4108" s="582">
        <v>12.77</v>
      </c>
    </row>
    <row r="4109" spans="1:4" x14ac:dyDescent="0.2">
      <c r="A4109" s="574">
        <v>7237</v>
      </c>
      <c r="B4109" s="574" t="s">
        <v>9703</v>
      </c>
      <c r="C4109" s="574" t="s">
        <v>5555</v>
      </c>
      <c r="D4109" s="582">
        <v>17.420000000000002</v>
      </c>
    </row>
    <row r="4110" spans="1:4" x14ac:dyDescent="0.2">
      <c r="A4110" s="574">
        <v>16</v>
      </c>
      <c r="B4110" s="574" t="s">
        <v>9704</v>
      </c>
      <c r="C4110" s="574" t="s">
        <v>5626</v>
      </c>
      <c r="D4110" s="582">
        <v>7.01</v>
      </c>
    </row>
    <row r="4111" spans="1:4" x14ac:dyDescent="0.2">
      <c r="A4111" s="574">
        <v>11757</v>
      </c>
      <c r="B4111" s="574" t="s">
        <v>9705</v>
      </c>
      <c r="C4111" s="574" t="s">
        <v>5555</v>
      </c>
      <c r="D4111" s="582">
        <v>23.2</v>
      </c>
    </row>
    <row r="4112" spans="1:4" x14ac:dyDescent="0.2">
      <c r="A4112" s="574">
        <v>11758</v>
      </c>
      <c r="B4112" s="574" t="s">
        <v>9706</v>
      </c>
      <c r="C4112" s="574" t="s">
        <v>5555</v>
      </c>
      <c r="D4112" s="582">
        <v>58.18</v>
      </c>
    </row>
    <row r="4113" spans="1:4" x14ac:dyDescent="0.2">
      <c r="A4113" s="574">
        <v>37526</v>
      </c>
      <c r="B4113" s="574" t="s">
        <v>9707</v>
      </c>
      <c r="C4113" s="574" t="s">
        <v>5555</v>
      </c>
      <c r="D4113" s="582">
        <v>2.77</v>
      </c>
    </row>
    <row r="4114" spans="1:4" x14ac:dyDescent="0.2">
      <c r="A4114" s="574">
        <v>6076</v>
      </c>
      <c r="B4114" s="574" t="s">
        <v>9708</v>
      </c>
      <c r="C4114" s="574" t="s">
        <v>5751</v>
      </c>
      <c r="D4114" s="582">
        <v>53.51</v>
      </c>
    </row>
    <row r="4115" spans="1:4" x14ac:dyDescent="0.2">
      <c r="A4115" s="574">
        <v>13109</v>
      </c>
      <c r="B4115" s="574" t="s">
        <v>9709</v>
      </c>
      <c r="C4115" s="574" t="s">
        <v>5555</v>
      </c>
      <c r="D4115" s="582">
        <v>177.41</v>
      </c>
    </row>
    <row r="4116" spans="1:4" x14ac:dyDescent="0.2">
      <c r="A4116" s="574">
        <v>13110</v>
      </c>
      <c r="B4116" s="574" t="s">
        <v>9710</v>
      </c>
      <c r="C4116" s="574" t="s">
        <v>5555</v>
      </c>
      <c r="D4116" s="582">
        <v>233.48</v>
      </c>
    </row>
    <row r="4117" spans="1:4" x14ac:dyDescent="0.2">
      <c r="A4117" s="574">
        <v>7581</v>
      </c>
      <c r="B4117" s="574" t="s">
        <v>9711</v>
      </c>
      <c r="C4117" s="574" t="s">
        <v>5555</v>
      </c>
      <c r="D4117" s="582">
        <v>2.57</v>
      </c>
    </row>
    <row r="4118" spans="1:4" x14ac:dyDescent="0.2">
      <c r="A4118" s="574">
        <v>20206</v>
      </c>
      <c r="B4118" s="574" t="s">
        <v>9712</v>
      </c>
      <c r="C4118" s="574" t="s">
        <v>5575</v>
      </c>
      <c r="D4118" s="582">
        <v>4.6399999999999997</v>
      </c>
    </row>
    <row r="4119" spans="1:4" x14ac:dyDescent="0.2">
      <c r="A4119" s="574">
        <v>4460</v>
      </c>
      <c r="B4119" s="574" t="s">
        <v>9713</v>
      </c>
      <c r="C4119" s="574" t="s">
        <v>5575</v>
      </c>
      <c r="D4119" s="582">
        <v>5.56</v>
      </c>
    </row>
    <row r="4120" spans="1:4" x14ac:dyDescent="0.2">
      <c r="A4120" s="574">
        <v>4417</v>
      </c>
      <c r="B4120" s="574" t="s">
        <v>9715</v>
      </c>
      <c r="C4120" s="574" t="s">
        <v>5575</v>
      </c>
      <c r="D4120" s="582">
        <v>3.2</v>
      </c>
    </row>
    <row r="4121" spans="1:4" x14ac:dyDescent="0.2">
      <c r="A4121" s="574">
        <v>4517</v>
      </c>
      <c r="B4121" s="574" t="s">
        <v>9716</v>
      </c>
      <c r="C4121" s="574" t="s">
        <v>5575</v>
      </c>
      <c r="D4121" s="582">
        <v>1.06</v>
      </c>
    </row>
    <row r="4122" spans="1:4" x14ac:dyDescent="0.2">
      <c r="A4122" s="574">
        <v>4512</v>
      </c>
      <c r="B4122" s="574" t="s">
        <v>9717</v>
      </c>
      <c r="C4122" s="574" t="s">
        <v>5575</v>
      </c>
      <c r="D4122" s="582">
        <v>0.77</v>
      </c>
    </row>
    <row r="4123" spans="1:4" x14ac:dyDescent="0.2">
      <c r="A4123" s="574">
        <v>4415</v>
      </c>
      <c r="B4123" s="574" t="s">
        <v>9718</v>
      </c>
      <c r="C4123" s="574" t="s">
        <v>5575</v>
      </c>
      <c r="D4123" s="582">
        <v>2.68</v>
      </c>
    </row>
    <row r="4124" spans="1:4" x14ac:dyDescent="0.2">
      <c r="A4124" s="574">
        <v>37373</v>
      </c>
      <c r="B4124" s="574" t="s">
        <v>9719</v>
      </c>
      <c r="C4124" s="574" t="s">
        <v>5566</v>
      </c>
      <c r="D4124" s="582">
        <v>7.0000000000000007E-2</v>
      </c>
    </row>
    <row r="4125" spans="1:4" x14ac:dyDescent="0.2">
      <c r="A4125" s="574">
        <v>40864</v>
      </c>
      <c r="B4125" s="574" t="s">
        <v>9720</v>
      </c>
      <c r="C4125" s="574" t="s">
        <v>5755</v>
      </c>
      <c r="D4125" s="582">
        <v>13.07</v>
      </c>
    </row>
    <row r="4126" spans="1:4" x14ac:dyDescent="0.2">
      <c r="A4126" s="574">
        <v>4734</v>
      </c>
      <c r="B4126" s="574" t="s">
        <v>9721</v>
      </c>
      <c r="C4126" s="574" t="s">
        <v>5751</v>
      </c>
      <c r="D4126" s="582">
        <v>111.95</v>
      </c>
    </row>
    <row r="4127" spans="1:4" x14ac:dyDescent="0.2">
      <c r="A4127" s="574">
        <v>6085</v>
      </c>
      <c r="B4127" s="574" t="s">
        <v>9722</v>
      </c>
      <c r="C4127" s="574" t="s">
        <v>5628</v>
      </c>
      <c r="D4127" s="582">
        <v>5.19</v>
      </c>
    </row>
    <row r="4128" spans="1:4" x14ac:dyDescent="0.2">
      <c r="A4128" s="574">
        <v>38396</v>
      </c>
      <c r="B4128" s="574" t="s">
        <v>9723</v>
      </c>
      <c r="C4128" s="574" t="s">
        <v>5555</v>
      </c>
      <c r="D4128" s="582">
        <v>406.35</v>
      </c>
    </row>
    <row r="4129" spans="1:4" x14ac:dyDescent="0.2">
      <c r="A4129" s="574">
        <v>6090</v>
      </c>
      <c r="B4129" s="574" t="s">
        <v>9724</v>
      </c>
      <c r="C4129" s="574" t="s">
        <v>5628</v>
      </c>
      <c r="D4129" s="582">
        <v>9.86</v>
      </c>
    </row>
    <row r="4130" spans="1:4" x14ac:dyDescent="0.2">
      <c r="A4130" s="574">
        <v>11622</v>
      </c>
      <c r="B4130" s="574" t="s">
        <v>9725</v>
      </c>
      <c r="C4130" s="574" t="s">
        <v>5626</v>
      </c>
      <c r="D4130" s="582">
        <v>56.3</v>
      </c>
    </row>
    <row r="4131" spans="1:4" x14ac:dyDescent="0.2">
      <c r="A4131" s="574">
        <v>6094</v>
      </c>
      <c r="B4131" s="574" t="s">
        <v>9726</v>
      </c>
      <c r="C4131" s="574" t="s">
        <v>5626</v>
      </c>
      <c r="D4131" s="582">
        <v>16.670000000000002</v>
      </c>
    </row>
    <row r="4132" spans="1:4" x14ac:dyDescent="0.2">
      <c r="A4132" s="574">
        <v>43143</v>
      </c>
      <c r="B4132" s="574" t="s">
        <v>13667</v>
      </c>
      <c r="C4132" s="574" t="s">
        <v>5628</v>
      </c>
      <c r="D4132" s="582">
        <v>21.26</v>
      </c>
    </row>
    <row r="4133" spans="1:4" x14ac:dyDescent="0.2">
      <c r="A4133" s="574">
        <v>7317</v>
      </c>
      <c r="B4133" s="574" t="s">
        <v>9727</v>
      </c>
      <c r="C4133" s="574" t="s">
        <v>5626</v>
      </c>
      <c r="D4133" s="582">
        <v>23.41</v>
      </c>
    </row>
    <row r="4134" spans="1:4" x14ac:dyDescent="0.2">
      <c r="A4134" s="574">
        <v>142</v>
      </c>
      <c r="B4134" s="574" t="s">
        <v>13668</v>
      </c>
      <c r="C4134" s="574" t="s">
        <v>9729</v>
      </c>
      <c r="D4134" s="582">
        <v>26.57</v>
      </c>
    </row>
    <row r="4135" spans="1:4" x14ac:dyDescent="0.2">
      <c r="A4135" s="574">
        <v>43142</v>
      </c>
      <c r="B4135" s="574" t="s">
        <v>13669</v>
      </c>
      <c r="C4135" s="574" t="s">
        <v>5628</v>
      </c>
      <c r="D4135" s="582">
        <v>120.68</v>
      </c>
    </row>
    <row r="4136" spans="1:4" x14ac:dyDescent="0.2">
      <c r="A4136" s="574">
        <v>38123</v>
      </c>
      <c r="B4136" s="574" t="s">
        <v>9730</v>
      </c>
      <c r="C4136" s="574" t="s">
        <v>5626</v>
      </c>
      <c r="D4136" s="582">
        <v>57.14</v>
      </c>
    </row>
    <row r="4137" spans="1:4" x14ac:dyDescent="0.2">
      <c r="A4137" s="574">
        <v>42701</v>
      </c>
      <c r="B4137" s="574" t="s">
        <v>9731</v>
      </c>
      <c r="C4137" s="574" t="s">
        <v>5555</v>
      </c>
      <c r="D4137" s="582">
        <v>23.97</v>
      </c>
    </row>
    <row r="4138" spans="1:4" x14ac:dyDescent="0.2">
      <c r="A4138" s="574">
        <v>42702</v>
      </c>
      <c r="B4138" s="574" t="s">
        <v>9732</v>
      </c>
      <c r="C4138" s="574" t="s">
        <v>5555</v>
      </c>
      <c r="D4138" s="582">
        <v>42.6</v>
      </c>
    </row>
    <row r="4139" spans="1:4" x14ac:dyDescent="0.2">
      <c r="A4139" s="574">
        <v>37955</v>
      </c>
      <c r="B4139" s="574" t="s">
        <v>9733</v>
      </c>
      <c r="C4139" s="574" t="s">
        <v>5555</v>
      </c>
      <c r="D4139" s="582">
        <v>55.21</v>
      </c>
    </row>
    <row r="4140" spans="1:4" x14ac:dyDescent="0.2">
      <c r="A4140" s="574">
        <v>42699</v>
      </c>
      <c r="B4140" s="574" t="s">
        <v>9734</v>
      </c>
      <c r="C4140" s="574" t="s">
        <v>5555</v>
      </c>
      <c r="D4140" s="582">
        <v>14.64</v>
      </c>
    </row>
    <row r="4141" spans="1:4" x14ac:dyDescent="0.2">
      <c r="A4141" s="574">
        <v>42700</v>
      </c>
      <c r="B4141" s="574" t="s">
        <v>9735</v>
      </c>
      <c r="C4141" s="574" t="s">
        <v>5555</v>
      </c>
      <c r="D4141" s="582">
        <v>41.75</v>
      </c>
    </row>
    <row r="4142" spans="1:4" x14ac:dyDescent="0.2">
      <c r="A4142" s="574">
        <v>37743</v>
      </c>
      <c r="B4142" s="574" t="s">
        <v>9736</v>
      </c>
      <c r="C4142" s="574" t="s">
        <v>5555</v>
      </c>
      <c r="D4142" s="583">
        <v>131739.35</v>
      </c>
    </row>
    <row r="4143" spans="1:4" x14ac:dyDescent="0.2">
      <c r="A4143" s="574">
        <v>37744</v>
      </c>
      <c r="B4143" s="574" t="s">
        <v>9737</v>
      </c>
      <c r="C4143" s="574" t="s">
        <v>5555</v>
      </c>
      <c r="D4143" s="583">
        <v>154900.69</v>
      </c>
    </row>
    <row r="4144" spans="1:4" x14ac:dyDescent="0.2">
      <c r="A4144" s="574">
        <v>37741</v>
      </c>
      <c r="B4144" s="574" t="s">
        <v>9738</v>
      </c>
      <c r="C4144" s="574" t="s">
        <v>5555</v>
      </c>
      <c r="D4144" s="583">
        <v>119789.87</v>
      </c>
    </row>
    <row r="4145" spans="1:4" x14ac:dyDescent="0.2">
      <c r="A4145" s="574">
        <v>39396</v>
      </c>
      <c r="B4145" s="574" t="s">
        <v>9739</v>
      </c>
      <c r="C4145" s="574" t="s">
        <v>5555</v>
      </c>
      <c r="D4145" s="582">
        <v>44.88</v>
      </c>
    </row>
    <row r="4146" spans="1:4" x14ac:dyDescent="0.2">
      <c r="A4146" s="574">
        <v>39392</v>
      </c>
      <c r="B4146" s="574" t="s">
        <v>9740</v>
      </c>
      <c r="C4146" s="574" t="s">
        <v>5555</v>
      </c>
      <c r="D4146" s="582">
        <v>50.62</v>
      </c>
    </row>
    <row r="4147" spans="1:4" x14ac:dyDescent="0.2">
      <c r="A4147" s="574">
        <v>39393</v>
      </c>
      <c r="B4147" s="574" t="s">
        <v>9741</v>
      </c>
      <c r="C4147" s="574" t="s">
        <v>5555</v>
      </c>
      <c r="D4147" s="582">
        <v>31.3</v>
      </c>
    </row>
    <row r="4148" spans="1:4" x14ac:dyDescent="0.2">
      <c r="A4148" s="574">
        <v>39394</v>
      </c>
      <c r="B4148" s="574" t="s">
        <v>9742</v>
      </c>
      <c r="C4148" s="574" t="s">
        <v>5555</v>
      </c>
      <c r="D4148" s="582">
        <v>35.229999999999997</v>
      </c>
    </row>
    <row r="4149" spans="1:4" x14ac:dyDescent="0.2">
      <c r="A4149" s="574">
        <v>39395</v>
      </c>
      <c r="B4149" s="574" t="s">
        <v>9743</v>
      </c>
      <c r="C4149" s="574" t="s">
        <v>5555</v>
      </c>
      <c r="D4149" s="582">
        <v>32.770000000000003</v>
      </c>
    </row>
    <row r="4150" spans="1:4" x14ac:dyDescent="0.2">
      <c r="A4150" s="574">
        <v>14618</v>
      </c>
      <c r="B4150" s="574" t="s">
        <v>9744</v>
      </c>
      <c r="C4150" s="574" t="s">
        <v>5555</v>
      </c>
      <c r="D4150" s="582">
        <v>985.59</v>
      </c>
    </row>
    <row r="4151" spans="1:4" x14ac:dyDescent="0.2">
      <c r="A4151" s="574">
        <v>40269</v>
      </c>
      <c r="B4151" s="574" t="s">
        <v>9745</v>
      </c>
      <c r="C4151" s="574" t="s">
        <v>5555</v>
      </c>
      <c r="D4151" s="583">
        <v>3970.89</v>
      </c>
    </row>
    <row r="4152" spans="1:4" x14ac:dyDescent="0.2">
      <c r="A4152" s="574">
        <v>6110</v>
      </c>
      <c r="B4152" s="574" t="s">
        <v>9746</v>
      </c>
      <c r="C4152" s="574" t="s">
        <v>5566</v>
      </c>
      <c r="D4152" s="582">
        <v>15.42</v>
      </c>
    </row>
    <row r="4153" spans="1:4" x14ac:dyDescent="0.2">
      <c r="A4153" s="574">
        <v>40910</v>
      </c>
      <c r="B4153" s="574" t="s">
        <v>9747</v>
      </c>
      <c r="C4153" s="574" t="s">
        <v>5755</v>
      </c>
      <c r="D4153" s="583">
        <v>2696.56</v>
      </c>
    </row>
    <row r="4154" spans="1:4" x14ac:dyDescent="0.2">
      <c r="A4154" s="574">
        <v>6111</v>
      </c>
      <c r="B4154" s="574" t="s">
        <v>9748</v>
      </c>
      <c r="C4154" s="574" t="s">
        <v>5566</v>
      </c>
      <c r="D4154" s="582">
        <v>12.04</v>
      </c>
    </row>
    <row r="4155" spans="1:4" x14ac:dyDescent="0.2">
      <c r="A4155" s="574">
        <v>41084</v>
      </c>
      <c r="B4155" s="574" t="s">
        <v>9749</v>
      </c>
      <c r="C4155" s="574" t="s">
        <v>5755</v>
      </c>
      <c r="D4155" s="583">
        <v>2106.1</v>
      </c>
    </row>
    <row r="4156" spans="1:4" x14ac:dyDescent="0.2">
      <c r="A4156" s="574">
        <v>25950</v>
      </c>
      <c r="B4156" s="574" t="s">
        <v>9750</v>
      </c>
      <c r="C4156" s="574" t="s">
        <v>5751</v>
      </c>
      <c r="D4156" s="582">
        <v>41.66</v>
      </c>
    </row>
    <row r="4157" spans="1:4" x14ac:dyDescent="0.2">
      <c r="A4157" s="574">
        <v>38637</v>
      </c>
      <c r="B4157" s="574" t="s">
        <v>9751</v>
      </c>
      <c r="C4157" s="574" t="s">
        <v>5555</v>
      </c>
      <c r="D4157" s="582">
        <v>119.33</v>
      </c>
    </row>
    <row r="4158" spans="1:4" x14ac:dyDescent="0.2">
      <c r="A4158" s="574">
        <v>6150</v>
      </c>
      <c r="B4158" s="574" t="s">
        <v>9752</v>
      </c>
      <c r="C4158" s="574" t="s">
        <v>5555</v>
      </c>
      <c r="D4158" s="582">
        <v>120.79</v>
      </c>
    </row>
    <row r="4159" spans="1:4" x14ac:dyDescent="0.2">
      <c r="A4159" s="574">
        <v>6136</v>
      </c>
      <c r="B4159" s="574" t="s">
        <v>9753</v>
      </c>
      <c r="C4159" s="574" t="s">
        <v>5555</v>
      </c>
      <c r="D4159" s="582">
        <v>94.95</v>
      </c>
    </row>
    <row r="4160" spans="1:4" x14ac:dyDescent="0.2">
      <c r="A4160" s="574">
        <v>38638</v>
      </c>
      <c r="B4160" s="574" t="s">
        <v>9754</v>
      </c>
      <c r="C4160" s="574" t="s">
        <v>5555</v>
      </c>
      <c r="D4160" s="582">
        <v>100.56</v>
      </c>
    </row>
    <row r="4161" spans="1:4" x14ac:dyDescent="0.2">
      <c r="A4161" s="574">
        <v>20262</v>
      </c>
      <c r="B4161" s="574" t="s">
        <v>9755</v>
      </c>
      <c r="C4161" s="574" t="s">
        <v>5555</v>
      </c>
      <c r="D4161" s="582">
        <v>13.22</v>
      </c>
    </row>
    <row r="4162" spans="1:4" x14ac:dyDescent="0.2">
      <c r="A4162" s="574">
        <v>6148</v>
      </c>
      <c r="B4162" s="574" t="s">
        <v>9756</v>
      </c>
      <c r="C4162" s="574" t="s">
        <v>5555</v>
      </c>
      <c r="D4162" s="582">
        <v>6.88</v>
      </c>
    </row>
    <row r="4163" spans="1:4" x14ac:dyDescent="0.2">
      <c r="A4163" s="574">
        <v>6145</v>
      </c>
      <c r="B4163" s="574" t="s">
        <v>9757</v>
      </c>
      <c r="C4163" s="574" t="s">
        <v>5555</v>
      </c>
      <c r="D4163" s="582">
        <v>12.34</v>
      </c>
    </row>
    <row r="4164" spans="1:4" x14ac:dyDescent="0.2">
      <c r="A4164" s="574">
        <v>6149</v>
      </c>
      <c r="B4164" s="574" t="s">
        <v>9758</v>
      </c>
      <c r="C4164" s="574" t="s">
        <v>5555</v>
      </c>
      <c r="D4164" s="582">
        <v>11.65</v>
      </c>
    </row>
    <row r="4165" spans="1:4" x14ac:dyDescent="0.2">
      <c r="A4165" s="574">
        <v>6146</v>
      </c>
      <c r="B4165" s="574" t="s">
        <v>9759</v>
      </c>
      <c r="C4165" s="574" t="s">
        <v>5555</v>
      </c>
      <c r="D4165" s="582">
        <v>12.35</v>
      </c>
    </row>
    <row r="4166" spans="1:4" x14ac:dyDescent="0.2">
      <c r="A4166" s="574">
        <v>26026</v>
      </c>
      <c r="B4166" s="574" t="s">
        <v>9760</v>
      </c>
      <c r="C4166" s="574" t="s">
        <v>5626</v>
      </c>
      <c r="D4166" s="582">
        <v>2.23</v>
      </c>
    </row>
    <row r="4167" spans="1:4" x14ac:dyDescent="0.2">
      <c r="A4167" s="574">
        <v>39961</v>
      </c>
      <c r="B4167" s="574" t="s">
        <v>9761</v>
      </c>
      <c r="C4167" s="574" t="s">
        <v>5555</v>
      </c>
      <c r="D4167" s="582">
        <v>17.55</v>
      </c>
    </row>
    <row r="4168" spans="1:4" x14ac:dyDescent="0.2">
      <c r="A4168" s="574">
        <v>42433</v>
      </c>
      <c r="B4168" s="574" t="s">
        <v>9762</v>
      </c>
      <c r="C4168" s="574" t="s">
        <v>5555</v>
      </c>
      <c r="D4168" s="583">
        <v>2665.57</v>
      </c>
    </row>
    <row r="4169" spans="1:4" x14ac:dyDescent="0.2">
      <c r="A4169" s="574">
        <v>42434</v>
      </c>
      <c r="B4169" s="574" t="s">
        <v>9763</v>
      </c>
      <c r="C4169" s="574" t="s">
        <v>5555</v>
      </c>
      <c r="D4169" s="583">
        <v>2880.54</v>
      </c>
    </row>
    <row r="4170" spans="1:4" x14ac:dyDescent="0.2">
      <c r="A4170" s="574">
        <v>42435</v>
      </c>
      <c r="B4170" s="574" t="s">
        <v>9764</v>
      </c>
      <c r="C4170" s="574" t="s">
        <v>5555</v>
      </c>
      <c r="D4170" s="583">
        <v>1436.41</v>
      </c>
    </row>
    <row r="4171" spans="1:4" x14ac:dyDescent="0.2">
      <c r="A4171" s="574">
        <v>38061</v>
      </c>
      <c r="B4171" s="574" t="s">
        <v>9765</v>
      </c>
      <c r="C4171" s="574" t="s">
        <v>5555</v>
      </c>
      <c r="D4171" s="582">
        <v>61.06</v>
      </c>
    </row>
    <row r="4172" spans="1:4" x14ac:dyDescent="0.2">
      <c r="A4172" s="574">
        <v>20250</v>
      </c>
      <c r="B4172" s="574" t="s">
        <v>9766</v>
      </c>
      <c r="C4172" s="574" t="s">
        <v>5626</v>
      </c>
      <c r="D4172" s="582">
        <v>12.5</v>
      </c>
    </row>
    <row r="4173" spans="1:4" x14ac:dyDescent="0.2">
      <c r="A4173" s="574">
        <v>39965</v>
      </c>
      <c r="B4173" s="574" t="s">
        <v>9767</v>
      </c>
      <c r="C4173" s="574" t="s">
        <v>5564</v>
      </c>
      <c r="D4173" s="583">
        <v>1325.85</v>
      </c>
    </row>
    <row r="4174" spans="1:4" x14ac:dyDescent="0.2">
      <c r="A4174" s="574">
        <v>39964</v>
      </c>
      <c r="B4174" s="574" t="s">
        <v>9768</v>
      </c>
      <c r="C4174" s="574" t="s">
        <v>5564</v>
      </c>
      <c r="D4174" s="583">
        <v>1126.1600000000001</v>
      </c>
    </row>
    <row r="4175" spans="1:4" x14ac:dyDescent="0.2">
      <c r="A4175" s="574">
        <v>7</v>
      </c>
      <c r="B4175" s="574" t="s">
        <v>9769</v>
      </c>
      <c r="C4175" s="574" t="s">
        <v>5626</v>
      </c>
      <c r="D4175" s="582">
        <v>11.64</v>
      </c>
    </row>
    <row r="4176" spans="1:4" x14ac:dyDescent="0.2">
      <c r="A4176" s="574">
        <v>13388</v>
      </c>
      <c r="B4176" s="574" t="s">
        <v>9770</v>
      </c>
      <c r="C4176" s="574" t="s">
        <v>5626</v>
      </c>
      <c r="D4176" s="582">
        <v>77.86</v>
      </c>
    </row>
    <row r="4177" spans="1:4" x14ac:dyDescent="0.2">
      <c r="A4177" s="574">
        <v>39914</v>
      </c>
      <c r="B4177" s="574" t="s">
        <v>9771</v>
      </c>
      <c r="C4177" s="574" t="s">
        <v>5626</v>
      </c>
      <c r="D4177" s="582">
        <v>168.79</v>
      </c>
    </row>
    <row r="4178" spans="1:4" x14ac:dyDescent="0.2">
      <c r="A4178" s="574">
        <v>12732</v>
      </c>
      <c r="B4178" s="574" t="s">
        <v>9772</v>
      </c>
      <c r="C4178" s="574" t="s">
        <v>5555</v>
      </c>
      <c r="D4178" s="582">
        <v>194.76</v>
      </c>
    </row>
    <row r="4179" spans="1:4" x14ac:dyDescent="0.2">
      <c r="A4179" s="574">
        <v>6160</v>
      </c>
      <c r="B4179" s="574" t="s">
        <v>9773</v>
      </c>
      <c r="C4179" s="574" t="s">
        <v>5566</v>
      </c>
      <c r="D4179" s="582">
        <v>15.87</v>
      </c>
    </row>
    <row r="4180" spans="1:4" x14ac:dyDescent="0.2">
      <c r="A4180" s="574">
        <v>41087</v>
      </c>
      <c r="B4180" s="574" t="s">
        <v>9774</v>
      </c>
      <c r="C4180" s="574" t="s">
        <v>5755</v>
      </c>
      <c r="D4180" s="583">
        <v>2775.54</v>
      </c>
    </row>
    <row r="4181" spans="1:4" x14ac:dyDescent="0.2">
      <c r="A4181" s="574">
        <v>6166</v>
      </c>
      <c r="B4181" s="574" t="s">
        <v>9775</v>
      </c>
      <c r="C4181" s="574" t="s">
        <v>5566</v>
      </c>
      <c r="D4181" s="582">
        <v>18</v>
      </c>
    </row>
    <row r="4182" spans="1:4" x14ac:dyDescent="0.2">
      <c r="A4182" s="574">
        <v>41088</v>
      </c>
      <c r="B4182" s="574" t="s">
        <v>9776</v>
      </c>
      <c r="C4182" s="574" t="s">
        <v>5755</v>
      </c>
      <c r="D4182" s="583">
        <v>3151.51</v>
      </c>
    </row>
    <row r="4183" spans="1:4" x14ac:dyDescent="0.2">
      <c r="A4183" s="574">
        <v>20232</v>
      </c>
      <c r="B4183" s="574" t="s">
        <v>9777</v>
      </c>
      <c r="C4183" s="574" t="s">
        <v>5575</v>
      </c>
      <c r="D4183" s="582">
        <v>63.2</v>
      </c>
    </row>
    <row r="4184" spans="1:4" x14ac:dyDescent="0.2">
      <c r="A4184" s="574">
        <v>10856</v>
      </c>
      <c r="B4184" s="574" t="s">
        <v>9778</v>
      </c>
      <c r="C4184" s="574" t="s">
        <v>5575</v>
      </c>
      <c r="D4184" s="582">
        <v>67.91</v>
      </c>
    </row>
    <row r="4185" spans="1:4" x14ac:dyDescent="0.2">
      <c r="A4185" s="574">
        <v>4828</v>
      </c>
      <c r="B4185" s="574" t="s">
        <v>9779</v>
      </c>
      <c r="C4185" s="574" t="s">
        <v>5575</v>
      </c>
      <c r="D4185" s="582">
        <v>69.099999999999994</v>
      </c>
    </row>
    <row r="4186" spans="1:4" x14ac:dyDescent="0.2">
      <c r="A4186" s="574">
        <v>20249</v>
      </c>
      <c r="B4186" s="574" t="s">
        <v>9780</v>
      </c>
      <c r="C4186" s="574" t="s">
        <v>5575</v>
      </c>
      <c r="D4186" s="582">
        <v>37.840000000000003</v>
      </c>
    </row>
    <row r="4187" spans="1:4" x14ac:dyDescent="0.2">
      <c r="A4187" s="574">
        <v>11609</v>
      </c>
      <c r="B4187" s="574" t="s">
        <v>9781</v>
      </c>
      <c r="C4187" s="574" t="s">
        <v>5628</v>
      </c>
      <c r="D4187" s="582">
        <v>9.35</v>
      </c>
    </row>
    <row r="4188" spans="1:4" x14ac:dyDescent="0.2">
      <c r="A4188" s="574">
        <v>20083</v>
      </c>
      <c r="B4188" s="574" t="s">
        <v>9782</v>
      </c>
      <c r="C4188" s="574" t="s">
        <v>5555</v>
      </c>
      <c r="D4188" s="582">
        <v>47.06</v>
      </c>
    </row>
    <row r="4189" spans="1:4" x14ac:dyDescent="0.2">
      <c r="A4189" s="574">
        <v>20082</v>
      </c>
      <c r="B4189" s="574" t="s">
        <v>9783</v>
      </c>
      <c r="C4189" s="574" t="s">
        <v>5555</v>
      </c>
      <c r="D4189" s="582">
        <v>18.329999999999998</v>
      </c>
    </row>
    <row r="4190" spans="1:4" x14ac:dyDescent="0.2">
      <c r="A4190" s="574">
        <v>5318</v>
      </c>
      <c r="B4190" s="574" t="s">
        <v>9784</v>
      </c>
      <c r="C4190" s="574" t="s">
        <v>5628</v>
      </c>
      <c r="D4190" s="582">
        <v>12.5</v>
      </c>
    </row>
    <row r="4191" spans="1:4" x14ac:dyDescent="0.2">
      <c r="A4191" s="574">
        <v>10691</v>
      </c>
      <c r="B4191" s="574" t="s">
        <v>9785</v>
      </c>
      <c r="C4191" s="574" t="s">
        <v>5628</v>
      </c>
      <c r="D4191" s="582">
        <v>40.43</v>
      </c>
    </row>
    <row r="4192" spans="1:4" x14ac:dyDescent="0.2">
      <c r="A4192" s="574">
        <v>12295</v>
      </c>
      <c r="B4192" s="574" t="s">
        <v>9786</v>
      </c>
      <c r="C4192" s="574" t="s">
        <v>5555</v>
      </c>
      <c r="D4192" s="582">
        <v>2.52</v>
      </c>
    </row>
    <row r="4193" spans="1:4" x14ac:dyDescent="0.2">
      <c r="A4193" s="574">
        <v>12296</v>
      </c>
      <c r="B4193" s="574" t="s">
        <v>9787</v>
      </c>
      <c r="C4193" s="574" t="s">
        <v>5555</v>
      </c>
      <c r="D4193" s="582">
        <v>3.27</v>
      </c>
    </row>
    <row r="4194" spans="1:4" x14ac:dyDescent="0.2">
      <c r="A4194" s="574">
        <v>12294</v>
      </c>
      <c r="B4194" s="574" t="s">
        <v>9788</v>
      </c>
      <c r="C4194" s="574" t="s">
        <v>5555</v>
      </c>
      <c r="D4194" s="582">
        <v>7.85</v>
      </c>
    </row>
    <row r="4195" spans="1:4" x14ac:dyDescent="0.2">
      <c r="A4195" s="574">
        <v>14543</v>
      </c>
      <c r="B4195" s="574" t="s">
        <v>9789</v>
      </c>
      <c r="C4195" s="574" t="s">
        <v>5555</v>
      </c>
      <c r="D4195" s="582">
        <v>5.6</v>
      </c>
    </row>
    <row r="4196" spans="1:4" x14ac:dyDescent="0.2">
      <c r="A4196" s="574">
        <v>13329</v>
      </c>
      <c r="B4196" s="574" t="s">
        <v>9790</v>
      </c>
      <c r="C4196" s="574" t="s">
        <v>5555</v>
      </c>
      <c r="D4196" s="582">
        <v>3.29</v>
      </c>
    </row>
    <row r="4197" spans="1:4" x14ac:dyDescent="0.2">
      <c r="A4197" s="574">
        <v>21044</v>
      </c>
      <c r="B4197" s="574" t="s">
        <v>9791</v>
      </c>
      <c r="C4197" s="574" t="s">
        <v>5555</v>
      </c>
      <c r="D4197" s="582">
        <v>21.53</v>
      </c>
    </row>
    <row r="4198" spans="1:4" x14ac:dyDescent="0.2">
      <c r="A4198" s="574">
        <v>21045</v>
      </c>
      <c r="B4198" s="574" t="s">
        <v>9792</v>
      </c>
      <c r="C4198" s="574" t="s">
        <v>5555</v>
      </c>
      <c r="D4198" s="582">
        <v>29.49</v>
      </c>
    </row>
    <row r="4199" spans="1:4" x14ac:dyDescent="0.2">
      <c r="A4199" s="574">
        <v>21040</v>
      </c>
      <c r="B4199" s="574" t="s">
        <v>9793</v>
      </c>
      <c r="C4199" s="574" t="s">
        <v>5555</v>
      </c>
      <c r="D4199" s="582">
        <v>21.07</v>
      </c>
    </row>
    <row r="4200" spans="1:4" x14ac:dyDescent="0.2">
      <c r="A4200" s="574">
        <v>21041</v>
      </c>
      <c r="B4200" s="574" t="s">
        <v>9794</v>
      </c>
      <c r="C4200" s="574" t="s">
        <v>5555</v>
      </c>
      <c r="D4200" s="582">
        <v>25.43</v>
      </c>
    </row>
    <row r="4201" spans="1:4" x14ac:dyDescent="0.2">
      <c r="A4201" s="574">
        <v>21047</v>
      </c>
      <c r="B4201" s="574" t="s">
        <v>9795</v>
      </c>
      <c r="C4201" s="574" t="s">
        <v>5555</v>
      </c>
      <c r="D4201" s="582">
        <v>31.74</v>
      </c>
    </row>
    <row r="4202" spans="1:4" x14ac:dyDescent="0.2">
      <c r="A4202" s="574">
        <v>21043</v>
      </c>
      <c r="B4202" s="574" t="s">
        <v>9796</v>
      </c>
      <c r="C4202" s="574" t="s">
        <v>5555</v>
      </c>
      <c r="D4202" s="582">
        <v>30.9</v>
      </c>
    </row>
    <row r="4203" spans="1:4" x14ac:dyDescent="0.2">
      <c r="A4203" s="574">
        <v>21042</v>
      </c>
      <c r="B4203" s="574" t="s">
        <v>9797</v>
      </c>
      <c r="C4203" s="574" t="s">
        <v>5555</v>
      </c>
      <c r="D4203" s="582">
        <v>24.47</v>
      </c>
    </row>
    <row r="4204" spans="1:4" x14ac:dyDescent="0.2">
      <c r="A4204" s="574">
        <v>14149</v>
      </c>
      <c r="B4204" s="574" t="s">
        <v>9805</v>
      </c>
      <c r="C4204" s="574" t="s">
        <v>7833</v>
      </c>
      <c r="D4204" s="582">
        <v>161.13</v>
      </c>
    </row>
    <row r="4205" spans="1:4" x14ac:dyDescent="0.2">
      <c r="A4205" s="574">
        <v>38099</v>
      </c>
      <c r="B4205" s="574" t="s">
        <v>9806</v>
      </c>
      <c r="C4205" s="574" t="s">
        <v>5555</v>
      </c>
      <c r="D4205" s="582">
        <v>1.31</v>
      </c>
    </row>
    <row r="4206" spans="1:4" x14ac:dyDescent="0.2">
      <c r="A4206" s="574">
        <v>38100</v>
      </c>
      <c r="B4206" s="574" t="s">
        <v>9807</v>
      </c>
      <c r="C4206" s="574" t="s">
        <v>5555</v>
      </c>
      <c r="D4206" s="582">
        <v>2.15</v>
      </c>
    </row>
    <row r="4207" spans="1:4" x14ac:dyDescent="0.2">
      <c r="A4207" s="574">
        <v>20061</v>
      </c>
      <c r="B4207" s="574" t="s">
        <v>9808</v>
      </c>
      <c r="C4207" s="574" t="s">
        <v>5555</v>
      </c>
      <c r="D4207" s="582">
        <v>2.63</v>
      </c>
    </row>
    <row r="4208" spans="1:4" x14ac:dyDescent="0.2">
      <c r="A4208" s="574">
        <v>7576</v>
      </c>
      <c r="B4208" s="574" t="s">
        <v>9809</v>
      </c>
      <c r="C4208" s="574" t="s">
        <v>5555</v>
      </c>
      <c r="D4208" s="582">
        <v>105.5</v>
      </c>
    </row>
    <row r="4209" spans="1:4" x14ac:dyDescent="0.2">
      <c r="A4209" s="574">
        <v>3384</v>
      </c>
      <c r="B4209" s="574" t="s">
        <v>9810</v>
      </c>
      <c r="C4209" s="574" t="s">
        <v>5555</v>
      </c>
      <c r="D4209" s="582">
        <v>5.21</v>
      </c>
    </row>
    <row r="4210" spans="1:4" x14ac:dyDescent="0.2">
      <c r="A4210" s="574">
        <v>7572</v>
      </c>
      <c r="B4210" s="574" t="s">
        <v>9811</v>
      </c>
      <c r="C4210" s="574" t="s">
        <v>5555</v>
      </c>
      <c r="D4210" s="582">
        <v>9.76</v>
      </c>
    </row>
    <row r="4211" spans="1:4" x14ac:dyDescent="0.2">
      <c r="A4211" s="574">
        <v>3396</v>
      </c>
      <c r="B4211" s="574" t="s">
        <v>9812</v>
      </c>
      <c r="C4211" s="574" t="s">
        <v>5555</v>
      </c>
      <c r="D4211" s="582">
        <v>6.92</v>
      </c>
    </row>
    <row r="4212" spans="1:4" x14ac:dyDescent="0.2">
      <c r="A4212" s="574">
        <v>37590</v>
      </c>
      <c r="B4212" s="574" t="s">
        <v>9813</v>
      </c>
      <c r="C4212" s="574" t="s">
        <v>5555</v>
      </c>
      <c r="D4212" s="582">
        <v>9.86</v>
      </c>
    </row>
    <row r="4213" spans="1:4" x14ac:dyDescent="0.2">
      <c r="A4213" s="574">
        <v>37591</v>
      </c>
      <c r="B4213" s="574" t="s">
        <v>9814</v>
      </c>
      <c r="C4213" s="574" t="s">
        <v>5555</v>
      </c>
      <c r="D4213" s="582">
        <v>11.85</v>
      </c>
    </row>
    <row r="4214" spans="1:4" x14ac:dyDescent="0.2">
      <c r="A4214" s="574">
        <v>12626</v>
      </c>
      <c r="B4214" s="574" t="s">
        <v>9815</v>
      </c>
      <c r="C4214" s="574" t="s">
        <v>5555</v>
      </c>
      <c r="D4214" s="582">
        <v>12.64</v>
      </c>
    </row>
    <row r="4215" spans="1:4" x14ac:dyDescent="0.2">
      <c r="A4215" s="574">
        <v>11033</v>
      </c>
      <c r="B4215" s="574" t="s">
        <v>9816</v>
      </c>
      <c r="C4215" s="574" t="s">
        <v>5555</v>
      </c>
      <c r="D4215" s="582">
        <v>4.29</v>
      </c>
    </row>
    <row r="4216" spans="1:4" x14ac:dyDescent="0.2">
      <c r="A4216" s="574">
        <v>390</v>
      </c>
      <c r="B4216" s="574" t="s">
        <v>9817</v>
      </c>
      <c r="C4216" s="574" t="s">
        <v>5555</v>
      </c>
      <c r="D4216" s="582">
        <v>13.89</v>
      </c>
    </row>
    <row r="4217" spans="1:4" x14ac:dyDescent="0.2">
      <c r="A4217" s="574">
        <v>42436</v>
      </c>
      <c r="B4217" s="574" t="s">
        <v>9818</v>
      </c>
      <c r="C4217" s="574" t="s">
        <v>5555</v>
      </c>
      <c r="D4217" s="583">
        <v>1503.52</v>
      </c>
    </row>
    <row r="4218" spans="1:4" x14ac:dyDescent="0.2">
      <c r="A4218" s="574">
        <v>6178</v>
      </c>
      <c r="B4218" s="574" t="s">
        <v>9819</v>
      </c>
      <c r="C4218" s="574" t="s">
        <v>5564</v>
      </c>
      <c r="D4218" s="582">
        <v>69.489999999999995</v>
      </c>
    </row>
    <row r="4219" spans="1:4" x14ac:dyDescent="0.2">
      <c r="A4219" s="574">
        <v>6180</v>
      </c>
      <c r="B4219" s="574" t="s">
        <v>9820</v>
      </c>
      <c r="C4219" s="574" t="s">
        <v>5564</v>
      </c>
      <c r="D4219" s="582">
        <v>75</v>
      </c>
    </row>
    <row r="4220" spans="1:4" x14ac:dyDescent="0.2">
      <c r="A4220" s="574">
        <v>6182</v>
      </c>
      <c r="B4220" s="574" t="s">
        <v>9821</v>
      </c>
      <c r="C4220" s="574" t="s">
        <v>5564</v>
      </c>
      <c r="D4220" s="582">
        <v>93.09</v>
      </c>
    </row>
    <row r="4221" spans="1:4" x14ac:dyDescent="0.2">
      <c r="A4221" s="574">
        <v>3993</v>
      </c>
      <c r="B4221" s="574" t="s">
        <v>9822</v>
      </c>
      <c r="C4221" s="574" t="s">
        <v>5564</v>
      </c>
      <c r="D4221" s="582">
        <v>60.14</v>
      </c>
    </row>
    <row r="4222" spans="1:4" x14ac:dyDescent="0.2">
      <c r="A4222" s="574">
        <v>3990</v>
      </c>
      <c r="B4222" s="574" t="s">
        <v>9823</v>
      </c>
      <c r="C4222" s="574" t="s">
        <v>5575</v>
      </c>
      <c r="D4222" s="582">
        <v>13.29</v>
      </c>
    </row>
    <row r="4223" spans="1:4" x14ac:dyDescent="0.2">
      <c r="A4223" s="574">
        <v>3992</v>
      </c>
      <c r="B4223" s="574" t="s">
        <v>9824</v>
      </c>
      <c r="C4223" s="574" t="s">
        <v>5575</v>
      </c>
      <c r="D4223" s="582">
        <v>16.309999999999999</v>
      </c>
    </row>
    <row r="4224" spans="1:4" x14ac:dyDescent="0.2">
      <c r="A4224" s="574">
        <v>4509</v>
      </c>
      <c r="B4224" s="574" t="s">
        <v>9825</v>
      </c>
      <c r="C4224" s="574" t="s">
        <v>5575</v>
      </c>
      <c r="D4224" s="582">
        <v>1.62</v>
      </c>
    </row>
    <row r="4225" spans="1:4" x14ac:dyDescent="0.2">
      <c r="A4225" s="574">
        <v>6194</v>
      </c>
      <c r="B4225" s="574" t="s">
        <v>9826</v>
      </c>
      <c r="C4225" s="574" t="s">
        <v>5575</v>
      </c>
      <c r="D4225" s="582">
        <v>2.21</v>
      </c>
    </row>
    <row r="4226" spans="1:4" x14ac:dyDescent="0.2">
      <c r="A4226" s="574">
        <v>6193</v>
      </c>
      <c r="B4226" s="574" t="s">
        <v>9827</v>
      </c>
      <c r="C4226" s="574" t="s">
        <v>5575</v>
      </c>
      <c r="D4226" s="582">
        <v>6.33</v>
      </c>
    </row>
    <row r="4227" spans="1:4" x14ac:dyDescent="0.2">
      <c r="A4227" s="574">
        <v>10567</v>
      </c>
      <c r="B4227" s="574" t="s">
        <v>9828</v>
      </c>
      <c r="C4227" s="574" t="s">
        <v>5575</v>
      </c>
      <c r="D4227" s="582">
        <v>3.66</v>
      </c>
    </row>
    <row r="4228" spans="1:4" x14ac:dyDescent="0.2">
      <c r="A4228" s="574">
        <v>6212</v>
      </c>
      <c r="B4228" s="574" t="s">
        <v>9829</v>
      </c>
      <c r="C4228" s="574" t="s">
        <v>5575</v>
      </c>
      <c r="D4228" s="582">
        <v>6</v>
      </c>
    </row>
    <row r="4229" spans="1:4" x14ac:dyDescent="0.2">
      <c r="A4229" s="574">
        <v>6189</v>
      </c>
      <c r="B4229" s="574" t="s">
        <v>9830</v>
      </c>
      <c r="C4229" s="574" t="s">
        <v>5575</v>
      </c>
      <c r="D4229" s="582">
        <v>9.26</v>
      </c>
    </row>
    <row r="4230" spans="1:4" x14ac:dyDescent="0.2">
      <c r="A4230" s="574">
        <v>6214</v>
      </c>
      <c r="B4230" s="574" t="s">
        <v>9831</v>
      </c>
      <c r="C4230" s="574" t="s">
        <v>5564</v>
      </c>
      <c r="D4230" s="582">
        <v>43.53</v>
      </c>
    </row>
    <row r="4231" spans="1:4" x14ac:dyDescent="0.2">
      <c r="A4231" s="574">
        <v>36153</v>
      </c>
      <c r="B4231" s="574" t="s">
        <v>9832</v>
      </c>
      <c r="C4231" s="574" t="s">
        <v>5555</v>
      </c>
      <c r="D4231" s="582">
        <v>163.84</v>
      </c>
    </row>
    <row r="4232" spans="1:4" x14ac:dyDescent="0.2">
      <c r="A4232" s="574">
        <v>10740</v>
      </c>
      <c r="B4232" s="574" t="s">
        <v>9833</v>
      </c>
      <c r="C4232" s="574" t="s">
        <v>5555</v>
      </c>
      <c r="D4232" s="583">
        <v>10248.370000000001</v>
      </c>
    </row>
    <row r="4233" spans="1:4" x14ac:dyDescent="0.2">
      <c r="A4233" s="574">
        <v>13914</v>
      </c>
      <c r="B4233" s="574" t="s">
        <v>9834</v>
      </c>
      <c r="C4233" s="574" t="s">
        <v>5555</v>
      </c>
      <c r="D4233" s="582">
        <v>741.51</v>
      </c>
    </row>
    <row r="4234" spans="1:4" x14ac:dyDescent="0.2">
      <c r="A4234" s="574">
        <v>10742</v>
      </c>
      <c r="B4234" s="574" t="s">
        <v>9835</v>
      </c>
      <c r="C4234" s="574" t="s">
        <v>5555</v>
      </c>
      <c r="D4234" s="583">
        <v>1081.5</v>
      </c>
    </row>
    <row r="4235" spans="1:4" x14ac:dyDescent="0.2">
      <c r="A4235" s="574">
        <v>38465</v>
      </c>
      <c r="B4235" s="574" t="s">
        <v>9836</v>
      </c>
      <c r="C4235" s="574" t="s">
        <v>5555</v>
      </c>
      <c r="D4235" s="582">
        <v>24.54</v>
      </c>
    </row>
    <row r="4236" spans="1:4" x14ac:dyDescent="0.2">
      <c r="A4236" s="574">
        <v>7543</v>
      </c>
      <c r="B4236" s="574" t="s">
        <v>9837</v>
      </c>
      <c r="C4236" s="574" t="s">
        <v>5555</v>
      </c>
      <c r="D4236" s="582">
        <v>3.54</v>
      </c>
    </row>
    <row r="4237" spans="1:4" x14ac:dyDescent="0.2">
      <c r="A4237" s="574">
        <v>43427</v>
      </c>
      <c r="B4237" s="574" t="s">
        <v>13670</v>
      </c>
      <c r="C4237" s="574" t="s">
        <v>5555</v>
      </c>
      <c r="D4237" s="582">
        <v>972.6</v>
      </c>
    </row>
    <row r="4238" spans="1:4" x14ac:dyDescent="0.2">
      <c r="A4238" s="574">
        <v>41613</v>
      </c>
      <c r="B4238" s="574" t="s">
        <v>13671</v>
      </c>
      <c r="C4238" s="574" t="s">
        <v>5555</v>
      </c>
      <c r="D4238" s="582">
        <v>62.52</v>
      </c>
    </row>
    <row r="4239" spans="1:4" x14ac:dyDescent="0.2">
      <c r="A4239" s="574">
        <v>41614</v>
      </c>
      <c r="B4239" s="574" t="s">
        <v>13672</v>
      </c>
      <c r="C4239" s="574" t="s">
        <v>5555</v>
      </c>
      <c r="D4239" s="582">
        <v>79.66</v>
      </c>
    </row>
    <row r="4240" spans="1:4" x14ac:dyDescent="0.2">
      <c r="A4240" s="574">
        <v>41615</v>
      </c>
      <c r="B4240" s="574" t="s">
        <v>13673</v>
      </c>
      <c r="C4240" s="574" t="s">
        <v>5555</v>
      </c>
      <c r="D4240" s="582">
        <v>123.12</v>
      </c>
    </row>
    <row r="4241" spans="1:4" x14ac:dyDescent="0.2">
      <c r="A4241" s="574">
        <v>41616</v>
      </c>
      <c r="B4241" s="574" t="s">
        <v>13674</v>
      </c>
      <c r="C4241" s="574" t="s">
        <v>5555</v>
      </c>
      <c r="D4241" s="582">
        <v>183.96</v>
      </c>
    </row>
    <row r="4242" spans="1:4" x14ac:dyDescent="0.2">
      <c r="A4242" s="574">
        <v>41617</v>
      </c>
      <c r="B4242" s="574" t="s">
        <v>13675</v>
      </c>
      <c r="C4242" s="574" t="s">
        <v>5555</v>
      </c>
      <c r="D4242" s="582">
        <v>365.79</v>
      </c>
    </row>
    <row r="4243" spans="1:4" x14ac:dyDescent="0.2">
      <c r="A4243" s="574">
        <v>41618</v>
      </c>
      <c r="B4243" s="574" t="s">
        <v>13676</v>
      </c>
      <c r="C4243" s="574" t="s">
        <v>5555</v>
      </c>
      <c r="D4243" s="582">
        <v>673.41</v>
      </c>
    </row>
    <row r="4244" spans="1:4" x14ac:dyDescent="0.2">
      <c r="A4244" s="574">
        <v>43428</v>
      </c>
      <c r="B4244" s="574" t="s">
        <v>13677</v>
      </c>
      <c r="C4244" s="574" t="s">
        <v>5555</v>
      </c>
      <c r="D4244" s="583">
        <v>1182.8499999999999</v>
      </c>
    </row>
    <row r="4245" spans="1:4" x14ac:dyDescent="0.2">
      <c r="A4245" s="574">
        <v>41619</v>
      </c>
      <c r="B4245" s="574" t="s">
        <v>13678</v>
      </c>
      <c r="C4245" s="574" t="s">
        <v>5555</v>
      </c>
      <c r="D4245" s="582">
        <v>76.63</v>
      </c>
    </row>
    <row r="4246" spans="1:4" x14ac:dyDescent="0.2">
      <c r="A4246" s="574">
        <v>41620</v>
      </c>
      <c r="B4246" s="574" t="s">
        <v>13679</v>
      </c>
      <c r="C4246" s="574" t="s">
        <v>5555</v>
      </c>
      <c r="D4246" s="582">
        <v>96.8</v>
      </c>
    </row>
    <row r="4247" spans="1:4" x14ac:dyDescent="0.2">
      <c r="A4247" s="574">
        <v>41622</v>
      </c>
      <c r="B4247" s="574" t="s">
        <v>13680</v>
      </c>
      <c r="C4247" s="574" t="s">
        <v>5555</v>
      </c>
      <c r="D4247" s="582">
        <v>167.89</v>
      </c>
    </row>
    <row r="4248" spans="1:4" x14ac:dyDescent="0.2">
      <c r="A4248" s="574">
        <v>41623</v>
      </c>
      <c r="B4248" s="574" t="s">
        <v>13681</v>
      </c>
      <c r="C4248" s="574" t="s">
        <v>5555</v>
      </c>
      <c r="D4248" s="582">
        <v>258.14999999999998</v>
      </c>
    </row>
    <row r="4249" spans="1:4" x14ac:dyDescent="0.2">
      <c r="A4249" s="574">
        <v>41624</v>
      </c>
      <c r="B4249" s="574" t="s">
        <v>13682</v>
      </c>
      <c r="C4249" s="574" t="s">
        <v>5555</v>
      </c>
      <c r="D4249" s="582">
        <v>484.03</v>
      </c>
    </row>
    <row r="4250" spans="1:4" x14ac:dyDescent="0.2">
      <c r="A4250" s="574">
        <v>41625</v>
      </c>
      <c r="B4250" s="574" t="s">
        <v>13683</v>
      </c>
      <c r="C4250" s="574" t="s">
        <v>5555</v>
      </c>
      <c r="D4250" s="582">
        <v>744.7</v>
      </c>
    </row>
    <row r="4251" spans="1:4" x14ac:dyDescent="0.2">
      <c r="A4251" s="574">
        <v>13255</v>
      </c>
      <c r="B4251" s="574" t="s">
        <v>9838</v>
      </c>
      <c r="C4251" s="574" t="s">
        <v>5555</v>
      </c>
      <c r="D4251" s="582">
        <v>52.9</v>
      </c>
    </row>
    <row r="4252" spans="1:4" x14ac:dyDescent="0.2">
      <c r="A4252" s="574">
        <v>39352</v>
      </c>
      <c r="B4252" s="574" t="s">
        <v>9839</v>
      </c>
      <c r="C4252" s="574" t="s">
        <v>5555</v>
      </c>
      <c r="D4252" s="582">
        <v>2.19</v>
      </c>
    </row>
    <row r="4253" spans="1:4" x14ac:dyDescent="0.2">
      <c r="A4253" s="574">
        <v>39346</v>
      </c>
      <c r="B4253" s="574" t="s">
        <v>9840</v>
      </c>
      <c r="C4253" s="574" t="s">
        <v>5555</v>
      </c>
      <c r="D4253" s="582">
        <v>2.19</v>
      </c>
    </row>
    <row r="4254" spans="1:4" x14ac:dyDescent="0.2">
      <c r="A4254" s="574">
        <v>39350</v>
      </c>
      <c r="B4254" s="574" t="s">
        <v>9841</v>
      </c>
      <c r="C4254" s="574" t="s">
        <v>5555</v>
      </c>
      <c r="D4254" s="582">
        <v>2.35</v>
      </c>
    </row>
    <row r="4255" spans="1:4" x14ac:dyDescent="0.2">
      <c r="A4255" s="574">
        <v>39351</v>
      </c>
      <c r="B4255" s="574" t="s">
        <v>9842</v>
      </c>
      <c r="C4255" s="574" t="s">
        <v>5555</v>
      </c>
      <c r="D4255" s="582">
        <v>2.72</v>
      </c>
    </row>
    <row r="4256" spans="1:4" x14ac:dyDescent="0.2">
      <c r="A4256" s="574">
        <v>38952</v>
      </c>
      <c r="B4256" s="574" t="s">
        <v>9843</v>
      </c>
      <c r="C4256" s="574" t="s">
        <v>5555</v>
      </c>
      <c r="D4256" s="582">
        <v>2.78</v>
      </c>
    </row>
    <row r="4257" spans="1:4" x14ac:dyDescent="0.2">
      <c r="A4257" s="574">
        <v>38953</v>
      </c>
      <c r="B4257" s="574" t="s">
        <v>9844</v>
      </c>
      <c r="C4257" s="574" t="s">
        <v>5555</v>
      </c>
      <c r="D4257" s="582">
        <v>4.3899999999999997</v>
      </c>
    </row>
    <row r="4258" spans="1:4" x14ac:dyDescent="0.2">
      <c r="A4258" s="574">
        <v>38835</v>
      </c>
      <c r="B4258" s="574" t="s">
        <v>9845</v>
      </c>
      <c r="C4258" s="574" t="s">
        <v>5555</v>
      </c>
      <c r="D4258" s="582">
        <v>3.94</v>
      </c>
    </row>
    <row r="4259" spans="1:4" x14ac:dyDescent="0.2">
      <c r="A4259" s="574">
        <v>38837</v>
      </c>
      <c r="B4259" s="574" t="s">
        <v>9846</v>
      </c>
      <c r="C4259" s="574" t="s">
        <v>5555</v>
      </c>
      <c r="D4259" s="582">
        <v>10.25</v>
      </c>
    </row>
    <row r="4260" spans="1:4" x14ac:dyDescent="0.2">
      <c r="A4260" s="574">
        <v>38836</v>
      </c>
      <c r="B4260" s="574" t="s">
        <v>9847</v>
      </c>
      <c r="C4260" s="574" t="s">
        <v>5555</v>
      </c>
      <c r="D4260" s="582">
        <v>5.67</v>
      </c>
    </row>
    <row r="4261" spans="1:4" x14ac:dyDescent="0.2">
      <c r="A4261" s="574">
        <v>2666</v>
      </c>
      <c r="B4261" s="574" t="s">
        <v>9848</v>
      </c>
      <c r="C4261" s="574" t="s">
        <v>5555</v>
      </c>
      <c r="D4261" s="582">
        <v>5.26</v>
      </c>
    </row>
    <row r="4262" spans="1:4" x14ac:dyDescent="0.2">
      <c r="A4262" s="574">
        <v>2668</v>
      </c>
      <c r="B4262" s="574" t="s">
        <v>9849</v>
      </c>
      <c r="C4262" s="574" t="s">
        <v>5555</v>
      </c>
      <c r="D4262" s="582">
        <v>6</v>
      </c>
    </row>
    <row r="4263" spans="1:4" x14ac:dyDescent="0.2">
      <c r="A4263" s="574">
        <v>2664</v>
      </c>
      <c r="B4263" s="574" t="s">
        <v>9850</v>
      </c>
      <c r="C4263" s="574" t="s">
        <v>5555</v>
      </c>
      <c r="D4263" s="582">
        <v>8.85</v>
      </c>
    </row>
    <row r="4264" spans="1:4" x14ac:dyDescent="0.2">
      <c r="A4264" s="574">
        <v>2662</v>
      </c>
      <c r="B4264" s="574" t="s">
        <v>9851</v>
      </c>
      <c r="C4264" s="574" t="s">
        <v>5555</v>
      </c>
      <c r="D4264" s="582">
        <v>10.86</v>
      </c>
    </row>
    <row r="4265" spans="1:4" x14ac:dyDescent="0.2">
      <c r="A4265" s="574">
        <v>20964</v>
      </c>
      <c r="B4265" s="574" t="s">
        <v>9852</v>
      </c>
      <c r="C4265" s="574" t="s">
        <v>5555</v>
      </c>
      <c r="D4265" s="582">
        <v>49.19</v>
      </c>
    </row>
    <row r="4266" spans="1:4" x14ac:dyDescent="0.2">
      <c r="A4266" s="574">
        <v>10905</v>
      </c>
      <c r="B4266" s="574" t="s">
        <v>9853</v>
      </c>
      <c r="C4266" s="574" t="s">
        <v>5555</v>
      </c>
      <c r="D4266" s="582">
        <v>65.989999999999995</v>
      </c>
    </row>
    <row r="4267" spans="1:4" x14ac:dyDescent="0.2">
      <c r="A4267" s="574">
        <v>42703</v>
      </c>
      <c r="B4267" s="574" t="s">
        <v>9854</v>
      </c>
      <c r="C4267" s="574" t="s">
        <v>5555</v>
      </c>
      <c r="D4267" s="582">
        <v>46.92</v>
      </c>
    </row>
    <row r="4268" spans="1:4" x14ac:dyDescent="0.2">
      <c r="A4268" s="574">
        <v>42704</v>
      </c>
      <c r="B4268" s="574" t="s">
        <v>9855</v>
      </c>
      <c r="C4268" s="574" t="s">
        <v>5555</v>
      </c>
      <c r="D4268" s="582">
        <v>72.03</v>
      </c>
    </row>
    <row r="4269" spans="1:4" x14ac:dyDescent="0.2">
      <c r="A4269" s="574">
        <v>42705</v>
      </c>
      <c r="B4269" s="574" t="s">
        <v>9856</v>
      </c>
      <c r="C4269" s="574" t="s">
        <v>5555</v>
      </c>
      <c r="D4269" s="582">
        <v>91.9</v>
      </c>
    </row>
    <row r="4270" spans="1:4" x14ac:dyDescent="0.2">
      <c r="A4270" s="574">
        <v>42706</v>
      </c>
      <c r="B4270" s="574" t="s">
        <v>9857</v>
      </c>
      <c r="C4270" s="574" t="s">
        <v>5555</v>
      </c>
      <c r="D4270" s="582">
        <v>113.81</v>
      </c>
    </row>
    <row r="4271" spans="1:4" x14ac:dyDescent="0.2">
      <c r="A4271" s="574">
        <v>11289</v>
      </c>
      <c r="B4271" s="574" t="s">
        <v>9858</v>
      </c>
      <c r="C4271" s="574" t="s">
        <v>5555</v>
      </c>
      <c r="D4271" s="582">
        <v>64.069999999999993</v>
      </c>
    </row>
    <row r="4272" spans="1:4" x14ac:dyDescent="0.2">
      <c r="A4272" s="574">
        <v>11241</v>
      </c>
      <c r="B4272" s="574" t="s">
        <v>9859</v>
      </c>
      <c r="C4272" s="574" t="s">
        <v>5555</v>
      </c>
      <c r="D4272" s="582">
        <v>160.18</v>
      </c>
    </row>
    <row r="4273" spans="1:4" x14ac:dyDescent="0.2">
      <c r="A4273" s="574">
        <v>11301</v>
      </c>
      <c r="B4273" s="574" t="s">
        <v>9860</v>
      </c>
      <c r="C4273" s="574" t="s">
        <v>5555</v>
      </c>
      <c r="D4273" s="582">
        <v>406.18</v>
      </c>
    </row>
    <row r="4274" spans="1:4" x14ac:dyDescent="0.2">
      <c r="A4274" s="574">
        <v>21090</v>
      </c>
      <c r="B4274" s="574" t="s">
        <v>9861</v>
      </c>
      <c r="C4274" s="574" t="s">
        <v>5555</v>
      </c>
      <c r="D4274" s="582">
        <v>497.72</v>
      </c>
    </row>
    <row r="4275" spans="1:4" x14ac:dyDescent="0.2">
      <c r="A4275" s="574">
        <v>14112</v>
      </c>
      <c r="B4275" s="574" t="s">
        <v>9862</v>
      </c>
      <c r="C4275" s="574" t="s">
        <v>5555</v>
      </c>
      <c r="D4275" s="582">
        <v>207.66</v>
      </c>
    </row>
    <row r="4276" spans="1:4" x14ac:dyDescent="0.2">
      <c r="A4276" s="574">
        <v>11315</v>
      </c>
      <c r="B4276" s="574" t="s">
        <v>9863</v>
      </c>
      <c r="C4276" s="574" t="s">
        <v>5555</v>
      </c>
      <c r="D4276" s="582">
        <v>97.25</v>
      </c>
    </row>
    <row r="4277" spans="1:4" x14ac:dyDescent="0.2">
      <c r="A4277" s="574">
        <v>11292</v>
      </c>
      <c r="B4277" s="574" t="s">
        <v>9864</v>
      </c>
      <c r="C4277" s="574" t="s">
        <v>5555</v>
      </c>
      <c r="D4277" s="582">
        <v>227.69</v>
      </c>
    </row>
    <row r="4278" spans="1:4" x14ac:dyDescent="0.2">
      <c r="A4278" s="574">
        <v>21071</v>
      </c>
      <c r="B4278" s="574" t="s">
        <v>9865</v>
      </c>
      <c r="C4278" s="574" t="s">
        <v>5555</v>
      </c>
      <c r="D4278" s="582">
        <v>148.74</v>
      </c>
    </row>
    <row r="4279" spans="1:4" x14ac:dyDescent="0.2">
      <c r="A4279" s="574">
        <v>11293</v>
      </c>
      <c r="B4279" s="574" t="s">
        <v>9866</v>
      </c>
      <c r="C4279" s="574" t="s">
        <v>5555</v>
      </c>
      <c r="D4279" s="582">
        <v>251.72</v>
      </c>
    </row>
    <row r="4280" spans="1:4" x14ac:dyDescent="0.2">
      <c r="A4280" s="574">
        <v>11316</v>
      </c>
      <c r="B4280" s="574" t="s">
        <v>9867</v>
      </c>
      <c r="C4280" s="574" t="s">
        <v>5555</v>
      </c>
      <c r="D4280" s="582">
        <v>320.37</v>
      </c>
    </row>
    <row r="4281" spans="1:4" x14ac:dyDescent="0.2">
      <c r="A4281" s="574">
        <v>6243</v>
      </c>
      <c r="B4281" s="574" t="s">
        <v>9868</v>
      </c>
      <c r="C4281" s="574" t="s">
        <v>5555</v>
      </c>
      <c r="D4281" s="582">
        <v>369</v>
      </c>
    </row>
    <row r="4282" spans="1:4" x14ac:dyDescent="0.2">
      <c r="A4282" s="574">
        <v>21079</v>
      </c>
      <c r="B4282" s="574" t="s">
        <v>9869</v>
      </c>
      <c r="C4282" s="574" t="s">
        <v>5555</v>
      </c>
      <c r="D4282" s="582">
        <v>439.93</v>
      </c>
    </row>
    <row r="4283" spans="1:4" x14ac:dyDescent="0.2">
      <c r="A4283" s="574">
        <v>6240</v>
      </c>
      <c r="B4283" s="574" t="s">
        <v>9870</v>
      </c>
      <c r="C4283" s="574" t="s">
        <v>5555</v>
      </c>
      <c r="D4283" s="582">
        <v>488.56</v>
      </c>
    </row>
    <row r="4284" spans="1:4" x14ac:dyDescent="0.2">
      <c r="A4284" s="574">
        <v>11296</v>
      </c>
      <c r="B4284" s="574" t="s">
        <v>9871</v>
      </c>
      <c r="C4284" s="574" t="s">
        <v>5555</v>
      </c>
      <c r="D4284" s="583">
        <v>1556.66</v>
      </c>
    </row>
    <row r="4285" spans="1:4" x14ac:dyDescent="0.2">
      <c r="A4285" s="574">
        <v>11299</v>
      </c>
      <c r="B4285" s="574" t="s">
        <v>9872</v>
      </c>
      <c r="C4285" s="574" t="s">
        <v>5555</v>
      </c>
      <c r="D4285" s="582">
        <v>526.89</v>
      </c>
    </row>
    <row r="4286" spans="1:4" x14ac:dyDescent="0.2">
      <c r="A4286" s="574">
        <v>11066</v>
      </c>
      <c r="B4286" s="574" t="s">
        <v>9873</v>
      </c>
      <c r="C4286" s="574" t="s">
        <v>5555</v>
      </c>
      <c r="D4286" s="582">
        <v>10.6</v>
      </c>
    </row>
    <row r="4287" spans="1:4" x14ac:dyDescent="0.2">
      <c r="A4287" s="574">
        <v>11065</v>
      </c>
      <c r="B4287" s="574" t="s">
        <v>9874</v>
      </c>
      <c r="C4287" s="574" t="s">
        <v>5555</v>
      </c>
      <c r="D4287" s="582">
        <v>12.15</v>
      </c>
    </row>
    <row r="4288" spans="1:4" x14ac:dyDescent="0.2">
      <c r="A4288" s="574">
        <v>11688</v>
      </c>
      <c r="B4288" s="574" t="s">
        <v>9875</v>
      </c>
      <c r="C4288" s="574" t="s">
        <v>5555</v>
      </c>
      <c r="D4288" s="582">
        <v>419.03</v>
      </c>
    </row>
    <row r="4289" spans="1:4" x14ac:dyDescent="0.2">
      <c r="A4289" s="574">
        <v>37736</v>
      </c>
      <c r="B4289" s="574" t="s">
        <v>9876</v>
      </c>
      <c r="C4289" s="574" t="s">
        <v>5555</v>
      </c>
      <c r="D4289" s="583">
        <v>55000</v>
      </c>
    </row>
    <row r="4290" spans="1:4" x14ac:dyDescent="0.2">
      <c r="A4290" s="574">
        <v>37739</v>
      </c>
      <c r="B4290" s="574" t="s">
        <v>9877</v>
      </c>
      <c r="C4290" s="574" t="s">
        <v>5555</v>
      </c>
      <c r="D4290" s="583">
        <v>67692.3</v>
      </c>
    </row>
    <row r="4291" spans="1:4" x14ac:dyDescent="0.2">
      <c r="A4291" s="574">
        <v>37740</v>
      </c>
      <c r="B4291" s="574" t="s">
        <v>9878</v>
      </c>
      <c r="C4291" s="574" t="s">
        <v>5555</v>
      </c>
      <c r="D4291" s="583">
        <v>38628.76</v>
      </c>
    </row>
    <row r="4292" spans="1:4" x14ac:dyDescent="0.2">
      <c r="A4292" s="574">
        <v>37738</v>
      </c>
      <c r="B4292" s="574" t="s">
        <v>9879</v>
      </c>
      <c r="C4292" s="574" t="s">
        <v>5555</v>
      </c>
      <c r="D4292" s="583">
        <v>45894.65</v>
      </c>
    </row>
    <row r="4293" spans="1:4" x14ac:dyDescent="0.2">
      <c r="A4293" s="574">
        <v>37737</v>
      </c>
      <c r="B4293" s="574" t="s">
        <v>9880</v>
      </c>
      <c r="C4293" s="574" t="s">
        <v>5555</v>
      </c>
      <c r="D4293" s="583">
        <v>36513.370000000003</v>
      </c>
    </row>
    <row r="4294" spans="1:4" x14ac:dyDescent="0.2">
      <c r="A4294" s="574">
        <v>25014</v>
      </c>
      <c r="B4294" s="574" t="s">
        <v>9881</v>
      </c>
      <c r="C4294" s="574" t="s">
        <v>5555</v>
      </c>
      <c r="D4294" s="583">
        <v>76475.75</v>
      </c>
    </row>
    <row r="4295" spans="1:4" x14ac:dyDescent="0.2">
      <c r="A4295" s="574">
        <v>25013</v>
      </c>
      <c r="B4295" s="574" t="s">
        <v>9882</v>
      </c>
      <c r="C4295" s="574" t="s">
        <v>5555</v>
      </c>
      <c r="D4295" s="583">
        <v>80154.679999999993</v>
      </c>
    </row>
    <row r="4296" spans="1:4" x14ac:dyDescent="0.2">
      <c r="A4296" s="574">
        <v>14405</v>
      </c>
      <c r="B4296" s="574" t="s">
        <v>9883</v>
      </c>
      <c r="C4296" s="574" t="s">
        <v>5555</v>
      </c>
      <c r="D4296" s="583">
        <v>94088.62</v>
      </c>
    </row>
    <row r="4297" spans="1:4" x14ac:dyDescent="0.2">
      <c r="A4297" s="574">
        <v>36790</v>
      </c>
      <c r="B4297" s="574" t="s">
        <v>9884</v>
      </c>
      <c r="C4297" s="574" t="s">
        <v>5555</v>
      </c>
      <c r="D4297" s="582">
        <v>210.78</v>
      </c>
    </row>
    <row r="4298" spans="1:4" x14ac:dyDescent="0.2">
      <c r="A4298" s="574">
        <v>20271</v>
      </c>
      <c r="B4298" s="574" t="s">
        <v>9885</v>
      </c>
      <c r="C4298" s="574" t="s">
        <v>5555</v>
      </c>
      <c r="D4298" s="582">
        <v>551.23</v>
      </c>
    </row>
    <row r="4299" spans="1:4" x14ac:dyDescent="0.2">
      <c r="A4299" s="574">
        <v>10423</v>
      </c>
      <c r="B4299" s="574" t="s">
        <v>9886</v>
      </c>
      <c r="C4299" s="574" t="s">
        <v>5555</v>
      </c>
      <c r="D4299" s="582">
        <v>341.89</v>
      </c>
    </row>
    <row r="4300" spans="1:4" x14ac:dyDescent="0.2">
      <c r="A4300" s="574">
        <v>37589</v>
      </c>
      <c r="B4300" s="574" t="s">
        <v>9887</v>
      </c>
      <c r="C4300" s="574" t="s">
        <v>5555</v>
      </c>
      <c r="D4300" s="582">
        <v>258.27</v>
      </c>
    </row>
    <row r="4301" spans="1:4" x14ac:dyDescent="0.2">
      <c r="A4301" s="574">
        <v>11690</v>
      </c>
      <c r="B4301" s="574" t="s">
        <v>9888</v>
      </c>
      <c r="C4301" s="574" t="s">
        <v>5555</v>
      </c>
      <c r="D4301" s="582">
        <v>137.19999999999999</v>
      </c>
    </row>
    <row r="4302" spans="1:4" x14ac:dyDescent="0.2">
      <c r="A4302" s="574">
        <v>20234</v>
      </c>
      <c r="B4302" s="574" t="s">
        <v>9889</v>
      </c>
      <c r="C4302" s="574" t="s">
        <v>5555</v>
      </c>
      <c r="D4302" s="582">
        <v>173.62</v>
      </c>
    </row>
    <row r="4303" spans="1:4" x14ac:dyDescent="0.2">
      <c r="A4303" s="574">
        <v>4763</v>
      </c>
      <c r="B4303" s="574" t="s">
        <v>9890</v>
      </c>
      <c r="C4303" s="574" t="s">
        <v>5566</v>
      </c>
      <c r="D4303" s="582">
        <v>18.45</v>
      </c>
    </row>
    <row r="4304" spans="1:4" x14ac:dyDescent="0.2">
      <c r="A4304" s="574">
        <v>41070</v>
      </c>
      <c r="B4304" s="574" t="s">
        <v>9891</v>
      </c>
      <c r="C4304" s="574" t="s">
        <v>5755</v>
      </c>
      <c r="D4304" s="583">
        <v>3230.59</v>
      </c>
    </row>
    <row r="4305" spans="1:4" x14ac:dyDescent="0.2">
      <c r="A4305" s="574">
        <v>14583</v>
      </c>
      <c r="B4305" s="574" t="s">
        <v>9892</v>
      </c>
      <c r="C4305" s="574" t="s">
        <v>5751</v>
      </c>
      <c r="D4305" s="582">
        <v>14.94</v>
      </c>
    </row>
    <row r="4306" spans="1:4" x14ac:dyDescent="0.2">
      <c r="A4306" s="574">
        <v>11457</v>
      </c>
      <c r="B4306" s="574" t="s">
        <v>9893</v>
      </c>
      <c r="C4306" s="574" t="s">
        <v>5555</v>
      </c>
      <c r="D4306" s="582">
        <v>25.74</v>
      </c>
    </row>
    <row r="4307" spans="1:4" x14ac:dyDescent="0.2">
      <c r="A4307" s="574">
        <v>21121</v>
      </c>
      <c r="B4307" s="574" t="s">
        <v>9894</v>
      </c>
      <c r="C4307" s="574" t="s">
        <v>5555</v>
      </c>
      <c r="D4307" s="582">
        <v>2.4500000000000002</v>
      </c>
    </row>
    <row r="4308" spans="1:4" x14ac:dyDescent="0.2">
      <c r="A4308" s="574">
        <v>38010</v>
      </c>
      <c r="B4308" s="574" t="s">
        <v>9895</v>
      </c>
      <c r="C4308" s="574" t="s">
        <v>5555</v>
      </c>
      <c r="D4308" s="582">
        <v>4</v>
      </c>
    </row>
    <row r="4309" spans="1:4" x14ac:dyDescent="0.2">
      <c r="A4309" s="574">
        <v>38011</v>
      </c>
      <c r="B4309" s="574" t="s">
        <v>9896</v>
      </c>
      <c r="C4309" s="574" t="s">
        <v>5555</v>
      </c>
      <c r="D4309" s="582">
        <v>7.39</v>
      </c>
    </row>
    <row r="4310" spans="1:4" x14ac:dyDescent="0.2">
      <c r="A4310" s="574">
        <v>38012</v>
      </c>
      <c r="B4310" s="574" t="s">
        <v>9897</v>
      </c>
      <c r="C4310" s="574" t="s">
        <v>5555</v>
      </c>
      <c r="D4310" s="582">
        <v>25.25</v>
      </c>
    </row>
    <row r="4311" spans="1:4" x14ac:dyDescent="0.2">
      <c r="A4311" s="574">
        <v>38013</v>
      </c>
      <c r="B4311" s="574" t="s">
        <v>9898</v>
      </c>
      <c r="C4311" s="574" t="s">
        <v>5555</v>
      </c>
      <c r="D4311" s="582">
        <v>32.78</v>
      </c>
    </row>
    <row r="4312" spans="1:4" x14ac:dyDescent="0.2">
      <c r="A4312" s="574">
        <v>38014</v>
      </c>
      <c r="B4312" s="574" t="s">
        <v>9899</v>
      </c>
      <c r="C4312" s="574" t="s">
        <v>5555</v>
      </c>
      <c r="D4312" s="582">
        <v>53.35</v>
      </c>
    </row>
    <row r="4313" spans="1:4" x14ac:dyDescent="0.2">
      <c r="A4313" s="574">
        <v>38015</v>
      </c>
      <c r="B4313" s="574" t="s">
        <v>9900</v>
      </c>
      <c r="C4313" s="574" t="s">
        <v>5555</v>
      </c>
      <c r="D4313" s="582">
        <v>128.84</v>
      </c>
    </row>
    <row r="4314" spans="1:4" x14ac:dyDescent="0.2">
      <c r="A4314" s="574">
        <v>38016</v>
      </c>
      <c r="B4314" s="574" t="s">
        <v>9901</v>
      </c>
      <c r="C4314" s="574" t="s">
        <v>5555</v>
      </c>
      <c r="D4314" s="582">
        <v>156.76</v>
      </c>
    </row>
    <row r="4315" spans="1:4" x14ac:dyDescent="0.2">
      <c r="A4315" s="574">
        <v>12741</v>
      </c>
      <c r="B4315" s="574" t="s">
        <v>9902</v>
      </c>
      <c r="C4315" s="574" t="s">
        <v>5555</v>
      </c>
      <c r="D4315" s="582">
        <v>935.21</v>
      </c>
    </row>
    <row r="4316" spans="1:4" x14ac:dyDescent="0.2">
      <c r="A4316" s="574">
        <v>12733</v>
      </c>
      <c r="B4316" s="574" t="s">
        <v>9903</v>
      </c>
      <c r="C4316" s="574" t="s">
        <v>5555</v>
      </c>
      <c r="D4316" s="582">
        <v>4.7</v>
      </c>
    </row>
    <row r="4317" spans="1:4" x14ac:dyDescent="0.2">
      <c r="A4317" s="574">
        <v>12734</v>
      </c>
      <c r="B4317" s="574" t="s">
        <v>9904</v>
      </c>
      <c r="C4317" s="574" t="s">
        <v>5555</v>
      </c>
      <c r="D4317" s="582">
        <v>10.029999999999999</v>
      </c>
    </row>
    <row r="4318" spans="1:4" x14ac:dyDescent="0.2">
      <c r="A4318" s="574">
        <v>12735</v>
      </c>
      <c r="B4318" s="574" t="s">
        <v>9905</v>
      </c>
      <c r="C4318" s="574" t="s">
        <v>5555</v>
      </c>
      <c r="D4318" s="582">
        <v>16.5</v>
      </c>
    </row>
    <row r="4319" spans="1:4" x14ac:dyDescent="0.2">
      <c r="A4319" s="574">
        <v>12736</v>
      </c>
      <c r="B4319" s="574" t="s">
        <v>9906</v>
      </c>
      <c r="C4319" s="574" t="s">
        <v>5555</v>
      </c>
      <c r="D4319" s="582">
        <v>37.72</v>
      </c>
    </row>
    <row r="4320" spans="1:4" x14ac:dyDescent="0.2">
      <c r="A4320" s="574">
        <v>12737</v>
      </c>
      <c r="B4320" s="574" t="s">
        <v>9907</v>
      </c>
      <c r="C4320" s="574" t="s">
        <v>5555</v>
      </c>
      <c r="D4320" s="582">
        <v>48.59</v>
      </c>
    </row>
    <row r="4321" spans="1:4" x14ac:dyDescent="0.2">
      <c r="A4321" s="574">
        <v>12738</v>
      </c>
      <c r="B4321" s="574" t="s">
        <v>9908</v>
      </c>
      <c r="C4321" s="574" t="s">
        <v>5555</v>
      </c>
      <c r="D4321" s="582">
        <v>96.04</v>
      </c>
    </row>
    <row r="4322" spans="1:4" x14ac:dyDescent="0.2">
      <c r="A4322" s="574">
        <v>12739</v>
      </c>
      <c r="B4322" s="574" t="s">
        <v>9909</v>
      </c>
      <c r="C4322" s="574" t="s">
        <v>5555</v>
      </c>
      <c r="D4322" s="582">
        <v>273.38</v>
      </c>
    </row>
    <row r="4323" spans="1:4" x14ac:dyDescent="0.2">
      <c r="A4323" s="574">
        <v>12740</v>
      </c>
      <c r="B4323" s="574" t="s">
        <v>9910</v>
      </c>
      <c r="C4323" s="574" t="s">
        <v>5555</v>
      </c>
      <c r="D4323" s="582">
        <v>427.73</v>
      </c>
    </row>
    <row r="4324" spans="1:4" x14ac:dyDescent="0.2">
      <c r="A4324" s="574">
        <v>6297</v>
      </c>
      <c r="B4324" s="574" t="s">
        <v>9911</v>
      </c>
      <c r="C4324" s="574" t="s">
        <v>5555</v>
      </c>
      <c r="D4324" s="582">
        <v>25.15</v>
      </c>
    </row>
    <row r="4325" spans="1:4" x14ac:dyDescent="0.2">
      <c r="A4325" s="574">
        <v>6296</v>
      </c>
      <c r="B4325" s="574" t="s">
        <v>9912</v>
      </c>
      <c r="C4325" s="574" t="s">
        <v>5555</v>
      </c>
      <c r="D4325" s="582">
        <v>19.850000000000001</v>
      </c>
    </row>
    <row r="4326" spans="1:4" x14ac:dyDescent="0.2">
      <c r="A4326" s="574">
        <v>6294</v>
      </c>
      <c r="B4326" s="574" t="s">
        <v>9913</v>
      </c>
      <c r="C4326" s="574" t="s">
        <v>5555</v>
      </c>
      <c r="D4326" s="582">
        <v>5.66</v>
      </c>
    </row>
    <row r="4327" spans="1:4" x14ac:dyDescent="0.2">
      <c r="A4327" s="574">
        <v>6323</v>
      </c>
      <c r="B4327" s="574" t="s">
        <v>9914</v>
      </c>
      <c r="C4327" s="574" t="s">
        <v>5555</v>
      </c>
      <c r="D4327" s="582">
        <v>12.97</v>
      </c>
    </row>
    <row r="4328" spans="1:4" x14ac:dyDescent="0.2">
      <c r="A4328" s="574">
        <v>6299</v>
      </c>
      <c r="B4328" s="574" t="s">
        <v>9915</v>
      </c>
      <c r="C4328" s="574" t="s">
        <v>5555</v>
      </c>
      <c r="D4328" s="582">
        <v>75.66</v>
      </c>
    </row>
    <row r="4329" spans="1:4" x14ac:dyDescent="0.2">
      <c r="A4329" s="574">
        <v>6298</v>
      </c>
      <c r="B4329" s="574" t="s">
        <v>9916</v>
      </c>
      <c r="C4329" s="574" t="s">
        <v>5555</v>
      </c>
      <c r="D4329" s="582">
        <v>39.840000000000003</v>
      </c>
    </row>
    <row r="4330" spans="1:4" x14ac:dyDescent="0.2">
      <c r="A4330" s="574">
        <v>6295</v>
      </c>
      <c r="B4330" s="574" t="s">
        <v>9917</v>
      </c>
      <c r="C4330" s="574" t="s">
        <v>5555</v>
      </c>
      <c r="D4330" s="582">
        <v>8.06</v>
      </c>
    </row>
    <row r="4331" spans="1:4" x14ac:dyDescent="0.2">
      <c r="A4331" s="574">
        <v>6322</v>
      </c>
      <c r="B4331" s="574" t="s">
        <v>9918</v>
      </c>
      <c r="C4331" s="574" t="s">
        <v>5555</v>
      </c>
      <c r="D4331" s="582">
        <v>101.33</v>
      </c>
    </row>
    <row r="4332" spans="1:4" x14ac:dyDescent="0.2">
      <c r="A4332" s="574">
        <v>6300</v>
      </c>
      <c r="B4332" s="574" t="s">
        <v>9919</v>
      </c>
      <c r="C4332" s="574" t="s">
        <v>5555</v>
      </c>
      <c r="D4332" s="582">
        <v>186.82</v>
      </c>
    </row>
    <row r="4333" spans="1:4" x14ac:dyDescent="0.2">
      <c r="A4333" s="574">
        <v>6321</v>
      </c>
      <c r="B4333" s="574" t="s">
        <v>9920</v>
      </c>
      <c r="C4333" s="574" t="s">
        <v>5555</v>
      </c>
      <c r="D4333" s="582">
        <v>266.87</v>
      </c>
    </row>
    <row r="4334" spans="1:4" x14ac:dyDescent="0.2">
      <c r="A4334" s="574">
        <v>6301</v>
      </c>
      <c r="B4334" s="574" t="s">
        <v>9921</v>
      </c>
      <c r="C4334" s="574" t="s">
        <v>5555</v>
      </c>
      <c r="D4334" s="582">
        <v>625.51</v>
      </c>
    </row>
    <row r="4335" spans="1:4" x14ac:dyDescent="0.2">
      <c r="A4335" s="574">
        <v>7105</v>
      </c>
      <c r="B4335" s="574" t="s">
        <v>9922</v>
      </c>
      <c r="C4335" s="574" t="s">
        <v>5555</v>
      </c>
      <c r="D4335" s="582">
        <v>25.07</v>
      </c>
    </row>
    <row r="4336" spans="1:4" x14ac:dyDescent="0.2">
      <c r="A4336" s="574">
        <v>20183</v>
      </c>
      <c r="B4336" s="574" t="s">
        <v>9923</v>
      </c>
      <c r="C4336" s="574" t="s">
        <v>5555</v>
      </c>
      <c r="D4336" s="582">
        <v>33.01</v>
      </c>
    </row>
    <row r="4337" spans="1:4" x14ac:dyDescent="0.2">
      <c r="A4337" s="574">
        <v>38448</v>
      </c>
      <c r="B4337" s="574" t="s">
        <v>9924</v>
      </c>
      <c r="C4337" s="574" t="s">
        <v>5555</v>
      </c>
      <c r="D4337" s="582">
        <v>155.1</v>
      </c>
    </row>
    <row r="4338" spans="1:4" x14ac:dyDescent="0.2">
      <c r="A4338" s="574">
        <v>20182</v>
      </c>
      <c r="B4338" s="574" t="s">
        <v>9925</v>
      </c>
      <c r="C4338" s="574" t="s">
        <v>5555</v>
      </c>
      <c r="D4338" s="582">
        <v>18.84</v>
      </c>
    </row>
    <row r="4339" spans="1:4" x14ac:dyDescent="0.2">
      <c r="A4339" s="574">
        <v>7119</v>
      </c>
      <c r="B4339" s="574" t="s">
        <v>9926</v>
      </c>
      <c r="C4339" s="574" t="s">
        <v>5555</v>
      </c>
      <c r="D4339" s="582">
        <v>7.77</v>
      </c>
    </row>
    <row r="4340" spans="1:4" x14ac:dyDescent="0.2">
      <c r="A4340" s="574">
        <v>7120</v>
      </c>
      <c r="B4340" s="574" t="s">
        <v>9927</v>
      </c>
      <c r="C4340" s="574" t="s">
        <v>5555</v>
      </c>
      <c r="D4340" s="582">
        <v>5.33</v>
      </c>
    </row>
    <row r="4341" spans="1:4" x14ac:dyDescent="0.2">
      <c r="A4341" s="574">
        <v>6319</v>
      </c>
      <c r="B4341" s="574" t="s">
        <v>9928</v>
      </c>
      <c r="C4341" s="574" t="s">
        <v>5555</v>
      </c>
      <c r="D4341" s="582">
        <v>29.55</v>
      </c>
    </row>
    <row r="4342" spans="1:4" x14ac:dyDescent="0.2">
      <c r="A4342" s="574">
        <v>6304</v>
      </c>
      <c r="B4342" s="574" t="s">
        <v>9929</v>
      </c>
      <c r="C4342" s="574" t="s">
        <v>5555</v>
      </c>
      <c r="D4342" s="582">
        <v>29.55</v>
      </c>
    </row>
    <row r="4343" spans="1:4" x14ac:dyDescent="0.2">
      <c r="A4343" s="574">
        <v>21116</v>
      </c>
      <c r="B4343" s="574" t="s">
        <v>9930</v>
      </c>
      <c r="C4343" s="574" t="s">
        <v>5555</v>
      </c>
      <c r="D4343" s="582">
        <v>22.38</v>
      </c>
    </row>
    <row r="4344" spans="1:4" x14ac:dyDescent="0.2">
      <c r="A4344" s="574">
        <v>6320</v>
      </c>
      <c r="B4344" s="574" t="s">
        <v>9931</v>
      </c>
      <c r="C4344" s="574" t="s">
        <v>5555</v>
      </c>
      <c r="D4344" s="582">
        <v>15.22</v>
      </c>
    </row>
    <row r="4345" spans="1:4" x14ac:dyDescent="0.2">
      <c r="A4345" s="574">
        <v>6303</v>
      </c>
      <c r="B4345" s="574" t="s">
        <v>9932</v>
      </c>
      <c r="C4345" s="574" t="s">
        <v>5555</v>
      </c>
      <c r="D4345" s="582">
        <v>15.22</v>
      </c>
    </row>
    <row r="4346" spans="1:4" x14ac:dyDescent="0.2">
      <c r="A4346" s="574">
        <v>6308</v>
      </c>
      <c r="B4346" s="574" t="s">
        <v>9933</v>
      </c>
      <c r="C4346" s="574" t="s">
        <v>5555</v>
      </c>
      <c r="D4346" s="582">
        <v>81.77</v>
      </c>
    </row>
    <row r="4347" spans="1:4" x14ac:dyDescent="0.2">
      <c r="A4347" s="574">
        <v>6317</v>
      </c>
      <c r="B4347" s="574" t="s">
        <v>9934</v>
      </c>
      <c r="C4347" s="574" t="s">
        <v>5555</v>
      </c>
      <c r="D4347" s="582">
        <v>81.77</v>
      </c>
    </row>
    <row r="4348" spans="1:4" x14ac:dyDescent="0.2">
      <c r="A4348" s="574">
        <v>6307</v>
      </c>
      <c r="B4348" s="574" t="s">
        <v>9935</v>
      </c>
      <c r="C4348" s="574" t="s">
        <v>5555</v>
      </c>
      <c r="D4348" s="582">
        <v>81.77</v>
      </c>
    </row>
    <row r="4349" spans="1:4" x14ac:dyDescent="0.2">
      <c r="A4349" s="574">
        <v>6309</v>
      </c>
      <c r="B4349" s="574" t="s">
        <v>9936</v>
      </c>
      <c r="C4349" s="574" t="s">
        <v>5555</v>
      </c>
      <c r="D4349" s="582">
        <v>84.15</v>
      </c>
    </row>
    <row r="4350" spans="1:4" x14ac:dyDescent="0.2">
      <c r="A4350" s="574">
        <v>6318</v>
      </c>
      <c r="B4350" s="574" t="s">
        <v>9937</v>
      </c>
      <c r="C4350" s="574" t="s">
        <v>5555</v>
      </c>
      <c r="D4350" s="582">
        <v>44.11</v>
      </c>
    </row>
    <row r="4351" spans="1:4" x14ac:dyDescent="0.2">
      <c r="A4351" s="574">
        <v>6306</v>
      </c>
      <c r="B4351" s="574" t="s">
        <v>9938</v>
      </c>
      <c r="C4351" s="574" t="s">
        <v>5555</v>
      </c>
      <c r="D4351" s="582">
        <v>44.11</v>
      </c>
    </row>
    <row r="4352" spans="1:4" x14ac:dyDescent="0.2">
      <c r="A4352" s="574">
        <v>6305</v>
      </c>
      <c r="B4352" s="574" t="s">
        <v>9939</v>
      </c>
      <c r="C4352" s="574" t="s">
        <v>5555</v>
      </c>
      <c r="D4352" s="582">
        <v>44.11</v>
      </c>
    </row>
    <row r="4353" spans="1:4" x14ac:dyDescent="0.2">
      <c r="A4353" s="574">
        <v>6302</v>
      </c>
      <c r="B4353" s="574" t="s">
        <v>9940</v>
      </c>
      <c r="C4353" s="574" t="s">
        <v>5555</v>
      </c>
      <c r="D4353" s="582">
        <v>9.35</v>
      </c>
    </row>
    <row r="4354" spans="1:4" x14ac:dyDescent="0.2">
      <c r="A4354" s="574">
        <v>6312</v>
      </c>
      <c r="B4354" s="574" t="s">
        <v>9941</v>
      </c>
      <c r="C4354" s="574" t="s">
        <v>5555</v>
      </c>
      <c r="D4354" s="582">
        <v>117.63</v>
      </c>
    </row>
    <row r="4355" spans="1:4" x14ac:dyDescent="0.2">
      <c r="A4355" s="574">
        <v>6311</v>
      </c>
      <c r="B4355" s="574" t="s">
        <v>9942</v>
      </c>
      <c r="C4355" s="574" t="s">
        <v>5555</v>
      </c>
      <c r="D4355" s="582">
        <v>117.63</v>
      </c>
    </row>
    <row r="4356" spans="1:4" x14ac:dyDescent="0.2">
      <c r="A4356" s="574">
        <v>6310</v>
      </c>
      <c r="B4356" s="574" t="s">
        <v>9943</v>
      </c>
      <c r="C4356" s="574" t="s">
        <v>5555</v>
      </c>
      <c r="D4356" s="582">
        <v>117.63</v>
      </c>
    </row>
    <row r="4357" spans="1:4" x14ac:dyDescent="0.2">
      <c r="A4357" s="574">
        <v>6314</v>
      </c>
      <c r="B4357" s="574" t="s">
        <v>9944</v>
      </c>
      <c r="C4357" s="574" t="s">
        <v>5555</v>
      </c>
      <c r="D4357" s="582">
        <v>117.63</v>
      </c>
    </row>
    <row r="4358" spans="1:4" x14ac:dyDescent="0.2">
      <c r="A4358" s="574">
        <v>6313</v>
      </c>
      <c r="B4358" s="574" t="s">
        <v>9945</v>
      </c>
      <c r="C4358" s="574" t="s">
        <v>5555</v>
      </c>
      <c r="D4358" s="582">
        <v>117.63</v>
      </c>
    </row>
    <row r="4359" spans="1:4" x14ac:dyDescent="0.2">
      <c r="A4359" s="574">
        <v>6315</v>
      </c>
      <c r="B4359" s="574" t="s">
        <v>9946</v>
      </c>
      <c r="C4359" s="574" t="s">
        <v>5555</v>
      </c>
      <c r="D4359" s="582">
        <v>222.72</v>
      </c>
    </row>
    <row r="4360" spans="1:4" x14ac:dyDescent="0.2">
      <c r="A4360" s="574">
        <v>6316</v>
      </c>
      <c r="B4360" s="574" t="s">
        <v>9947</v>
      </c>
      <c r="C4360" s="574" t="s">
        <v>5555</v>
      </c>
      <c r="D4360" s="582">
        <v>222.72</v>
      </c>
    </row>
    <row r="4361" spans="1:4" x14ac:dyDescent="0.2">
      <c r="A4361" s="574">
        <v>38878</v>
      </c>
      <c r="B4361" s="574" t="s">
        <v>9948</v>
      </c>
      <c r="C4361" s="574" t="s">
        <v>5555</v>
      </c>
      <c r="D4361" s="582">
        <v>14.42</v>
      </c>
    </row>
    <row r="4362" spans="1:4" x14ac:dyDescent="0.2">
      <c r="A4362" s="574">
        <v>38879</v>
      </c>
      <c r="B4362" s="574" t="s">
        <v>9949</v>
      </c>
      <c r="C4362" s="574" t="s">
        <v>5555</v>
      </c>
      <c r="D4362" s="582">
        <v>27.04</v>
      </c>
    </row>
    <row r="4363" spans="1:4" x14ac:dyDescent="0.2">
      <c r="A4363" s="574">
        <v>38881</v>
      </c>
      <c r="B4363" s="574" t="s">
        <v>9950</v>
      </c>
      <c r="C4363" s="574" t="s">
        <v>5555</v>
      </c>
      <c r="D4363" s="582">
        <v>14.15</v>
      </c>
    </row>
    <row r="4364" spans="1:4" x14ac:dyDescent="0.2">
      <c r="A4364" s="574">
        <v>38880</v>
      </c>
      <c r="B4364" s="574" t="s">
        <v>9951</v>
      </c>
      <c r="C4364" s="574" t="s">
        <v>5555</v>
      </c>
      <c r="D4364" s="582">
        <v>14.83</v>
      </c>
    </row>
    <row r="4365" spans="1:4" x14ac:dyDescent="0.2">
      <c r="A4365" s="574">
        <v>38882</v>
      </c>
      <c r="B4365" s="574" t="s">
        <v>9952</v>
      </c>
      <c r="C4365" s="574" t="s">
        <v>5555</v>
      </c>
      <c r="D4365" s="582">
        <v>15.35</v>
      </c>
    </row>
    <row r="4366" spans="1:4" x14ac:dyDescent="0.2">
      <c r="A4366" s="574">
        <v>38883</v>
      </c>
      <c r="B4366" s="574" t="s">
        <v>9953</v>
      </c>
      <c r="C4366" s="574" t="s">
        <v>5555</v>
      </c>
      <c r="D4366" s="582">
        <v>22.71</v>
      </c>
    </row>
    <row r="4367" spans="1:4" x14ac:dyDescent="0.2">
      <c r="A4367" s="574">
        <v>38884</v>
      </c>
      <c r="B4367" s="574" t="s">
        <v>9954</v>
      </c>
      <c r="C4367" s="574" t="s">
        <v>5555</v>
      </c>
      <c r="D4367" s="582">
        <v>24.65</v>
      </c>
    </row>
    <row r="4368" spans="1:4" x14ac:dyDescent="0.2">
      <c r="A4368" s="574">
        <v>38885</v>
      </c>
      <c r="B4368" s="574" t="s">
        <v>9955</v>
      </c>
      <c r="C4368" s="574" t="s">
        <v>5555</v>
      </c>
      <c r="D4368" s="582">
        <v>23.85</v>
      </c>
    </row>
    <row r="4369" spans="1:4" x14ac:dyDescent="0.2">
      <c r="A4369" s="574">
        <v>38886</v>
      </c>
      <c r="B4369" s="574" t="s">
        <v>9956</v>
      </c>
      <c r="C4369" s="574" t="s">
        <v>5555</v>
      </c>
      <c r="D4369" s="582">
        <v>25.74</v>
      </c>
    </row>
    <row r="4370" spans="1:4" x14ac:dyDescent="0.2">
      <c r="A4370" s="574">
        <v>38887</v>
      </c>
      <c r="B4370" s="574" t="s">
        <v>9957</v>
      </c>
      <c r="C4370" s="574" t="s">
        <v>5555</v>
      </c>
      <c r="D4370" s="582">
        <v>23.12</v>
      </c>
    </row>
    <row r="4371" spans="1:4" x14ac:dyDescent="0.2">
      <c r="A4371" s="574">
        <v>38888</v>
      </c>
      <c r="B4371" s="574" t="s">
        <v>9958</v>
      </c>
      <c r="C4371" s="574" t="s">
        <v>5555</v>
      </c>
      <c r="D4371" s="582">
        <v>27.48</v>
      </c>
    </row>
    <row r="4372" spans="1:4" x14ac:dyDescent="0.2">
      <c r="A4372" s="574">
        <v>38890</v>
      </c>
      <c r="B4372" s="574" t="s">
        <v>9959</v>
      </c>
      <c r="C4372" s="574" t="s">
        <v>5555</v>
      </c>
      <c r="D4372" s="582">
        <v>40.85</v>
      </c>
    </row>
    <row r="4373" spans="1:4" x14ac:dyDescent="0.2">
      <c r="A4373" s="574">
        <v>38893</v>
      </c>
      <c r="B4373" s="574" t="s">
        <v>9960</v>
      </c>
      <c r="C4373" s="574" t="s">
        <v>5555</v>
      </c>
      <c r="D4373" s="582">
        <v>32.85</v>
      </c>
    </row>
    <row r="4374" spans="1:4" x14ac:dyDescent="0.2">
      <c r="A4374" s="574">
        <v>38894</v>
      </c>
      <c r="B4374" s="574" t="s">
        <v>9961</v>
      </c>
      <c r="C4374" s="574" t="s">
        <v>5555</v>
      </c>
      <c r="D4374" s="582">
        <v>41.72</v>
      </c>
    </row>
    <row r="4375" spans="1:4" x14ac:dyDescent="0.2">
      <c r="A4375" s="574">
        <v>38896</v>
      </c>
      <c r="B4375" s="574" t="s">
        <v>9962</v>
      </c>
      <c r="C4375" s="574" t="s">
        <v>5555</v>
      </c>
      <c r="D4375" s="582">
        <v>42.55</v>
      </c>
    </row>
    <row r="4376" spans="1:4" x14ac:dyDescent="0.2">
      <c r="A4376" s="574">
        <v>39324</v>
      </c>
      <c r="B4376" s="574" t="s">
        <v>9963</v>
      </c>
      <c r="C4376" s="574" t="s">
        <v>5555</v>
      </c>
      <c r="D4376" s="582">
        <v>5.43</v>
      </c>
    </row>
    <row r="4377" spans="1:4" x14ac:dyDescent="0.2">
      <c r="A4377" s="574">
        <v>39325</v>
      </c>
      <c r="B4377" s="574" t="s">
        <v>9964</v>
      </c>
      <c r="C4377" s="574" t="s">
        <v>5555</v>
      </c>
      <c r="D4377" s="582">
        <v>8.2200000000000006</v>
      </c>
    </row>
    <row r="4378" spans="1:4" x14ac:dyDescent="0.2">
      <c r="A4378" s="574">
        <v>39326</v>
      </c>
      <c r="B4378" s="574" t="s">
        <v>9965</v>
      </c>
      <c r="C4378" s="574" t="s">
        <v>5555</v>
      </c>
      <c r="D4378" s="582">
        <v>21.16</v>
      </c>
    </row>
    <row r="4379" spans="1:4" x14ac:dyDescent="0.2">
      <c r="A4379" s="574">
        <v>39327</v>
      </c>
      <c r="B4379" s="574" t="s">
        <v>9966</v>
      </c>
      <c r="C4379" s="574" t="s">
        <v>5555</v>
      </c>
      <c r="D4379" s="582">
        <v>32.06</v>
      </c>
    </row>
    <row r="4380" spans="1:4" x14ac:dyDescent="0.2">
      <c r="A4380" s="574">
        <v>20176</v>
      </c>
      <c r="B4380" s="574" t="s">
        <v>9967</v>
      </c>
      <c r="C4380" s="574" t="s">
        <v>5555</v>
      </c>
      <c r="D4380" s="582">
        <v>28.44</v>
      </c>
    </row>
    <row r="4381" spans="1:4" x14ac:dyDescent="0.2">
      <c r="A4381" s="574">
        <v>11378</v>
      </c>
      <c r="B4381" s="574" t="s">
        <v>9968</v>
      </c>
      <c r="C4381" s="574" t="s">
        <v>5555</v>
      </c>
      <c r="D4381" s="582">
        <v>67.59</v>
      </c>
    </row>
    <row r="4382" spans="1:4" x14ac:dyDescent="0.2">
      <c r="A4382" s="574">
        <v>11379</v>
      </c>
      <c r="B4382" s="574" t="s">
        <v>9969</v>
      </c>
      <c r="C4382" s="574" t="s">
        <v>5555</v>
      </c>
      <c r="D4382" s="582">
        <v>57.12</v>
      </c>
    </row>
    <row r="4383" spans="1:4" x14ac:dyDescent="0.2">
      <c r="A4383" s="574">
        <v>11493</v>
      </c>
      <c r="B4383" s="574" t="s">
        <v>9970</v>
      </c>
      <c r="C4383" s="574" t="s">
        <v>5555</v>
      </c>
      <c r="D4383" s="582">
        <v>32.94</v>
      </c>
    </row>
    <row r="4384" spans="1:4" x14ac:dyDescent="0.2">
      <c r="A4384" s="574">
        <v>42717</v>
      </c>
      <c r="B4384" s="574" t="s">
        <v>9971</v>
      </c>
      <c r="C4384" s="574" t="s">
        <v>5555</v>
      </c>
      <c r="D4384" s="582">
        <v>279.22000000000003</v>
      </c>
    </row>
    <row r="4385" spans="1:4" x14ac:dyDescent="0.2">
      <c r="A4385" s="574">
        <v>42718</v>
      </c>
      <c r="B4385" s="574" t="s">
        <v>9972</v>
      </c>
      <c r="C4385" s="574" t="s">
        <v>5555</v>
      </c>
      <c r="D4385" s="582">
        <v>309.99</v>
      </c>
    </row>
    <row r="4386" spans="1:4" x14ac:dyDescent="0.2">
      <c r="A4386" s="574">
        <v>7106</v>
      </c>
      <c r="B4386" s="574" t="s">
        <v>9973</v>
      </c>
      <c r="C4386" s="574" t="s">
        <v>5555</v>
      </c>
      <c r="D4386" s="582">
        <v>126.38</v>
      </c>
    </row>
    <row r="4387" spans="1:4" x14ac:dyDescent="0.2">
      <c r="A4387" s="574">
        <v>7104</v>
      </c>
      <c r="B4387" s="574" t="s">
        <v>9974</v>
      </c>
      <c r="C4387" s="574" t="s">
        <v>5555</v>
      </c>
      <c r="D4387" s="582">
        <v>2.63</v>
      </c>
    </row>
    <row r="4388" spans="1:4" x14ac:dyDescent="0.2">
      <c r="A4388" s="574">
        <v>7136</v>
      </c>
      <c r="B4388" s="574" t="s">
        <v>9975</v>
      </c>
      <c r="C4388" s="574" t="s">
        <v>5555</v>
      </c>
      <c r="D4388" s="582">
        <v>4.95</v>
      </c>
    </row>
    <row r="4389" spans="1:4" x14ac:dyDescent="0.2">
      <c r="A4389" s="574">
        <v>7128</v>
      </c>
      <c r="B4389" s="574" t="s">
        <v>9976</v>
      </c>
      <c r="C4389" s="574" t="s">
        <v>5555</v>
      </c>
      <c r="D4389" s="582">
        <v>8.11</v>
      </c>
    </row>
    <row r="4390" spans="1:4" x14ac:dyDescent="0.2">
      <c r="A4390" s="574">
        <v>7108</v>
      </c>
      <c r="B4390" s="574" t="s">
        <v>9977</v>
      </c>
      <c r="C4390" s="574" t="s">
        <v>5555</v>
      </c>
      <c r="D4390" s="582">
        <v>8.68</v>
      </c>
    </row>
    <row r="4391" spans="1:4" x14ac:dyDescent="0.2">
      <c r="A4391" s="574">
        <v>7129</v>
      </c>
      <c r="B4391" s="574" t="s">
        <v>9978</v>
      </c>
      <c r="C4391" s="574" t="s">
        <v>5555</v>
      </c>
      <c r="D4391" s="582">
        <v>7.22</v>
      </c>
    </row>
    <row r="4392" spans="1:4" x14ac:dyDescent="0.2">
      <c r="A4392" s="574">
        <v>7130</v>
      </c>
      <c r="B4392" s="574" t="s">
        <v>9979</v>
      </c>
      <c r="C4392" s="574" t="s">
        <v>5555</v>
      </c>
      <c r="D4392" s="582">
        <v>11.77</v>
      </c>
    </row>
    <row r="4393" spans="1:4" x14ac:dyDescent="0.2">
      <c r="A4393" s="574">
        <v>7131</v>
      </c>
      <c r="B4393" s="574" t="s">
        <v>9980</v>
      </c>
      <c r="C4393" s="574" t="s">
        <v>5555</v>
      </c>
      <c r="D4393" s="582">
        <v>14.44</v>
      </c>
    </row>
    <row r="4394" spans="1:4" x14ac:dyDescent="0.2">
      <c r="A4394" s="574">
        <v>7132</v>
      </c>
      <c r="B4394" s="574" t="s">
        <v>9981</v>
      </c>
      <c r="C4394" s="574" t="s">
        <v>5555</v>
      </c>
      <c r="D4394" s="582">
        <v>40.1</v>
      </c>
    </row>
    <row r="4395" spans="1:4" x14ac:dyDescent="0.2">
      <c r="A4395" s="574">
        <v>7133</v>
      </c>
      <c r="B4395" s="574" t="s">
        <v>9982</v>
      </c>
      <c r="C4395" s="574" t="s">
        <v>5555</v>
      </c>
      <c r="D4395" s="582">
        <v>62.29</v>
      </c>
    </row>
    <row r="4396" spans="1:4" x14ac:dyDescent="0.2">
      <c r="A4396" s="574">
        <v>37420</v>
      </c>
      <c r="B4396" s="574" t="s">
        <v>9983</v>
      </c>
      <c r="C4396" s="574" t="s">
        <v>5555</v>
      </c>
      <c r="D4396" s="582">
        <v>36.49</v>
      </c>
    </row>
    <row r="4397" spans="1:4" x14ac:dyDescent="0.2">
      <c r="A4397" s="574">
        <v>37421</v>
      </c>
      <c r="B4397" s="574" t="s">
        <v>9984</v>
      </c>
      <c r="C4397" s="574" t="s">
        <v>5555</v>
      </c>
      <c r="D4397" s="582">
        <v>49.87</v>
      </c>
    </row>
    <row r="4398" spans="1:4" x14ac:dyDescent="0.2">
      <c r="A4398" s="574">
        <v>37422</v>
      </c>
      <c r="B4398" s="574" t="s">
        <v>9985</v>
      </c>
      <c r="C4398" s="574" t="s">
        <v>5555</v>
      </c>
      <c r="D4398" s="582">
        <v>46.68</v>
      </c>
    </row>
    <row r="4399" spans="1:4" x14ac:dyDescent="0.2">
      <c r="A4399" s="574">
        <v>37443</v>
      </c>
      <c r="B4399" s="574" t="s">
        <v>9986</v>
      </c>
      <c r="C4399" s="574" t="s">
        <v>5555</v>
      </c>
      <c r="D4399" s="582">
        <v>141.35</v>
      </c>
    </row>
    <row r="4400" spans="1:4" x14ac:dyDescent="0.2">
      <c r="A4400" s="574">
        <v>37444</v>
      </c>
      <c r="B4400" s="574" t="s">
        <v>9987</v>
      </c>
      <c r="C4400" s="574" t="s">
        <v>5555</v>
      </c>
      <c r="D4400" s="582">
        <v>143.74</v>
      </c>
    </row>
    <row r="4401" spans="1:4" x14ac:dyDescent="0.2">
      <c r="A4401" s="574">
        <v>37445</v>
      </c>
      <c r="B4401" s="574" t="s">
        <v>9988</v>
      </c>
      <c r="C4401" s="574" t="s">
        <v>5555</v>
      </c>
      <c r="D4401" s="582">
        <v>217.88</v>
      </c>
    </row>
    <row r="4402" spans="1:4" x14ac:dyDescent="0.2">
      <c r="A4402" s="574">
        <v>37446</v>
      </c>
      <c r="B4402" s="574" t="s">
        <v>9989</v>
      </c>
      <c r="C4402" s="574" t="s">
        <v>5555</v>
      </c>
      <c r="D4402" s="582">
        <v>237.52</v>
      </c>
    </row>
    <row r="4403" spans="1:4" x14ac:dyDescent="0.2">
      <c r="A4403" s="574">
        <v>37447</v>
      </c>
      <c r="B4403" s="574" t="s">
        <v>9990</v>
      </c>
      <c r="C4403" s="574" t="s">
        <v>5555</v>
      </c>
      <c r="D4403" s="582">
        <v>241.24</v>
      </c>
    </row>
    <row r="4404" spans="1:4" x14ac:dyDescent="0.2">
      <c r="A4404" s="574">
        <v>37448</v>
      </c>
      <c r="B4404" s="574" t="s">
        <v>9991</v>
      </c>
      <c r="C4404" s="574" t="s">
        <v>5555</v>
      </c>
      <c r="D4404" s="582">
        <v>330.9</v>
      </c>
    </row>
    <row r="4405" spans="1:4" x14ac:dyDescent="0.2">
      <c r="A4405" s="574">
        <v>37440</v>
      </c>
      <c r="B4405" s="574" t="s">
        <v>9992</v>
      </c>
      <c r="C4405" s="574" t="s">
        <v>5555</v>
      </c>
      <c r="D4405" s="582">
        <v>112.19</v>
      </c>
    </row>
    <row r="4406" spans="1:4" x14ac:dyDescent="0.2">
      <c r="A4406" s="574">
        <v>37441</v>
      </c>
      <c r="B4406" s="574" t="s">
        <v>9993</v>
      </c>
      <c r="C4406" s="574" t="s">
        <v>5555</v>
      </c>
      <c r="D4406" s="582">
        <v>112.19</v>
      </c>
    </row>
    <row r="4407" spans="1:4" x14ac:dyDescent="0.2">
      <c r="A4407" s="574">
        <v>37442</v>
      </c>
      <c r="B4407" s="574" t="s">
        <v>9994</v>
      </c>
      <c r="C4407" s="574" t="s">
        <v>5555</v>
      </c>
      <c r="D4407" s="582">
        <v>135.12</v>
      </c>
    </row>
    <row r="4408" spans="1:4" x14ac:dyDescent="0.2">
      <c r="A4408" s="574">
        <v>38017</v>
      </c>
      <c r="B4408" s="574" t="s">
        <v>9995</v>
      </c>
      <c r="C4408" s="574" t="s">
        <v>5555</v>
      </c>
      <c r="D4408" s="582">
        <v>7.72</v>
      </c>
    </row>
    <row r="4409" spans="1:4" x14ac:dyDescent="0.2">
      <c r="A4409" s="574">
        <v>38018</v>
      </c>
      <c r="B4409" s="574" t="s">
        <v>9996</v>
      </c>
      <c r="C4409" s="574" t="s">
        <v>5555</v>
      </c>
      <c r="D4409" s="582">
        <v>8.52</v>
      </c>
    </row>
    <row r="4410" spans="1:4" x14ac:dyDescent="0.2">
      <c r="A4410" s="574">
        <v>39895</v>
      </c>
      <c r="B4410" s="574" t="s">
        <v>9997</v>
      </c>
      <c r="C4410" s="574" t="s">
        <v>5555</v>
      </c>
      <c r="D4410" s="582">
        <v>33.97</v>
      </c>
    </row>
    <row r="4411" spans="1:4" x14ac:dyDescent="0.2">
      <c r="A4411" s="574">
        <v>39896</v>
      </c>
      <c r="B4411" s="574" t="s">
        <v>9998</v>
      </c>
      <c r="C4411" s="574" t="s">
        <v>5555</v>
      </c>
      <c r="D4411" s="582">
        <v>49.79</v>
      </c>
    </row>
    <row r="4412" spans="1:4" x14ac:dyDescent="0.2">
      <c r="A4412" s="574">
        <v>38873</v>
      </c>
      <c r="B4412" s="574" t="s">
        <v>9999</v>
      </c>
      <c r="C4412" s="574" t="s">
        <v>5555</v>
      </c>
      <c r="D4412" s="582">
        <v>12.79</v>
      </c>
    </row>
    <row r="4413" spans="1:4" x14ac:dyDescent="0.2">
      <c r="A4413" s="574">
        <v>38874</v>
      </c>
      <c r="B4413" s="574" t="s">
        <v>10000</v>
      </c>
      <c r="C4413" s="574" t="s">
        <v>5555</v>
      </c>
      <c r="D4413" s="582">
        <v>15.56</v>
      </c>
    </row>
    <row r="4414" spans="1:4" x14ac:dyDescent="0.2">
      <c r="A4414" s="574">
        <v>38875</v>
      </c>
      <c r="B4414" s="574" t="s">
        <v>10001</v>
      </c>
      <c r="C4414" s="574" t="s">
        <v>5555</v>
      </c>
      <c r="D4414" s="582">
        <v>27.5</v>
      </c>
    </row>
    <row r="4415" spans="1:4" x14ac:dyDescent="0.2">
      <c r="A4415" s="574">
        <v>38876</v>
      </c>
      <c r="B4415" s="574" t="s">
        <v>10002</v>
      </c>
      <c r="C4415" s="574" t="s">
        <v>5555</v>
      </c>
      <c r="D4415" s="582">
        <v>37</v>
      </c>
    </row>
    <row r="4416" spans="1:4" x14ac:dyDescent="0.2">
      <c r="A4416" s="574">
        <v>39000</v>
      </c>
      <c r="B4416" s="574" t="s">
        <v>10003</v>
      </c>
      <c r="C4416" s="574" t="s">
        <v>5555</v>
      </c>
      <c r="D4416" s="582">
        <v>23.3</v>
      </c>
    </row>
    <row r="4417" spans="1:4" x14ac:dyDescent="0.2">
      <c r="A4417" s="574">
        <v>38674</v>
      </c>
      <c r="B4417" s="574" t="s">
        <v>10004</v>
      </c>
      <c r="C4417" s="574" t="s">
        <v>5555</v>
      </c>
      <c r="D4417" s="582">
        <v>26.85</v>
      </c>
    </row>
    <row r="4418" spans="1:4" x14ac:dyDescent="0.2">
      <c r="A4418" s="574">
        <v>38911</v>
      </c>
      <c r="B4418" s="574" t="s">
        <v>10005</v>
      </c>
      <c r="C4418" s="574" t="s">
        <v>5555</v>
      </c>
      <c r="D4418" s="582">
        <v>45.88</v>
      </c>
    </row>
    <row r="4419" spans="1:4" x14ac:dyDescent="0.2">
      <c r="A4419" s="574">
        <v>38912</v>
      </c>
      <c r="B4419" s="574" t="s">
        <v>10006</v>
      </c>
      <c r="C4419" s="574" t="s">
        <v>5555</v>
      </c>
      <c r="D4419" s="582">
        <v>58.31</v>
      </c>
    </row>
    <row r="4420" spans="1:4" x14ac:dyDescent="0.2">
      <c r="A4420" s="574">
        <v>38019</v>
      </c>
      <c r="B4420" s="574" t="s">
        <v>10007</v>
      </c>
      <c r="C4420" s="574" t="s">
        <v>5555</v>
      </c>
      <c r="D4420" s="582">
        <v>6.73</v>
      </c>
    </row>
    <row r="4421" spans="1:4" x14ac:dyDescent="0.2">
      <c r="A4421" s="574">
        <v>38020</v>
      </c>
      <c r="B4421" s="574" t="s">
        <v>10008</v>
      </c>
      <c r="C4421" s="574" t="s">
        <v>5555</v>
      </c>
      <c r="D4421" s="582">
        <v>8.52</v>
      </c>
    </row>
    <row r="4422" spans="1:4" x14ac:dyDescent="0.2">
      <c r="A4422" s="574">
        <v>38454</v>
      </c>
      <c r="B4422" s="574" t="s">
        <v>10009</v>
      </c>
      <c r="C4422" s="574" t="s">
        <v>5555</v>
      </c>
      <c r="D4422" s="582">
        <v>4.25</v>
      </c>
    </row>
    <row r="4423" spans="1:4" x14ac:dyDescent="0.2">
      <c r="A4423" s="574">
        <v>38455</v>
      </c>
      <c r="B4423" s="574" t="s">
        <v>10010</v>
      </c>
      <c r="C4423" s="574" t="s">
        <v>5555</v>
      </c>
      <c r="D4423" s="582">
        <v>3.89</v>
      </c>
    </row>
    <row r="4424" spans="1:4" x14ac:dyDescent="0.2">
      <c r="A4424" s="574">
        <v>38462</v>
      </c>
      <c r="B4424" s="574" t="s">
        <v>10011</v>
      </c>
      <c r="C4424" s="574" t="s">
        <v>5555</v>
      </c>
      <c r="D4424" s="582">
        <v>109.88</v>
      </c>
    </row>
    <row r="4425" spans="1:4" x14ac:dyDescent="0.2">
      <c r="A4425" s="574">
        <v>36362</v>
      </c>
      <c r="B4425" s="574" t="s">
        <v>10012</v>
      </c>
      <c r="C4425" s="574" t="s">
        <v>5555</v>
      </c>
      <c r="D4425" s="582">
        <v>1.67</v>
      </c>
    </row>
    <row r="4426" spans="1:4" x14ac:dyDescent="0.2">
      <c r="A4426" s="574">
        <v>36298</v>
      </c>
      <c r="B4426" s="574" t="s">
        <v>10013</v>
      </c>
      <c r="C4426" s="574" t="s">
        <v>5555</v>
      </c>
      <c r="D4426" s="582">
        <v>2.48</v>
      </c>
    </row>
    <row r="4427" spans="1:4" x14ac:dyDescent="0.2">
      <c r="A4427" s="574">
        <v>38456</v>
      </c>
      <c r="B4427" s="574" t="s">
        <v>10014</v>
      </c>
      <c r="C4427" s="574" t="s">
        <v>5555</v>
      </c>
      <c r="D4427" s="582">
        <v>4.04</v>
      </c>
    </row>
    <row r="4428" spans="1:4" x14ac:dyDescent="0.2">
      <c r="A4428" s="574">
        <v>38457</v>
      </c>
      <c r="B4428" s="574" t="s">
        <v>10015</v>
      </c>
      <c r="C4428" s="574" t="s">
        <v>5555</v>
      </c>
      <c r="D4428" s="582">
        <v>9.11</v>
      </c>
    </row>
    <row r="4429" spans="1:4" x14ac:dyDescent="0.2">
      <c r="A4429" s="574">
        <v>38458</v>
      </c>
      <c r="B4429" s="574" t="s">
        <v>10016</v>
      </c>
      <c r="C4429" s="574" t="s">
        <v>5555</v>
      </c>
      <c r="D4429" s="582">
        <v>12.21</v>
      </c>
    </row>
    <row r="4430" spans="1:4" x14ac:dyDescent="0.2">
      <c r="A4430" s="574">
        <v>38459</v>
      </c>
      <c r="B4430" s="574" t="s">
        <v>10017</v>
      </c>
      <c r="C4430" s="574" t="s">
        <v>5555</v>
      </c>
      <c r="D4430" s="582">
        <v>21.55</v>
      </c>
    </row>
    <row r="4431" spans="1:4" x14ac:dyDescent="0.2">
      <c r="A4431" s="574">
        <v>38460</v>
      </c>
      <c r="B4431" s="574" t="s">
        <v>10018</v>
      </c>
      <c r="C4431" s="574" t="s">
        <v>5555</v>
      </c>
      <c r="D4431" s="582">
        <v>45.01</v>
      </c>
    </row>
    <row r="4432" spans="1:4" x14ac:dyDescent="0.2">
      <c r="A4432" s="574">
        <v>38461</v>
      </c>
      <c r="B4432" s="574" t="s">
        <v>10019</v>
      </c>
      <c r="C4432" s="574" t="s">
        <v>5555</v>
      </c>
      <c r="D4432" s="582">
        <v>68.67</v>
      </c>
    </row>
    <row r="4433" spans="1:4" x14ac:dyDescent="0.2">
      <c r="A4433" s="574">
        <v>7094</v>
      </c>
      <c r="B4433" s="574" t="s">
        <v>10020</v>
      </c>
      <c r="C4433" s="574" t="s">
        <v>5555</v>
      </c>
      <c r="D4433" s="582">
        <v>9.1</v>
      </c>
    </row>
    <row r="4434" spans="1:4" x14ac:dyDescent="0.2">
      <c r="A4434" s="574">
        <v>7116</v>
      </c>
      <c r="B4434" s="574" t="s">
        <v>10021</v>
      </c>
      <c r="C4434" s="574" t="s">
        <v>5555</v>
      </c>
      <c r="D4434" s="582">
        <v>2.12</v>
      </c>
    </row>
    <row r="4435" spans="1:4" x14ac:dyDescent="0.2">
      <c r="A4435" s="574">
        <v>7118</v>
      </c>
      <c r="B4435" s="574" t="s">
        <v>10022</v>
      </c>
      <c r="C4435" s="574" t="s">
        <v>5555</v>
      </c>
      <c r="D4435" s="582">
        <v>20.09</v>
      </c>
    </row>
    <row r="4436" spans="1:4" x14ac:dyDescent="0.2">
      <c r="A4436" s="574">
        <v>7117</v>
      </c>
      <c r="B4436" s="574" t="s">
        <v>10023</v>
      </c>
      <c r="C4436" s="574" t="s">
        <v>5555</v>
      </c>
      <c r="D4436" s="582">
        <v>17.86</v>
      </c>
    </row>
    <row r="4437" spans="1:4" x14ac:dyDescent="0.2">
      <c r="A4437" s="574">
        <v>7098</v>
      </c>
      <c r="B4437" s="574" t="s">
        <v>10024</v>
      </c>
      <c r="C4437" s="574" t="s">
        <v>5555</v>
      </c>
      <c r="D4437" s="582">
        <v>2.4900000000000002</v>
      </c>
    </row>
    <row r="4438" spans="1:4" x14ac:dyDescent="0.2">
      <c r="A4438" s="574">
        <v>7110</v>
      </c>
      <c r="B4438" s="574" t="s">
        <v>10025</v>
      </c>
      <c r="C4438" s="574" t="s">
        <v>5555</v>
      </c>
      <c r="D4438" s="582">
        <v>43.7</v>
      </c>
    </row>
    <row r="4439" spans="1:4" x14ac:dyDescent="0.2">
      <c r="A4439" s="574">
        <v>7123</v>
      </c>
      <c r="B4439" s="574" t="s">
        <v>10026</v>
      </c>
      <c r="C4439" s="574" t="s">
        <v>5555</v>
      </c>
      <c r="D4439" s="582">
        <v>3.2</v>
      </c>
    </row>
    <row r="4440" spans="1:4" x14ac:dyDescent="0.2">
      <c r="A4440" s="574">
        <v>7121</v>
      </c>
      <c r="B4440" s="574" t="s">
        <v>10027</v>
      </c>
      <c r="C4440" s="574" t="s">
        <v>5555</v>
      </c>
      <c r="D4440" s="582">
        <v>7.89</v>
      </c>
    </row>
    <row r="4441" spans="1:4" x14ac:dyDescent="0.2">
      <c r="A4441" s="574">
        <v>7137</v>
      </c>
      <c r="B4441" s="574" t="s">
        <v>10028</v>
      </c>
      <c r="C4441" s="574" t="s">
        <v>5555</v>
      </c>
      <c r="D4441" s="582">
        <v>7.11</v>
      </c>
    </row>
    <row r="4442" spans="1:4" x14ac:dyDescent="0.2">
      <c r="A4442" s="574">
        <v>7122</v>
      </c>
      <c r="B4442" s="574" t="s">
        <v>10029</v>
      </c>
      <c r="C4442" s="574" t="s">
        <v>5555</v>
      </c>
      <c r="D4442" s="582">
        <v>8.8800000000000008</v>
      </c>
    </row>
    <row r="4443" spans="1:4" x14ac:dyDescent="0.2">
      <c r="A4443" s="574">
        <v>7114</v>
      </c>
      <c r="B4443" s="574" t="s">
        <v>10030</v>
      </c>
      <c r="C4443" s="574" t="s">
        <v>5555</v>
      </c>
      <c r="D4443" s="582">
        <v>13.69</v>
      </c>
    </row>
    <row r="4444" spans="1:4" x14ac:dyDescent="0.2">
      <c r="A4444" s="574">
        <v>7109</v>
      </c>
      <c r="B4444" s="574" t="s">
        <v>10031</v>
      </c>
      <c r="C4444" s="574" t="s">
        <v>5555</v>
      </c>
      <c r="D4444" s="582">
        <v>2.4</v>
      </c>
    </row>
    <row r="4445" spans="1:4" x14ac:dyDescent="0.2">
      <c r="A4445" s="574">
        <v>7135</v>
      </c>
      <c r="B4445" s="574" t="s">
        <v>10032</v>
      </c>
      <c r="C4445" s="574" t="s">
        <v>5555</v>
      </c>
      <c r="D4445" s="582">
        <v>3.74</v>
      </c>
    </row>
    <row r="4446" spans="1:4" x14ac:dyDescent="0.2">
      <c r="A4446" s="574">
        <v>37947</v>
      </c>
      <c r="B4446" s="574" t="s">
        <v>10033</v>
      </c>
      <c r="C4446" s="574" t="s">
        <v>5555</v>
      </c>
      <c r="D4446" s="582">
        <v>3.79</v>
      </c>
    </row>
    <row r="4447" spans="1:4" x14ac:dyDescent="0.2">
      <c r="A4447" s="574">
        <v>7103</v>
      </c>
      <c r="B4447" s="574" t="s">
        <v>10034</v>
      </c>
      <c r="C4447" s="574" t="s">
        <v>5555</v>
      </c>
      <c r="D4447" s="582">
        <v>8.69</v>
      </c>
    </row>
    <row r="4448" spans="1:4" x14ac:dyDescent="0.2">
      <c r="A4448" s="574">
        <v>40419</v>
      </c>
      <c r="B4448" s="574" t="s">
        <v>10035</v>
      </c>
      <c r="C4448" s="574" t="s">
        <v>5555</v>
      </c>
      <c r="D4448" s="582">
        <v>32.130000000000003</v>
      </c>
    </row>
    <row r="4449" spans="1:4" x14ac:dyDescent="0.2">
      <c r="A4449" s="574">
        <v>40420</v>
      </c>
      <c r="B4449" s="574" t="s">
        <v>10036</v>
      </c>
      <c r="C4449" s="574" t="s">
        <v>5555</v>
      </c>
      <c r="D4449" s="582">
        <v>46.88</v>
      </c>
    </row>
    <row r="4450" spans="1:4" x14ac:dyDescent="0.2">
      <c r="A4450" s="574">
        <v>40421</v>
      </c>
      <c r="B4450" s="574" t="s">
        <v>10037</v>
      </c>
      <c r="C4450" s="574" t="s">
        <v>5555</v>
      </c>
      <c r="D4450" s="582">
        <v>49.91</v>
      </c>
    </row>
    <row r="4451" spans="1:4" x14ac:dyDescent="0.2">
      <c r="A4451" s="574">
        <v>7126</v>
      </c>
      <c r="B4451" s="574" t="s">
        <v>10038</v>
      </c>
      <c r="C4451" s="574" t="s">
        <v>5555</v>
      </c>
      <c r="D4451" s="582">
        <v>18.23</v>
      </c>
    </row>
    <row r="4452" spans="1:4" x14ac:dyDescent="0.2">
      <c r="A4452" s="574">
        <v>38905</v>
      </c>
      <c r="B4452" s="574" t="s">
        <v>10039</v>
      </c>
      <c r="C4452" s="574" t="s">
        <v>5555</v>
      </c>
      <c r="D4452" s="582">
        <v>14.38</v>
      </c>
    </row>
    <row r="4453" spans="1:4" x14ac:dyDescent="0.2">
      <c r="A4453" s="574">
        <v>38907</v>
      </c>
      <c r="B4453" s="574" t="s">
        <v>10040</v>
      </c>
      <c r="C4453" s="574" t="s">
        <v>5555</v>
      </c>
      <c r="D4453" s="582">
        <v>15.29</v>
      </c>
    </row>
    <row r="4454" spans="1:4" x14ac:dyDescent="0.2">
      <c r="A4454" s="574">
        <v>38908</v>
      </c>
      <c r="B4454" s="574" t="s">
        <v>10041</v>
      </c>
      <c r="C4454" s="574" t="s">
        <v>5555</v>
      </c>
      <c r="D4454" s="582">
        <v>17.21</v>
      </c>
    </row>
    <row r="4455" spans="1:4" x14ac:dyDescent="0.2">
      <c r="A4455" s="574">
        <v>38909</v>
      </c>
      <c r="B4455" s="574" t="s">
        <v>10042</v>
      </c>
      <c r="C4455" s="574" t="s">
        <v>5555</v>
      </c>
      <c r="D4455" s="582">
        <v>24.75</v>
      </c>
    </row>
    <row r="4456" spans="1:4" x14ac:dyDescent="0.2">
      <c r="A4456" s="574">
        <v>38910</v>
      </c>
      <c r="B4456" s="574" t="s">
        <v>10043</v>
      </c>
      <c r="C4456" s="574" t="s">
        <v>5555</v>
      </c>
      <c r="D4456" s="582">
        <v>26.73</v>
      </c>
    </row>
    <row r="4457" spans="1:4" x14ac:dyDescent="0.2">
      <c r="A4457" s="574">
        <v>38897</v>
      </c>
      <c r="B4457" s="574" t="s">
        <v>10044</v>
      </c>
      <c r="C4457" s="574" t="s">
        <v>5555</v>
      </c>
      <c r="D4457" s="582">
        <v>14.44</v>
      </c>
    </row>
    <row r="4458" spans="1:4" x14ac:dyDescent="0.2">
      <c r="A4458" s="574">
        <v>38899</v>
      </c>
      <c r="B4458" s="574" t="s">
        <v>10045</v>
      </c>
      <c r="C4458" s="574" t="s">
        <v>5555</v>
      </c>
      <c r="D4458" s="582">
        <v>16.239999999999998</v>
      </c>
    </row>
    <row r="4459" spans="1:4" x14ac:dyDescent="0.2">
      <c r="A4459" s="574">
        <v>38900</v>
      </c>
      <c r="B4459" s="574" t="s">
        <v>10046</v>
      </c>
      <c r="C4459" s="574" t="s">
        <v>5555</v>
      </c>
      <c r="D4459" s="582">
        <v>16.93</v>
      </c>
    </row>
    <row r="4460" spans="1:4" x14ac:dyDescent="0.2">
      <c r="A4460" s="574">
        <v>38901</v>
      </c>
      <c r="B4460" s="574" t="s">
        <v>10047</v>
      </c>
      <c r="C4460" s="574" t="s">
        <v>5555</v>
      </c>
      <c r="D4460" s="582">
        <v>27.7</v>
      </c>
    </row>
    <row r="4461" spans="1:4" x14ac:dyDescent="0.2">
      <c r="A4461" s="574">
        <v>38904</v>
      </c>
      <c r="B4461" s="574" t="s">
        <v>10048</v>
      </c>
      <c r="C4461" s="574" t="s">
        <v>5555</v>
      </c>
      <c r="D4461" s="582">
        <v>45</v>
      </c>
    </row>
    <row r="4462" spans="1:4" x14ac:dyDescent="0.2">
      <c r="A4462" s="574">
        <v>38903</v>
      </c>
      <c r="B4462" s="574" t="s">
        <v>10049</v>
      </c>
      <c r="C4462" s="574" t="s">
        <v>5555</v>
      </c>
      <c r="D4462" s="582">
        <v>44.71</v>
      </c>
    </row>
    <row r="4463" spans="1:4" x14ac:dyDescent="0.2">
      <c r="A4463" s="574">
        <v>7091</v>
      </c>
      <c r="B4463" s="574" t="s">
        <v>10050</v>
      </c>
      <c r="C4463" s="574" t="s">
        <v>5555</v>
      </c>
      <c r="D4463" s="582">
        <v>10.01</v>
      </c>
    </row>
    <row r="4464" spans="1:4" x14ac:dyDescent="0.2">
      <c r="A4464" s="574">
        <v>11655</v>
      </c>
      <c r="B4464" s="574" t="s">
        <v>10051</v>
      </c>
      <c r="C4464" s="574" t="s">
        <v>5555</v>
      </c>
      <c r="D4464" s="582">
        <v>9.56</v>
      </c>
    </row>
    <row r="4465" spans="1:4" x14ac:dyDescent="0.2">
      <c r="A4465" s="574">
        <v>11656</v>
      </c>
      <c r="B4465" s="574" t="s">
        <v>10052</v>
      </c>
      <c r="C4465" s="574" t="s">
        <v>5555</v>
      </c>
      <c r="D4465" s="582">
        <v>10</v>
      </c>
    </row>
    <row r="4466" spans="1:4" x14ac:dyDescent="0.2">
      <c r="A4466" s="574">
        <v>37948</v>
      </c>
      <c r="B4466" s="574" t="s">
        <v>10053</v>
      </c>
      <c r="C4466" s="574" t="s">
        <v>5555</v>
      </c>
      <c r="D4466" s="582">
        <v>2.02</v>
      </c>
    </row>
    <row r="4467" spans="1:4" x14ac:dyDescent="0.2">
      <c r="A4467" s="574">
        <v>7097</v>
      </c>
      <c r="B4467" s="574" t="s">
        <v>10054</v>
      </c>
      <c r="C4467" s="574" t="s">
        <v>5555</v>
      </c>
      <c r="D4467" s="582">
        <v>4.4400000000000004</v>
      </c>
    </row>
    <row r="4468" spans="1:4" x14ac:dyDescent="0.2">
      <c r="A4468" s="574">
        <v>11657</v>
      </c>
      <c r="B4468" s="574" t="s">
        <v>10055</v>
      </c>
      <c r="C4468" s="574" t="s">
        <v>5555</v>
      </c>
      <c r="D4468" s="582">
        <v>8.7200000000000006</v>
      </c>
    </row>
    <row r="4469" spans="1:4" x14ac:dyDescent="0.2">
      <c r="A4469" s="574">
        <v>11658</v>
      </c>
      <c r="B4469" s="574" t="s">
        <v>10056</v>
      </c>
      <c r="C4469" s="574" t="s">
        <v>5555</v>
      </c>
      <c r="D4469" s="582">
        <v>8.8800000000000008</v>
      </c>
    </row>
    <row r="4470" spans="1:4" x14ac:dyDescent="0.2">
      <c r="A4470" s="574">
        <v>7146</v>
      </c>
      <c r="B4470" s="574" t="s">
        <v>10057</v>
      </c>
      <c r="C4470" s="574" t="s">
        <v>5555</v>
      </c>
      <c r="D4470" s="582">
        <v>135.33000000000001</v>
      </c>
    </row>
    <row r="4471" spans="1:4" x14ac:dyDescent="0.2">
      <c r="A4471" s="574">
        <v>7138</v>
      </c>
      <c r="B4471" s="574" t="s">
        <v>10058</v>
      </c>
      <c r="C4471" s="574" t="s">
        <v>5555</v>
      </c>
      <c r="D4471" s="582">
        <v>0.76</v>
      </c>
    </row>
    <row r="4472" spans="1:4" x14ac:dyDescent="0.2">
      <c r="A4472" s="574">
        <v>7139</v>
      </c>
      <c r="B4472" s="574" t="s">
        <v>10059</v>
      </c>
      <c r="C4472" s="574" t="s">
        <v>5555</v>
      </c>
      <c r="D4472" s="582">
        <v>1</v>
      </c>
    </row>
    <row r="4473" spans="1:4" x14ac:dyDescent="0.2">
      <c r="A4473" s="574">
        <v>7140</v>
      </c>
      <c r="B4473" s="574" t="s">
        <v>10060</v>
      </c>
      <c r="C4473" s="574" t="s">
        <v>5555</v>
      </c>
      <c r="D4473" s="582">
        <v>3.34</v>
      </c>
    </row>
    <row r="4474" spans="1:4" x14ac:dyDescent="0.2">
      <c r="A4474" s="574">
        <v>7141</v>
      </c>
      <c r="B4474" s="574" t="s">
        <v>10061</v>
      </c>
      <c r="C4474" s="574" t="s">
        <v>5555</v>
      </c>
      <c r="D4474" s="582">
        <v>7.3</v>
      </c>
    </row>
    <row r="4475" spans="1:4" x14ac:dyDescent="0.2">
      <c r="A4475" s="574">
        <v>7143</v>
      </c>
      <c r="B4475" s="574" t="s">
        <v>10062</v>
      </c>
      <c r="C4475" s="574" t="s">
        <v>5555</v>
      </c>
      <c r="D4475" s="582">
        <v>24.32</v>
      </c>
    </row>
    <row r="4476" spans="1:4" x14ac:dyDescent="0.2">
      <c r="A4476" s="574">
        <v>7144</v>
      </c>
      <c r="B4476" s="574" t="s">
        <v>10063</v>
      </c>
      <c r="C4476" s="574" t="s">
        <v>5555</v>
      </c>
      <c r="D4476" s="582">
        <v>48.66</v>
      </c>
    </row>
    <row r="4477" spans="1:4" x14ac:dyDescent="0.2">
      <c r="A4477" s="574">
        <v>7145</v>
      </c>
      <c r="B4477" s="574" t="s">
        <v>10064</v>
      </c>
      <c r="C4477" s="574" t="s">
        <v>5555</v>
      </c>
      <c r="D4477" s="582">
        <v>79.8</v>
      </c>
    </row>
    <row r="4478" spans="1:4" x14ac:dyDescent="0.2">
      <c r="A4478" s="574">
        <v>7142</v>
      </c>
      <c r="B4478" s="574" t="s">
        <v>10065</v>
      </c>
      <c r="C4478" s="574" t="s">
        <v>5555</v>
      </c>
      <c r="D4478" s="582">
        <v>8.16</v>
      </c>
    </row>
    <row r="4479" spans="1:4" x14ac:dyDescent="0.2">
      <c r="A4479" s="574">
        <v>3593</v>
      </c>
      <c r="B4479" s="574" t="s">
        <v>10066</v>
      </c>
      <c r="C4479" s="574" t="s">
        <v>5555</v>
      </c>
      <c r="D4479" s="582">
        <v>54.59</v>
      </c>
    </row>
    <row r="4480" spans="1:4" x14ac:dyDescent="0.2">
      <c r="A4480" s="574">
        <v>3588</v>
      </c>
      <c r="B4480" s="574" t="s">
        <v>10067</v>
      </c>
      <c r="C4480" s="574" t="s">
        <v>5555</v>
      </c>
      <c r="D4480" s="582">
        <v>42.08</v>
      </c>
    </row>
    <row r="4481" spans="1:4" x14ac:dyDescent="0.2">
      <c r="A4481" s="574">
        <v>3585</v>
      </c>
      <c r="B4481" s="574" t="s">
        <v>10068</v>
      </c>
      <c r="C4481" s="574" t="s">
        <v>5555</v>
      </c>
      <c r="D4481" s="582">
        <v>12.99</v>
      </c>
    </row>
    <row r="4482" spans="1:4" x14ac:dyDescent="0.2">
      <c r="A4482" s="574">
        <v>3587</v>
      </c>
      <c r="B4482" s="574" t="s">
        <v>10069</v>
      </c>
      <c r="C4482" s="574" t="s">
        <v>5555</v>
      </c>
      <c r="D4482" s="582">
        <v>26.11</v>
      </c>
    </row>
    <row r="4483" spans="1:4" x14ac:dyDescent="0.2">
      <c r="A4483" s="574">
        <v>3590</v>
      </c>
      <c r="B4483" s="574" t="s">
        <v>10070</v>
      </c>
      <c r="C4483" s="574" t="s">
        <v>5555</v>
      </c>
      <c r="D4483" s="582">
        <v>155.01</v>
      </c>
    </row>
    <row r="4484" spans="1:4" x14ac:dyDescent="0.2">
      <c r="A4484" s="574">
        <v>3589</v>
      </c>
      <c r="B4484" s="574" t="s">
        <v>10071</v>
      </c>
      <c r="C4484" s="574" t="s">
        <v>5555</v>
      </c>
      <c r="D4484" s="582">
        <v>83.2</v>
      </c>
    </row>
    <row r="4485" spans="1:4" x14ac:dyDescent="0.2">
      <c r="A4485" s="574">
        <v>3586</v>
      </c>
      <c r="B4485" s="574" t="s">
        <v>10072</v>
      </c>
      <c r="C4485" s="574" t="s">
        <v>5555</v>
      </c>
      <c r="D4485" s="582">
        <v>17.02</v>
      </c>
    </row>
    <row r="4486" spans="1:4" x14ac:dyDescent="0.2">
      <c r="A4486" s="574">
        <v>3592</v>
      </c>
      <c r="B4486" s="574" t="s">
        <v>10073</v>
      </c>
      <c r="C4486" s="574" t="s">
        <v>5555</v>
      </c>
      <c r="D4486" s="582">
        <v>245.03</v>
      </c>
    </row>
    <row r="4487" spans="1:4" x14ac:dyDescent="0.2">
      <c r="A4487" s="574">
        <v>3591</v>
      </c>
      <c r="B4487" s="574" t="s">
        <v>10074</v>
      </c>
      <c r="C4487" s="574" t="s">
        <v>5555</v>
      </c>
      <c r="D4487" s="582">
        <v>392.8</v>
      </c>
    </row>
    <row r="4488" spans="1:4" x14ac:dyDescent="0.2">
      <c r="A4488" s="574">
        <v>40396</v>
      </c>
      <c r="B4488" s="574" t="s">
        <v>10075</v>
      </c>
      <c r="C4488" s="574" t="s">
        <v>5555</v>
      </c>
      <c r="D4488" s="582">
        <v>73.95</v>
      </c>
    </row>
    <row r="4489" spans="1:4" x14ac:dyDescent="0.2">
      <c r="A4489" s="574">
        <v>40395</v>
      </c>
      <c r="B4489" s="574" t="s">
        <v>10076</v>
      </c>
      <c r="C4489" s="574" t="s">
        <v>5555</v>
      </c>
      <c r="D4489" s="582">
        <v>56.75</v>
      </c>
    </row>
    <row r="4490" spans="1:4" x14ac:dyDescent="0.2">
      <c r="A4490" s="574">
        <v>40392</v>
      </c>
      <c r="B4490" s="574" t="s">
        <v>10077</v>
      </c>
      <c r="C4490" s="574" t="s">
        <v>5555</v>
      </c>
      <c r="D4490" s="582">
        <v>18.260000000000002</v>
      </c>
    </row>
    <row r="4491" spans="1:4" x14ac:dyDescent="0.2">
      <c r="A4491" s="574">
        <v>40394</v>
      </c>
      <c r="B4491" s="574" t="s">
        <v>10078</v>
      </c>
      <c r="C4491" s="574" t="s">
        <v>5555</v>
      </c>
      <c r="D4491" s="582">
        <v>36.950000000000003</v>
      </c>
    </row>
    <row r="4492" spans="1:4" x14ac:dyDescent="0.2">
      <c r="A4492" s="574">
        <v>40398</v>
      </c>
      <c r="B4492" s="574" t="s">
        <v>10079</v>
      </c>
      <c r="C4492" s="574" t="s">
        <v>5555</v>
      </c>
      <c r="D4492" s="582">
        <v>237.26</v>
      </c>
    </row>
    <row r="4493" spans="1:4" x14ac:dyDescent="0.2">
      <c r="A4493" s="574">
        <v>40397</v>
      </c>
      <c r="B4493" s="574" t="s">
        <v>10080</v>
      </c>
      <c r="C4493" s="574" t="s">
        <v>5555</v>
      </c>
      <c r="D4493" s="582">
        <v>121.5</v>
      </c>
    </row>
    <row r="4494" spans="1:4" x14ac:dyDescent="0.2">
      <c r="A4494" s="574">
        <v>40393</v>
      </c>
      <c r="B4494" s="574" t="s">
        <v>10081</v>
      </c>
      <c r="C4494" s="574" t="s">
        <v>5555</v>
      </c>
      <c r="D4494" s="582">
        <v>23.52</v>
      </c>
    </row>
    <row r="4495" spans="1:4" x14ac:dyDescent="0.2">
      <c r="A4495" s="574">
        <v>40399</v>
      </c>
      <c r="B4495" s="574" t="s">
        <v>10082</v>
      </c>
      <c r="C4495" s="574" t="s">
        <v>5555</v>
      </c>
      <c r="D4495" s="582">
        <v>388.15</v>
      </c>
    </row>
    <row r="4496" spans="1:4" x14ac:dyDescent="0.2">
      <c r="A4496" s="574">
        <v>39322</v>
      </c>
      <c r="B4496" s="574" t="s">
        <v>10083</v>
      </c>
      <c r="C4496" s="574" t="s">
        <v>5555</v>
      </c>
      <c r="D4496" s="582">
        <v>17.440000000000001</v>
      </c>
    </row>
    <row r="4497" spans="1:4" x14ac:dyDescent="0.2">
      <c r="A4497" s="574">
        <v>39289</v>
      </c>
      <c r="B4497" s="574" t="s">
        <v>10084</v>
      </c>
      <c r="C4497" s="574" t="s">
        <v>5555</v>
      </c>
      <c r="D4497" s="582">
        <v>20.89</v>
      </c>
    </row>
    <row r="4498" spans="1:4" x14ac:dyDescent="0.2">
      <c r="A4498" s="574">
        <v>39290</v>
      </c>
      <c r="B4498" s="574" t="s">
        <v>10085</v>
      </c>
      <c r="C4498" s="574" t="s">
        <v>5555</v>
      </c>
      <c r="D4498" s="582">
        <v>35.46</v>
      </c>
    </row>
    <row r="4499" spans="1:4" x14ac:dyDescent="0.2">
      <c r="A4499" s="574">
        <v>39291</v>
      </c>
      <c r="B4499" s="574" t="s">
        <v>10086</v>
      </c>
      <c r="C4499" s="574" t="s">
        <v>5555</v>
      </c>
      <c r="D4499" s="582">
        <v>53.09</v>
      </c>
    </row>
    <row r="4500" spans="1:4" x14ac:dyDescent="0.2">
      <c r="A4500" s="574">
        <v>20174</v>
      </c>
      <c r="B4500" s="574" t="s">
        <v>10087</v>
      </c>
      <c r="C4500" s="574" t="s">
        <v>5555</v>
      </c>
      <c r="D4500" s="582">
        <v>24.4</v>
      </c>
    </row>
    <row r="4501" spans="1:4" x14ac:dyDescent="0.2">
      <c r="A4501" s="574">
        <v>41892</v>
      </c>
      <c r="B4501" s="574" t="s">
        <v>10088</v>
      </c>
      <c r="C4501" s="574" t="s">
        <v>5555</v>
      </c>
      <c r="D4501" s="582">
        <v>85.06</v>
      </c>
    </row>
    <row r="4502" spans="1:4" x14ac:dyDescent="0.2">
      <c r="A4502" s="574">
        <v>7048</v>
      </c>
      <c r="B4502" s="574" t="s">
        <v>10089</v>
      </c>
      <c r="C4502" s="574" t="s">
        <v>5555</v>
      </c>
      <c r="D4502" s="582">
        <v>18.36</v>
      </c>
    </row>
    <row r="4503" spans="1:4" x14ac:dyDescent="0.2">
      <c r="A4503" s="574">
        <v>7088</v>
      </c>
      <c r="B4503" s="574" t="s">
        <v>10090</v>
      </c>
      <c r="C4503" s="574" t="s">
        <v>5555</v>
      </c>
      <c r="D4503" s="582">
        <v>40.15</v>
      </c>
    </row>
    <row r="4504" spans="1:4" x14ac:dyDescent="0.2">
      <c r="A4504" s="574">
        <v>20179</v>
      </c>
      <c r="B4504" s="574" t="s">
        <v>10091</v>
      </c>
      <c r="C4504" s="574" t="s">
        <v>5555</v>
      </c>
      <c r="D4504" s="582">
        <v>32.840000000000003</v>
      </c>
    </row>
    <row r="4505" spans="1:4" x14ac:dyDescent="0.2">
      <c r="A4505" s="574">
        <v>20178</v>
      </c>
      <c r="B4505" s="574" t="s">
        <v>10092</v>
      </c>
      <c r="C4505" s="574" t="s">
        <v>5555</v>
      </c>
      <c r="D4505" s="582">
        <v>29.02</v>
      </c>
    </row>
    <row r="4506" spans="1:4" x14ac:dyDescent="0.2">
      <c r="A4506" s="574">
        <v>20180</v>
      </c>
      <c r="B4506" s="574" t="s">
        <v>10093</v>
      </c>
      <c r="C4506" s="574" t="s">
        <v>5555</v>
      </c>
      <c r="D4506" s="582">
        <v>53.34</v>
      </c>
    </row>
    <row r="4507" spans="1:4" x14ac:dyDescent="0.2">
      <c r="A4507" s="574">
        <v>20181</v>
      </c>
      <c r="B4507" s="574" t="s">
        <v>10094</v>
      </c>
      <c r="C4507" s="574" t="s">
        <v>5555</v>
      </c>
      <c r="D4507" s="582">
        <v>79.12</v>
      </c>
    </row>
    <row r="4508" spans="1:4" x14ac:dyDescent="0.2">
      <c r="A4508" s="574">
        <v>20177</v>
      </c>
      <c r="B4508" s="574" t="s">
        <v>10095</v>
      </c>
      <c r="C4508" s="574" t="s">
        <v>5555</v>
      </c>
      <c r="D4508" s="582">
        <v>19.02</v>
      </c>
    </row>
    <row r="4509" spans="1:4" x14ac:dyDescent="0.2">
      <c r="A4509" s="574">
        <v>7082</v>
      </c>
      <c r="B4509" s="574" t="s">
        <v>10096</v>
      </c>
      <c r="C4509" s="574" t="s">
        <v>5555</v>
      </c>
      <c r="D4509" s="582">
        <v>30.08</v>
      </c>
    </row>
    <row r="4510" spans="1:4" x14ac:dyDescent="0.2">
      <c r="A4510" s="574">
        <v>42707</v>
      </c>
      <c r="B4510" s="574" t="s">
        <v>10097</v>
      </c>
      <c r="C4510" s="574" t="s">
        <v>5555</v>
      </c>
      <c r="D4510" s="582">
        <v>81.680000000000007</v>
      </c>
    </row>
    <row r="4511" spans="1:4" x14ac:dyDescent="0.2">
      <c r="A4511" s="574">
        <v>7069</v>
      </c>
      <c r="B4511" s="574" t="s">
        <v>10098</v>
      </c>
      <c r="C4511" s="574" t="s">
        <v>5555</v>
      </c>
      <c r="D4511" s="582">
        <v>66.75</v>
      </c>
    </row>
    <row r="4512" spans="1:4" x14ac:dyDescent="0.2">
      <c r="A4512" s="574">
        <v>42708</v>
      </c>
      <c r="B4512" s="574" t="s">
        <v>10099</v>
      </c>
      <c r="C4512" s="574" t="s">
        <v>5555</v>
      </c>
      <c r="D4512" s="582">
        <v>214.4</v>
      </c>
    </row>
    <row r="4513" spans="1:4" x14ac:dyDescent="0.2">
      <c r="A4513" s="574">
        <v>7070</v>
      </c>
      <c r="B4513" s="574" t="s">
        <v>10100</v>
      </c>
      <c r="C4513" s="574" t="s">
        <v>5555</v>
      </c>
      <c r="D4513" s="582">
        <v>95.59</v>
      </c>
    </row>
    <row r="4514" spans="1:4" x14ac:dyDescent="0.2">
      <c r="A4514" s="574">
        <v>42709</v>
      </c>
      <c r="B4514" s="574" t="s">
        <v>10101</v>
      </c>
      <c r="C4514" s="574" t="s">
        <v>5555</v>
      </c>
      <c r="D4514" s="582">
        <v>320.64</v>
      </c>
    </row>
    <row r="4515" spans="1:4" x14ac:dyDescent="0.2">
      <c r="A4515" s="574">
        <v>42710</v>
      </c>
      <c r="B4515" s="574" t="s">
        <v>10102</v>
      </c>
      <c r="C4515" s="574" t="s">
        <v>5555</v>
      </c>
      <c r="D4515" s="582">
        <v>921.7</v>
      </c>
    </row>
    <row r="4516" spans="1:4" x14ac:dyDescent="0.2">
      <c r="A4516" s="574">
        <v>42716</v>
      </c>
      <c r="B4516" s="574" t="s">
        <v>10103</v>
      </c>
      <c r="C4516" s="574" t="s">
        <v>5555</v>
      </c>
      <c r="D4516" s="583">
        <v>1147.21</v>
      </c>
    </row>
    <row r="4517" spans="1:4" x14ac:dyDescent="0.2">
      <c r="A4517" s="574">
        <v>20172</v>
      </c>
      <c r="B4517" s="574" t="s">
        <v>10104</v>
      </c>
      <c r="C4517" s="574" t="s">
        <v>5555</v>
      </c>
      <c r="D4517" s="582">
        <v>22.06</v>
      </c>
    </row>
    <row r="4518" spans="1:4" x14ac:dyDescent="0.2">
      <c r="A4518" s="574">
        <v>40945</v>
      </c>
      <c r="B4518" s="574" t="s">
        <v>10105</v>
      </c>
      <c r="C4518" s="574" t="s">
        <v>5566</v>
      </c>
      <c r="D4518" s="582">
        <v>30.98</v>
      </c>
    </row>
    <row r="4519" spans="1:4" x14ac:dyDescent="0.2">
      <c r="A4519" s="574">
        <v>40946</v>
      </c>
      <c r="B4519" s="574" t="s">
        <v>10106</v>
      </c>
      <c r="C4519" s="574" t="s">
        <v>5755</v>
      </c>
      <c r="D4519" s="583">
        <v>5417.21</v>
      </c>
    </row>
    <row r="4520" spans="1:4" x14ac:dyDescent="0.2">
      <c r="A4520" s="574">
        <v>7153</v>
      </c>
      <c r="B4520" s="574" t="s">
        <v>10107</v>
      </c>
      <c r="C4520" s="574" t="s">
        <v>5566</v>
      </c>
      <c r="D4520" s="582">
        <v>24.24</v>
      </c>
    </row>
    <row r="4521" spans="1:4" x14ac:dyDescent="0.2">
      <c r="A4521" s="574">
        <v>41089</v>
      </c>
      <c r="B4521" s="574" t="s">
        <v>10108</v>
      </c>
      <c r="C4521" s="574" t="s">
        <v>5755</v>
      </c>
      <c r="D4521" s="583">
        <v>4239.97</v>
      </c>
    </row>
    <row r="4522" spans="1:4" x14ac:dyDescent="0.2">
      <c r="A4522" s="574">
        <v>40943</v>
      </c>
      <c r="B4522" s="574" t="s">
        <v>10109</v>
      </c>
      <c r="C4522" s="574" t="s">
        <v>5566</v>
      </c>
      <c r="D4522" s="582">
        <v>20.97</v>
      </c>
    </row>
    <row r="4523" spans="1:4" x14ac:dyDescent="0.2">
      <c r="A4523" s="574">
        <v>40944</v>
      </c>
      <c r="B4523" s="574" t="s">
        <v>10110</v>
      </c>
      <c r="C4523" s="574" t="s">
        <v>5755</v>
      </c>
      <c r="D4523" s="583">
        <v>3668.03</v>
      </c>
    </row>
    <row r="4524" spans="1:4" x14ac:dyDescent="0.2">
      <c r="A4524" s="574">
        <v>6175</v>
      </c>
      <c r="B4524" s="574" t="s">
        <v>10111</v>
      </c>
      <c r="C4524" s="574" t="s">
        <v>5566</v>
      </c>
      <c r="D4524" s="582">
        <v>19.68</v>
      </c>
    </row>
    <row r="4525" spans="1:4" x14ac:dyDescent="0.2">
      <c r="A4525" s="574">
        <v>41092</v>
      </c>
      <c r="B4525" s="574" t="s">
        <v>10112</v>
      </c>
      <c r="C4525" s="574" t="s">
        <v>5755</v>
      </c>
      <c r="D4525" s="583">
        <v>3443.97</v>
      </c>
    </row>
    <row r="4526" spans="1:4" x14ac:dyDescent="0.2">
      <c r="A4526" s="574">
        <v>37712</v>
      </c>
      <c r="B4526" s="574" t="s">
        <v>10113</v>
      </c>
      <c r="C4526" s="574" t="s">
        <v>5564</v>
      </c>
      <c r="D4526" s="582">
        <v>61.49</v>
      </c>
    </row>
    <row r="4527" spans="1:4" x14ac:dyDescent="0.2">
      <c r="A4527" s="574">
        <v>34547</v>
      </c>
      <c r="B4527" s="574" t="s">
        <v>10114</v>
      </c>
      <c r="C4527" s="574" t="s">
        <v>5575</v>
      </c>
      <c r="D4527" s="582">
        <v>3.03</v>
      </c>
    </row>
    <row r="4528" spans="1:4" x14ac:dyDescent="0.2">
      <c r="A4528" s="574">
        <v>34548</v>
      </c>
      <c r="B4528" s="574" t="s">
        <v>10115</v>
      </c>
      <c r="C4528" s="574" t="s">
        <v>5575</v>
      </c>
      <c r="D4528" s="582">
        <v>4.97</v>
      </c>
    </row>
    <row r="4529" spans="1:4" x14ac:dyDescent="0.2">
      <c r="A4529" s="574">
        <v>34558</v>
      </c>
      <c r="B4529" s="574" t="s">
        <v>10117</v>
      </c>
      <c r="C4529" s="574" t="s">
        <v>5575</v>
      </c>
      <c r="D4529" s="582">
        <v>2.46</v>
      </c>
    </row>
    <row r="4530" spans="1:4" x14ac:dyDescent="0.2">
      <c r="A4530" s="574">
        <v>34550</v>
      </c>
      <c r="B4530" s="574" t="s">
        <v>10118</v>
      </c>
      <c r="C4530" s="574" t="s">
        <v>5575</v>
      </c>
      <c r="D4530" s="582">
        <v>1.31</v>
      </c>
    </row>
    <row r="4531" spans="1:4" x14ac:dyDescent="0.2">
      <c r="A4531" s="574">
        <v>34557</v>
      </c>
      <c r="B4531" s="574" t="s">
        <v>10119</v>
      </c>
      <c r="C4531" s="574" t="s">
        <v>5575</v>
      </c>
      <c r="D4531" s="582">
        <v>1.92</v>
      </c>
    </row>
    <row r="4532" spans="1:4" x14ac:dyDescent="0.2">
      <c r="A4532" s="574">
        <v>37411</v>
      </c>
      <c r="B4532" s="574" t="s">
        <v>13684</v>
      </c>
      <c r="C4532" s="574" t="s">
        <v>5564</v>
      </c>
      <c r="D4532" s="582">
        <v>14.04</v>
      </c>
    </row>
    <row r="4533" spans="1:4" x14ac:dyDescent="0.2">
      <c r="A4533" s="574">
        <v>39508</v>
      </c>
      <c r="B4533" s="574" t="s">
        <v>13685</v>
      </c>
      <c r="C4533" s="574" t="s">
        <v>5564</v>
      </c>
      <c r="D4533" s="582">
        <v>7.89</v>
      </c>
    </row>
    <row r="4534" spans="1:4" x14ac:dyDescent="0.2">
      <c r="A4534" s="574">
        <v>39507</v>
      </c>
      <c r="B4534" s="574" t="s">
        <v>13686</v>
      </c>
      <c r="C4534" s="574" t="s">
        <v>5564</v>
      </c>
      <c r="D4534" s="582">
        <v>11.77</v>
      </c>
    </row>
    <row r="4535" spans="1:4" x14ac:dyDescent="0.2">
      <c r="A4535" s="574">
        <v>7155</v>
      </c>
      <c r="B4535" s="574" t="s">
        <v>13687</v>
      </c>
      <c r="C4535" s="574" t="s">
        <v>5564</v>
      </c>
      <c r="D4535" s="582">
        <v>15.11</v>
      </c>
    </row>
    <row r="4536" spans="1:4" x14ac:dyDescent="0.2">
      <c r="A4536" s="574">
        <v>42406</v>
      </c>
      <c r="B4536" s="574" t="s">
        <v>13688</v>
      </c>
      <c r="C4536" s="574" t="s">
        <v>5564</v>
      </c>
      <c r="D4536" s="582">
        <v>17.32</v>
      </c>
    </row>
    <row r="4537" spans="1:4" x14ac:dyDescent="0.2">
      <c r="A4537" s="574">
        <v>7156</v>
      </c>
      <c r="B4537" s="574" t="s">
        <v>13689</v>
      </c>
      <c r="C4537" s="574" t="s">
        <v>5564</v>
      </c>
      <c r="D4537" s="582">
        <v>21.68</v>
      </c>
    </row>
    <row r="4538" spans="1:4" x14ac:dyDescent="0.2">
      <c r="A4538" s="574">
        <v>43127</v>
      </c>
      <c r="B4538" s="574" t="s">
        <v>13690</v>
      </c>
      <c r="C4538" s="574" t="s">
        <v>5564</v>
      </c>
      <c r="D4538" s="582">
        <v>31.02</v>
      </c>
    </row>
    <row r="4539" spans="1:4" x14ac:dyDescent="0.2">
      <c r="A4539" s="574">
        <v>10917</v>
      </c>
      <c r="B4539" s="574" t="s">
        <v>13691</v>
      </c>
      <c r="C4539" s="574" t="s">
        <v>5564</v>
      </c>
      <c r="D4539" s="582">
        <v>6.55</v>
      </c>
    </row>
    <row r="4540" spans="1:4" x14ac:dyDescent="0.2">
      <c r="A4540" s="574">
        <v>21141</v>
      </c>
      <c r="B4540" s="574" t="s">
        <v>13692</v>
      </c>
      <c r="C4540" s="574" t="s">
        <v>5564</v>
      </c>
      <c r="D4540" s="582">
        <v>10.14</v>
      </c>
    </row>
    <row r="4541" spans="1:4" x14ac:dyDescent="0.2">
      <c r="A4541" s="574">
        <v>39509</v>
      </c>
      <c r="B4541" s="574" t="s">
        <v>13693</v>
      </c>
      <c r="C4541" s="574" t="s">
        <v>5564</v>
      </c>
      <c r="D4541" s="582">
        <v>9.75</v>
      </c>
    </row>
    <row r="4542" spans="1:4" x14ac:dyDescent="0.2">
      <c r="A4542" s="574">
        <v>25988</v>
      </c>
      <c r="B4542" s="574" t="s">
        <v>10130</v>
      </c>
      <c r="C4542" s="574" t="s">
        <v>5564</v>
      </c>
      <c r="D4542" s="582">
        <v>11.22</v>
      </c>
    </row>
    <row r="4543" spans="1:4" x14ac:dyDescent="0.2">
      <c r="A4543" s="574">
        <v>7167</v>
      </c>
      <c r="B4543" s="574" t="s">
        <v>13694</v>
      </c>
      <c r="C4543" s="574" t="s">
        <v>5564</v>
      </c>
      <c r="D4543" s="582">
        <v>15.03</v>
      </c>
    </row>
    <row r="4544" spans="1:4" x14ac:dyDescent="0.2">
      <c r="A4544" s="574">
        <v>10928</v>
      </c>
      <c r="B4544" s="574" t="s">
        <v>13695</v>
      </c>
      <c r="C4544" s="574" t="s">
        <v>5564</v>
      </c>
      <c r="D4544" s="582">
        <v>8.64</v>
      </c>
    </row>
    <row r="4545" spans="1:4" x14ac:dyDescent="0.2">
      <c r="A4545" s="574">
        <v>10933</v>
      </c>
      <c r="B4545" s="574" t="s">
        <v>13696</v>
      </c>
      <c r="C4545" s="574" t="s">
        <v>5564</v>
      </c>
      <c r="D4545" s="582">
        <v>13.03</v>
      </c>
    </row>
    <row r="4546" spans="1:4" x14ac:dyDescent="0.2">
      <c r="A4546" s="574">
        <v>7158</v>
      </c>
      <c r="B4546" s="574" t="s">
        <v>13697</v>
      </c>
      <c r="C4546" s="574" t="s">
        <v>5564</v>
      </c>
      <c r="D4546" s="582">
        <v>22.1</v>
      </c>
    </row>
    <row r="4547" spans="1:4" x14ac:dyDescent="0.2">
      <c r="A4547" s="574">
        <v>10927</v>
      </c>
      <c r="B4547" s="574" t="s">
        <v>13698</v>
      </c>
      <c r="C4547" s="574" t="s">
        <v>5564</v>
      </c>
      <c r="D4547" s="582">
        <v>14.13</v>
      </c>
    </row>
    <row r="4548" spans="1:4" x14ac:dyDescent="0.2">
      <c r="A4548" s="574">
        <v>7162</v>
      </c>
      <c r="B4548" s="574" t="s">
        <v>13699</v>
      </c>
      <c r="C4548" s="574" t="s">
        <v>5564</v>
      </c>
      <c r="D4548" s="582">
        <v>34.58</v>
      </c>
    </row>
    <row r="4549" spans="1:4" x14ac:dyDescent="0.2">
      <c r="A4549" s="574">
        <v>10932</v>
      </c>
      <c r="B4549" s="574" t="s">
        <v>13700</v>
      </c>
      <c r="C4549" s="574" t="s">
        <v>5564</v>
      </c>
      <c r="D4549" s="582">
        <v>60.15</v>
      </c>
    </row>
    <row r="4550" spans="1:4" x14ac:dyDescent="0.2">
      <c r="A4550" s="574">
        <v>10937</v>
      </c>
      <c r="B4550" s="574" t="s">
        <v>13701</v>
      </c>
      <c r="C4550" s="574" t="s">
        <v>5564</v>
      </c>
      <c r="D4550" s="582">
        <v>15.46</v>
      </c>
    </row>
    <row r="4551" spans="1:4" x14ac:dyDescent="0.2">
      <c r="A4551" s="574">
        <v>10935</v>
      </c>
      <c r="B4551" s="574" t="s">
        <v>13702</v>
      </c>
      <c r="C4551" s="574" t="s">
        <v>5564</v>
      </c>
      <c r="D4551" s="582">
        <v>26.81</v>
      </c>
    </row>
    <row r="4552" spans="1:4" x14ac:dyDescent="0.2">
      <c r="A4552" s="574">
        <v>10931</v>
      </c>
      <c r="B4552" s="574" t="s">
        <v>13703</v>
      </c>
      <c r="C4552" s="574" t="s">
        <v>5564</v>
      </c>
      <c r="D4552" s="582">
        <v>7.54</v>
      </c>
    </row>
    <row r="4553" spans="1:4" x14ac:dyDescent="0.2">
      <c r="A4553" s="574">
        <v>7164</v>
      </c>
      <c r="B4553" s="574" t="s">
        <v>10143</v>
      </c>
      <c r="C4553" s="574" t="s">
        <v>5564</v>
      </c>
      <c r="D4553" s="582">
        <v>24.96</v>
      </c>
    </row>
    <row r="4554" spans="1:4" x14ac:dyDescent="0.2">
      <c r="A4554" s="574">
        <v>36887</v>
      </c>
      <c r="B4554" s="574" t="s">
        <v>10144</v>
      </c>
      <c r="C4554" s="574" t="s">
        <v>5564</v>
      </c>
      <c r="D4554" s="582">
        <v>14.07</v>
      </c>
    </row>
    <row r="4555" spans="1:4" x14ac:dyDescent="0.2">
      <c r="A4555" s="574">
        <v>34630</v>
      </c>
      <c r="B4555" s="574" t="s">
        <v>10145</v>
      </c>
      <c r="C4555" s="574" t="s">
        <v>5555</v>
      </c>
      <c r="D4555" s="582">
        <v>999.44</v>
      </c>
    </row>
    <row r="4556" spans="1:4" x14ac:dyDescent="0.2">
      <c r="A4556" s="574">
        <v>7161</v>
      </c>
      <c r="B4556" s="574" t="s">
        <v>10146</v>
      </c>
      <c r="C4556" s="574" t="s">
        <v>5564</v>
      </c>
      <c r="D4556" s="582">
        <v>3.1</v>
      </c>
    </row>
    <row r="4557" spans="1:4" x14ac:dyDescent="0.2">
      <c r="A4557" s="574">
        <v>7170</v>
      </c>
      <c r="B4557" s="574" t="s">
        <v>10147</v>
      </c>
      <c r="C4557" s="574" t="s">
        <v>5564</v>
      </c>
      <c r="D4557" s="582">
        <v>2</v>
      </c>
    </row>
    <row r="4558" spans="1:4" x14ac:dyDescent="0.2">
      <c r="A4558" s="574">
        <v>37524</v>
      </c>
      <c r="B4558" s="574" t="s">
        <v>10148</v>
      </c>
      <c r="C4558" s="574" t="s">
        <v>5575</v>
      </c>
      <c r="D4558" s="582">
        <v>1.91</v>
      </c>
    </row>
    <row r="4559" spans="1:4" x14ac:dyDescent="0.2">
      <c r="A4559" s="574">
        <v>37525</v>
      </c>
      <c r="B4559" s="574" t="s">
        <v>10149</v>
      </c>
      <c r="C4559" s="574" t="s">
        <v>5575</v>
      </c>
      <c r="D4559" s="582">
        <v>2.2799999999999998</v>
      </c>
    </row>
    <row r="4560" spans="1:4" x14ac:dyDescent="0.2">
      <c r="A4560" s="574">
        <v>36789</v>
      </c>
      <c r="B4560" s="574" t="s">
        <v>10154</v>
      </c>
      <c r="C4560" s="574" t="s">
        <v>5555</v>
      </c>
      <c r="D4560" s="582">
        <v>3.4</v>
      </c>
    </row>
    <row r="4561" spans="1:4" x14ac:dyDescent="0.2">
      <c r="A4561" s="574">
        <v>7173</v>
      </c>
      <c r="B4561" s="574" t="s">
        <v>10163</v>
      </c>
      <c r="C4561" s="574" t="s">
        <v>6074</v>
      </c>
      <c r="D4561" s="583">
        <v>2200</v>
      </c>
    </row>
    <row r="4562" spans="1:4" x14ac:dyDescent="0.2">
      <c r="A4562" s="574">
        <v>7175</v>
      </c>
      <c r="B4562" s="574" t="s">
        <v>10164</v>
      </c>
      <c r="C4562" s="574" t="s">
        <v>5555</v>
      </c>
      <c r="D4562" s="582">
        <v>2.48</v>
      </c>
    </row>
    <row r="4563" spans="1:4" x14ac:dyDescent="0.2">
      <c r="A4563" s="574">
        <v>40741</v>
      </c>
      <c r="B4563" s="574" t="s">
        <v>13704</v>
      </c>
      <c r="C4563" s="574" t="s">
        <v>5555</v>
      </c>
      <c r="D4563" s="582">
        <v>2.5</v>
      </c>
    </row>
    <row r="4564" spans="1:4" x14ac:dyDescent="0.2">
      <c r="A4564" s="574">
        <v>7184</v>
      </c>
      <c r="B4564" s="574" t="s">
        <v>10166</v>
      </c>
      <c r="C4564" s="574" t="s">
        <v>5564</v>
      </c>
      <c r="D4564" s="582">
        <v>28</v>
      </c>
    </row>
    <row r="4565" spans="1:4" x14ac:dyDescent="0.2">
      <c r="A4565" s="574">
        <v>34458</v>
      </c>
      <c r="B4565" s="574" t="s">
        <v>10167</v>
      </c>
      <c r="C4565" s="574" t="s">
        <v>5555</v>
      </c>
      <c r="D4565" s="582">
        <v>102.32</v>
      </c>
    </row>
    <row r="4566" spans="1:4" x14ac:dyDescent="0.2">
      <c r="A4566" s="574">
        <v>34464</v>
      </c>
      <c r="B4566" s="574" t="s">
        <v>10168</v>
      </c>
      <c r="C4566" s="574" t="s">
        <v>5555</v>
      </c>
      <c r="D4566" s="582">
        <v>137.27000000000001</v>
      </c>
    </row>
    <row r="4567" spans="1:4" x14ac:dyDescent="0.2">
      <c r="A4567" s="574">
        <v>34468</v>
      </c>
      <c r="B4567" s="574" t="s">
        <v>10169</v>
      </c>
      <c r="C4567" s="574" t="s">
        <v>5555</v>
      </c>
      <c r="D4567" s="582">
        <v>158.41999999999999</v>
      </c>
    </row>
    <row r="4568" spans="1:4" x14ac:dyDescent="0.2">
      <c r="A4568" s="574">
        <v>34473</v>
      </c>
      <c r="B4568" s="574" t="s">
        <v>10170</v>
      </c>
      <c r="C4568" s="574" t="s">
        <v>5555</v>
      </c>
      <c r="D4568" s="582">
        <v>129.57</v>
      </c>
    </row>
    <row r="4569" spans="1:4" x14ac:dyDescent="0.2">
      <c r="A4569" s="574">
        <v>34480</v>
      </c>
      <c r="B4569" s="574" t="s">
        <v>10171</v>
      </c>
      <c r="C4569" s="574" t="s">
        <v>5555</v>
      </c>
      <c r="D4569" s="582">
        <v>176.69</v>
      </c>
    </row>
    <row r="4570" spans="1:4" x14ac:dyDescent="0.2">
      <c r="A4570" s="574">
        <v>34486</v>
      </c>
      <c r="B4570" s="574" t="s">
        <v>10172</v>
      </c>
      <c r="C4570" s="574" t="s">
        <v>5555</v>
      </c>
      <c r="D4570" s="582">
        <v>197.89</v>
      </c>
    </row>
    <row r="4571" spans="1:4" x14ac:dyDescent="0.2">
      <c r="A4571" s="574">
        <v>7202</v>
      </c>
      <c r="B4571" s="574" t="s">
        <v>10173</v>
      </c>
      <c r="C4571" s="574" t="s">
        <v>5564</v>
      </c>
      <c r="D4571" s="582">
        <v>40.549999999999997</v>
      </c>
    </row>
    <row r="4572" spans="1:4" x14ac:dyDescent="0.2">
      <c r="A4572" s="574">
        <v>7190</v>
      </c>
      <c r="B4572" s="574" t="s">
        <v>10174</v>
      </c>
      <c r="C4572" s="574" t="s">
        <v>5555</v>
      </c>
      <c r="D4572" s="582">
        <v>6.95</v>
      </c>
    </row>
    <row r="4573" spans="1:4" x14ac:dyDescent="0.2">
      <c r="A4573" s="574">
        <v>34417</v>
      </c>
      <c r="B4573" s="574" t="s">
        <v>10175</v>
      </c>
      <c r="C4573" s="574" t="s">
        <v>5555</v>
      </c>
      <c r="D4573" s="582">
        <v>12.09</v>
      </c>
    </row>
    <row r="4574" spans="1:4" x14ac:dyDescent="0.2">
      <c r="A4574" s="574">
        <v>7191</v>
      </c>
      <c r="B4574" s="574" t="s">
        <v>10176</v>
      </c>
      <c r="C4574" s="574" t="s">
        <v>5555</v>
      </c>
      <c r="D4574" s="582">
        <v>14.01</v>
      </c>
    </row>
    <row r="4575" spans="1:4" x14ac:dyDescent="0.2">
      <c r="A4575" s="574">
        <v>7213</v>
      </c>
      <c r="B4575" s="574" t="s">
        <v>10176</v>
      </c>
      <c r="C4575" s="574" t="s">
        <v>5564</v>
      </c>
      <c r="D4575" s="582">
        <v>11.48</v>
      </c>
    </row>
    <row r="4576" spans="1:4" x14ac:dyDescent="0.2">
      <c r="A4576" s="574">
        <v>7195</v>
      </c>
      <c r="B4576" s="574" t="s">
        <v>10177</v>
      </c>
      <c r="C4576" s="574" t="s">
        <v>5555</v>
      </c>
      <c r="D4576" s="582">
        <v>33.39</v>
      </c>
    </row>
    <row r="4577" spans="1:4" x14ac:dyDescent="0.2">
      <c r="A4577" s="574">
        <v>7186</v>
      </c>
      <c r="B4577" s="574" t="s">
        <v>10178</v>
      </c>
      <c r="C4577" s="574" t="s">
        <v>5555</v>
      </c>
      <c r="D4577" s="582">
        <v>39.950000000000003</v>
      </c>
    </row>
    <row r="4578" spans="1:4" x14ac:dyDescent="0.2">
      <c r="A4578" s="574">
        <v>7194</v>
      </c>
      <c r="B4578" s="574" t="s">
        <v>10179</v>
      </c>
      <c r="C4578" s="574" t="s">
        <v>5564</v>
      </c>
      <c r="D4578" s="582">
        <v>19.809999999999999</v>
      </c>
    </row>
    <row r="4579" spans="1:4" x14ac:dyDescent="0.2">
      <c r="A4579" s="574">
        <v>7207</v>
      </c>
      <c r="B4579" s="574" t="s">
        <v>10179</v>
      </c>
      <c r="C4579" s="574" t="s">
        <v>5555</v>
      </c>
      <c r="D4579" s="582">
        <v>53.17</v>
      </c>
    </row>
    <row r="4580" spans="1:4" x14ac:dyDescent="0.2">
      <c r="A4580" s="574">
        <v>7197</v>
      </c>
      <c r="B4580" s="574" t="s">
        <v>10180</v>
      </c>
      <c r="C4580" s="574" t="s">
        <v>5555</v>
      </c>
      <c r="D4580" s="582">
        <v>79.88</v>
      </c>
    </row>
    <row r="4581" spans="1:4" x14ac:dyDescent="0.2">
      <c r="A4581" s="574">
        <v>7192</v>
      </c>
      <c r="B4581" s="574" t="s">
        <v>10181</v>
      </c>
      <c r="C4581" s="574" t="s">
        <v>5555</v>
      </c>
      <c r="D4581" s="582">
        <v>43.93</v>
      </c>
    </row>
    <row r="4582" spans="1:4" x14ac:dyDescent="0.2">
      <c r="A4582" s="574">
        <v>7193</v>
      </c>
      <c r="B4582" s="574" t="s">
        <v>10182</v>
      </c>
      <c r="C4582" s="574" t="s">
        <v>5555</v>
      </c>
      <c r="D4582" s="582">
        <v>52.44</v>
      </c>
    </row>
    <row r="4583" spans="1:4" x14ac:dyDescent="0.2">
      <c r="A4583" s="574">
        <v>7189</v>
      </c>
      <c r="B4583" s="574" t="s">
        <v>10183</v>
      </c>
      <c r="C4583" s="574" t="s">
        <v>5555</v>
      </c>
      <c r="D4583" s="582">
        <v>73.66</v>
      </c>
    </row>
    <row r="4584" spans="1:4" x14ac:dyDescent="0.2">
      <c r="A4584" s="574">
        <v>7198</v>
      </c>
      <c r="B4584" s="574" t="s">
        <v>10184</v>
      </c>
      <c r="C4584" s="574" t="s">
        <v>5564</v>
      </c>
      <c r="D4584" s="582">
        <v>27.42</v>
      </c>
    </row>
    <row r="4585" spans="1:4" x14ac:dyDescent="0.2">
      <c r="A4585" s="574">
        <v>34402</v>
      </c>
      <c r="B4585" s="574" t="s">
        <v>10184</v>
      </c>
      <c r="C4585" s="574" t="s">
        <v>5555</v>
      </c>
      <c r="D4585" s="582">
        <v>110.41</v>
      </c>
    </row>
    <row r="4586" spans="1:4" x14ac:dyDescent="0.2">
      <c r="A4586" s="574">
        <v>7245</v>
      </c>
      <c r="B4586" s="574" t="s">
        <v>10185</v>
      </c>
      <c r="C4586" s="574" t="s">
        <v>5555</v>
      </c>
      <c r="D4586" s="582">
        <v>49.03</v>
      </c>
    </row>
    <row r="4587" spans="1:4" x14ac:dyDescent="0.2">
      <c r="A4587" s="574">
        <v>34425</v>
      </c>
      <c r="B4587" s="574" t="s">
        <v>10186</v>
      </c>
      <c r="C4587" s="574" t="s">
        <v>5555</v>
      </c>
      <c r="D4587" s="582">
        <v>68.28</v>
      </c>
    </row>
    <row r="4588" spans="1:4" x14ac:dyDescent="0.2">
      <c r="A4588" s="574">
        <v>7223</v>
      </c>
      <c r="B4588" s="574" t="s">
        <v>10187</v>
      </c>
      <c r="C4588" s="574" t="s">
        <v>5555</v>
      </c>
      <c r="D4588" s="582">
        <v>79.569999999999993</v>
      </c>
    </row>
    <row r="4589" spans="1:4" x14ac:dyDescent="0.2">
      <c r="A4589" s="574">
        <v>7234</v>
      </c>
      <c r="B4589" s="574" t="s">
        <v>10188</v>
      </c>
      <c r="C4589" s="574" t="s">
        <v>5555</v>
      </c>
      <c r="D4589" s="582">
        <v>114.77</v>
      </c>
    </row>
    <row r="4590" spans="1:4" x14ac:dyDescent="0.2">
      <c r="A4590" s="574">
        <v>7224</v>
      </c>
      <c r="B4590" s="574" t="s">
        <v>10189</v>
      </c>
      <c r="C4590" s="574" t="s">
        <v>5555</v>
      </c>
      <c r="D4590" s="582">
        <v>126.77</v>
      </c>
    </row>
    <row r="4591" spans="1:4" x14ac:dyDescent="0.2">
      <c r="A4591" s="574">
        <v>7221</v>
      </c>
      <c r="B4591" s="574" t="s">
        <v>10190</v>
      </c>
      <c r="C4591" s="574" t="s">
        <v>5564</v>
      </c>
      <c r="D4591" s="582">
        <v>61.64</v>
      </c>
    </row>
    <row r="4592" spans="1:4" x14ac:dyDescent="0.2">
      <c r="A4592" s="574">
        <v>7210</v>
      </c>
      <c r="B4592" s="574" t="s">
        <v>10190</v>
      </c>
      <c r="C4592" s="574" t="s">
        <v>5555</v>
      </c>
      <c r="D4592" s="582">
        <v>144.24</v>
      </c>
    </row>
    <row r="4593" spans="1:4" x14ac:dyDescent="0.2">
      <c r="A4593" s="574">
        <v>7225</v>
      </c>
      <c r="B4593" s="574" t="s">
        <v>10191</v>
      </c>
      <c r="C4593" s="574" t="s">
        <v>5555</v>
      </c>
      <c r="D4593" s="582">
        <v>160.28</v>
      </c>
    </row>
    <row r="4594" spans="1:4" x14ac:dyDescent="0.2">
      <c r="A4594" s="574">
        <v>7226</v>
      </c>
      <c r="B4594" s="574" t="s">
        <v>10192</v>
      </c>
      <c r="C4594" s="574" t="s">
        <v>5555</v>
      </c>
      <c r="D4594" s="582">
        <v>176.38</v>
      </c>
    </row>
    <row r="4595" spans="1:4" x14ac:dyDescent="0.2">
      <c r="A4595" s="574">
        <v>7236</v>
      </c>
      <c r="B4595" s="574" t="s">
        <v>10193</v>
      </c>
      <c r="C4595" s="574" t="s">
        <v>5555</v>
      </c>
      <c r="D4595" s="582">
        <v>192.37</v>
      </c>
    </row>
    <row r="4596" spans="1:4" x14ac:dyDescent="0.2">
      <c r="A4596" s="574">
        <v>7227</v>
      </c>
      <c r="B4596" s="574" t="s">
        <v>10194</v>
      </c>
      <c r="C4596" s="574" t="s">
        <v>5555</v>
      </c>
      <c r="D4596" s="582">
        <v>208.4</v>
      </c>
    </row>
    <row r="4597" spans="1:4" x14ac:dyDescent="0.2">
      <c r="A4597" s="574">
        <v>7212</v>
      </c>
      <c r="B4597" s="574" t="s">
        <v>10195</v>
      </c>
      <c r="C4597" s="574" t="s">
        <v>5555</v>
      </c>
      <c r="D4597" s="582">
        <v>230.75</v>
      </c>
    </row>
    <row r="4598" spans="1:4" x14ac:dyDescent="0.2">
      <c r="A4598" s="574">
        <v>7229</v>
      </c>
      <c r="B4598" s="574" t="s">
        <v>10196</v>
      </c>
      <c r="C4598" s="574" t="s">
        <v>5555</v>
      </c>
      <c r="D4598" s="582">
        <v>152.59</v>
      </c>
    </row>
    <row r="4599" spans="1:4" x14ac:dyDescent="0.2">
      <c r="A4599" s="574">
        <v>7230</v>
      </c>
      <c r="B4599" s="574" t="s">
        <v>10197</v>
      </c>
      <c r="C4599" s="574" t="s">
        <v>5555</v>
      </c>
      <c r="D4599" s="582">
        <v>243.17</v>
      </c>
    </row>
    <row r="4600" spans="1:4" x14ac:dyDescent="0.2">
      <c r="A4600" s="574">
        <v>7231</v>
      </c>
      <c r="B4600" s="574" t="s">
        <v>10198</v>
      </c>
      <c r="C4600" s="574" t="s">
        <v>5555</v>
      </c>
      <c r="D4600" s="582">
        <v>319.35000000000002</v>
      </c>
    </row>
    <row r="4601" spans="1:4" x14ac:dyDescent="0.2">
      <c r="A4601" s="574">
        <v>7220</v>
      </c>
      <c r="B4601" s="574" t="s">
        <v>10199</v>
      </c>
      <c r="C4601" s="574" t="s">
        <v>5555</v>
      </c>
      <c r="D4601" s="582">
        <v>392.62</v>
      </c>
    </row>
    <row r="4602" spans="1:4" x14ac:dyDescent="0.2">
      <c r="A4602" s="574">
        <v>34447</v>
      </c>
      <c r="B4602" s="574" t="s">
        <v>10200</v>
      </c>
      <c r="C4602" s="574" t="s">
        <v>5555</v>
      </c>
      <c r="D4602" s="582">
        <v>436.99</v>
      </c>
    </row>
    <row r="4603" spans="1:4" x14ac:dyDescent="0.2">
      <c r="A4603" s="574">
        <v>7233</v>
      </c>
      <c r="B4603" s="574" t="s">
        <v>10201</v>
      </c>
      <c r="C4603" s="574" t="s">
        <v>5555</v>
      </c>
      <c r="D4603" s="582">
        <v>489.23</v>
      </c>
    </row>
    <row r="4604" spans="1:4" x14ac:dyDescent="0.2">
      <c r="A4604" s="574">
        <v>40740</v>
      </c>
      <c r="B4604" s="574" t="s">
        <v>13705</v>
      </c>
      <c r="C4604" s="574" t="s">
        <v>5564</v>
      </c>
      <c r="D4604" s="582">
        <v>115.32</v>
      </c>
    </row>
    <row r="4605" spans="1:4" x14ac:dyDescent="0.2">
      <c r="A4605" s="574">
        <v>25007</v>
      </c>
      <c r="B4605" s="574" t="s">
        <v>13706</v>
      </c>
      <c r="C4605" s="574" t="s">
        <v>5564</v>
      </c>
      <c r="D4605" s="582">
        <v>33</v>
      </c>
    </row>
    <row r="4606" spans="1:4" x14ac:dyDescent="0.2">
      <c r="A4606" s="574">
        <v>43071</v>
      </c>
      <c r="B4606" s="574" t="s">
        <v>13707</v>
      </c>
      <c r="C4606" s="574" t="s">
        <v>5564</v>
      </c>
      <c r="D4606" s="582">
        <v>129.85</v>
      </c>
    </row>
    <row r="4607" spans="1:4" x14ac:dyDescent="0.2">
      <c r="A4607" s="574">
        <v>39520</v>
      </c>
      <c r="B4607" s="574" t="s">
        <v>13708</v>
      </c>
      <c r="C4607" s="574" t="s">
        <v>5564</v>
      </c>
      <c r="D4607" s="582">
        <v>105.94</v>
      </c>
    </row>
    <row r="4608" spans="1:4" x14ac:dyDescent="0.2">
      <c r="A4608" s="574">
        <v>39521</v>
      </c>
      <c r="B4608" s="574" t="s">
        <v>13709</v>
      </c>
      <c r="C4608" s="574" t="s">
        <v>5564</v>
      </c>
      <c r="D4608" s="582">
        <v>109.4</v>
      </c>
    </row>
    <row r="4609" spans="1:4" x14ac:dyDescent="0.2">
      <c r="A4609" s="574">
        <v>39522</v>
      </c>
      <c r="B4609" s="574" t="s">
        <v>13710</v>
      </c>
      <c r="C4609" s="574" t="s">
        <v>5564</v>
      </c>
      <c r="D4609" s="582">
        <v>112.97</v>
      </c>
    </row>
    <row r="4610" spans="1:4" x14ac:dyDescent="0.2">
      <c r="A4610" s="574">
        <v>7243</v>
      </c>
      <c r="B4610" s="574" t="s">
        <v>13711</v>
      </c>
      <c r="C4610" s="574" t="s">
        <v>5564</v>
      </c>
      <c r="D4610" s="582">
        <v>34.479999999999997</v>
      </c>
    </row>
    <row r="4611" spans="1:4" x14ac:dyDescent="0.2">
      <c r="A4611" s="574">
        <v>11067</v>
      </c>
      <c r="B4611" s="574" t="s">
        <v>13712</v>
      </c>
      <c r="C4611" s="574" t="s">
        <v>5555</v>
      </c>
      <c r="D4611" s="582">
        <v>270.11</v>
      </c>
    </row>
    <row r="4612" spans="1:4" x14ac:dyDescent="0.2">
      <c r="A4612" s="574">
        <v>11068</v>
      </c>
      <c r="B4612" s="574" t="s">
        <v>13713</v>
      </c>
      <c r="C4612" s="574" t="s">
        <v>5555</v>
      </c>
      <c r="D4612" s="582">
        <v>341.25</v>
      </c>
    </row>
    <row r="4613" spans="1:4" x14ac:dyDescent="0.2">
      <c r="A4613" s="574">
        <v>7246</v>
      </c>
      <c r="B4613" s="574" t="s">
        <v>10206</v>
      </c>
      <c r="C4613" s="574" t="s">
        <v>5555</v>
      </c>
      <c r="D4613" s="582">
        <v>45.62</v>
      </c>
    </row>
    <row r="4614" spans="1:4" x14ac:dyDescent="0.2">
      <c r="A4614" s="574">
        <v>12869</v>
      </c>
      <c r="B4614" s="574" t="s">
        <v>10207</v>
      </c>
      <c r="C4614" s="574" t="s">
        <v>5566</v>
      </c>
      <c r="D4614" s="582">
        <v>15.03</v>
      </c>
    </row>
    <row r="4615" spans="1:4" x14ac:dyDescent="0.2">
      <c r="A4615" s="574">
        <v>41097</v>
      </c>
      <c r="B4615" s="574" t="s">
        <v>13714</v>
      </c>
      <c r="C4615" s="574" t="s">
        <v>5755</v>
      </c>
      <c r="D4615" s="583">
        <v>2631.62</v>
      </c>
    </row>
    <row r="4616" spans="1:4" x14ac:dyDescent="0.2">
      <c r="A4616" s="574">
        <v>1574</v>
      </c>
      <c r="B4616" s="574" t="s">
        <v>10209</v>
      </c>
      <c r="C4616" s="574" t="s">
        <v>5555</v>
      </c>
      <c r="D4616" s="582">
        <v>0.97</v>
      </c>
    </row>
    <row r="4617" spans="1:4" x14ac:dyDescent="0.2">
      <c r="A4617" s="574">
        <v>1581</v>
      </c>
      <c r="B4617" s="574" t="s">
        <v>10210</v>
      </c>
      <c r="C4617" s="574" t="s">
        <v>5555</v>
      </c>
      <c r="D4617" s="582">
        <v>6.76</v>
      </c>
    </row>
    <row r="4618" spans="1:4" x14ac:dyDescent="0.2">
      <c r="A4618" s="574">
        <v>1575</v>
      </c>
      <c r="B4618" s="574" t="s">
        <v>10211</v>
      </c>
      <c r="C4618" s="574" t="s">
        <v>5555</v>
      </c>
      <c r="D4618" s="582">
        <v>1.1499999999999999</v>
      </c>
    </row>
    <row r="4619" spans="1:4" x14ac:dyDescent="0.2">
      <c r="A4619" s="574">
        <v>1570</v>
      </c>
      <c r="B4619" s="574" t="s">
        <v>10212</v>
      </c>
      <c r="C4619" s="574" t="s">
        <v>5555</v>
      </c>
      <c r="D4619" s="582">
        <v>0.57999999999999996</v>
      </c>
    </row>
    <row r="4620" spans="1:4" x14ac:dyDescent="0.2">
      <c r="A4620" s="574">
        <v>1576</v>
      </c>
      <c r="B4620" s="574" t="s">
        <v>10213</v>
      </c>
      <c r="C4620" s="574" t="s">
        <v>5555</v>
      </c>
      <c r="D4620" s="582">
        <v>1.6</v>
      </c>
    </row>
    <row r="4621" spans="1:4" x14ac:dyDescent="0.2">
      <c r="A4621" s="574">
        <v>1577</v>
      </c>
      <c r="B4621" s="574" t="s">
        <v>10214</v>
      </c>
      <c r="C4621" s="574" t="s">
        <v>5555</v>
      </c>
      <c r="D4621" s="582">
        <v>1.8</v>
      </c>
    </row>
    <row r="4622" spans="1:4" x14ac:dyDescent="0.2">
      <c r="A4622" s="574">
        <v>1571</v>
      </c>
      <c r="B4622" s="574" t="s">
        <v>10215</v>
      </c>
      <c r="C4622" s="574" t="s">
        <v>5555</v>
      </c>
      <c r="D4622" s="582">
        <v>0.75</v>
      </c>
    </row>
    <row r="4623" spans="1:4" x14ac:dyDescent="0.2">
      <c r="A4623" s="574">
        <v>1578</v>
      </c>
      <c r="B4623" s="574" t="s">
        <v>10216</v>
      </c>
      <c r="C4623" s="574" t="s">
        <v>5555</v>
      </c>
      <c r="D4623" s="582">
        <v>3.13</v>
      </c>
    </row>
    <row r="4624" spans="1:4" x14ac:dyDescent="0.2">
      <c r="A4624" s="574">
        <v>1573</v>
      </c>
      <c r="B4624" s="574" t="s">
        <v>10217</v>
      </c>
      <c r="C4624" s="574" t="s">
        <v>5555</v>
      </c>
      <c r="D4624" s="582">
        <v>0.9</v>
      </c>
    </row>
    <row r="4625" spans="1:4" x14ac:dyDescent="0.2">
      <c r="A4625" s="574">
        <v>1579</v>
      </c>
      <c r="B4625" s="574" t="s">
        <v>10218</v>
      </c>
      <c r="C4625" s="574" t="s">
        <v>5555</v>
      </c>
      <c r="D4625" s="582">
        <v>3.9</v>
      </c>
    </row>
    <row r="4626" spans="1:4" x14ac:dyDescent="0.2">
      <c r="A4626" s="574">
        <v>1580</v>
      </c>
      <c r="B4626" s="574" t="s">
        <v>10219</v>
      </c>
      <c r="C4626" s="574" t="s">
        <v>5555</v>
      </c>
      <c r="D4626" s="582">
        <v>4.8099999999999996</v>
      </c>
    </row>
    <row r="4627" spans="1:4" x14ac:dyDescent="0.2">
      <c r="A4627" s="574">
        <v>7571</v>
      </c>
      <c r="B4627" s="574" t="s">
        <v>10220</v>
      </c>
      <c r="C4627" s="574" t="s">
        <v>5555</v>
      </c>
      <c r="D4627" s="582">
        <v>11.91</v>
      </c>
    </row>
    <row r="4628" spans="1:4" x14ac:dyDescent="0.2">
      <c r="A4628" s="574">
        <v>39321</v>
      </c>
      <c r="B4628" s="574" t="s">
        <v>10221</v>
      </c>
      <c r="C4628" s="574" t="s">
        <v>5555</v>
      </c>
      <c r="D4628" s="582">
        <v>11.02</v>
      </c>
    </row>
    <row r="4629" spans="1:4" x14ac:dyDescent="0.2">
      <c r="A4629" s="574">
        <v>39319</v>
      </c>
      <c r="B4629" s="574" t="s">
        <v>10222</v>
      </c>
      <c r="C4629" s="574" t="s">
        <v>5555</v>
      </c>
      <c r="D4629" s="582">
        <v>4.3</v>
      </c>
    </row>
    <row r="4630" spans="1:4" x14ac:dyDescent="0.2">
      <c r="A4630" s="574">
        <v>39320</v>
      </c>
      <c r="B4630" s="574" t="s">
        <v>10223</v>
      </c>
      <c r="C4630" s="574" t="s">
        <v>5555</v>
      </c>
      <c r="D4630" s="582">
        <v>7.15</v>
      </c>
    </row>
    <row r="4631" spans="1:4" x14ac:dyDescent="0.2">
      <c r="A4631" s="574">
        <v>1591</v>
      </c>
      <c r="B4631" s="574" t="s">
        <v>10224</v>
      </c>
      <c r="C4631" s="574" t="s">
        <v>5555</v>
      </c>
      <c r="D4631" s="582">
        <v>14.91</v>
      </c>
    </row>
    <row r="4632" spans="1:4" x14ac:dyDescent="0.2">
      <c r="A4632" s="574">
        <v>1547</v>
      </c>
      <c r="B4632" s="574" t="s">
        <v>10225</v>
      </c>
      <c r="C4632" s="574" t="s">
        <v>5555</v>
      </c>
      <c r="D4632" s="582">
        <v>78.14</v>
      </c>
    </row>
    <row r="4633" spans="1:4" x14ac:dyDescent="0.2">
      <c r="A4633" s="574">
        <v>38196</v>
      </c>
      <c r="B4633" s="574" t="s">
        <v>10226</v>
      </c>
      <c r="C4633" s="574" t="s">
        <v>5555</v>
      </c>
      <c r="D4633" s="582">
        <v>15.22</v>
      </c>
    </row>
    <row r="4634" spans="1:4" x14ac:dyDescent="0.2">
      <c r="A4634" s="574">
        <v>1543</v>
      </c>
      <c r="B4634" s="574" t="s">
        <v>10227</v>
      </c>
      <c r="C4634" s="574" t="s">
        <v>5555</v>
      </c>
      <c r="D4634" s="582">
        <v>16.170000000000002</v>
      </c>
    </row>
    <row r="4635" spans="1:4" x14ac:dyDescent="0.2">
      <c r="A4635" s="574">
        <v>1585</v>
      </c>
      <c r="B4635" s="574" t="s">
        <v>10228</v>
      </c>
      <c r="C4635" s="574" t="s">
        <v>5555</v>
      </c>
      <c r="D4635" s="582">
        <v>3.13</v>
      </c>
    </row>
    <row r="4636" spans="1:4" x14ac:dyDescent="0.2">
      <c r="A4636" s="574">
        <v>1593</v>
      </c>
      <c r="B4636" s="574" t="s">
        <v>10229</v>
      </c>
      <c r="C4636" s="574" t="s">
        <v>5555</v>
      </c>
      <c r="D4636" s="582">
        <v>16.63</v>
      </c>
    </row>
    <row r="4637" spans="1:4" x14ac:dyDescent="0.2">
      <c r="A4637" s="574">
        <v>11838</v>
      </c>
      <c r="B4637" s="574" t="s">
        <v>10230</v>
      </c>
      <c r="C4637" s="574" t="s">
        <v>5555</v>
      </c>
      <c r="D4637" s="582">
        <v>21.95</v>
      </c>
    </row>
    <row r="4638" spans="1:4" x14ac:dyDescent="0.2">
      <c r="A4638" s="574">
        <v>1594</v>
      </c>
      <c r="B4638" s="574" t="s">
        <v>10231</v>
      </c>
      <c r="C4638" s="574" t="s">
        <v>5555</v>
      </c>
      <c r="D4638" s="582">
        <v>22.19</v>
      </c>
    </row>
    <row r="4639" spans="1:4" x14ac:dyDescent="0.2">
      <c r="A4639" s="574">
        <v>1586</v>
      </c>
      <c r="B4639" s="574" t="s">
        <v>10232</v>
      </c>
      <c r="C4639" s="574" t="s">
        <v>5555</v>
      </c>
      <c r="D4639" s="582">
        <v>3.96</v>
      </c>
    </row>
    <row r="4640" spans="1:4" x14ac:dyDescent="0.2">
      <c r="A4640" s="574">
        <v>11839</v>
      </c>
      <c r="B4640" s="574" t="s">
        <v>10233</v>
      </c>
      <c r="C4640" s="574" t="s">
        <v>5555</v>
      </c>
      <c r="D4640" s="582">
        <v>31.93</v>
      </c>
    </row>
    <row r="4641" spans="1:4" x14ac:dyDescent="0.2">
      <c r="A4641" s="574">
        <v>1587</v>
      </c>
      <c r="B4641" s="574" t="s">
        <v>10234</v>
      </c>
      <c r="C4641" s="574" t="s">
        <v>5555</v>
      </c>
      <c r="D4641" s="582">
        <v>4.03</v>
      </c>
    </row>
    <row r="4642" spans="1:4" x14ac:dyDescent="0.2">
      <c r="A4642" s="574">
        <v>1545</v>
      </c>
      <c r="B4642" s="574" t="s">
        <v>10235</v>
      </c>
      <c r="C4642" s="574" t="s">
        <v>5555</v>
      </c>
      <c r="D4642" s="582">
        <v>38.32</v>
      </c>
    </row>
    <row r="4643" spans="1:4" x14ac:dyDescent="0.2">
      <c r="A4643" s="574">
        <v>1588</v>
      </c>
      <c r="B4643" s="574" t="s">
        <v>10236</v>
      </c>
      <c r="C4643" s="574" t="s">
        <v>5555</v>
      </c>
      <c r="D4643" s="582">
        <v>5.54</v>
      </c>
    </row>
    <row r="4644" spans="1:4" x14ac:dyDescent="0.2">
      <c r="A4644" s="574">
        <v>1535</v>
      </c>
      <c r="B4644" s="574" t="s">
        <v>10237</v>
      </c>
      <c r="C4644" s="574" t="s">
        <v>5555</v>
      </c>
      <c r="D4644" s="582">
        <v>3.19</v>
      </c>
    </row>
    <row r="4645" spans="1:4" x14ac:dyDescent="0.2">
      <c r="A4645" s="574">
        <v>1589</v>
      </c>
      <c r="B4645" s="574" t="s">
        <v>10238</v>
      </c>
      <c r="C4645" s="574" t="s">
        <v>5555</v>
      </c>
      <c r="D4645" s="582">
        <v>5.71</v>
      </c>
    </row>
    <row r="4646" spans="1:4" x14ac:dyDescent="0.2">
      <c r="A4646" s="574">
        <v>1546</v>
      </c>
      <c r="B4646" s="574" t="s">
        <v>10239</v>
      </c>
      <c r="C4646" s="574" t="s">
        <v>5555</v>
      </c>
      <c r="D4646" s="582">
        <v>64.67</v>
      </c>
    </row>
    <row r="4647" spans="1:4" x14ac:dyDescent="0.2">
      <c r="A4647" s="574">
        <v>1590</v>
      </c>
      <c r="B4647" s="574" t="s">
        <v>10240</v>
      </c>
      <c r="C4647" s="574" t="s">
        <v>5555</v>
      </c>
      <c r="D4647" s="582">
        <v>10.06</v>
      </c>
    </row>
    <row r="4648" spans="1:4" x14ac:dyDescent="0.2">
      <c r="A4648" s="574">
        <v>1542</v>
      </c>
      <c r="B4648" s="574" t="s">
        <v>10241</v>
      </c>
      <c r="C4648" s="574" t="s">
        <v>5555</v>
      </c>
      <c r="D4648" s="582">
        <v>13.32</v>
      </c>
    </row>
    <row r="4649" spans="1:4" x14ac:dyDescent="0.2">
      <c r="A4649" s="574">
        <v>38415</v>
      </c>
      <c r="B4649" s="574" t="s">
        <v>10242</v>
      </c>
      <c r="C4649" s="574" t="s">
        <v>5555</v>
      </c>
      <c r="D4649" s="582">
        <v>730.86</v>
      </c>
    </row>
    <row r="4650" spans="1:4" x14ac:dyDescent="0.2">
      <c r="A4650" s="574">
        <v>38414</v>
      </c>
      <c r="B4650" s="574" t="s">
        <v>10243</v>
      </c>
      <c r="C4650" s="574" t="s">
        <v>5555</v>
      </c>
      <c r="D4650" s="583">
        <v>1025.77</v>
      </c>
    </row>
    <row r="4651" spans="1:4" x14ac:dyDescent="0.2">
      <c r="A4651" s="574">
        <v>38128</v>
      </c>
      <c r="B4651" s="574" t="s">
        <v>10244</v>
      </c>
      <c r="C4651" s="574" t="s">
        <v>5626</v>
      </c>
      <c r="D4651" s="582">
        <v>0.95</v>
      </c>
    </row>
    <row r="4652" spans="1:4" x14ac:dyDescent="0.2">
      <c r="A4652" s="574">
        <v>7253</v>
      </c>
      <c r="B4652" s="574" t="s">
        <v>10245</v>
      </c>
      <c r="C4652" s="574" t="s">
        <v>5751</v>
      </c>
      <c r="D4652" s="582">
        <v>203.57</v>
      </c>
    </row>
    <row r="4653" spans="1:4" x14ac:dyDescent="0.2">
      <c r="A4653" s="574">
        <v>4806</v>
      </c>
      <c r="B4653" s="574" t="s">
        <v>10246</v>
      </c>
      <c r="C4653" s="574" t="s">
        <v>5575</v>
      </c>
      <c r="D4653" s="582">
        <v>13.25</v>
      </c>
    </row>
    <row r="4654" spans="1:4" x14ac:dyDescent="0.2">
      <c r="A4654" s="574">
        <v>34401</v>
      </c>
      <c r="B4654" s="574" t="s">
        <v>13715</v>
      </c>
      <c r="C4654" s="574" t="s">
        <v>5555</v>
      </c>
      <c r="D4654" s="582">
        <v>1.1200000000000001</v>
      </c>
    </row>
    <row r="4655" spans="1:4" x14ac:dyDescent="0.2">
      <c r="A4655" s="574">
        <v>7260</v>
      </c>
      <c r="B4655" s="574" t="s">
        <v>13716</v>
      </c>
      <c r="C4655" s="574" t="s">
        <v>5555</v>
      </c>
      <c r="D4655" s="582">
        <v>1</v>
      </c>
    </row>
    <row r="4656" spans="1:4" x14ac:dyDescent="0.2">
      <c r="A4656" s="574">
        <v>7256</v>
      </c>
      <c r="B4656" s="574" t="s">
        <v>13717</v>
      </c>
      <c r="C4656" s="574" t="s">
        <v>5555</v>
      </c>
      <c r="D4656" s="582">
        <v>0.99</v>
      </c>
    </row>
    <row r="4657" spans="1:4" x14ac:dyDescent="0.2">
      <c r="A4657" s="574">
        <v>7258</v>
      </c>
      <c r="B4657" s="574" t="s">
        <v>13718</v>
      </c>
      <c r="C4657" s="574" t="s">
        <v>5555</v>
      </c>
      <c r="D4657" s="582">
        <v>0.4</v>
      </c>
    </row>
    <row r="4658" spans="1:4" x14ac:dyDescent="0.2">
      <c r="A4658" s="574">
        <v>34400</v>
      </c>
      <c r="B4658" s="574" t="s">
        <v>13719</v>
      </c>
      <c r="C4658" s="574" t="s">
        <v>5555</v>
      </c>
      <c r="D4658" s="582">
        <v>1.73</v>
      </c>
    </row>
    <row r="4659" spans="1:4" x14ac:dyDescent="0.2">
      <c r="A4659" s="574">
        <v>10617</v>
      </c>
      <c r="B4659" s="574" t="s">
        <v>13720</v>
      </c>
      <c r="C4659" s="574" t="s">
        <v>5555</v>
      </c>
      <c r="D4659" s="582">
        <v>3.32</v>
      </c>
    </row>
    <row r="4660" spans="1:4" x14ac:dyDescent="0.2">
      <c r="A4660" s="574">
        <v>7274</v>
      </c>
      <c r="B4660" s="574" t="s">
        <v>10253</v>
      </c>
      <c r="C4660" s="574" t="s">
        <v>5555</v>
      </c>
      <c r="D4660" s="582">
        <v>26.54</v>
      </c>
    </row>
    <row r="4661" spans="1:4" x14ac:dyDescent="0.2">
      <c r="A4661" s="574">
        <v>11663</v>
      </c>
      <c r="B4661" s="574" t="s">
        <v>10254</v>
      </c>
      <c r="C4661" s="574" t="s">
        <v>5555</v>
      </c>
      <c r="D4661" s="582">
        <v>218.35</v>
      </c>
    </row>
    <row r="4662" spans="1:4" x14ac:dyDescent="0.2">
      <c r="A4662" s="574">
        <v>154</v>
      </c>
      <c r="B4662" s="574" t="s">
        <v>13721</v>
      </c>
      <c r="C4662" s="574" t="s">
        <v>5628</v>
      </c>
      <c r="D4662" s="582">
        <v>56.17</v>
      </c>
    </row>
    <row r="4663" spans="1:4" x14ac:dyDescent="0.2">
      <c r="A4663" s="574">
        <v>38121</v>
      </c>
      <c r="B4663" s="574" t="s">
        <v>10255</v>
      </c>
      <c r="C4663" s="574" t="s">
        <v>5628</v>
      </c>
      <c r="D4663" s="582">
        <v>9.3699999999999992</v>
      </c>
    </row>
    <row r="4664" spans="1:4" x14ac:dyDescent="0.2">
      <c r="A4664" s="574">
        <v>7343</v>
      </c>
      <c r="B4664" s="574" t="s">
        <v>10256</v>
      </c>
      <c r="C4664" s="574" t="s">
        <v>5628</v>
      </c>
      <c r="D4664" s="582">
        <v>9.49</v>
      </c>
    </row>
    <row r="4665" spans="1:4" x14ac:dyDescent="0.2">
      <c r="A4665" s="574">
        <v>7350</v>
      </c>
      <c r="B4665" s="574" t="s">
        <v>10258</v>
      </c>
      <c r="C4665" s="574" t="s">
        <v>5628</v>
      </c>
      <c r="D4665" s="582">
        <v>28.48</v>
      </c>
    </row>
    <row r="4666" spans="1:4" x14ac:dyDescent="0.2">
      <c r="A4666" s="574">
        <v>7348</v>
      </c>
      <c r="B4666" s="574" t="s">
        <v>10259</v>
      </c>
      <c r="C4666" s="574" t="s">
        <v>5628</v>
      </c>
      <c r="D4666" s="582">
        <v>15.97</v>
      </c>
    </row>
    <row r="4667" spans="1:4" x14ac:dyDescent="0.2">
      <c r="A4667" s="574">
        <v>7356</v>
      </c>
      <c r="B4667" s="574" t="s">
        <v>10261</v>
      </c>
      <c r="C4667" s="574" t="s">
        <v>5628</v>
      </c>
      <c r="D4667" s="582">
        <v>23.94</v>
      </c>
    </row>
    <row r="4668" spans="1:4" x14ac:dyDescent="0.2">
      <c r="A4668" s="574">
        <v>7313</v>
      </c>
      <c r="B4668" s="574" t="s">
        <v>10262</v>
      </c>
      <c r="C4668" s="574" t="s">
        <v>5628</v>
      </c>
      <c r="D4668" s="582">
        <v>12.36</v>
      </c>
    </row>
    <row r="4669" spans="1:4" x14ac:dyDescent="0.2">
      <c r="A4669" s="574">
        <v>7319</v>
      </c>
      <c r="B4669" s="574" t="s">
        <v>10263</v>
      </c>
      <c r="C4669" s="574" t="s">
        <v>5628</v>
      </c>
      <c r="D4669" s="582">
        <v>7.07</v>
      </c>
    </row>
    <row r="4670" spans="1:4" x14ac:dyDescent="0.2">
      <c r="A4670" s="574">
        <v>38119</v>
      </c>
      <c r="B4670" s="574" t="s">
        <v>10264</v>
      </c>
      <c r="C4670" s="574" t="s">
        <v>5628</v>
      </c>
      <c r="D4670" s="582">
        <v>82.93</v>
      </c>
    </row>
    <row r="4671" spans="1:4" x14ac:dyDescent="0.2">
      <c r="A4671" s="574">
        <v>7314</v>
      </c>
      <c r="B4671" s="574" t="s">
        <v>10265</v>
      </c>
      <c r="C4671" s="574" t="s">
        <v>5628</v>
      </c>
      <c r="D4671" s="582">
        <v>89.37</v>
      </c>
    </row>
    <row r="4672" spans="1:4" x14ac:dyDescent="0.2">
      <c r="A4672" s="574">
        <v>38131</v>
      </c>
      <c r="B4672" s="574" t="s">
        <v>10266</v>
      </c>
      <c r="C4672" s="574" t="s">
        <v>5628</v>
      </c>
      <c r="D4672" s="582">
        <v>83.67</v>
      </c>
    </row>
    <row r="4673" spans="1:4" x14ac:dyDescent="0.2">
      <c r="A4673" s="574">
        <v>7304</v>
      </c>
      <c r="B4673" s="574" t="s">
        <v>10267</v>
      </c>
      <c r="C4673" s="574" t="s">
        <v>5628</v>
      </c>
      <c r="D4673" s="582">
        <v>54.1</v>
      </c>
    </row>
    <row r="4674" spans="1:4" x14ac:dyDescent="0.2">
      <c r="A4674" s="574">
        <v>7293</v>
      </c>
      <c r="B4674" s="574" t="s">
        <v>10268</v>
      </c>
      <c r="C4674" s="574" t="s">
        <v>5628</v>
      </c>
      <c r="D4674" s="582">
        <v>24.26</v>
      </c>
    </row>
    <row r="4675" spans="1:4" x14ac:dyDescent="0.2">
      <c r="A4675" s="574">
        <v>7311</v>
      </c>
      <c r="B4675" s="574" t="s">
        <v>10269</v>
      </c>
      <c r="C4675" s="574" t="s">
        <v>5628</v>
      </c>
      <c r="D4675" s="582">
        <v>23.46</v>
      </c>
    </row>
    <row r="4676" spans="1:4" x14ac:dyDescent="0.2">
      <c r="A4676" s="574">
        <v>7292</v>
      </c>
      <c r="B4676" s="574" t="s">
        <v>10270</v>
      </c>
      <c r="C4676" s="574" t="s">
        <v>5628</v>
      </c>
      <c r="D4676" s="582">
        <v>22.78</v>
      </c>
    </row>
    <row r="4677" spans="1:4" x14ac:dyDescent="0.2">
      <c r="A4677" s="574">
        <v>7288</v>
      </c>
      <c r="B4677" s="574" t="s">
        <v>10271</v>
      </c>
      <c r="C4677" s="574" t="s">
        <v>5628</v>
      </c>
      <c r="D4677" s="582">
        <v>25.82</v>
      </c>
    </row>
    <row r="4678" spans="1:4" x14ac:dyDescent="0.2">
      <c r="A4678" s="574">
        <v>35693</v>
      </c>
      <c r="B4678" s="574" t="s">
        <v>10272</v>
      </c>
      <c r="C4678" s="574" t="s">
        <v>5628</v>
      </c>
      <c r="D4678" s="582">
        <v>10.98</v>
      </c>
    </row>
    <row r="4679" spans="1:4" x14ac:dyDescent="0.2">
      <c r="A4679" s="574">
        <v>35692</v>
      </c>
      <c r="B4679" s="574" t="s">
        <v>10273</v>
      </c>
      <c r="C4679" s="574" t="s">
        <v>5628</v>
      </c>
      <c r="D4679" s="582">
        <v>58.88</v>
      </c>
    </row>
    <row r="4680" spans="1:4" x14ac:dyDescent="0.2">
      <c r="A4680" s="574">
        <v>7342</v>
      </c>
      <c r="B4680" s="574" t="s">
        <v>10277</v>
      </c>
      <c r="C4680" s="574" t="s">
        <v>5626</v>
      </c>
      <c r="D4680" s="582">
        <v>1.35</v>
      </c>
    </row>
    <row r="4681" spans="1:4" x14ac:dyDescent="0.2">
      <c r="A4681" s="574">
        <v>7306</v>
      </c>
      <c r="B4681" s="574" t="s">
        <v>10278</v>
      </c>
      <c r="C4681" s="574" t="s">
        <v>5628</v>
      </c>
      <c r="D4681" s="582">
        <v>27.81</v>
      </c>
    </row>
    <row r="4682" spans="1:4" x14ac:dyDescent="0.2">
      <c r="A4682" s="574">
        <v>39574</v>
      </c>
      <c r="B4682" s="574" t="s">
        <v>10280</v>
      </c>
      <c r="C4682" s="574" t="s">
        <v>5555</v>
      </c>
      <c r="D4682" s="582">
        <v>2.57</v>
      </c>
    </row>
    <row r="4683" spans="1:4" x14ac:dyDescent="0.2">
      <c r="A4683" s="574">
        <v>11060</v>
      </c>
      <c r="B4683" s="574" t="s">
        <v>10281</v>
      </c>
      <c r="C4683" s="574" t="s">
        <v>5555</v>
      </c>
      <c r="D4683" s="582">
        <v>25.44</v>
      </c>
    </row>
    <row r="4684" spans="1:4" x14ac:dyDescent="0.2">
      <c r="A4684" s="574">
        <v>37401</v>
      </c>
      <c r="B4684" s="574" t="s">
        <v>10282</v>
      </c>
      <c r="C4684" s="574" t="s">
        <v>5555</v>
      </c>
      <c r="D4684" s="582">
        <v>60.57</v>
      </c>
    </row>
    <row r="4685" spans="1:4" x14ac:dyDescent="0.2">
      <c r="A4685" s="574">
        <v>7525</v>
      </c>
      <c r="B4685" s="574" t="s">
        <v>10283</v>
      </c>
      <c r="C4685" s="574" t="s">
        <v>5555</v>
      </c>
      <c r="D4685" s="582">
        <v>39.39</v>
      </c>
    </row>
    <row r="4686" spans="1:4" x14ac:dyDescent="0.2">
      <c r="A4686" s="574">
        <v>7524</v>
      </c>
      <c r="B4686" s="574" t="s">
        <v>10284</v>
      </c>
      <c r="C4686" s="574" t="s">
        <v>5555</v>
      </c>
      <c r="D4686" s="582">
        <v>37.119999999999997</v>
      </c>
    </row>
    <row r="4687" spans="1:4" x14ac:dyDescent="0.2">
      <c r="A4687" s="574">
        <v>38105</v>
      </c>
      <c r="B4687" s="574" t="s">
        <v>10285</v>
      </c>
      <c r="C4687" s="574" t="s">
        <v>5555</v>
      </c>
      <c r="D4687" s="582">
        <v>9.5299999999999994</v>
      </c>
    </row>
    <row r="4688" spans="1:4" x14ac:dyDescent="0.2">
      <c r="A4688" s="574">
        <v>38084</v>
      </c>
      <c r="B4688" s="574" t="s">
        <v>10286</v>
      </c>
      <c r="C4688" s="574" t="s">
        <v>5555</v>
      </c>
      <c r="D4688" s="582">
        <v>13.54</v>
      </c>
    </row>
    <row r="4689" spans="1:4" x14ac:dyDescent="0.2">
      <c r="A4689" s="574">
        <v>38103</v>
      </c>
      <c r="B4689" s="574" t="s">
        <v>10287</v>
      </c>
      <c r="C4689" s="574" t="s">
        <v>5555</v>
      </c>
      <c r="D4689" s="582">
        <v>14.31</v>
      </c>
    </row>
    <row r="4690" spans="1:4" x14ac:dyDescent="0.2">
      <c r="A4690" s="574">
        <v>38082</v>
      </c>
      <c r="B4690" s="574" t="s">
        <v>10288</v>
      </c>
      <c r="C4690" s="574" t="s">
        <v>5555</v>
      </c>
      <c r="D4690" s="582">
        <v>17.63</v>
      </c>
    </row>
    <row r="4691" spans="1:4" x14ac:dyDescent="0.2">
      <c r="A4691" s="574">
        <v>38104</v>
      </c>
      <c r="B4691" s="574" t="s">
        <v>10289</v>
      </c>
      <c r="C4691" s="574" t="s">
        <v>5555</v>
      </c>
      <c r="D4691" s="582">
        <v>28.03</v>
      </c>
    </row>
    <row r="4692" spans="1:4" x14ac:dyDescent="0.2">
      <c r="A4692" s="574">
        <v>38083</v>
      </c>
      <c r="B4692" s="574" t="s">
        <v>10290</v>
      </c>
      <c r="C4692" s="574" t="s">
        <v>5555</v>
      </c>
      <c r="D4692" s="582">
        <v>31.12</v>
      </c>
    </row>
    <row r="4693" spans="1:4" x14ac:dyDescent="0.2">
      <c r="A4693" s="574">
        <v>38101</v>
      </c>
      <c r="B4693" s="574" t="s">
        <v>10291</v>
      </c>
      <c r="C4693" s="574" t="s">
        <v>5555</v>
      </c>
      <c r="D4693" s="582">
        <v>6.81</v>
      </c>
    </row>
    <row r="4694" spans="1:4" x14ac:dyDescent="0.2">
      <c r="A4694" s="574">
        <v>7528</v>
      </c>
      <c r="B4694" s="574" t="s">
        <v>10292</v>
      </c>
      <c r="C4694" s="574" t="s">
        <v>5555</v>
      </c>
      <c r="D4694" s="582">
        <v>8</v>
      </c>
    </row>
    <row r="4695" spans="1:4" x14ac:dyDescent="0.2">
      <c r="A4695" s="574">
        <v>12147</v>
      </c>
      <c r="B4695" s="574" t="s">
        <v>10293</v>
      </c>
      <c r="C4695" s="574" t="s">
        <v>5555</v>
      </c>
      <c r="D4695" s="582">
        <v>12.2</v>
      </c>
    </row>
    <row r="4696" spans="1:4" x14ac:dyDescent="0.2">
      <c r="A4696" s="574">
        <v>38075</v>
      </c>
      <c r="B4696" s="574" t="s">
        <v>10294</v>
      </c>
      <c r="C4696" s="574" t="s">
        <v>5555</v>
      </c>
      <c r="D4696" s="582">
        <v>13.85</v>
      </c>
    </row>
    <row r="4697" spans="1:4" x14ac:dyDescent="0.2">
      <c r="A4697" s="574">
        <v>38102</v>
      </c>
      <c r="B4697" s="574" t="s">
        <v>10295</v>
      </c>
      <c r="C4697" s="574" t="s">
        <v>5555</v>
      </c>
      <c r="D4697" s="582">
        <v>8.7100000000000009</v>
      </c>
    </row>
    <row r="4698" spans="1:4" x14ac:dyDescent="0.2">
      <c r="A4698" s="574">
        <v>38076</v>
      </c>
      <c r="B4698" s="574" t="s">
        <v>10296</v>
      </c>
      <c r="C4698" s="574" t="s">
        <v>5555</v>
      </c>
      <c r="D4698" s="582">
        <v>15.53</v>
      </c>
    </row>
    <row r="4699" spans="1:4" x14ac:dyDescent="0.2">
      <c r="A4699" s="574">
        <v>7592</v>
      </c>
      <c r="B4699" s="574" t="s">
        <v>10297</v>
      </c>
      <c r="C4699" s="574" t="s">
        <v>5566</v>
      </c>
      <c r="D4699" s="582">
        <v>32.479999999999997</v>
      </c>
    </row>
    <row r="4700" spans="1:4" x14ac:dyDescent="0.2">
      <c r="A4700" s="574">
        <v>40820</v>
      </c>
      <c r="B4700" s="574" t="s">
        <v>10298</v>
      </c>
      <c r="C4700" s="574" t="s">
        <v>5755</v>
      </c>
      <c r="D4700" s="583">
        <v>5678.95</v>
      </c>
    </row>
    <row r="4701" spans="1:4" x14ac:dyDescent="0.2">
      <c r="A4701" s="574">
        <v>11762</v>
      </c>
      <c r="B4701" s="574" t="s">
        <v>10299</v>
      </c>
      <c r="C4701" s="574" t="s">
        <v>5555</v>
      </c>
      <c r="D4701" s="582">
        <v>52.53</v>
      </c>
    </row>
    <row r="4702" spans="1:4" x14ac:dyDescent="0.2">
      <c r="A4702" s="574">
        <v>13418</v>
      </c>
      <c r="B4702" s="574" t="s">
        <v>10300</v>
      </c>
      <c r="C4702" s="574" t="s">
        <v>5555</v>
      </c>
      <c r="D4702" s="582">
        <v>14.68</v>
      </c>
    </row>
    <row r="4703" spans="1:4" x14ac:dyDescent="0.2">
      <c r="A4703" s="574">
        <v>13984</v>
      </c>
      <c r="B4703" s="574" t="s">
        <v>10301</v>
      </c>
      <c r="C4703" s="574" t="s">
        <v>5555</v>
      </c>
      <c r="D4703" s="582">
        <v>36.71</v>
      </c>
    </row>
    <row r="4704" spans="1:4" x14ac:dyDescent="0.2">
      <c r="A4704" s="574">
        <v>11772</v>
      </c>
      <c r="B4704" s="574" t="s">
        <v>10302</v>
      </c>
      <c r="C4704" s="574" t="s">
        <v>5555</v>
      </c>
      <c r="D4704" s="582">
        <v>89.16</v>
      </c>
    </row>
    <row r="4705" spans="1:4" x14ac:dyDescent="0.2">
      <c r="A4705" s="574">
        <v>36795</v>
      </c>
      <c r="B4705" s="574" t="s">
        <v>10303</v>
      </c>
      <c r="C4705" s="574" t="s">
        <v>5555</v>
      </c>
      <c r="D4705" s="582">
        <v>573.46</v>
      </c>
    </row>
    <row r="4706" spans="1:4" x14ac:dyDescent="0.2">
      <c r="A4706" s="574">
        <v>36796</v>
      </c>
      <c r="B4706" s="574" t="s">
        <v>10304</v>
      </c>
      <c r="C4706" s="574" t="s">
        <v>5555</v>
      </c>
      <c r="D4706" s="582">
        <v>147.65</v>
      </c>
    </row>
    <row r="4707" spans="1:4" x14ac:dyDescent="0.2">
      <c r="A4707" s="574">
        <v>36791</v>
      </c>
      <c r="B4707" s="574" t="s">
        <v>10305</v>
      </c>
      <c r="C4707" s="574" t="s">
        <v>5555</v>
      </c>
      <c r="D4707" s="582">
        <v>76.069999999999993</v>
      </c>
    </row>
    <row r="4708" spans="1:4" x14ac:dyDescent="0.2">
      <c r="A4708" s="574">
        <v>13415</v>
      </c>
      <c r="B4708" s="574" t="s">
        <v>10306</v>
      </c>
      <c r="C4708" s="574" t="s">
        <v>5555</v>
      </c>
      <c r="D4708" s="582">
        <v>44.22</v>
      </c>
    </row>
    <row r="4709" spans="1:4" x14ac:dyDescent="0.2">
      <c r="A4709" s="574">
        <v>36792</v>
      </c>
      <c r="B4709" s="574" t="s">
        <v>10307</v>
      </c>
      <c r="C4709" s="574" t="s">
        <v>5555</v>
      </c>
      <c r="D4709" s="582">
        <v>145.41999999999999</v>
      </c>
    </row>
    <row r="4710" spans="1:4" x14ac:dyDescent="0.2">
      <c r="A4710" s="574">
        <v>11773</v>
      </c>
      <c r="B4710" s="574" t="s">
        <v>10308</v>
      </c>
      <c r="C4710" s="574" t="s">
        <v>5555</v>
      </c>
      <c r="D4710" s="582">
        <v>85.12</v>
      </c>
    </row>
    <row r="4711" spans="1:4" x14ac:dyDescent="0.2">
      <c r="A4711" s="574">
        <v>11775</v>
      </c>
      <c r="B4711" s="574" t="s">
        <v>10309</v>
      </c>
      <c r="C4711" s="574" t="s">
        <v>5555</v>
      </c>
      <c r="D4711" s="582">
        <v>88.88</v>
      </c>
    </row>
    <row r="4712" spans="1:4" x14ac:dyDescent="0.2">
      <c r="A4712" s="574">
        <v>13983</v>
      </c>
      <c r="B4712" s="574" t="s">
        <v>10310</v>
      </c>
      <c r="C4712" s="574" t="s">
        <v>5555</v>
      </c>
      <c r="D4712" s="582">
        <v>45.41</v>
      </c>
    </row>
    <row r="4713" spans="1:4" x14ac:dyDescent="0.2">
      <c r="A4713" s="574">
        <v>13416</v>
      </c>
      <c r="B4713" s="574" t="s">
        <v>10311</v>
      </c>
      <c r="C4713" s="574" t="s">
        <v>5555</v>
      </c>
      <c r="D4713" s="582">
        <v>36.619999999999997</v>
      </c>
    </row>
    <row r="4714" spans="1:4" x14ac:dyDescent="0.2">
      <c r="A4714" s="574">
        <v>13417</v>
      </c>
      <c r="B4714" s="574" t="s">
        <v>10312</v>
      </c>
      <c r="C4714" s="574" t="s">
        <v>5555</v>
      </c>
      <c r="D4714" s="582">
        <v>32.299999999999997</v>
      </c>
    </row>
    <row r="4715" spans="1:4" x14ac:dyDescent="0.2">
      <c r="A4715" s="574">
        <v>7604</v>
      </c>
      <c r="B4715" s="574" t="s">
        <v>10313</v>
      </c>
      <c r="C4715" s="574" t="s">
        <v>5555</v>
      </c>
      <c r="D4715" s="582">
        <v>13.99</v>
      </c>
    </row>
    <row r="4716" spans="1:4" x14ac:dyDescent="0.2">
      <c r="A4716" s="574">
        <v>11763</v>
      </c>
      <c r="B4716" s="574" t="s">
        <v>10314</v>
      </c>
      <c r="C4716" s="574" t="s">
        <v>5555</v>
      </c>
      <c r="D4716" s="582">
        <v>55.48</v>
      </c>
    </row>
    <row r="4717" spans="1:4" x14ac:dyDescent="0.2">
      <c r="A4717" s="574">
        <v>11764</v>
      </c>
      <c r="B4717" s="574" t="s">
        <v>10315</v>
      </c>
      <c r="C4717" s="574" t="s">
        <v>5555</v>
      </c>
      <c r="D4717" s="582">
        <v>59.26</v>
      </c>
    </row>
    <row r="4718" spans="1:4" x14ac:dyDescent="0.2">
      <c r="A4718" s="574">
        <v>11829</v>
      </c>
      <c r="B4718" s="574" t="s">
        <v>10316</v>
      </c>
      <c r="C4718" s="574" t="s">
        <v>5555</v>
      </c>
      <c r="D4718" s="582">
        <v>14.2</v>
      </c>
    </row>
    <row r="4719" spans="1:4" x14ac:dyDescent="0.2">
      <c r="A4719" s="574">
        <v>11825</v>
      </c>
      <c r="B4719" s="574" t="s">
        <v>10317</v>
      </c>
      <c r="C4719" s="574" t="s">
        <v>5555</v>
      </c>
      <c r="D4719" s="582">
        <v>24.35</v>
      </c>
    </row>
    <row r="4720" spans="1:4" x14ac:dyDescent="0.2">
      <c r="A4720" s="574">
        <v>11767</v>
      </c>
      <c r="B4720" s="574" t="s">
        <v>10318</v>
      </c>
      <c r="C4720" s="574" t="s">
        <v>5555</v>
      </c>
      <c r="D4720" s="582">
        <v>98.36</v>
      </c>
    </row>
    <row r="4721" spans="1:4" x14ac:dyDescent="0.2">
      <c r="A4721" s="574">
        <v>11830</v>
      </c>
      <c r="B4721" s="574" t="s">
        <v>10319</v>
      </c>
      <c r="C4721" s="574" t="s">
        <v>5555</v>
      </c>
      <c r="D4721" s="582">
        <v>15.34</v>
      </c>
    </row>
    <row r="4722" spans="1:4" x14ac:dyDescent="0.2">
      <c r="A4722" s="574">
        <v>11766</v>
      </c>
      <c r="B4722" s="574" t="s">
        <v>10320</v>
      </c>
      <c r="C4722" s="574" t="s">
        <v>5555</v>
      </c>
      <c r="D4722" s="582">
        <v>27.28</v>
      </c>
    </row>
    <row r="4723" spans="1:4" x14ac:dyDescent="0.2">
      <c r="A4723" s="574">
        <v>11765</v>
      </c>
      <c r="B4723" s="574" t="s">
        <v>10321</v>
      </c>
      <c r="C4723" s="574" t="s">
        <v>5555</v>
      </c>
      <c r="D4723" s="582">
        <v>37.15</v>
      </c>
    </row>
    <row r="4724" spans="1:4" x14ac:dyDescent="0.2">
      <c r="A4724" s="574">
        <v>11824</v>
      </c>
      <c r="B4724" s="574" t="s">
        <v>10322</v>
      </c>
      <c r="C4724" s="574" t="s">
        <v>5555</v>
      </c>
      <c r="D4724" s="582">
        <v>28.14</v>
      </c>
    </row>
    <row r="4725" spans="1:4" x14ac:dyDescent="0.2">
      <c r="A4725" s="574">
        <v>11777</v>
      </c>
      <c r="B4725" s="574" t="s">
        <v>10323</v>
      </c>
      <c r="C4725" s="574" t="s">
        <v>5555</v>
      </c>
      <c r="D4725" s="582">
        <v>136.61000000000001</v>
      </c>
    </row>
    <row r="4726" spans="1:4" x14ac:dyDescent="0.2">
      <c r="A4726" s="574">
        <v>7602</v>
      </c>
      <c r="B4726" s="574" t="s">
        <v>10324</v>
      </c>
      <c r="C4726" s="574" t="s">
        <v>5555</v>
      </c>
      <c r="D4726" s="582">
        <v>13.87</v>
      </c>
    </row>
    <row r="4727" spans="1:4" x14ac:dyDescent="0.2">
      <c r="A4727" s="574">
        <v>7603</v>
      </c>
      <c r="B4727" s="574" t="s">
        <v>10325</v>
      </c>
      <c r="C4727" s="574" t="s">
        <v>5555</v>
      </c>
      <c r="D4727" s="582">
        <v>13.45</v>
      </c>
    </row>
    <row r="4728" spans="1:4" x14ac:dyDescent="0.2">
      <c r="A4728" s="574">
        <v>11826</v>
      </c>
      <c r="B4728" s="574" t="s">
        <v>10326</v>
      </c>
      <c r="C4728" s="574" t="s">
        <v>5555</v>
      </c>
      <c r="D4728" s="582">
        <v>23.63</v>
      </c>
    </row>
    <row r="4729" spans="1:4" x14ac:dyDescent="0.2">
      <c r="A4729" s="574">
        <v>7606</v>
      </c>
      <c r="B4729" s="574" t="s">
        <v>10327</v>
      </c>
      <c r="C4729" s="574" t="s">
        <v>5555</v>
      </c>
      <c r="D4729" s="582">
        <v>24.62</v>
      </c>
    </row>
    <row r="4730" spans="1:4" x14ac:dyDescent="0.2">
      <c r="A4730" s="574">
        <v>40329</v>
      </c>
      <c r="B4730" s="574" t="s">
        <v>10328</v>
      </c>
      <c r="C4730" s="574" t="s">
        <v>5555</v>
      </c>
      <c r="D4730" s="582">
        <v>11.91</v>
      </c>
    </row>
    <row r="4731" spans="1:4" x14ac:dyDescent="0.2">
      <c r="A4731" s="574">
        <v>11823</v>
      </c>
      <c r="B4731" s="574" t="s">
        <v>10329</v>
      </c>
      <c r="C4731" s="574" t="s">
        <v>5555</v>
      </c>
      <c r="D4731" s="582">
        <v>5.14</v>
      </c>
    </row>
    <row r="4732" spans="1:4" x14ac:dyDescent="0.2">
      <c r="A4732" s="574">
        <v>11822</v>
      </c>
      <c r="B4732" s="574" t="s">
        <v>10330</v>
      </c>
      <c r="C4732" s="574" t="s">
        <v>5555</v>
      </c>
      <c r="D4732" s="582">
        <v>35.880000000000003</v>
      </c>
    </row>
    <row r="4733" spans="1:4" x14ac:dyDescent="0.2">
      <c r="A4733" s="574">
        <v>11831</v>
      </c>
      <c r="B4733" s="574" t="s">
        <v>10331</v>
      </c>
      <c r="C4733" s="574" t="s">
        <v>5555</v>
      </c>
      <c r="D4733" s="582">
        <v>27.24</v>
      </c>
    </row>
    <row r="4734" spans="1:4" x14ac:dyDescent="0.2">
      <c r="A4734" s="574">
        <v>7613</v>
      </c>
      <c r="B4734" s="574" t="s">
        <v>10332</v>
      </c>
      <c r="C4734" s="574" t="s">
        <v>5555</v>
      </c>
      <c r="D4734" s="583">
        <v>55959.45</v>
      </c>
    </row>
    <row r="4735" spans="1:4" x14ac:dyDescent="0.2">
      <c r="A4735" s="574">
        <v>7619</v>
      </c>
      <c r="B4735" s="574" t="s">
        <v>10333</v>
      </c>
      <c r="C4735" s="574" t="s">
        <v>5555</v>
      </c>
      <c r="D4735" s="583">
        <v>8650.1299999999992</v>
      </c>
    </row>
    <row r="4736" spans="1:4" x14ac:dyDescent="0.2">
      <c r="A4736" s="574">
        <v>12076</v>
      </c>
      <c r="B4736" s="574" t="s">
        <v>10334</v>
      </c>
      <c r="C4736" s="574" t="s">
        <v>5555</v>
      </c>
      <c r="D4736" s="583">
        <v>3967.95</v>
      </c>
    </row>
    <row r="4737" spans="1:4" x14ac:dyDescent="0.2">
      <c r="A4737" s="574">
        <v>7614</v>
      </c>
      <c r="B4737" s="574" t="s">
        <v>10335</v>
      </c>
      <c r="C4737" s="574" t="s">
        <v>5555</v>
      </c>
      <c r="D4737" s="583">
        <v>10909.88</v>
      </c>
    </row>
    <row r="4738" spans="1:4" x14ac:dyDescent="0.2">
      <c r="A4738" s="574">
        <v>7618</v>
      </c>
      <c r="B4738" s="574" t="s">
        <v>10336</v>
      </c>
      <c r="C4738" s="574" t="s">
        <v>5555</v>
      </c>
      <c r="D4738" s="583">
        <v>70758.77</v>
      </c>
    </row>
    <row r="4739" spans="1:4" x14ac:dyDescent="0.2">
      <c r="A4739" s="574">
        <v>7620</v>
      </c>
      <c r="B4739" s="574" t="s">
        <v>10337</v>
      </c>
      <c r="C4739" s="574" t="s">
        <v>5555</v>
      </c>
      <c r="D4739" s="583">
        <v>15304.95</v>
      </c>
    </row>
    <row r="4740" spans="1:4" x14ac:dyDescent="0.2">
      <c r="A4740" s="574">
        <v>7610</v>
      </c>
      <c r="B4740" s="574" t="s">
        <v>10338</v>
      </c>
      <c r="C4740" s="574" t="s">
        <v>5555</v>
      </c>
      <c r="D4740" s="583">
        <v>4846.5600000000004</v>
      </c>
    </row>
    <row r="4741" spans="1:4" x14ac:dyDescent="0.2">
      <c r="A4741" s="574">
        <v>7615</v>
      </c>
      <c r="B4741" s="574" t="s">
        <v>10339</v>
      </c>
      <c r="C4741" s="574" t="s">
        <v>5555</v>
      </c>
      <c r="D4741" s="583">
        <v>17855.78</v>
      </c>
    </row>
    <row r="4742" spans="1:4" x14ac:dyDescent="0.2">
      <c r="A4742" s="574">
        <v>7617</v>
      </c>
      <c r="B4742" s="574" t="s">
        <v>10340</v>
      </c>
      <c r="C4742" s="574" t="s">
        <v>5555</v>
      </c>
      <c r="D4742" s="583">
        <v>5413.41</v>
      </c>
    </row>
    <row r="4743" spans="1:4" x14ac:dyDescent="0.2">
      <c r="A4743" s="574">
        <v>7616</v>
      </c>
      <c r="B4743" s="574" t="s">
        <v>10341</v>
      </c>
      <c r="C4743" s="574" t="s">
        <v>5555</v>
      </c>
      <c r="D4743" s="583">
        <v>29137.8</v>
      </c>
    </row>
    <row r="4744" spans="1:4" x14ac:dyDescent="0.2">
      <c r="A4744" s="574">
        <v>7611</v>
      </c>
      <c r="B4744" s="574" t="s">
        <v>10342</v>
      </c>
      <c r="C4744" s="574" t="s">
        <v>5555</v>
      </c>
      <c r="D4744" s="583">
        <v>7000.6</v>
      </c>
    </row>
    <row r="4745" spans="1:4" x14ac:dyDescent="0.2">
      <c r="A4745" s="574">
        <v>7612</v>
      </c>
      <c r="B4745" s="574" t="s">
        <v>10343</v>
      </c>
      <c r="C4745" s="574" t="s">
        <v>5555</v>
      </c>
      <c r="D4745" s="583">
        <v>39967.47</v>
      </c>
    </row>
    <row r="4746" spans="1:4" x14ac:dyDescent="0.2">
      <c r="A4746" s="574">
        <v>37371</v>
      </c>
      <c r="B4746" s="574" t="s">
        <v>10344</v>
      </c>
      <c r="C4746" s="574" t="s">
        <v>5566</v>
      </c>
      <c r="D4746" s="582">
        <v>0.6</v>
      </c>
    </row>
    <row r="4747" spans="1:4" x14ac:dyDescent="0.2">
      <c r="A4747" s="574">
        <v>40861</v>
      </c>
      <c r="B4747" s="574" t="s">
        <v>10345</v>
      </c>
      <c r="C4747" s="574" t="s">
        <v>5755</v>
      </c>
      <c r="D4747" s="582">
        <v>113.8</v>
      </c>
    </row>
    <row r="4748" spans="1:4" x14ac:dyDescent="0.2">
      <c r="A4748" s="574">
        <v>36510</v>
      </c>
      <c r="B4748" s="574" t="s">
        <v>10346</v>
      </c>
      <c r="C4748" s="574" t="s">
        <v>5555</v>
      </c>
      <c r="D4748" s="583">
        <v>630519.85</v>
      </c>
    </row>
    <row r="4749" spans="1:4" x14ac:dyDescent="0.2">
      <c r="A4749" s="574">
        <v>25020</v>
      </c>
      <c r="B4749" s="574" t="s">
        <v>10347</v>
      </c>
      <c r="C4749" s="574" t="s">
        <v>5555</v>
      </c>
      <c r="D4749" s="583">
        <v>2597519.9500000002</v>
      </c>
    </row>
    <row r="4750" spans="1:4" x14ac:dyDescent="0.2">
      <c r="A4750" s="574">
        <v>7622</v>
      </c>
      <c r="B4750" s="574" t="s">
        <v>10348</v>
      </c>
      <c r="C4750" s="574" t="s">
        <v>5555</v>
      </c>
      <c r="D4750" s="583">
        <v>611696.41</v>
      </c>
    </row>
    <row r="4751" spans="1:4" x14ac:dyDescent="0.2">
      <c r="A4751" s="574">
        <v>7624</v>
      </c>
      <c r="B4751" s="574" t="s">
        <v>10349</v>
      </c>
      <c r="C4751" s="574" t="s">
        <v>5555</v>
      </c>
      <c r="D4751" s="583">
        <v>793000</v>
      </c>
    </row>
    <row r="4752" spans="1:4" x14ac:dyDescent="0.2">
      <c r="A4752" s="574">
        <v>7625</v>
      </c>
      <c r="B4752" s="574" t="s">
        <v>10350</v>
      </c>
      <c r="C4752" s="574" t="s">
        <v>5555</v>
      </c>
      <c r="D4752" s="583">
        <v>788149.77</v>
      </c>
    </row>
    <row r="4753" spans="1:4" x14ac:dyDescent="0.2">
      <c r="A4753" s="574">
        <v>7623</v>
      </c>
      <c r="B4753" s="574" t="s">
        <v>10351</v>
      </c>
      <c r="C4753" s="574" t="s">
        <v>5555</v>
      </c>
      <c r="D4753" s="583">
        <v>2597519.9500000002</v>
      </c>
    </row>
    <row r="4754" spans="1:4" x14ac:dyDescent="0.2">
      <c r="A4754" s="574">
        <v>36508</v>
      </c>
      <c r="B4754" s="574" t="s">
        <v>10352</v>
      </c>
      <c r="C4754" s="574" t="s">
        <v>5555</v>
      </c>
      <c r="D4754" s="583">
        <v>1168207.79</v>
      </c>
    </row>
    <row r="4755" spans="1:4" x14ac:dyDescent="0.2">
      <c r="A4755" s="574">
        <v>36509</v>
      </c>
      <c r="B4755" s="574" t="s">
        <v>10353</v>
      </c>
      <c r="C4755" s="574" t="s">
        <v>5555</v>
      </c>
      <c r="D4755" s="583">
        <v>640220.14</v>
      </c>
    </row>
    <row r="4756" spans="1:4" x14ac:dyDescent="0.2">
      <c r="A4756" s="574">
        <v>13238</v>
      </c>
      <c r="B4756" s="574" t="s">
        <v>10354</v>
      </c>
      <c r="C4756" s="574" t="s">
        <v>5555</v>
      </c>
      <c r="D4756" s="583">
        <v>153084.1</v>
      </c>
    </row>
    <row r="4757" spans="1:4" x14ac:dyDescent="0.2">
      <c r="A4757" s="574">
        <v>36511</v>
      </c>
      <c r="B4757" s="574" t="s">
        <v>10355</v>
      </c>
      <c r="C4757" s="574" t="s">
        <v>5555</v>
      </c>
      <c r="D4757" s="583">
        <v>177383.16</v>
      </c>
    </row>
    <row r="4758" spans="1:4" x14ac:dyDescent="0.2">
      <c r="A4758" s="574">
        <v>36515</v>
      </c>
      <c r="B4758" s="574" t="s">
        <v>10356</v>
      </c>
      <c r="C4758" s="574" t="s">
        <v>5555</v>
      </c>
      <c r="D4758" s="583">
        <v>52242.98</v>
      </c>
    </row>
    <row r="4759" spans="1:4" x14ac:dyDescent="0.2">
      <c r="A4759" s="574">
        <v>10598</v>
      </c>
      <c r="B4759" s="574" t="s">
        <v>10357</v>
      </c>
      <c r="C4759" s="574" t="s">
        <v>5555</v>
      </c>
      <c r="D4759" s="583">
        <v>84719.89</v>
      </c>
    </row>
    <row r="4760" spans="1:4" x14ac:dyDescent="0.2">
      <c r="A4760" s="574">
        <v>7640</v>
      </c>
      <c r="B4760" s="574" t="s">
        <v>10358</v>
      </c>
      <c r="C4760" s="574" t="s">
        <v>5555</v>
      </c>
      <c r="D4760" s="583">
        <v>130000</v>
      </c>
    </row>
    <row r="4761" spans="1:4" x14ac:dyDescent="0.2">
      <c r="A4761" s="574">
        <v>36513</v>
      </c>
      <c r="B4761" s="574" t="s">
        <v>10359</v>
      </c>
      <c r="C4761" s="574" t="s">
        <v>5555</v>
      </c>
      <c r="D4761" s="583">
        <v>125231.3</v>
      </c>
    </row>
    <row r="4762" spans="1:4" x14ac:dyDescent="0.2">
      <c r="A4762" s="574">
        <v>36514</v>
      </c>
      <c r="B4762" s="574" t="s">
        <v>10360</v>
      </c>
      <c r="C4762" s="574" t="s">
        <v>5555</v>
      </c>
      <c r="D4762" s="583">
        <v>139719.60999999999</v>
      </c>
    </row>
    <row r="4763" spans="1:4" x14ac:dyDescent="0.2">
      <c r="A4763" s="574">
        <v>36149</v>
      </c>
      <c r="B4763" s="574" t="s">
        <v>10361</v>
      </c>
      <c r="C4763" s="574" t="s">
        <v>5555</v>
      </c>
      <c r="D4763" s="582">
        <v>143.93</v>
      </c>
    </row>
    <row r="4764" spans="1:4" x14ac:dyDescent="0.2">
      <c r="A4764" s="574">
        <v>42407</v>
      </c>
      <c r="B4764" s="574" t="s">
        <v>13722</v>
      </c>
      <c r="C4764" s="574" t="s">
        <v>5575</v>
      </c>
      <c r="D4764" s="582">
        <v>4.9400000000000004</v>
      </c>
    </row>
    <row r="4765" spans="1:4" x14ac:dyDescent="0.2">
      <c r="A4765" s="574">
        <v>11581</v>
      </c>
      <c r="B4765" s="574" t="s">
        <v>10363</v>
      </c>
      <c r="C4765" s="574" t="s">
        <v>5575</v>
      </c>
      <c r="D4765" s="582">
        <v>24.63</v>
      </c>
    </row>
    <row r="4766" spans="1:4" x14ac:dyDescent="0.2">
      <c r="A4766" s="574">
        <v>11580</v>
      </c>
      <c r="B4766" s="574" t="s">
        <v>10364</v>
      </c>
      <c r="C4766" s="574" t="s">
        <v>5575</v>
      </c>
      <c r="D4766" s="582">
        <v>11.21</v>
      </c>
    </row>
    <row r="4767" spans="1:4" x14ac:dyDescent="0.2">
      <c r="A4767" s="574">
        <v>38177</v>
      </c>
      <c r="B4767" s="574" t="s">
        <v>10365</v>
      </c>
      <c r="C4767" s="574" t="s">
        <v>5555</v>
      </c>
      <c r="D4767" s="582">
        <v>7.61</v>
      </c>
    </row>
    <row r="4768" spans="1:4" x14ac:dyDescent="0.2">
      <c r="A4768" s="574">
        <v>10743</v>
      </c>
      <c r="B4768" s="574" t="s">
        <v>10366</v>
      </c>
      <c r="C4768" s="574" t="s">
        <v>5555</v>
      </c>
      <c r="D4768" s="582">
        <v>598.73</v>
      </c>
    </row>
    <row r="4769" spans="1:4" x14ac:dyDescent="0.2">
      <c r="A4769" s="574">
        <v>39848</v>
      </c>
      <c r="B4769" s="574" t="s">
        <v>10367</v>
      </c>
      <c r="C4769" s="574" t="s">
        <v>5575</v>
      </c>
      <c r="D4769" s="582">
        <v>1.34</v>
      </c>
    </row>
    <row r="4770" spans="1:4" x14ac:dyDescent="0.2">
      <c r="A4770" s="574">
        <v>20999</v>
      </c>
      <c r="B4770" s="574" t="s">
        <v>10368</v>
      </c>
      <c r="C4770" s="574" t="s">
        <v>5575</v>
      </c>
      <c r="D4770" s="582">
        <v>7.57</v>
      </c>
    </row>
    <row r="4771" spans="1:4" x14ac:dyDescent="0.2">
      <c r="A4771" s="574">
        <v>21001</v>
      </c>
      <c r="B4771" s="574" t="s">
        <v>10369</v>
      </c>
      <c r="C4771" s="574" t="s">
        <v>5575</v>
      </c>
      <c r="D4771" s="582">
        <v>14.14</v>
      </c>
    </row>
    <row r="4772" spans="1:4" x14ac:dyDescent="0.2">
      <c r="A4772" s="574">
        <v>21003</v>
      </c>
      <c r="B4772" s="574" t="s">
        <v>10370</v>
      </c>
      <c r="C4772" s="574" t="s">
        <v>5575</v>
      </c>
      <c r="D4772" s="582">
        <v>23.23</v>
      </c>
    </row>
    <row r="4773" spans="1:4" x14ac:dyDescent="0.2">
      <c r="A4773" s="574">
        <v>21006</v>
      </c>
      <c r="B4773" s="574" t="s">
        <v>10371</v>
      </c>
      <c r="C4773" s="574" t="s">
        <v>5575</v>
      </c>
      <c r="D4773" s="582">
        <v>49.31</v>
      </c>
    </row>
    <row r="4774" spans="1:4" x14ac:dyDescent="0.2">
      <c r="A4774" s="574">
        <v>21019</v>
      </c>
      <c r="B4774" s="574" t="s">
        <v>10372</v>
      </c>
      <c r="C4774" s="574" t="s">
        <v>5575</v>
      </c>
      <c r="D4774" s="582">
        <v>17.14</v>
      </c>
    </row>
    <row r="4775" spans="1:4" x14ac:dyDescent="0.2">
      <c r="A4775" s="574">
        <v>21021</v>
      </c>
      <c r="B4775" s="574" t="s">
        <v>10373</v>
      </c>
      <c r="C4775" s="574" t="s">
        <v>5575</v>
      </c>
      <c r="D4775" s="582">
        <v>27.09</v>
      </c>
    </row>
    <row r="4776" spans="1:4" x14ac:dyDescent="0.2">
      <c r="A4776" s="574">
        <v>21024</v>
      </c>
      <c r="B4776" s="574" t="s">
        <v>10374</v>
      </c>
      <c r="C4776" s="574" t="s">
        <v>5575</v>
      </c>
      <c r="D4776" s="582">
        <v>58.05</v>
      </c>
    </row>
    <row r="4777" spans="1:4" x14ac:dyDescent="0.2">
      <c r="A4777" s="574">
        <v>40624</v>
      </c>
      <c r="B4777" s="574" t="s">
        <v>10375</v>
      </c>
      <c r="C4777" s="574" t="s">
        <v>5575</v>
      </c>
      <c r="D4777" s="582">
        <v>42.39</v>
      </c>
    </row>
    <row r="4778" spans="1:4" x14ac:dyDescent="0.2">
      <c r="A4778" s="574">
        <v>42575</v>
      </c>
      <c r="B4778" s="574" t="s">
        <v>13723</v>
      </c>
      <c r="C4778" s="574" t="s">
        <v>5575</v>
      </c>
      <c r="D4778" s="582">
        <v>38.9</v>
      </c>
    </row>
    <row r="4779" spans="1:4" x14ac:dyDescent="0.2">
      <c r="A4779" s="574">
        <v>13127</v>
      </c>
      <c r="B4779" s="574" t="s">
        <v>10376</v>
      </c>
      <c r="C4779" s="574" t="s">
        <v>5575</v>
      </c>
      <c r="D4779" s="582">
        <v>18.899999999999999</v>
      </c>
    </row>
    <row r="4780" spans="1:4" x14ac:dyDescent="0.2">
      <c r="A4780" s="574">
        <v>13137</v>
      </c>
      <c r="B4780" s="574" t="s">
        <v>10377</v>
      </c>
      <c r="C4780" s="574" t="s">
        <v>5575</v>
      </c>
      <c r="D4780" s="582">
        <v>25.09</v>
      </c>
    </row>
    <row r="4781" spans="1:4" x14ac:dyDescent="0.2">
      <c r="A4781" s="574">
        <v>42574</v>
      </c>
      <c r="B4781" s="574" t="s">
        <v>13724</v>
      </c>
      <c r="C4781" s="574" t="s">
        <v>5575</v>
      </c>
      <c r="D4781" s="582">
        <v>29.03</v>
      </c>
    </row>
    <row r="4782" spans="1:4" x14ac:dyDescent="0.2">
      <c r="A4782" s="574">
        <v>20989</v>
      </c>
      <c r="B4782" s="574" t="s">
        <v>10378</v>
      </c>
      <c r="C4782" s="574" t="s">
        <v>5575</v>
      </c>
      <c r="D4782" s="582">
        <v>898.92</v>
      </c>
    </row>
    <row r="4783" spans="1:4" x14ac:dyDescent="0.2">
      <c r="A4783" s="574">
        <v>21147</v>
      </c>
      <c r="B4783" s="574" t="s">
        <v>10379</v>
      </c>
      <c r="C4783" s="574" t="s">
        <v>5575</v>
      </c>
      <c r="D4783" s="582">
        <v>84.28</v>
      </c>
    </row>
    <row r="4784" spans="1:4" x14ac:dyDescent="0.2">
      <c r="A4784" s="574">
        <v>21148</v>
      </c>
      <c r="B4784" s="574" t="s">
        <v>10380</v>
      </c>
      <c r="C4784" s="574" t="s">
        <v>5575</v>
      </c>
      <c r="D4784" s="582">
        <v>52.02</v>
      </c>
    </row>
    <row r="4785" spans="1:4" x14ac:dyDescent="0.2">
      <c r="A4785" s="574">
        <v>20984</v>
      </c>
      <c r="B4785" s="574" t="s">
        <v>10381</v>
      </c>
      <c r="C4785" s="574" t="s">
        <v>5575</v>
      </c>
      <c r="D4785" s="583">
        <v>1724.85</v>
      </c>
    </row>
    <row r="4786" spans="1:4" x14ac:dyDescent="0.2">
      <c r="A4786" s="574">
        <v>13042</v>
      </c>
      <c r="B4786" s="574" t="s">
        <v>10382</v>
      </c>
      <c r="C4786" s="574" t="s">
        <v>5575</v>
      </c>
      <c r="D4786" s="582">
        <v>955.82</v>
      </c>
    </row>
    <row r="4787" spans="1:4" x14ac:dyDescent="0.2">
      <c r="A4787" s="574">
        <v>21150</v>
      </c>
      <c r="B4787" s="574" t="s">
        <v>10383</v>
      </c>
      <c r="C4787" s="574" t="s">
        <v>5575</v>
      </c>
      <c r="D4787" s="582">
        <v>25.79</v>
      </c>
    </row>
    <row r="4788" spans="1:4" x14ac:dyDescent="0.2">
      <c r="A4788" s="574">
        <v>13141</v>
      </c>
      <c r="B4788" s="574" t="s">
        <v>10384</v>
      </c>
      <c r="C4788" s="574" t="s">
        <v>5575</v>
      </c>
      <c r="D4788" s="582">
        <v>32.5</v>
      </c>
    </row>
    <row r="4789" spans="1:4" x14ac:dyDescent="0.2">
      <c r="A4789" s="574">
        <v>42576</v>
      </c>
      <c r="B4789" s="574" t="s">
        <v>13725</v>
      </c>
      <c r="C4789" s="574" t="s">
        <v>5575</v>
      </c>
      <c r="D4789" s="582">
        <v>106.11</v>
      </c>
    </row>
    <row r="4790" spans="1:4" x14ac:dyDescent="0.2">
      <c r="A4790" s="574">
        <v>21151</v>
      </c>
      <c r="B4790" s="574" t="s">
        <v>10385</v>
      </c>
      <c r="C4790" s="574" t="s">
        <v>5575</v>
      </c>
      <c r="D4790" s="582">
        <v>154.38999999999999</v>
      </c>
    </row>
    <row r="4791" spans="1:4" x14ac:dyDescent="0.2">
      <c r="A4791" s="574">
        <v>13142</v>
      </c>
      <c r="B4791" s="574" t="s">
        <v>10386</v>
      </c>
      <c r="C4791" s="574" t="s">
        <v>5575</v>
      </c>
      <c r="D4791" s="582">
        <v>220.72</v>
      </c>
    </row>
    <row r="4792" spans="1:4" x14ac:dyDescent="0.2">
      <c r="A4792" s="574">
        <v>42577</v>
      </c>
      <c r="B4792" s="574" t="s">
        <v>13726</v>
      </c>
      <c r="C4792" s="574" t="s">
        <v>5575</v>
      </c>
      <c r="D4792" s="582">
        <v>242.19</v>
      </c>
    </row>
    <row r="4793" spans="1:4" x14ac:dyDescent="0.2">
      <c r="A4793" s="574">
        <v>20994</v>
      </c>
      <c r="B4793" s="574" t="s">
        <v>10387</v>
      </c>
      <c r="C4793" s="574" t="s">
        <v>5575</v>
      </c>
      <c r="D4793" s="582">
        <v>416.15</v>
      </c>
    </row>
    <row r="4794" spans="1:4" x14ac:dyDescent="0.2">
      <c r="A4794" s="574">
        <v>7672</v>
      </c>
      <c r="B4794" s="574" t="s">
        <v>10388</v>
      </c>
      <c r="C4794" s="574" t="s">
        <v>5575</v>
      </c>
      <c r="D4794" s="582">
        <v>272.62</v>
      </c>
    </row>
    <row r="4795" spans="1:4" x14ac:dyDescent="0.2">
      <c r="A4795" s="574">
        <v>20995</v>
      </c>
      <c r="B4795" s="574" t="s">
        <v>10389</v>
      </c>
      <c r="C4795" s="574" t="s">
        <v>5575</v>
      </c>
      <c r="D4795" s="582">
        <v>546.9</v>
      </c>
    </row>
    <row r="4796" spans="1:4" x14ac:dyDescent="0.2">
      <c r="A4796" s="574">
        <v>7690</v>
      </c>
      <c r="B4796" s="574" t="s">
        <v>10390</v>
      </c>
      <c r="C4796" s="574" t="s">
        <v>5575</v>
      </c>
      <c r="D4796" s="582">
        <v>316.31</v>
      </c>
    </row>
    <row r="4797" spans="1:4" x14ac:dyDescent="0.2">
      <c r="A4797" s="574">
        <v>20980</v>
      </c>
      <c r="B4797" s="574" t="s">
        <v>10391</v>
      </c>
      <c r="C4797" s="574" t="s">
        <v>5575</v>
      </c>
      <c r="D4797" s="582">
        <v>345.06</v>
      </c>
    </row>
    <row r="4798" spans="1:4" x14ac:dyDescent="0.2">
      <c r="A4798" s="574">
        <v>7661</v>
      </c>
      <c r="B4798" s="574" t="s">
        <v>10392</v>
      </c>
      <c r="C4798" s="574" t="s">
        <v>5575</v>
      </c>
      <c r="D4798" s="582">
        <v>410.48</v>
      </c>
    </row>
    <row r="4799" spans="1:4" x14ac:dyDescent="0.2">
      <c r="A4799" s="574">
        <v>21016</v>
      </c>
      <c r="B4799" s="574" t="s">
        <v>10393</v>
      </c>
      <c r="C4799" s="574" t="s">
        <v>5575</v>
      </c>
      <c r="D4799" s="582">
        <v>91.71</v>
      </c>
    </row>
    <row r="4800" spans="1:4" x14ac:dyDescent="0.2">
      <c r="A4800" s="574">
        <v>21008</v>
      </c>
      <c r="B4800" s="574" t="s">
        <v>10394</v>
      </c>
      <c r="C4800" s="574" t="s">
        <v>5575</v>
      </c>
      <c r="D4800" s="582">
        <v>10.71</v>
      </c>
    </row>
    <row r="4801" spans="1:4" x14ac:dyDescent="0.2">
      <c r="A4801" s="574">
        <v>21009</v>
      </c>
      <c r="B4801" s="574" t="s">
        <v>10395</v>
      </c>
      <c r="C4801" s="574" t="s">
        <v>5575</v>
      </c>
      <c r="D4801" s="582">
        <v>13.95</v>
      </c>
    </row>
    <row r="4802" spans="1:4" x14ac:dyDescent="0.2">
      <c r="A4802" s="574">
        <v>21010</v>
      </c>
      <c r="B4802" s="574" t="s">
        <v>10396</v>
      </c>
      <c r="C4802" s="574" t="s">
        <v>5575</v>
      </c>
      <c r="D4802" s="582">
        <v>18.73</v>
      </c>
    </row>
    <row r="4803" spans="1:4" x14ac:dyDescent="0.2">
      <c r="A4803" s="574">
        <v>21011</v>
      </c>
      <c r="B4803" s="574" t="s">
        <v>10397</v>
      </c>
      <c r="C4803" s="574" t="s">
        <v>5575</v>
      </c>
      <c r="D4803" s="582">
        <v>27.3</v>
      </c>
    </row>
    <row r="4804" spans="1:4" x14ac:dyDescent="0.2">
      <c r="A4804" s="574">
        <v>21012</v>
      </c>
      <c r="B4804" s="574" t="s">
        <v>10398</v>
      </c>
      <c r="C4804" s="574" t="s">
        <v>5575</v>
      </c>
      <c r="D4804" s="582">
        <v>30.16</v>
      </c>
    </row>
    <row r="4805" spans="1:4" x14ac:dyDescent="0.2">
      <c r="A4805" s="574">
        <v>21013</v>
      </c>
      <c r="B4805" s="574" t="s">
        <v>10399</v>
      </c>
      <c r="C4805" s="574" t="s">
        <v>5575</v>
      </c>
      <c r="D4805" s="582">
        <v>39.36</v>
      </c>
    </row>
    <row r="4806" spans="1:4" x14ac:dyDescent="0.2">
      <c r="A4806" s="574">
        <v>21014</v>
      </c>
      <c r="B4806" s="574" t="s">
        <v>10400</v>
      </c>
      <c r="C4806" s="574" t="s">
        <v>5575</v>
      </c>
      <c r="D4806" s="582">
        <v>55.08</v>
      </c>
    </row>
    <row r="4807" spans="1:4" x14ac:dyDescent="0.2">
      <c r="A4807" s="574">
        <v>21015</v>
      </c>
      <c r="B4807" s="574" t="s">
        <v>10401</v>
      </c>
      <c r="C4807" s="574" t="s">
        <v>5575</v>
      </c>
      <c r="D4807" s="582">
        <v>63.28</v>
      </c>
    </row>
    <row r="4808" spans="1:4" x14ac:dyDescent="0.2">
      <c r="A4808" s="574">
        <v>7697</v>
      </c>
      <c r="B4808" s="574" t="s">
        <v>10402</v>
      </c>
      <c r="C4808" s="574" t="s">
        <v>5575</v>
      </c>
      <c r="D4808" s="582">
        <v>30.19</v>
      </c>
    </row>
    <row r="4809" spans="1:4" x14ac:dyDescent="0.2">
      <c r="A4809" s="574">
        <v>7698</v>
      </c>
      <c r="B4809" s="574" t="s">
        <v>10403</v>
      </c>
      <c r="C4809" s="574" t="s">
        <v>5575</v>
      </c>
      <c r="D4809" s="582">
        <v>25.99</v>
      </c>
    </row>
    <row r="4810" spans="1:4" x14ac:dyDescent="0.2">
      <c r="A4810" s="574">
        <v>7691</v>
      </c>
      <c r="B4810" s="574" t="s">
        <v>10404</v>
      </c>
      <c r="C4810" s="574" t="s">
        <v>5575</v>
      </c>
      <c r="D4810" s="582">
        <v>10.98</v>
      </c>
    </row>
    <row r="4811" spans="1:4" x14ac:dyDescent="0.2">
      <c r="A4811" s="574">
        <v>40626</v>
      </c>
      <c r="B4811" s="574" t="s">
        <v>10405</v>
      </c>
      <c r="C4811" s="574" t="s">
        <v>5575</v>
      </c>
      <c r="D4811" s="582">
        <v>20.61</v>
      </c>
    </row>
    <row r="4812" spans="1:4" x14ac:dyDescent="0.2">
      <c r="A4812" s="574">
        <v>7701</v>
      </c>
      <c r="B4812" s="574" t="s">
        <v>10406</v>
      </c>
      <c r="C4812" s="574" t="s">
        <v>5575</v>
      </c>
      <c r="D4812" s="582">
        <v>54.04</v>
      </c>
    </row>
    <row r="4813" spans="1:4" x14ac:dyDescent="0.2">
      <c r="A4813" s="574">
        <v>7696</v>
      </c>
      <c r="B4813" s="574" t="s">
        <v>10407</v>
      </c>
      <c r="C4813" s="574" t="s">
        <v>5575</v>
      </c>
      <c r="D4813" s="582">
        <v>43.54</v>
      </c>
    </row>
    <row r="4814" spans="1:4" x14ac:dyDescent="0.2">
      <c r="A4814" s="574">
        <v>7700</v>
      </c>
      <c r="B4814" s="574" t="s">
        <v>10408</v>
      </c>
      <c r="C4814" s="574" t="s">
        <v>5575</v>
      </c>
      <c r="D4814" s="582">
        <v>13.89</v>
      </c>
    </row>
    <row r="4815" spans="1:4" x14ac:dyDescent="0.2">
      <c r="A4815" s="574">
        <v>7694</v>
      </c>
      <c r="B4815" s="574" t="s">
        <v>10409</v>
      </c>
      <c r="C4815" s="574" t="s">
        <v>5575</v>
      </c>
      <c r="D4815" s="582">
        <v>72.72</v>
      </c>
    </row>
    <row r="4816" spans="1:4" x14ac:dyDescent="0.2">
      <c r="A4816" s="574">
        <v>7693</v>
      </c>
      <c r="B4816" s="574" t="s">
        <v>10410</v>
      </c>
      <c r="C4816" s="574" t="s">
        <v>5575</v>
      </c>
      <c r="D4816" s="582">
        <v>100.15</v>
      </c>
    </row>
    <row r="4817" spans="1:4" x14ac:dyDescent="0.2">
      <c r="A4817" s="574">
        <v>7692</v>
      </c>
      <c r="B4817" s="574" t="s">
        <v>10411</v>
      </c>
      <c r="C4817" s="574" t="s">
        <v>5575</v>
      </c>
      <c r="D4817" s="582">
        <v>149.94</v>
      </c>
    </row>
    <row r="4818" spans="1:4" x14ac:dyDescent="0.2">
      <c r="A4818" s="574">
        <v>7695</v>
      </c>
      <c r="B4818" s="574" t="s">
        <v>10412</v>
      </c>
      <c r="C4818" s="574" t="s">
        <v>5575</v>
      </c>
      <c r="D4818" s="582">
        <v>162.61000000000001</v>
      </c>
    </row>
    <row r="4819" spans="1:4" x14ac:dyDescent="0.2">
      <c r="A4819" s="574">
        <v>13356</v>
      </c>
      <c r="B4819" s="574" t="s">
        <v>10413</v>
      </c>
      <c r="C4819" s="574" t="s">
        <v>5575</v>
      </c>
      <c r="D4819" s="582">
        <v>11.79</v>
      </c>
    </row>
    <row r="4820" spans="1:4" x14ac:dyDescent="0.2">
      <c r="A4820" s="574">
        <v>36365</v>
      </c>
      <c r="B4820" s="574" t="s">
        <v>10414</v>
      </c>
      <c r="C4820" s="574" t="s">
        <v>5575</v>
      </c>
      <c r="D4820" s="582">
        <v>16.239999999999998</v>
      </c>
    </row>
    <row r="4821" spans="1:4" x14ac:dyDescent="0.2">
      <c r="A4821" s="574">
        <v>41930</v>
      </c>
      <c r="B4821" s="574" t="s">
        <v>10415</v>
      </c>
      <c r="C4821" s="574" t="s">
        <v>5575</v>
      </c>
      <c r="D4821" s="582">
        <v>52.57</v>
      </c>
    </row>
    <row r="4822" spans="1:4" x14ac:dyDescent="0.2">
      <c r="A4822" s="574">
        <v>41931</v>
      </c>
      <c r="B4822" s="574" t="s">
        <v>10416</v>
      </c>
      <c r="C4822" s="574" t="s">
        <v>5575</v>
      </c>
      <c r="D4822" s="582">
        <v>89.64</v>
      </c>
    </row>
    <row r="4823" spans="1:4" x14ac:dyDescent="0.2">
      <c r="A4823" s="574">
        <v>41932</v>
      </c>
      <c r="B4823" s="574" t="s">
        <v>10417</v>
      </c>
      <c r="C4823" s="574" t="s">
        <v>5575</v>
      </c>
      <c r="D4823" s="582">
        <v>144.79</v>
      </c>
    </row>
    <row r="4824" spans="1:4" x14ac:dyDescent="0.2">
      <c r="A4824" s="574">
        <v>41933</v>
      </c>
      <c r="B4824" s="574" t="s">
        <v>10418</v>
      </c>
      <c r="C4824" s="574" t="s">
        <v>5575</v>
      </c>
      <c r="D4824" s="582">
        <v>179.32</v>
      </c>
    </row>
    <row r="4825" spans="1:4" x14ac:dyDescent="0.2">
      <c r="A4825" s="574">
        <v>41934</v>
      </c>
      <c r="B4825" s="574" t="s">
        <v>10419</v>
      </c>
      <c r="C4825" s="574" t="s">
        <v>5575</v>
      </c>
      <c r="D4825" s="582">
        <v>232.27</v>
      </c>
    </row>
    <row r="4826" spans="1:4" x14ac:dyDescent="0.2">
      <c r="A4826" s="574">
        <v>41936</v>
      </c>
      <c r="B4826" s="574" t="s">
        <v>10420</v>
      </c>
      <c r="C4826" s="574" t="s">
        <v>5575</v>
      </c>
      <c r="D4826" s="582">
        <v>35.020000000000003</v>
      </c>
    </row>
    <row r="4827" spans="1:4" x14ac:dyDescent="0.2">
      <c r="A4827" s="574">
        <v>41785</v>
      </c>
      <c r="B4827" s="574" t="s">
        <v>10470</v>
      </c>
      <c r="C4827" s="574" t="s">
        <v>5575</v>
      </c>
      <c r="D4827" s="582">
        <v>925.9</v>
      </c>
    </row>
    <row r="4828" spans="1:4" x14ac:dyDescent="0.2">
      <c r="A4828" s="574">
        <v>41781</v>
      </c>
      <c r="B4828" s="574" t="s">
        <v>10471</v>
      </c>
      <c r="C4828" s="574" t="s">
        <v>5575</v>
      </c>
      <c r="D4828" s="582">
        <v>263.98</v>
      </c>
    </row>
    <row r="4829" spans="1:4" x14ac:dyDescent="0.2">
      <c r="A4829" s="574">
        <v>41783</v>
      </c>
      <c r="B4829" s="574" t="s">
        <v>10472</v>
      </c>
      <c r="C4829" s="574" t="s">
        <v>5575</v>
      </c>
      <c r="D4829" s="582">
        <v>696.61</v>
      </c>
    </row>
    <row r="4830" spans="1:4" x14ac:dyDescent="0.2">
      <c r="A4830" s="574">
        <v>41786</v>
      </c>
      <c r="B4830" s="574" t="s">
        <v>10473</v>
      </c>
      <c r="C4830" s="574" t="s">
        <v>5575</v>
      </c>
      <c r="D4830" s="583">
        <v>1453.2</v>
      </c>
    </row>
    <row r="4831" spans="1:4" x14ac:dyDescent="0.2">
      <c r="A4831" s="574">
        <v>41779</v>
      </c>
      <c r="B4831" s="574" t="s">
        <v>10474</v>
      </c>
      <c r="C4831" s="574" t="s">
        <v>5575</v>
      </c>
      <c r="D4831" s="582">
        <v>101.24</v>
      </c>
    </row>
    <row r="4832" spans="1:4" x14ac:dyDescent="0.2">
      <c r="A4832" s="574">
        <v>41780</v>
      </c>
      <c r="B4832" s="574" t="s">
        <v>10475</v>
      </c>
      <c r="C4832" s="574" t="s">
        <v>5575</v>
      </c>
      <c r="D4832" s="582">
        <v>119.74</v>
      </c>
    </row>
    <row r="4833" spans="1:4" x14ac:dyDescent="0.2">
      <c r="A4833" s="574">
        <v>41782</v>
      </c>
      <c r="B4833" s="574" t="s">
        <v>10476</v>
      </c>
      <c r="C4833" s="574" t="s">
        <v>5575</v>
      </c>
      <c r="D4833" s="582">
        <v>493.63</v>
      </c>
    </row>
    <row r="4834" spans="1:4" x14ac:dyDescent="0.2">
      <c r="A4834" s="574">
        <v>38130</v>
      </c>
      <c r="B4834" s="574" t="s">
        <v>10477</v>
      </c>
      <c r="C4834" s="574" t="s">
        <v>5575</v>
      </c>
      <c r="D4834" s="582">
        <v>26.81</v>
      </c>
    </row>
    <row r="4835" spans="1:4" x14ac:dyDescent="0.2">
      <c r="A4835" s="574">
        <v>21123</v>
      </c>
      <c r="B4835" s="574" t="s">
        <v>10478</v>
      </c>
      <c r="C4835" s="574" t="s">
        <v>5575</v>
      </c>
      <c r="D4835" s="582">
        <v>7.61</v>
      </c>
    </row>
    <row r="4836" spans="1:4" x14ac:dyDescent="0.2">
      <c r="A4836" s="574">
        <v>21124</v>
      </c>
      <c r="B4836" s="574" t="s">
        <v>10479</v>
      </c>
      <c r="C4836" s="574" t="s">
        <v>5575</v>
      </c>
      <c r="D4836" s="582">
        <v>13.49</v>
      </c>
    </row>
    <row r="4837" spans="1:4" x14ac:dyDescent="0.2">
      <c r="A4837" s="574">
        <v>21125</v>
      </c>
      <c r="B4837" s="574" t="s">
        <v>10480</v>
      </c>
      <c r="C4837" s="574" t="s">
        <v>5575</v>
      </c>
      <c r="D4837" s="582">
        <v>21.65</v>
      </c>
    </row>
    <row r="4838" spans="1:4" x14ac:dyDescent="0.2">
      <c r="A4838" s="574">
        <v>38028</v>
      </c>
      <c r="B4838" s="574" t="s">
        <v>10481</v>
      </c>
      <c r="C4838" s="574" t="s">
        <v>5575</v>
      </c>
      <c r="D4838" s="582">
        <v>36.75</v>
      </c>
    </row>
    <row r="4839" spans="1:4" x14ac:dyDescent="0.2">
      <c r="A4839" s="574">
        <v>38029</v>
      </c>
      <c r="B4839" s="574" t="s">
        <v>10482</v>
      </c>
      <c r="C4839" s="574" t="s">
        <v>5575</v>
      </c>
      <c r="D4839" s="582">
        <v>56.02</v>
      </c>
    </row>
    <row r="4840" spans="1:4" x14ac:dyDescent="0.2">
      <c r="A4840" s="574">
        <v>38030</v>
      </c>
      <c r="B4840" s="574" t="s">
        <v>10483</v>
      </c>
      <c r="C4840" s="574" t="s">
        <v>5575</v>
      </c>
      <c r="D4840" s="582">
        <v>86.05</v>
      </c>
    </row>
    <row r="4841" spans="1:4" x14ac:dyDescent="0.2">
      <c r="A4841" s="574">
        <v>38031</v>
      </c>
      <c r="B4841" s="574" t="s">
        <v>10484</v>
      </c>
      <c r="C4841" s="574" t="s">
        <v>5575</v>
      </c>
      <c r="D4841" s="582">
        <v>136.35</v>
      </c>
    </row>
    <row r="4842" spans="1:4" x14ac:dyDescent="0.2">
      <c r="A4842" s="574">
        <v>39735</v>
      </c>
      <c r="B4842" s="574" t="s">
        <v>10485</v>
      </c>
      <c r="C4842" s="574" t="s">
        <v>5575</v>
      </c>
      <c r="D4842" s="582">
        <v>64.510000000000005</v>
      </c>
    </row>
    <row r="4843" spans="1:4" x14ac:dyDescent="0.2">
      <c r="A4843" s="574">
        <v>39734</v>
      </c>
      <c r="B4843" s="574" t="s">
        <v>10486</v>
      </c>
      <c r="C4843" s="574" t="s">
        <v>5575</v>
      </c>
      <c r="D4843" s="582">
        <v>76.53</v>
      </c>
    </row>
    <row r="4844" spans="1:4" x14ac:dyDescent="0.2">
      <c r="A4844" s="574">
        <v>39736</v>
      </c>
      <c r="B4844" s="574" t="s">
        <v>10487</v>
      </c>
      <c r="C4844" s="574" t="s">
        <v>5575</v>
      </c>
      <c r="D4844" s="582">
        <v>87.34</v>
      </c>
    </row>
    <row r="4845" spans="1:4" x14ac:dyDescent="0.2">
      <c r="A4845" s="574">
        <v>39737</v>
      </c>
      <c r="B4845" s="574" t="s">
        <v>10488</v>
      </c>
      <c r="C4845" s="574" t="s">
        <v>5575</v>
      </c>
      <c r="D4845" s="582">
        <v>11.74</v>
      </c>
    </row>
    <row r="4846" spans="1:4" x14ac:dyDescent="0.2">
      <c r="A4846" s="574">
        <v>39738</v>
      </c>
      <c r="B4846" s="574" t="s">
        <v>10489</v>
      </c>
      <c r="C4846" s="574" t="s">
        <v>5575</v>
      </c>
      <c r="D4846" s="582">
        <v>4.24</v>
      </c>
    </row>
    <row r="4847" spans="1:4" x14ac:dyDescent="0.2">
      <c r="A4847" s="574">
        <v>39739</v>
      </c>
      <c r="B4847" s="574" t="s">
        <v>10490</v>
      </c>
      <c r="C4847" s="574" t="s">
        <v>5575</v>
      </c>
      <c r="D4847" s="582">
        <v>60.4</v>
      </c>
    </row>
    <row r="4848" spans="1:4" x14ac:dyDescent="0.2">
      <c r="A4848" s="574">
        <v>39733</v>
      </c>
      <c r="B4848" s="574" t="s">
        <v>10491</v>
      </c>
      <c r="C4848" s="574" t="s">
        <v>5575</v>
      </c>
      <c r="D4848" s="582">
        <v>104.52</v>
      </c>
    </row>
    <row r="4849" spans="1:4" x14ac:dyDescent="0.2">
      <c r="A4849" s="574">
        <v>39854</v>
      </c>
      <c r="B4849" s="574" t="s">
        <v>10492</v>
      </c>
      <c r="C4849" s="574" t="s">
        <v>5575</v>
      </c>
      <c r="D4849" s="582">
        <v>106</v>
      </c>
    </row>
    <row r="4850" spans="1:4" x14ac:dyDescent="0.2">
      <c r="A4850" s="574">
        <v>39740</v>
      </c>
      <c r="B4850" s="574" t="s">
        <v>10493</v>
      </c>
      <c r="C4850" s="574" t="s">
        <v>5575</v>
      </c>
      <c r="D4850" s="582">
        <v>58</v>
      </c>
    </row>
    <row r="4851" spans="1:4" x14ac:dyDescent="0.2">
      <c r="A4851" s="574">
        <v>39741</v>
      </c>
      <c r="B4851" s="574" t="s">
        <v>10494</v>
      </c>
      <c r="C4851" s="574" t="s">
        <v>5575</v>
      </c>
      <c r="D4851" s="582">
        <v>10.69</v>
      </c>
    </row>
    <row r="4852" spans="1:4" x14ac:dyDescent="0.2">
      <c r="A4852" s="574">
        <v>39853</v>
      </c>
      <c r="B4852" s="574" t="s">
        <v>10495</v>
      </c>
      <c r="C4852" s="574" t="s">
        <v>5575</v>
      </c>
      <c r="D4852" s="582">
        <v>14.04</v>
      </c>
    </row>
    <row r="4853" spans="1:4" x14ac:dyDescent="0.2">
      <c r="A4853" s="574">
        <v>39742</v>
      </c>
      <c r="B4853" s="574" t="s">
        <v>10496</v>
      </c>
      <c r="C4853" s="574" t="s">
        <v>5575</v>
      </c>
      <c r="D4853" s="582">
        <v>46.62</v>
      </c>
    </row>
    <row r="4854" spans="1:4" x14ac:dyDescent="0.2">
      <c r="A4854" s="574">
        <v>39749</v>
      </c>
      <c r="B4854" s="574" t="s">
        <v>10497</v>
      </c>
      <c r="C4854" s="574" t="s">
        <v>5575</v>
      </c>
      <c r="D4854" s="582">
        <v>65.650000000000006</v>
      </c>
    </row>
    <row r="4855" spans="1:4" x14ac:dyDescent="0.2">
      <c r="A4855" s="574">
        <v>39751</v>
      </c>
      <c r="B4855" s="574" t="s">
        <v>10498</v>
      </c>
      <c r="C4855" s="574" t="s">
        <v>5575</v>
      </c>
      <c r="D4855" s="582">
        <v>119.29</v>
      </c>
    </row>
    <row r="4856" spans="1:4" x14ac:dyDescent="0.2">
      <c r="A4856" s="574">
        <v>39750</v>
      </c>
      <c r="B4856" s="574" t="s">
        <v>10499</v>
      </c>
      <c r="C4856" s="574" t="s">
        <v>5575</v>
      </c>
      <c r="D4856" s="582">
        <v>99.15</v>
      </c>
    </row>
    <row r="4857" spans="1:4" x14ac:dyDescent="0.2">
      <c r="A4857" s="574">
        <v>39747</v>
      </c>
      <c r="B4857" s="574" t="s">
        <v>10500</v>
      </c>
      <c r="C4857" s="574" t="s">
        <v>5575</v>
      </c>
      <c r="D4857" s="582">
        <v>31.89</v>
      </c>
    </row>
    <row r="4858" spans="1:4" x14ac:dyDescent="0.2">
      <c r="A4858" s="574">
        <v>39753</v>
      </c>
      <c r="B4858" s="574" t="s">
        <v>10501</v>
      </c>
      <c r="C4858" s="574" t="s">
        <v>5575</v>
      </c>
      <c r="D4858" s="582">
        <v>219.59</v>
      </c>
    </row>
    <row r="4859" spans="1:4" x14ac:dyDescent="0.2">
      <c r="A4859" s="574">
        <v>39754</v>
      </c>
      <c r="B4859" s="574" t="s">
        <v>10502</v>
      </c>
      <c r="C4859" s="574" t="s">
        <v>5575</v>
      </c>
      <c r="D4859" s="582">
        <v>323.52</v>
      </c>
    </row>
    <row r="4860" spans="1:4" x14ac:dyDescent="0.2">
      <c r="A4860" s="574">
        <v>39748</v>
      </c>
      <c r="B4860" s="574" t="s">
        <v>10503</v>
      </c>
      <c r="C4860" s="574" t="s">
        <v>5575</v>
      </c>
      <c r="D4860" s="582">
        <v>51.6</v>
      </c>
    </row>
    <row r="4861" spans="1:4" x14ac:dyDescent="0.2">
      <c r="A4861" s="574">
        <v>39755</v>
      </c>
      <c r="B4861" s="574" t="s">
        <v>10504</v>
      </c>
      <c r="C4861" s="574" t="s">
        <v>5575</v>
      </c>
      <c r="D4861" s="582">
        <v>490.53</v>
      </c>
    </row>
    <row r="4862" spans="1:4" x14ac:dyDescent="0.2">
      <c r="A4862" s="574">
        <v>12742</v>
      </c>
      <c r="B4862" s="574" t="s">
        <v>10505</v>
      </c>
      <c r="C4862" s="574" t="s">
        <v>5575</v>
      </c>
      <c r="D4862" s="582">
        <v>388.41</v>
      </c>
    </row>
    <row r="4863" spans="1:4" x14ac:dyDescent="0.2">
      <c r="A4863" s="574">
        <v>12713</v>
      </c>
      <c r="B4863" s="574" t="s">
        <v>10506</v>
      </c>
      <c r="C4863" s="574" t="s">
        <v>5575</v>
      </c>
      <c r="D4863" s="582">
        <v>20.6</v>
      </c>
    </row>
    <row r="4864" spans="1:4" x14ac:dyDescent="0.2">
      <c r="A4864" s="574">
        <v>12743</v>
      </c>
      <c r="B4864" s="574" t="s">
        <v>10507</v>
      </c>
      <c r="C4864" s="574" t="s">
        <v>5575</v>
      </c>
      <c r="D4864" s="582">
        <v>35.43</v>
      </c>
    </row>
    <row r="4865" spans="1:4" x14ac:dyDescent="0.2">
      <c r="A4865" s="574">
        <v>12744</v>
      </c>
      <c r="B4865" s="574" t="s">
        <v>10508</v>
      </c>
      <c r="C4865" s="574" t="s">
        <v>5575</v>
      </c>
      <c r="D4865" s="582">
        <v>44.97</v>
      </c>
    </row>
    <row r="4866" spans="1:4" x14ac:dyDescent="0.2">
      <c r="A4866" s="574">
        <v>12745</v>
      </c>
      <c r="B4866" s="574" t="s">
        <v>10509</v>
      </c>
      <c r="C4866" s="574" t="s">
        <v>5575</v>
      </c>
      <c r="D4866" s="582">
        <v>65.31</v>
      </c>
    </row>
    <row r="4867" spans="1:4" x14ac:dyDescent="0.2">
      <c r="A4867" s="574">
        <v>12746</v>
      </c>
      <c r="B4867" s="574" t="s">
        <v>10510</v>
      </c>
      <c r="C4867" s="574" t="s">
        <v>5575</v>
      </c>
      <c r="D4867" s="582">
        <v>88.19</v>
      </c>
    </row>
    <row r="4868" spans="1:4" x14ac:dyDescent="0.2">
      <c r="A4868" s="574">
        <v>12747</v>
      </c>
      <c r="B4868" s="574" t="s">
        <v>10511</v>
      </c>
      <c r="C4868" s="574" t="s">
        <v>5575</v>
      </c>
      <c r="D4868" s="582">
        <v>127.9</v>
      </c>
    </row>
    <row r="4869" spans="1:4" x14ac:dyDescent="0.2">
      <c r="A4869" s="574">
        <v>12748</v>
      </c>
      <c r="B4869" s="574" t="s">
        <v>10512</v>
      </c>
      <c r="C4869" s="574" t="s">
        <v>5575</v>
      </c>
      <c r="D4869" s="582">
        <v>180.19</v>
      </c>
    </row>
    <row r="4870" spans="1:4" x14ac:dyDescent="0.2">
      <c r="A4870" s="574">
        <v>12749</v>
      </c>
      <c r="B4870" s="574" t="s">
        <v>10513</v>
      </c>
      <c r="C4870" s="574" t="s">
        <v>5575</v>
      </c>
      <c r="D4870" s="582">
        <v>263.41000000000003</v>
      </c>
    </row>
    <row r="4871" spans="1:4" x14ac:dyDescent="0.2">
      <c r="A4871" s="574">
        <v>39726</v>
      </c>
      <c r="B4871" s="574" t="s">
        <v>10514</v>
      </c>
      <c r="C4871" s="574" t="s">
        <v>5575</v>
      </c>
      <c r="D4871" s="582">
        <v>86.52</v>
      </c>
    </row>
    <row r="4872" spans="1:4" x14ac:dyDescent="0.2">
      <c r="A4872" s="574">
        <v>39728</v>
      </c>
      <c r="B4872" s="574" t="s">
        <v>10515</v>
      </c>
      <c r="C4872" s="574" t="s">
        <v>5575</v>
      </c>
      <c r="D4872" s="582">
        <v>152.06</v>
      </c>
    </row>
    <row r="4873" spans="1:4" x14ac:dyDescent="0.2">
      <c r="A4873" s="574">
        <v>39727</v>
      </c>
      <c r="B4873" s="574" t="s">
        <v>10516</v>
      </c>
      <c r="C4873" s="574" t="s">
        <v>5575</v>
      </c>
      <c r="D4873" s="582">
        <v>125.13</v>
      </c>
    </row>
    <row r="4874" spans="1:4" x14ac:dyDescent="0.2">
      <c r="A4874" s="574">
        <v>39724</v>
      </c>
      <c r="B4874" s="574" t="s">
        <v>10517</v>
      </c>
      <c r="C4874" s="574" t="s">
        <v>5575</v>
      </c>
      <c r="D4874" s="582">
        <v>38.31</v>
      </c>
    </row>
    <row r="4875" spans="1:4" x14ac:dyDescent="0.2">
      <c r="A4875" s="574">
        <v>39729</v>
      </c>
      <c r="B4875" s="574" t="s">
        <v>10518</v>
      </c>
      <c r="C4875" s="574" t="s">
        <v>5575</v>
      </c>
      <c r="D4875" s="582">
        <v>210.57</v>
      </c>
    </row>
    <row r="4876" spans="1:4" x14ac:dyDescent="0.2">
      <c r="A4876" s="574">
        <v>39730</v>
      </c>
      <c r="B4876" s="574" t="s">
        <v>10519</v>
      </c>
      <c r="C4876" s="574" t="s">
        <v>5575</v>
      </c>
      <c r="D4876" s="582">
        <v>273.20999999999998</v>
      </c>
    </row>
    <row r="4877" spans="1:4" x14ac:dyDescent="0.2">
      <c r="A4877" s="574">
        <v>39731</v>
      </c>
      <c r="B4877" s="574" t="s">
        <v>10520</v>
      </c>
      <c r="C4877" s="574" t="s">
        <v>5575</v>
      </c>
      <c r="D4877" s="582">
        <v>404.64</v>
      </c>
    </row>
    <row r="4878" spans="1:4" x14ac:dyDescent="0.2">
      <c r="A4878" s="574">
        <v>39725</v>
      </c>
      <c r="B4878" s="574" t="s">
        <v>10521</v>
      </c>
      <c r="C4878" s="574" t="s">
        <v>5575</v>
      </c>
      <c r="D4878" s="582">
        <v>62.44</v>
      </c>
    </row>
    <row r="4879" spans="1:4" x14ac:dyDescent="0.2">
      <c r="A4879" s="574">
        <v>39732</v>
      </c>
      <c r="B4879" s="574" t="s">
        <v>10522</v>
      </c>
      <c r="C4879" s="574" t="s">
        <v>5575</v>
      </c>
      <c r="D4879" s="582">
        <v>595.61</v>
      </c>
    </row>
    <row r="4880" spans="1:4" x14ac:dyDescent="0.2">
      <c r="A4880" s="574">
        <v>39660</v>
      </c>
      <c r="B4880" s="574" t="s">
        <v>10523</v>
      </c>
      <c r="C4880" s="574" t="s">
        <v>5575</v>
      </c>
      <c r="D4880" s="582">
        <v>27.14</v>
      </c>
    </row>
    <row r="4881" spans="1:4" x14ac:dyDescent="0.2">
      <c r="A4881" s="574">
        <v>39662</v>
      </c>
      <c r="B4881" s="574" t="s">
        <v>10524</v>
      </c>
      <c r="C4881" s="574" t="s">
        <v>5575</v>
      </c>
      <c r="D4881" s="582">
        <v>13.01</v>
      </c>
    </row>
    <row r="4882" spans="1:4" x14ac:dyDescent="0.2">
      <c r="A4882" s="574">
        <v>39661</v>
      </c>
      <c r="B4882" s="574" t="s">
        <v>10525</v>
      </c>
      <c r="C4882" s="574" t="s">
        <v>5575</v>
      </c>
      <c r="D4882" s="582">
        <v>8.8699999999999992</v>
      </c>
    </row>
    <row r="4883" spans="1:4" x14ac:dyDescent="0.2">
      <c r="A4883" s="574">
        <v>39666</v>
      </c>
      <c r="B4883" s="574" t="s">
        <v>10526</v>
      </c>
      <c r="C4883" s="574" t="s">
        <v>5575</v>
      </c>
      <c r="D4883" s="582">
        <v>40.83</v>
      </c>
    </row>
    <row r="4884" spans="1:4" x14ac:dyDescent="0.2">
      <c r="A4884" s="574">
        <v>39664</v>
      </c>
      <c r="B4884" s="574" t="s">
        <v>10527</v>
      </c>
      <c r="C4884" s="574" t="s">
        <v>5575</v>
      </c>
      <c r="D4884" s="582">
        <v>20.010000000000002</v>
      </c>
    </row>
    <row r="4885" spans="1:4" x14ac:dyDescent="0.2">
      <c r="A4885" s="574">
        <v>39663</v>
      </c>
      <c r="B4885" s="574" t="s">
        <v>10528</v>
      </c>
      <c r="C4885" s="574" t="s">
        <v>5575</v>
      </c>
      <c r="D4885" s="582">
        <v>15.99</v>
      </c>
    </row>
    <row r="4886" spans="1:4" x14ac:dyDescent="0.2">
      <c r="A4886" s="574">
        <v>39665</v>
      </c>
      <c r="B4886" s="574" t="s">
        <v>10529</v>
      </c>
      <c r="C4886" s="574" t="s">
        <v>5575</v>
      </c>
      <c r="D4886" s="582">
        <v>33.76</v>
      </c>
    </row>
    <row r="4887" spans="1:4" x14ac:dyDescent="0.2">
      <c r="A4887" s="574">
        <v>39752</v>
      </c>
      <c r="B4887" s="574" t="s">
        <v>10530</v>
      </c>
      <c r="C4887" s="574" t="s">
        <v>5575</v>
      </c>
      <c r="D4887" s="582">
        <v>169.74</v>
      </c>
    </row>
    <row r="4888" spans="1:4" x14ac:dyDescent="0.2">
      <c r="A4888" s="574">
        <v>7725</v>
      </c>
      <c r="B4888" s="574" t="s">
        <v>13727</v>
      </c>
      <c r="C4888" s="574" t="s">
        <v>5575</v>
      </c>
      <c r="D4888" s="582">
        <v>120</v>
      </c>
    </row>
    <row r="4889" spans="1:4" x14ac:dyDescent="0.2">
      <c r="A4889" s="574">
        <v>7753</v>
      </c>
      <c r="B4889" s="574" t="s">
        <v>13728</v>
      </c>
      <c r="C4889" s="574" t="s">
        <v>5575</v>
      </c>
      <c r="D4889" s="582">
        <v>233.94</v>
      </c>
    </row>
    <row r="4890" spans="1:4" x14ac:dyDescent="0.2">
      <c r="A4890" s="574">
        <v>13256</v>
      </c>
      <c r="B4890" s="574" t="s">
        <v>13729</v>
      </c>
      <c r="C4890" s="574" t="s">
        <v>5575</v>
      </c>
      <c r="D4890" s="582">
        <v>327.73</v>
      </c>
    </row>
    <row r="4891" spans="1:4" x14ac:dyDescent="0.2">
      <c r="A4891" s="574">
        <v>7757</v>
      </c>
      <c r="B4891" s="574" t="s">
        <v>13730</v>
      </c>
      <c r="C4891" s="574" t="s">
        <v>5575</v>
      </c>
      <c r="D4891" s="582">
        <v>349.41</v>
      </c>
    </row>
    <row r="4892" spans="1:4" x14ac:dyDescent="0.2">
      <c r="A4892" s="574">
        <v>7758</v>
      </c>
      <c r="B4892" s="574" t="s">
        <v>13731</v>
      </c>
      <c r="C4892" s="574" t="s">
        <v>5575</v>
      </c>
      <c r="D4892" s="582">
        <v>506.21</v>
      </c>
    </row>
    <row r="4893" spans="1:4" x14ac:dyDescent="0.2">
      <c r="A4893" s="574">
        <v>7759</v>
      </c>
      <c r="B4893" s="574" t="s">
        <v>13732</v>
      </c>
      <c r="C4893" s="574" t="s">
        <v>5575</v>
      </c>
      <c r="D4893" s="583">
        <v>1402.72</v>
      </c>
    </row>
    <row r="4894" spans="1:4" x14ac:dyDescent="0.2">
      <c r="A4894" s="574">
        <v>40334</v>
      </c>
      <c r="B4894" s="574" t="s">
        <v>13733</v>
      </c>
      <c r="C4894" s="574" t="s">
        <v>5575</v>
      </c>
      <c r="D4894" s="582">
        <v>54.95</v>
      </c>
    </row>
    <row r="4895" spans="1:4" x14ac:dyDescent="0.2">
      <c r="A4895" s="574">
        <v>7745</v>
      </c>
      <c r="B4895" s="574" t="s">
        <v>13734</v>
      </c>
      <c r="C4895" s="574" t="s">
        <v>5575</v>
      </c>
      <c r="D4895" s="582">
        <v>62.01</v>
      </c>
    </row>
    <row r="4896" spans="1:4" x14ac:dyDescent="0.2">
      <c r="A4896" s="574">
        <v>7714</v>
      </c>
      <c r="B4896" s="574" t="s">
        <v>13735</v>
      </c>
      <c r="C4896" s="574" t="s">
        <v>5575</v>
      </c>
      <c r="D4896" s="582">
        <v>74.11</v>
      </c>
    </row>
    <row r="4897" spans="1:4" x14ac:dyDescent="0.2">
      <c r="A4897" s="574">
        <v>7742</v>
      </c>
      <c r="B4897" s="574" t="s">
        <v>13736</v>
      </c>
      <c r="C4897" s="574" t="s">
        <v>5575</v>
      </c>
      <c r="D4897" s="582">
        <v>163.56</v>
      </c>
    </row>
    <row r="4898" spans="1:4" x14ac:dyDescent="0.2">
      <c r="A4898" s="574">
        <v>7750</v>
      </c>
      <c r="B4898" s="574" t="s">
        <v>13737</v>
      </c>
      <c r="C4898" s="574" t="s">
        <v>5575</v>
      </c>
      <c r="D4898" s="582">
        <v>199.66</v>
      </c>
    </row>
    <row r="4899" spans="1:4" x14ac:dyDescent="0.2">
      <c r="A4899" s="574">
        <v>7756</v>
      </c>
      <c r="B4899" s="574" t="s">
        <v>13738</v>
      </c>
      <c r="C4899" s="574" t="s">
        <v>5575</v>
      </c>
      <c r="D4899" s="582">
        <v>229.41</v>
      </c>
    </row>
    <row r="4900" spans="1:4" x14ac:dyDescent="0.2">
      <c r="A4900" s="574">
        <v>7765</v>
      </c>
      <c r="B4900" s="574" t="s">
        <v>13739</v>
      </c>
      <c r="C4900" s="574" t="s">
        <v>5575</v>
      </c>
      <c r="D4900" s="582">
        <v>257.14</v>
      </c>
    </row>
    <row r="4901" spans="1:4" x14ac:dyDescent="0.2">
      <c r="A4901" s="574">
        <v>12569</v>
      </c>
      <c r="B4901" s="574" t="s">
        <v>13740</v>
      </c>
      <c r="C4901" s="574" t="s">
        <v>5575</v>
      </c>
      <c r="D4901" s="582">
        <v>354.95</v>
      </c>
    </row>
    <row r="4902" spans="1:4" x14ac:dyDescent="0.2">
      <c r="A4902" s="574">
        <v>7766</v>
      </c>
      <c r="B4902" s="574" t="s">
        <v>13741</v>
      </c>
      <c r="C4902" s="574" t="s">
        <v>5575</v>
      </c>
      <c r="D4902" s="582">
        <v>377.14</v>
      </c>
    </row>
    <row r="4903" spans="1:4" x14ac:dyDescent="0.2">
      <c r="A4903" s="574">
        <v>7767</v>
      </c>
      <c r="B4903" s="574" t="s">
        <v>13742</v>
      </c>
      <c r="C4903" s="574" t="s">
        <v>5575</v>
      </c>
      <c r="D4903" s="582">
        <v>541.51</v>
      </c>
    </row>
    <row r="4904" spans="1:4" x14ac:dyDescent="0.2">
      <c r="A4904" s="574">
        <v>7727</v>
      </c>
      <c r="B4904" s="574" t="s">
        <v>13743</v>
      </c>
      <c r="C4904" s="574" t="s">
        <v>5575</v>
      </c>
      <c r="D4904" s="583">
        <v>1573.1</v>
      </c>
    </row>
    <row r="4905" spans="1:4" x14ac:dyDescent="0.2">
      <c r="A4905" s="574">
        <v>7760</v>
      </c>
      <c r="B4905" s="574" t="s">
        <v>13744</v>
      </c>
      <c r="C4905" s="574" t="s">
        <v>5575</v>
      </c>
      <c r="D4905" s="582">
        <v>62.52</v>
      </c>
    </row>
    <row r="4906" spans="1:4" x14ac:dyDescent="0.2">
      <c r="A4906" s="574">
        <v>7761</v>
      </c>
      <c r="B4906" s="574" t="s">
        <v>13745</v>
      </c>
      <c r="C4906" s="574" t="s">
        <v>5575</v>
      </c>
      <c r="D4906" s="582">
        <v>65.540000000000006</v>
      </c>
    </row>
    <row r="4907" spans="1:4" x14ac:dyDescent="0.2">
      <c r="A4907" s="574">
        <v>7752</v>
      </c>
      <c r="B4907" s="574" t="s">
        <v>13746</v>
      </c>
      <c r="C4907" s="574" t="s">
        <v>5575</v>
      </c>
      <c r="D4907" s="582">
        <v>79.66</v>
      </c>
    </row>
    <row r="4908" spans="1:4" x14ac:dyDescent="0.2">
      <c r="A4908" s="574">
        <v>7762</v>
      </c>
      <c r="B4908" s="574" t="s">
        <v>13747</v>
      </c>
      <c r="C4908" s="574" t="s">
        <v>5575</v>
      </c>
      <c r="D4908" s="582">
        <v>104.11</v>
      </c>
    </row>
    <row r="4909" spans="1:4" x14ac:dyDescent="0.2">
      <c r="A4909" s="574">
        <v>7722</v>
      </c>
      <c r="B4909" s="574" t="s">
        <v>13748</v>
      </c>
      <c r="C4909" s="574" t="s">
        <v>5575</v>
      </c>
      <c r="D4909" s="582">
        <v>159.32</v>
      </c>
    </row>
    <row r="4910" spans="1:4" x14ac:dyDescent="0.2">
      <c r="A4910" s="574">
        <v>7763</v>
      </c>
      <c r="B4910" s="574" t="s">
        <v>13749</v>
      </c>
      <c r="C4910" s="574" t="s">
        <v>5575</v>
      </c>
      <c r="D4910" s="582">
        <v>194.11</v>
      </c>
    </row>
    <row r="4911" spans="1:4" x14ac:dyDescent="0.2">
      <c r="A4911" s="574">
        <v>7764</v>
      </c>
      <c r="B4911" s="574" t="s">
        <v>13750</v>
      </c>
      <c r="C4911" s="574" t="s">
        <v>5575</v>
      </c>
      <c r="D4911" s="582">
        <v>231.93</v>
      </c>
    </row>
    <row r="4912" spans="1:4" x14ac:dyDescent="0.2">
      <c r="A4912" s="574">
        <v>12572</v>
      </c>
      <c r="B4912" s="574" t="s">
        <v>13751</v>
      </c>
      <c r="C4912" s="574" t="s">
        <v>5575</v>
      </c>
      <c r="D4912" s="582">
        <v>327.73</v>
      </c>
    </row>
    <row r="4913" spans="1:4" x14ac:dyDescent="0.2">
      <c r="A4913" s="574">
        <v>12573</v>
      </c>
      <c r="B4913" s="574" t="s">
        <v>13752</v>
      </c>
      <c r="C4913" s="574" t="s">
        <v>5575</v>
      </c>
      <c r="D4913" s="582">
        <v>431.09</v>
      </c>
    </row>
    <row r="4914" spans="1:4" x14ac:dyDescent="0.2">
      <c r="A4914" s="574">
        <v>12574</v>
      </c>
      <c r="B4914" s="574" t="s">
        <v>13753</v>
      </c>
      <c r="C4914" s="574" t="s">
        <v>5575</v>
      </c>
      <c r="D4914" s="582">
        <v>521.24</v>
      </c>
    </row>
    <row r="4915" spans="1:4" x14ac:dyDescent="0.2">
      <c r="A4915" s="574">
        <v>12575</v>
      </c>
      <c r="B4915" s="574" t="s">
        <v>13754</v>
      </c>
      <c r="C4915" s="574" t="s">
        <v>5575</v>
      </c>
      <c r="D4915" s="582">
        <v>791.59</v>
      </c>
    </row>
    <row r="4916" spans="1:4" x14ac:dyDescent="0.2">
      <c r="A4916" s="574">
        <v>12576</v>
      </c>
      <c r="B4916" s="574" t="s">
        <v>13755</v>
      </c>
      <c r="C4916" s="574" t="s">
        <v>5575</v>
      </c>
      <c r="D4916" s="582">
        <v>95.79</v>
      </c>
    </row>
    <row r="4917" spans="1:4" x14ac:dyDescent="0.2">
      <c r="A4917" s="574">
        <v>12577</v>
      </c>
      <c r="B4917" s="574" t="s">
        <v>13756</v>
      </c>
      <c r="C4917" s="574" t="s">
        <v>5575</v>
      </c>
      <c r="D4917" s="582">
        <v>129.07</v>
      </c>
    </row>
    <row r="4918" spans="1:4" x14ac:dyDescent="0.2">
      <c r="A4918" s="574">
        <v>12578</v>
      </c>
      <c r="B4918" s="574" t="s">
        <v>13757</v>
      </c>
      <c r="C4918" s="574" t="s">
        <v>5575</v>
      </c>
      <c r="D4918" s="582">
        <v>156.30000000000001</v>
      </c>
    </row>
    <row r="4919" spans="1:4" x14ac:dyDescent="0.2">
      <c r="A4919" s="574">
        <v>12579</v>
      </c>
      <c r="B4919" s="574" t="s">
        <v>13758</v>
      </c>
      <c r="C4919" s="574" t="s">
        <v>5575</v>
      </c>
      <c r="D4919" s="582">
        <v>269.24</v>
      </c>
    </row>
    <row r="4920" spans="1:4" x14ac:dyDescent="0.2">
      <c r="A4920" s="574">
        <v>12580</v>
      </c>
      <c r="B4920" s="574" t="s">
        <v>13759</v>
      </c>
      <c r="C4920" s="574" t="s">
        <v>5575</v>
      </c>
      <c r="D4920" s="582">
        <v>280.52999999999997</v>
      </c>
    </row>
    <row r="4921" spans="1:4" x14ac:dyDescent="0.2">
      <c r="A4921" s="574">
        <v>12581</v>
      </c>
      <c r="B4921" s="574" t="s">
        <v>13760</v>
      </c>
      <c r="C4921" s="574" t="s">
        <v>5575</v>
      </c>
      <c r="D4921" s="582">
        <v>300.5</v>
      </c>
    </row>
    <row r="4922" spans="1:4" x14ac:dyDescent="0.2">
      <c r="A4922" s="574">
        <v>7720</v>
      </c>
      <c r="B4922" s="574" t="s">
        <v>13761</v>
      </c>
      <c r="C4922" s="574" t="s">
        <v>5575</v>
      </c>
      <c r="D4922" s="582">
        <v>469.91</v>
      </c>
    </row>
    <row r="4923" spans="1:4" x14ac:dyDescent="0.2">
      <c r="A4923" s="574">
        <v>40335</v>
      </c>
      <c r="B4923" s="574" t="s">
        <v>13762</v>
      </c>
      <c r="C4923" s="574" t="s">
        <v>5575</v>
      </c>
      <c r="D4923" s="582">
        <v>98.31</v>
      </c>
    </row>
    <row r="4924" spans="1:4" x14ac:dyDescent="0.2">
      <c r="A4924" s="574">
        <v>7740</v>
      </c>
      <c r="B4924" s="574" t="s">
        <v>13763</v>
      </c>
      <c r="C4924" s="574" t="s">
        <v>5575</v>
      </c>
      <c r="D4924" s="582">
        <v>100.84</v>
      </c>
    </row>
    <row r="4925" spans="1:4" x14ac:dyDescent="0.2">
      <c r="A4925" s="574">
        <v>7741</v>
      </c>
      <c r="B4925" s="574" t="s">
        <v>13764</v>
      </c>
      <c r="C4925" s="574" t="s">
        <v>5575</v>
      </c>
      <c r="D4925" s="582">
        <v>186.55</v>
      </c>
    </row>
    <row r="4926" spans="1:4" x14ac:dyDescent="0.2">
      <c r="A4926" s="574">
        <v>7774</v>
      </c>
      <c r="B4926" s="574" t="s">
        <v>13765</v>
      </c>
      <c r="C4926" s="574" t="s">
        <v>5575</v>
      </c>
      <c r="D4926" s="582">
        <v>228.9</v>
      </c>
    </row>
    <row r="4927" spans="1:4" x14ac:dyDescent="0.2">
      <c r="A4927" s="574">
        <v>7744</v>
      </c>
      <c r="B4927" s="574" t="s">
        <v>13766</v>
      </c>
      <c r="C4927" s="574" t="s">
        <v>5575</v>
      </c>
      <c r="D4927" s="582">
        <v>298.99</v>
      </c>
    </row>
    <row r="4928" spans="1:4" x14ac:dyDescent="0.2">
      <c r="A4928" s="574">
        <v>7773</v>
      </c>
      <c r="B4928" s="574" t="s">
        <v>13767</v>
      </c>
      <c r="C4928" s="574" t="s">
        <v>5575</v>
      </c>
      <c r="D4928" s="582">
        <v>305.58999999999997</v>
      </c>
    </row>
    <row r="4929" spans="1:4" x14ac:dyDescent="0.2">
      <c r="A4929" s="574">
        <v>7754</v>
      </c>
      <c r="B4929" s="574" t="s">
        <v>13768</v>
      </c>
      <c r="C4929" s="574" t="s">
        <v>5575</v>
      </c>
      <c r="D4929" s="582">
        <v>463.36</v>
      </c>
    </row>
    <row r="4930" spans="1:4" x14ac:dyDescent="0.2">
      <c r="A4930" s="574">
        <v>7735</v>
      </c>
      <c r="B4930" s="574" t="s">
        <v>13769</v>
      </c>
      <c r="C4930" s="574" t="s">
        <v>5575</v>
      </c>
      <c r="D4930" s="582">
        <v>600</v>
      </c>
    </row>
    <row r="4931" spans="1:4" x14ac:dyDescent="0.2">
      <c r="A4931" s="574">
        <v>7755</v>
      </c>
      <c r="B4931" s="574" t="s">
        <v>13770</v>
      </c>
      <c r="C4931" s="574" t="s">
        <v>5575</v>
      </c>
      <c r="D4931" s="582">
        <v>118.99</v>
      </c>
    </row>
    <row r="4932" spans="1:4" x14ac:dyDescent="0.2">
      <c r="A4932" s="574">
        <v>7776</v>
      </c>
      <c r="B4932" s="574" t="s">
        <v>13771</v>
      </c>
      <c r="C4932" s="574" t="s">
        <v>5575</v>
      </c>
      <c r="D4932" s="582">
        <v>248.06</v>
      </c>
    </row>
    <row r="4933" spans="1:4" x14ac:dyDescent="0.2">
      <c r="A4933" s="574">
        <v>7743</v>
      </c>
      <c r="B4933" s="574" t="s">
        <v>13772</v>
      </c>
      <c r="C4933" s="574" t="s">
        <v>5575</v>
      </c>
      <c r="D4933" s="582">
        <v>262.68</v>
      </c>
    </row>
    <row r="4934" spans="1:4" x14ac:dyDescent="0.2">
      <c r="A4934" s="574">
        <v>7733</v>
      </c>
      <c r="B4934" s="574" t="s">
        <v>13773</v>
      </c>
      <c r="C4934" s="574" t="s">
        <v>5575</v>
      </c>
      <c r="D4934" s="582">
        <v>342.85</v>
      </c>
    </row>
    <row r="4935" spans="1:4" x14ac:dyDescent="0.2">
      <c r="A4935" s="574">
        <v>7775</v>
      </c>
      <c r="B4935" s="574" t="s">
        <v>13774</v>
      </c>
      <c r="C4935" s="574" t="s">
        <v>5575</v>
      </c>
      <c r="D4935" s="582">
        <v>375.63</v>
      </c>
    </row>
    <row r="4936" spans="1:4" x14ac:dyDescent="0.2">
      <c r="A4936" s="574">
        <v>7734</v>
      </c>
      <c r="B4936" s="574" t="s">
        <v>13775</v>
      </c>
      <c r="C4936" s="574" t="s">
        <v>5575</v>
      </c>
      <c r="D4936" s="582">
        <v>531.92999999999995</v>
      </c>
    </row>
    <row r="4937" spans="1:4" x14ac:dyDescent="0.2">
      <c r="A4937" s="574">
        <v>37449</v>
      </c>
      <c r="B4937" s="574" t="s">
        <v>13776</v>
      </c>
      <c r="C4937" s="574" t="s">
        <v>5575</v>
      </c>
      <c r="D4937" s="582">
        <v>24.25</v>
      </c>
    </row>
    <row r="4938" spans="1:4" x14ac:dyDescent="0.2">
      <c r="A4938" s="574">
        <v>37450</v>
      </c>
      <c r="B4938" s="574" t="s">
        <v>13777</v>
      </c>
      <c r="C4938" s="574" t="s">
        <v>5575</v>
      </c>
      <c r="D4938" s="582">
        <v>33.96</v>
      </c>
    </row>
    <row r="4939" spans="1:4" x14ac:dyDescent="0.2">
      <c r="A4939" s="574">
        <v>37451</v>
      </c>
      <c r="B4939" s="574" t="s">
        <v>13778</v>
      </c>
      <c r="C4939" s="574" t="s">
        <v>5575</v>
      </c>
      <c r="D4939" s="582">
        <v>47.41</v>
      </c>
    </row>
    <row r="4940" spans="1:4" x14ac:dyDescent="0.2">
      <c r="A4940" s="574">
        <v>37452</v>
      </c>
      <c r="B4940" s="574" t="s">
        <v>13779</v>
      </c>
      <c r="C4940" s="574" t="s">
        <v>5575</v>
      </c>
      <c r="D4940" s="582">
        <v>68.91</v>
      </c>
    </row>
    <row r="4941" spans="1:4" x14ac:dyDescent="0.2">
      <c r="A4941" s="574">
        <v>37453</v>
      </c>
      <c r="B4941" s="574" t="s">
        <v>13780</v>
      </c>
      <c r="C4941" s="574" t="s">
        <v>5575</v>
      </c>
      <c r="D4941" s="582">
        <v>79.36</v>
      </c>
    </row>
    <row r="4942" spans="1:4" x14ac:dyDescent="0.2">
      <c r="A4942" s="574">
        <v>7778</v>
      </c>
      <c r="B4942" s="574" t="s">
        <v>13781</v>
      </c>
      <c r="C4942" s="574" t="s">
        <v>5575</v>
      </c>
      <c r="D4942" s="582">
        <v>29.77</v>
      </c>
    </row>
    <row r="4943" spans="1:4" x14ac:dyDescent="0.2">
      <c r="A4943" s="574">
        <v>7796</v>
      </c>
      <c r="B4943" s="574" t="s">
        <v>13782</v>
      </c>
      <c r="C4943" s="574" t="s">
        <v>5575</v>
      </c>
      <c r="D4943" s="582">
        <v>40.799999999999997</v>
      </c>
    </row>
    <row r="4944" spans="1:4" x14ac:dyDescent="0.2">
      <c r="A4944" s="574">
        <v>7781</v>
      </c>
      <c r="B4944" s="574" t="s">
        <v>13783</v>
      </c>
      <c r="C4944" s="574" t="s">
        <v>5575</v>
      </c>
      <c r="D4944" s="582">
        <v>48.21</v>
      </c>
    </row>
    <row r="4945" spans="1:4" x14ac:dyDescent="0.2">
      <c r="A4945" s="574">
        <v>7795</v>
      </c>
      <c r="B4945" s="574" t="s">
        <v>13784</v>
      </c>
      <c r="C4945" s="574" t="s">
        <v>5575</v>
      </c>
      <c r="D4945" s="582">
        <v>71.75</v>
      </c>
    </row>
    <row r="4946" spans="1:4" x14ac:dyDescent="0.2">
      <c r="A4946" s="574">
        <v>7791</v>
      </c>
      <c r="B4946" s="574" t="s">
        <v>13785</v>
      </c>
      <c r="C4946" s="574" t="s">
        <v>5575</v>
      </c>
      <c r="D4946" s="582">
        <v>85.9</v>
      </c>
    </row>
    <row r="4947" spans="1:4" x14ac:dyDescent="0.2">
      <c r="A4947" s="574">
        <v>7783</v>
      </c>
      <c r="B4947" s="574" t="s">
        <v>13786</v>
      </c>
      <c r="C4947" s="574" t="s">
        <v>5575</v>
      </c>
      <c r="D4947" s="582">
        <v>30.44</v>
      </c>
    </row>
    <row r="4948" spans="1:4" x14ac:dyDescent="0.2">
      <c r="A4948" s="574">
        <v>7790</v>
      </c>
      <c r="B4948" s="574" t="s">
        <v>13787</v>
      </c>
      <c r="C4948" s="574" t="s">
        <v>5575</v>
      </c>
      <c r="D4948" s="582">
        <v>47.96</v>
      </c>
    </row>
    <row r="4949" spans="1:4" x14ac:dyDescent="0.2">
      <c r="A4949" s="574">
        <v>7785</v>
      </c>
      <c r="B4949" s="574" t="s">
        <v>13788</v>
      </c>
      <c r="C4949" s="574" t="s">
        <v>5575</v>
      </c>
      <c r="D4949" s="582">
        <v>52.92</v>
      </c>
    </row>
    <row r="4950" spans="1:4" x14ac:dyDescent="0.2">
      <c r="A4950" s="574">
        <v>7792</v>
      </c>
      <c r="B4950" s="574" t="s">
        <v>13789</v>
      </c>
      <c r="C4950" s="574" t="s">
        <v>5575</v>
      </c>
      <c r="D4950" s="582">
        <v>75.06</v>
      </c>
    </row>
    <row r="4951" spans="1:4" x14ac:dyDescent="0.2">
      <c r="A4951" s="574">
        <v>7793</v>
      </c>
      <c r="B4951" s="574" t="s">
        <v>13790</v>
      </c>
      <c r="C4951" s="574" t="s">
        <v>5575</v>
      </c>
      <c r="D4951" s="582">
        <v>88.65</v>
      </c>
    </row>
    <row r="4952" spans="1:4" x14ac:dyDescent="0.2">
      <c r="A4952" s="574">
        <v>13159</v>
      </c>
      <c r="B4952" s="574" t="s">
        <v>13791</v>
      </c>
      <c r="C4952" s="574" t="s">
        <v>5575</v>
      </c>
      <c r="D4952" s="582">
        <v>77.180000000000007</v>
      </c>
    </row>
    <row r="4953" spans="1:4" x14ac:dyDescent="0.2">
      <c r="A4953" s="574">
        <v>13168</v>
      </c>
      <c r="B4953" s="574" t="s">
        <v>13792</v>
      </c>
      <c r="C4953" s="574" t="s">
        <v>5575</v>
      </c>
      <c r="D4953" s="582">
        <v>93.72</v>
      </c>
    </row>
    <row r="4954" spans="1:4" x14ac:dyDescent="0.2">
      <c r="A4954" s="574">
        <v>13173</v>
      </c>
      <c r="B4954" s="574" t="s">
        <v>13793</v>
      </c>
      <c r="C4954" s="574" t="s">
        <v>5575</v>
      </c>
      <c r="D4954" s="582">
        <v>126.81</v>
      </c>
    </row>
    <row r="4955" spans="1:4" x14ac:dyDescent="0.2">
      <c r="A4955" s="574">
        <v>12583</v>
      </c>
      <c r="B4955" s="574" t="s">
        <v>13794</v>
      </c>
      <c r="C4955" s="574" t="s">
        <v>5575</v>
      </c>
      <c r="D4955" s="582">
        <v>25.36</v>
      </c>
    </row>
    <row r="4956" spans="1:4" x14ac:dyDescent="0.2">
      <c r="A4956" s="574">
        <v>12584</v>
      </c>
      <c r="B4956" s="574" t="s">
        <v>13795</v>
      </c>
      <c r="C4956" s="574" t="s">
        <v>5575</v>
      </c>
      <c r="D4956" s="582">
        <v>33.08</v>
      </c>
    </row>
    <row r="4957" spans="1:4" x14ac:dyDescent="0.2">
      <c r="A4957" s="574">
        <v>12613</v>
      </c>
      <c r="B4957" s="574" t="s">
        <v>10551</v>
      </c>
      <c r="C4957" s="574" t="s">
        <v>5555</v>
      </c>
      <c r="D4957" s="582">
        <v>13.51</v>
      </c>
    </row>
    <row r="4958" spans="1:4" x14ac:dyDescent="0.2">
      <c r="A4958" s="574">
        <v>1031</v>
      </c>
      <c r="B4958" s="574" t="s">
        <v>10552</v>
      </c>
      <c r="C4958" s="574" t="s">
        <v>5555</v>
      </c>
      <c r="D4958" s="582">
        <v>9.6999999999999993</v>
      </c>
    </row>
    <row r="4959" spans="1:4" x14ac:dyDescent="0.2">
      <c r="A4959" s="574">
        <v>39707</v>
      </c>
      <c r="B4959" s="574" t="s">
        <v>10553</v>
      </c>
      <c r="C4959" s="574" t="s">
        <v>5575</v>
      </c>
      <c r="D4959" s="582">
        <v>2.58</v>
      </c>
    </row>
    <row r="4960" spans="1:4" x14ac:dyDescent="0.2">
      <c r="A4960" s="574">
        <v>39708</v>
      </c>
      <c r="B4960" s="574" t="s">
        <v>10554</v>
      </c>
      <c r="C4960" s="574" t="s">
        <v>5575</v>
      </c>
      <c r="D4960" s="582">
        <v>2.5</v>
      </c>
    </row>
    <row r="4961" spans="1:4" x14ac:dyDescent="0.2">
      <c r="A4961" s="574">
        <v>39710</v>
      </c>
      <c r="B4961" s="574" t="s">
        <v>10555</v>
      </c>
      <c r="C4961" s="574" t="s">
        <v>5575</v>
      </c>
      <c r="D4961" s="582">
        <v>1.75</v>
      </c>
    </row>
    <row r="4962" spans="1:4" x14ac:dyDescent="0.2">
      <c r="A4962" s="574">
        <v>39709</v>
      </c>
      <c r="B4962" s="574" t="s">
        <v>10556</v>
      </c>
      <c r="C4962" s="574" t="s">
        <v>5575</v>
      </c>
      <c r="D4962" s="582">
        <v>2.44</v>
      </c>
    </row>
    <row r="4963" spans="1:4" x14ac:dyDescent="0.2">
      <c r="A4963" s="574">
        <v>39711</v>
      </c>
      <c r="B4963" s="574" t="s">
        <v>10557</v>
      </c>
      <c r="C4963" s="574" t="s">
        <v>5575</v>
      </c>
      <c r="D4963" s="582">
        <v>2.74</v>
      </c>
    </row>
    <row r="4964" spans="1:4" x14ac:dyDescent="0.2">
      <c r="A4964" s="574">
        <v>39712</v>
      </c>
      <c r="B4964" s="574" t="s">
        <v>10558</v>
      </c>
      <c r="C4964" s="574" t="s">
        <v>5575</v>
      </c>
      <c r="D4964" s="582">
        <v>0.96</v>
      </c>
    </row>
    <row r="4965" spans="1:4" x14ac:dyDescent="0.2">
      <c r="A4965" s="574">
        <v>39713</v>
      </c>
      <c r="B4965" s="574" t="s">
        <v>10559</v>
      </c>
      <c r="C4965" s="574" t="s">
        <v>5575</v>
      </c>
      <c r="D4965" s="582">
        <v>0.76</v>
      </c>
    </row>
    <row r="4966" spans="1:4" x14ac:dyDescent="0.2">
      <c r="A4966" s="574">
        <v>39714</v>
      </c>
      <c r="B4966" s="574" t="s">
        <v>10560</v>
      </c>
      <c r="C4966" s="574" t="s">
        <v>5575</v>
      </c>
      <c r="D4966" s="582">
        <v>1.74</v>
      </c>
    </row>
    <row r="4967" spans="1:4" x14ac:dyDescent="0.2">
      <c r="A4967" s="574">
        <v>39715</v>
      </c>
      <c r="B4967" s="574" t="s">
        <v>10561</v>
      </c>
      <c r="C4967" s="574" t="s">
        <v>5575</v>
      </c>
      <c r="D4967" s="582">
        <v>1.24</v>
      </c>
    </row>
    <row r="4968" spans="1:4" x14ac:dyDescent="0.2">
      <c r="A4968" s="574">
        <v>39716</v>
      </c>
      <c r="B4968" s="574" t="s">
        <v>10562</v>
      </c>
      <c r="C4968" s="574" t="s">
        <v>5575</v>
      </c>
      <c r="D4968" s="582">
        <v>0.94</v>
      </c>
    </row>
    <row r="4969" spans="1:4" x14ac:dyDescent="0.2">
      <c r="A4969" s="574">
        <v>39718</v>
      </c>
      <c r="B4969" s="574" t="s">
        <v>10563</v>
      </c>
      <c r="C4969" s="574" t="s">
        <v>5575</v>
      </c>
      <c r="D4969" s="582">
        <v>1.6</v>
      </c>
    </row>
    <row r="4970" spans="1:4" x14ac:dyDescent="0.2">
      <c r="A4970" s="574">
        <v>9813</v>
      </c>
      <c r="B4970" s="574" t="s">
        <v>10564</v>
      </c>
      <c r="C4970" s="574" t="s">
        <v>5575</v>
      </c>
      <c r="D4970" s="582">
        <v>3.84</v>
      </c>
    </row>
    <row r="4971" spans="1:4" x14ac:dyDescent="0.2">
      <c r="A4971" s="574">
        <v>9815</v>
      </c>
      <c r="B4971" s="574" t="s">
        <v>10565</v>
      </c>
      <c r="C4971" s="574" t="s">
        <v>5575</v>
      </c>
      <c r="D4971" s="582">
        <v>7.58</v>
      </c>
    </row>
    <row r="4972" spans="1:4" x14ac:dyDescent="0.2">
      <c r="A4972" s="574">
        <v>25876</v>
      </c>
      <c r="B4972" s="574" t="s">
        <v>10566</v>
      </c>
      <c r="C4972" s="574" t="s">
        <v>5575</v>
      </c>
      <c r="D4972" s="583">
        <v>3773.44</v>
      </c>
    </row>
    <row r="4973" spans="1:4" x14ac:dyDescent="0.2">
      <c r="A4973" s="574">
        <v>25888</v>
      </c>
      <c r="B4973" s="574" t="s">
        <v>10567</v>
      </c>
      <c r="C4973" s="574" t="s">
        <v>5575</v>
      </c>
      <c r="D4973" s="582">
        <v>92.48</v>
      </c>
    </row>
    <row r="4974" spans="1:4" x14ac:dyDescent="0.2">
      <c r="A4974" s="574">
        <v>25874</v>
      </c>
      <c r="B4974" s="574" t="s">
        <v>10568</v>
      </c>
      <c r="C4974" s="574" t="s">
        <v>5575</v>
      </c>
      <c r="D4974" s="583">
        <v>6618.04</v>
      </c>
    </row>
    <row r="4975" spans="1:4" x14ac:dyDescent="0.2">
      <c r="A4975" s="574">
        <v>25877</v>
      </c>
      <c r="B4975" s="574" t="s">
        <v>10569</v>
      </c>
      <c r="C4975" s="574" t="s">
        <v>5575</v>
      </c>
      <c r="D4975" s="583">
        <v>9030.57</v>
      </c>
    </row>
    <row r="4976" spans="1:4" x14ac:dyDescent="0.2">
      <c r="A4976" s="574">
        <v>25878</v>
      </c>
      <c r="B4976" s="574" t="s">
        <v>10570</v>
      </c>
      <c r="C4976" s="574" t="s">
        <v>5575</v>
      </c>
      <c r="D4976" s="582">
        <v>198.51</v>
      </c>
    </row>
    <row r="4977" spans="1:4" x14ac:dyDescent="0.2">
      <c r="A4977" s="574">
        <v>25879</v>
      </c>
      <c r="B4977" s="574" t="s">
        <v>10571</v>
      </c>
      <c r="C4977" s="574" t="s">
        <v>5575</v>
      </c>
      <c r="D4977" s="583">
        <v>8566.57</v>
      </c>
    </row>
    <row r="4978" spans="1:4" x14ac:dyDescent="0.2">
      <c r="A4978" s="574">
        <v>25887</v>
      </c>
      <c r="B4978" s="574" t="s">
        <v>10572</v>
      </c>
      <c r="C4978" s="574" t="s">
        <v>5575</v>
      </c>
      <c r="D4978" s="583">
        <v>3422.48</v>
      </c>
    </row>
    <row r="4979" spans="1:4" x14ac:dyDescent="0.2">
      <c r="A4979" s="574">
        <v>25880</v>
      </c>
      <c r="B4979" s="574" t="s">
        <v>10573</v>
      </c>
      <c r="C4979" s="574" t="s">
        <v>5575</v>
      </c>
      <c r="D4979" s="582">
        <v>309.45</v>
      </c>
    </row>
    <row r="4980" spans="1:4" x14ac:dyDescent="0.2">
      <c r="A4980" s="574">
        <v>25881</v>
      </c>
      <c r="B4980" s="574" t="s">
        <v>10574</v>
      </c>
      <c r="C4980" s="574" t="s">
        <v>5575</v>
      </c>
      <c r="D4980" s="582">
        <v>758.25</v>
      </c>
    </row>
    <row r="4981" spans="1:4" x14ac:dyDescent="0.2">
      <c r="A4981" s="574">
        <v>25882</v>
      </c>
      <c r="B4981" s="574" t="s">
        <v>10575</v>
      </c>
      <c r="C4981" s="574" t="s">
        <v>5575</v>
      </c>
      <c r="D4981" s="583">
        <v>1221.27</v>
      </c>
    </row>
    <row r="4982" spans="1:4" x14ac:dyDescent="0.2">
      <c r="A4982" s="574">
        <v>25883</v>
      </c>
      <c r="B4982" s="574" t="s">
        <v>10576</v>
      </c>
      <c r="C4982" s="574" t="s">
        <v>5575</v>
      </c>
      <c r="D4982" s="582">
        <v>19.7</v>
      </c>
    </row>
    <row r="4983" spans="1:4" x14ac:dyDescent="0.2">
      <c r="A4983" s="574">
        <v>25884</v>
      </c>
      <c r="B4983" s="574" t="s">
        <v>10577</v>
      </c>
      <c r="C4983" s="574" t="s">
        <v>5575</v>
      </c>
      <c r="D4983" s="583">
        <v>2144.09</v>
      </c>
    </row>
    <row r="4984" spans="1:4" x14ac:dyDescent="0.2">
      <c r="A4984" s="574">
        <v>25885</v>
      </c>
      <c r="B4984" s="574" t="s">
        <v>10578</v>
      </c>
      <c r="C4984" s="574" t="s">
        <v>5575</v>
      </c>
      <c r="D4984" s="583">
        <v>3188.87</v>
      </c>
    </row>
    <row r="4985" spans="1:4" x14ac:dyDescent="0.2">
      <c r="A4985" s="574">
        <v>25889</v>
      </c>
      <c r="B4985" s="574" t="s">
        <v>10579</v>
      </c>
      <c r="C4985" s="574" t="s">
        <v>5575</v>
      </c>
      <c r="D4985" s="583">
        <v>1599.14</v>
      </c>
    </row>
    <row r="4986" spans="1:4" x14ac:dyDescent="0.2">
      <c r="A4986" s="574">
        <v>25886</v>
      </c>
      <c r="B4986" s="574" t="s">
        <v>10580</v>
      </c>
      <c r="C4986" s="574" t="s">
        <v>5575</v>
      </c>
      <c r="D4986" s="582">
        <v>44.06</v>
      </c>
    </row>
    <row r="4987" spans="1:4" x14ac:dyDescent="0.2">
      <c r="A4987" s="574">
        <v>25875</v>
      </c>
      <c r="B4987" s="574" t="s">
        <v>10581</v>
      </c>
      <c r="C4987" s="574" t="s">
        <v>5575</v>
      </c>
      <c r="D4987" s="583">
        <v>2086.34</v>
      </c>
    </row>
    <row r="4988" spans="1:4" x14ac:dyDescent="0.2">
      <c r="A4988" s="574">
        <v>9876</v>
      </c>
      <c r="B4988" s="574" t="s">
        <v>10582</v>
      </c>
      <c r="C4988" s="574" t="s">
        <v>5575</v>
      </c>
      <c r="D4988" s="582">
        <v>14.06</v>
      </c>
    </row>
    <row r="4989" spans="1:4" x14ac:dyDescent="0.2">
      <c r="A4989" s="574">
        <v>9877</v>
      </c>
      <c r="B4989" s="574" t="s">
        <v>10583</v>
      </c>
      <c r="C4989" s="574" t="s">
        <v>5575</v>
      </c>
      <c r="D4989" s="582">
        <v>49.26</v>
      </c>
    </row>
    <row r="4990" spans="1:4" x14ac:dyDescent="0.2">
      <c r="A4990" s="574">
        <v>9878</v>
      </c>
      <c r="B4990" s="574" t="s">
        <v>10584</v>
      </c>
      <c r="C4990" s="574" t="s">
        <v>5575</v>
      </c>
      <c r="D4990" s="582">
        <v>64.16</v>
      </c>
    </row>
    <row r="4991" spans="1:4" x14ac:dyDescent="0.2">
      <c r="A4991" s="574">
        <v>9879</v>
      </c>
      <c r="B4991" s="574" t="s">
        <v>10585</v>
      </c>
      <c r="C4991" s="574" t="s">
        <v>5575</v>
      </c>
      <c r="D4991" s="582">
        <v>153.13999999999999</v>
      </c>
    </row>
    <row r="4992" spans="1:4" x14ac:dyDescent="0.2">
      <c r="A4992" s="574">
        <v>42001</v>
      </c>
      <c r="B4992" s="574" t="s">
        <v>10586</v>
      </c>
      <c r="C4992" s="574" t="s">
        <v>5575</v>
      </c>
      <c r="D4992" s="582">
        <v>363.28</v>
      </c>
    </row>
    <row r="4993" spans="1:4" x14ac:dyDescent="0.2">
      <c r="A4993" s="574">
        <v>41986</v>
      </c>
      <c r="B4993" s="574" t="s">
        <v>13796</v>
      </c>
      <c r="C4993" s="574" t="s">
        <v>5575</v>
      </c>
      <c r="D4993" s="583">
        <v>1626.91</v>
      </c>
    </row>
    <row r="4994" spans="1:4" x14ac:dyDescent="0.2">
      <c r="A4994" s="574">
        <v>43422</v>
      </c>
      <c r="B4994" s="574" t="s">
        <v>13797</v>
      </c>
      <c r="C4994" s="574" t="s">
        <v>5575</v>
      </c>
      <c r="D4994" s="583">
        <v>1995.24</v>
      </c>
    </row>
    <row r="4995" spans="1:4" x14ac:dyDescent="0.2">
      <c r="A4995" s="574">
        <v>41987</v>
      </c>
      <c r="B4995" s="574" t="s">
        <v>13798</v>
      </c>
      <c r="C4995" s="574" t="s">
        <v>5575</v>
      </c>
      <c r="D4995" s="583">
        <v>2312.65</v>
      </c>
    </row>
    <row r="4996" spans="1:4" x14ac:dyDescent="0.2">
      <c r="A4996" s="574">
        <v>41988</v>
      </c>
      <c r="B4996" s="574" t="s">
        <v>13799</v>
      </c>
      <c r="C4996" s="574" t="s">
        <v>5575</v>
      </c>
      <c r="D4996" s="583">
        <v>3054.69</v>
      </c>
    </row>
    <row r="4997" spans="1:4" x14ac:dyDescent="0.2">
      <c r="A4997" s="574">
        <v>41697</v>
      </c>
      <c r="B4997" s="574" t="s">
        <v>13800</v>
      </c>
      <c r="C4997" s="574" t="s">
        <v>5575</v>
      </c>
      <c r="D4997" s="582">
        <v>541.42999999999995</v>
      </c>
    </row>
    <row r="4998" spans="1:4" x14ac:dyDescent="0.2">
      <c r="A4998" s="574">
        <v>41985</v>
      </c>
      <c r="B4998" s="574" t="s">
        <v>13801</v>
      </c>
      <c r="C4998" s="574" t="s">
        <v>5575</v>
      </c>
      <c r="D4998" s="582">
        <v>754.07</v>
      </c>
    </row>
    <row r="4999" spans="1:4" x14ac:dyDescent="0.2">
      <c r="A4999" s="574">
        <v>41699</v>
      </c>
      <c r="B4999" s="574" t="s">
        <v>13802</v>
      </c>
      <c r="C4999" s="574" t="s">
        <v>5575</v>
      </c>
      <c r="D4999" s="583">
        <v>1073.76</v>
      </c>
    </row>
    <row r="5000" spans="1:4" x14ac:dyDescent="0.2">
      <c r="A5000" s="574">
        <v>38053</v>
      </c>
      <c r="B5000" s="574" t="s">
        <v>10590</v>
      </c>
      <c r="C5000" s="574" t="s">
        <v>5575</v>
      </c>
      <c r="D5000" s="582">
        <v>9.85</v>
      </c>
    </row>
    <row r="5001" spans="1:4" x14ac:dyDescent="0.2">
      <c r="A5001" s="574">
        <v>38054</v>
      </c>
      <c r="B5001" s="574" t="s">
        <v>10591</v>
      </c>
      <c r="C5001" s="574" t="s">
        <v>5575</v>
      </c>
      <c r="D5001" s="582">
        <v>16.93</v>
      </c>
    </row>
    <row r="5002" spans="1:4" x14ac:dyDescent="0.2">
      <c r="A5002" s="574">
        <v>38052</v>
      </c>
      <c r="B5002" s="574" t="s">
        <v>10592</v>
      </c>
      <c r="C5002" s="574" t="s">
        <v>5575</v>
      </c>
      <c r="D5002" s="582">
        <v>4.7699999999999996</v>
      </c>
    </row>
    <row r="5003" spans="1:4" x14ac:dyDescent="0.2">
      <c r="A5003" s="574">
        <v>38051</v>
      </c>
      <c r="B5003" s="574" t="s">
        <v>10593</v>
      </c>
      <c r="C5003" s="574" t="s">
        <v>5575</v>
      </c>
      <c r="D5003" s="582">
        <v>2.97</v>
      </c>
    </row>
    <row r="5004" spans="1:4" x14ac:dyDescent="0.2">
      <c r="A5004" s="574">
        <v>38787</v>
      </c>
      <c r="B5004" s="574" t="s">
        <v>10594</v>
      </c>
      <c r="C5004" s="574" t="s">
        <v>5575</v>
      </c>
      <c r="D5004" s="582">
        <v>4.03</v>
      </c>
    </row>
    <row r="5005" spans="1:4" x14ac:dyDescent="0.2">
      <c r="A5005" s="574">
        <v>38825</v>
      </c>
      <c r="B5005" s="574" t="s">
        <v>10595</v>
      </c>
      <c r="C5005" s="574" t="s">
        <v>5575</v>
      </c>
      <c r="D5005" s="582">
        <v>5.28</v>
      </c>
    </row>
    <row r="5006" spans="1:4" x14ac:dyDescent="0.2">
      <c r="A5006" s="574">
        <v>38826</v>
      </c>
      <c r="B5006" s="574" t="s">
        <v>10596</v>
      </c>
      <c r="C5006" s="574" t="s">
        <v>5575</v>
      </c>
      <c r="D5006" s="582">
        <v>7.82</v>
      </c>
    </row>
    <row r="5007" spans="1:4" x14ac:dyDescent="0.2">
      <c r="A5007" s="574">
        <v>38827</v>
      </c>
      <c r="B5007" s="574" t="s">
        <v>10597</v>
      </c>
      <c r="C5007" s="574" t="s">
        <v>5575</v>
      </c>
      <c r="D5007" s="582">
        <v>12.57</v>
      </c>
    </row>
    <row r="5008" spans="1:4" x14ac:dyDescent="0.2">
      <c r="A5008" s="574">
        <v>38830</v>
      </c>
      <c r="B5008" s="574" t="s">
        <v>10598</v>
      </c>
      <c r="C5008" s="574" t="s">
        <v>5575</v>
      </c>
      <c r="D5008" s="582">
        <v>17.600000000000001</v>
      </c>
    </row>
    <row r="5009" spans="1:4" x14ac:dyDescent="0.2">
      <c r="A5009" s="574">
        <v>38828</v>
      </c>
      <c r="B5009" s="574" t="s">
        <v>10599</v>
      </c>
      <c r="C5009" s="574" t="s">
        <v>5575</v>
      </c>
      <c r="D5009" s="582">
        <v>7.76</v>
      </c>
    </row>
    <row r="5010" spans="1:4" x14ac:dyDescent="0.2">
      <c r="A5010" s="574">
        <v>38829</v>
      </c>
      <c r="B5010" s="574" t="s">
        <v>10600</v>
      </c>
      <c r="C5010" s="574" t="s">
        <v>5575</v>
      </c>
      <c r="D5010" s="582">
        <v>12.71</v>
      </c>
    </row>
    <row r="5011" spans="1:4" x14ac:dyDescent="0.2">
      <c r="A5011" s="574">
        <v>38831</v>
      </c>
      <c r="B5011" s="574" t="s">
        <v>10601</v>
      </c>
      <c r="C5011" s="574" t="s">
        <v>5575</v>
      </c>
      <c r="D5011" s="582">
        <v>24.55</v>
      </c>
    </row>
    <row r="5012" spans="1:4" x14ac:dyDescent="0.2">
      <c r="A5012" s="574">
        <v>36274</v>
      </c>
      <c r="B5012" s="574" t="s">
        <v>10602</v>
      </c>
      <c r="C5012" s="574" t="s">
        <v>5575</v>
      </c>
      <c r="D5012" s="582">
        <v>5.19</v>
      </c>
    </row>
    <row r="5013" spans="1:4" x14ac:dyDescent="0.2">
      <c r="A5013" s="574">
        <v>36278</v>
      </c>
      <c r="B5013" s="574" t="s">
        <v>10603</v>
      </c>
      <c r="C5013" s="574" t="s">
        <v>5575</v>
      </c>
      <c r="D5013" s="582">
        <v>7.04</v>
      </c>
    </row>
    <row r="5014" spans="1:4" x14ac:dyDescent="0.2">
      <c r="A5014" s="574">
        <v>38977</v>
      </c>
      <c r="B5014" s="574" t="s">
        <v>10604</v>
      </c>
      <c r="C5014" s="574" t="s">
        <v>5575</v>
      </c>
      <c r="D5014" s="582">
        <v>107.13</v>
      </c>
    </row>
    <row r="5015" spans="1:4" x14ac:dyDescent="0.2">
      <c r="A5015" s="574">
        <v>38971</v>
      </c>
      <c r="B5015" s="574" t="s">
        <v>10605</v>
      </c>
      <c r="C5015" s="574" t="s">
        <v>5575</v>
      </c>
      <c r="D5015" s="582">
        <v>8.82</v>
      </c>
    </row>
    <row r="5016" spans="1:4" x14ac:dyDescent="0.2">
      <c r="A5016" s="574">
        <v>38972</v>
      </c>
      <c r="B5016" s="574" t="s">
        <v>10606</v>
      </c>
      <c r="C5016" s="574" t="s">
        <v>5575</v>
      </c>
      <c r="D5016" s="582">
        <v>13.44</v>
      </c>
    </row>
    <row r="5017" spans="1:4" x14ac:dyDescent="0.2">
      <c r="A5017" s="574">
        <v>38973</v>
      </c>
      <c r="B5017" s="574" t="s">
        <v>10607</v>
      </c>
      <c r="C5017" s="574" t="s">
        <v>5575</v>
      </c>
      <c r="D5017" s="582">
        <v>17.78</v>
      </c>
    </row>
    <row r="5018" spans="1:4" x14ac:dyDescent="0.2">
      <c r="A5018" s="574">
        <v>38974</v>
      </c>
      <c r="B5018" s="574" t="s">
        <v>10608</v>
      </c>
      <c r="C5018" s="574" t="s">
        <v>5575</v>
      </c>
      <c r="D5018" s="582">
        <v>25.93</v>
      </c>
    </row>
    <row r="5019" spans="1:4" x14ac:dyDescent="0.2">
      <c r="A5019" s="574">
        <v>38975</v>
      </c>
      <c r="B5019" s="574" t="s">
        <v>10609</v>
      </c>
      <c r="C5019" s="574" t="s">
        <v>5575</v>
      </c>
      <c r="D5019" s="582">
        <v>43.21</v>
      </c>
    </row>
    <row r="5020" spans="1:4" x14ac:dyDescent="0.2">
      <c r="A5020" s="574">
        <v>38976</v>
      </c>
      <c r="B5020" s="574" t="s">
        <v>10610</v>
      </c>
      <c r="C5020" s="574" t="s">
        <v>5575</v>
      </c>
      <c r="D5020" s="582">
        <v>60.61</v>
      </c>
    </row>
    <row r="5021" spans="1:4" x14ac:dyDescent="0.2">
      <c r="A5021" s="574">
        <v>38986</v>
      </c>
      <c r="B5021" s="574" t="s">
        <v>10611</v>
      </c>
      <c r="C5021" s="574" t="s">
        <v>5575</v>
      </c>
      <c r="D5021" s="582">
        <v>121.97</v>
      </c>
    </row>
    <row r="5022" spans="1:4" x14ac:dyDescent="0.2">
      <c r="A5022" s="574">
        <v>38978</v>
      </c>
      <c r="B5022" s="574" t="s">
        <v>10612</v>
      </c>
      <c r="C5022" s="574" t="s">
        <v>5575</v>
      </c>
      <c r="D5022" s="582">
        <v>5.19</v>
      </c>
    </row>
    <row r="5023" spans="1:4" x14ac:dyDescent="0.2">
      <c r="A5023" s="574">
        <v>38979</v>
      </c>
      <c r="B5023" s="574" t="s">
        <v>10613</v>
      </c>
      <c r="C5023" s="574" t="s">
        <v>5575</v>
      </c>
      <c r="D5023" s="582">
        <v>7.04</v>
      </c>
    </row>
    <row r="5024" spans="1:4" x14ac:dyDescent="0.2">
      <c r="A5024" s="574">
        <v>38980</v>
      </c>
      <c r="B5024" s="574" t="s">
        <v>10614</v>
      </c>
      <c r="C5024" s="574" t="s">
        <v>5575</v>
      </c>
      <c r="D5024" s="582">
        <v>11.77</v>
      </c>
    </row>
    <row r="5025" spans="1:4" x14ac:dyDescent="0.2">
      <c r="A5025" s="574">
        <v>38981</v>
      </c>
      <c r="B5025" s="574" t="s">
        <v>10615</v>
      </c>
      <c r="C5025" s="574" t="s">
        <v>5575</v>
      </c>
      <c r="D5025" s="582">
        <v>16.29</v>
      </c>
    </row>
    <row r="5026" spans="1:4" x14ac:dyDescent="0.2">
      <c r="A5026" s="574">
        <v>38982</v>
      </c>
      <c r="B5026" s="574" t="s">
        <v>10616</v>
      </c>
      <c r="C5026" s="574" t="s">
        <v>5575</v>
      </c>
      <c r="D5026" s="582">
        <v>23.71</v>
      </c>
    </row>
    <row r="5027" spans="1:4" x14ac:dyDescent="0.2">
      <c r="A5027" s="574">
        <v>38983</v>
      </c>
      <c r="B5027" s="574" t="s">
        <v>10617</v>
      </c>
      <c r="C5027" s="574" t="s">
        <v>5575</v>
      </c>
      <c r="D5027" s="582">
        <v>31.44</v>
      </c>
    </row>
    <row r="5028" spans="1:4" x14ac:dyDescent="0.2">
      <c r="A5028" s="574">
        <v>38984</v>
      </c>
      <c r="B5028" s="574" t="s">
        <v>10618</v>
      </c>
      <c r="C5028" s="574" t="s">
        <v>5575</v>
      </c>
      <c r="D5028" s="582">
        <v>60.65</v>
      </c>
    </row>
    <row r="5029" spans="1:4" x14ac:dyDescent="0.2">
      <c r="A5029" s="574">
        <v>38985</v>
      </c>
      <c r="B5029" s="574" t="s">
        <v>10619</v>
      </c>
      <c r="C5029" s="574" t="s">
        <v>5575</v>
      </c>
      <c r="D5029" s="582">
        <v>89.78</v>
      </c>
    </row>
    <row r="5030" spans="1:4" x14ac:dyDescent="0.2">
      <c r="A5030" s="574">
        <v>9836</v>
      </c>
      <c r="B5030" s="574" t="s">
        <v>10620</v>
      </c>
      <c r="C5030" s="574" t="s">
        <v>5575</v>
      </c>
      <c r="D5030" s="582">
        <v>9.17</v>
      </c>
    </row>
    <row r="5031" spans="1:4" x14ac:dyDescent="0.2">
      <c r="A5031" s="574">
        <v>20065</v>
      </c>
      <c r="B5031" s="574" t="s">
        <v>10621</v>
      </c>
      <c r="C5031" s="574" t="s">
        <v>5575</v>
      </c>
      <c r="D5031" s="582">
        <v>23.46</v>
      </c>
    </row>
    <row r="5032" spans="1:4" x14ac:dyDescent="0.2">
      <c r="A5032" s="574">
        <v>9835</v>
      </c>
      <c r="B5032" s="574" t="s">
        <v>10622</v>
      </c>
      <c r="C5032" s="574" t="s">
        <v>5575</v>
      </c>
      <c r="D5032" s="582">
        <v>3.3</v>
      </c>
    </row>
    <row r="5033" spans="1:4" x14ac:dyDescent="0.2">
      <c r="A5033" s="574">
        <v>38032</v>
      </c>
      <c r="B5033" s="574" t="s">
        <v>10623</v>
      </c>
      <c r="C5033" s="574" t="s">
        <v>5575</v>
      </c>
      <c r="D5033" s="582">
        <v>27.15</v>
      </c>
    </row>
    <row r="5034" spans="1:4" x14ac:dyDescent="0.2">
      <c r="A5034" s="574">
        <v>38033</v>
      </c>
      <c r="B5034" s="574" t="s">
        <v>10624</v>
      </c>
      <c r="C5034" s="574" t="s">
        <v>5575</v>
      </c>
      <c r="D5034" s="582">
        <v>44.43</v>
      </c>
    </row>
    <row r="5035" spans="1:4" x14ac:dyDescent="0.2">
      <c r="A5035" s="574">
        <v>38034</v>
      </c>
      <c r="B5035" s="574" t="s">
        <v>10625</v>
      </c>
      <c r="C5035" s="574" t="s">
        <v>5575</v>
      </c>
      <c r="D5035" s="582">
        <v>73.5</v>
      </c>
    </row>
    <row r="5036" spans="1:4" x14ac:dyDescent="0.2">
      <c r="A5036" s="574">
        <v>38035</v>
      </c>
      <c r="B5036" s="574" t="s">
        <v>10626</v>
      </c>
      <c r="C5036" s="574" t="s">
        <v>5575</v>
      </c>
      <c r="D5036" s="582">
        <v>102.42</v>
      </c>
    </row>
    <row r="5037" spans="1:4" x14ac:dyDescent="0.2">
      <c r="A5037" s="574">
        <v>38036</v>
      </c>
      <c r="B5037" s="574" t="s">
        <v>10627</v>
      </c>
      <c r="C5037" s="574" t="s">
        <v>5575</v>
      </c>
      <c r="D5037" s="582">
        <v>144.52000000000001</v>
      </c>
    </row>
    <row r="5038" spans="1:4" x14ac:dyDescent="0.2">
      <c r="A5038" s="574">
        <v>38037</v>
      </c>
      <c r="B5038" s="574" t="s">
        <v>10628</v>
      </c>
      <c r="C5038" s="574" t="s">
        <v>5575</v>
      </c>
      <c r="D5038" s="582">
        <v>167.58</v>
      </c>
    </row>
    <row r="5039" spans="1:4" x14ac:dyDescent="0.2">
      <c r="A5039" s="574">
        <v>9850</v>
      </c>
      <c r="B5039" s="574" t="s">
        <v>10629</v>
      </c>
      <c r="C5039" s="574" t="s">
        <v>5575</v>
      </c>
      <c r="D5039" s="582">
        <v>96.75</v>
      </c>
    </row>
    <row r="5040" spans="1:4" x14ac:dyDescent="0.2">
      <c r="A5040" s="574">
        <v>9853</v>
      </c>
      <c r="B5040" s="574" t="s">
        <v>10630</v>
      </c>
      <c r="C5040" s="574" t="s">
        <v>5575</v>
      </c>
      <c r="D5040" s="582">
        <v>172.05</v>
      </c>
    </row>
    <row r="5041" spans="1:4" x14ac:dyDescent="0.2">
      <c r="A5041" s="574">
        <v>9854</v>
      </c>
      <c r="B5041" s="574" t="s">
        <v>10631</v>
      </c>
      <c r="C5041" s="574" t="s">
        <v>5575</v>
      </c>
      <c r="D5041" s="582">
        <v>75.38</v>
      </c>
    </row>
    <row r="5042" spans="1:4" x14ac:dyDescent="0.2">
      <c r="A5042" s="574">
        <v>9851</v>
      </c>
      <c r="B5042" s="574" t="s">
        <v>10632</v>
      </c>
      <c r="C5042" s="574" t="s">
        <v>5575</v>
      </c>
      <c r="D5042" s="582">
        <v>130.71</v>
      </c>
    </row>
    <row r="5043" spans="1:4" x14ac:dyDescent="0.2">
      <c r="A5043" s="574">
        <v>9855</v>
      </c>
      <c r="B5043" s="574" t="s">
        <v>10633</v>
      </c>
      <c r="C5043" s="574" t="s">
        <v>5575</v>
      </c>
      <c r="D5043" s="582">
        <v>218.64</v>
      </c>
    </row>
    <row r="5044" spans="1:4" x14ac:dyDescent="0.2">
      <c r="A5044" s="574">
        <v>9825</v>
      </c>
      <c r="B5044" s="574" t="s">
        <v>10634</v>
      </c>
      <c r="C5044" s="574" t="s">
        <v>5575</v>
      </c>
      <c r="D5044" s="582">
        <v>34.47</v>
      </c>
    </row>
    <row r="5045" spans="1:4" x14ac:dyDescent="0.2">
      <c r="A5045" s="574">
        <v>9828</v>
      </c>
      <c r="B5045" s="574" t="s">
        <v>10635</v>
      </c>
      <c r="C5045" s="574" t="s">
        <v>5575</v>
      </c>
      <c r="D5045" s="582">
        <v>92.77</v>
      </c>
    </row>
    <row r="5046" spans="1:4" x14ac:dyDescent="0.2">
      <c r="A5046" s="574">
        <v>9829</v>
      </c>
      <c r="B5046" s="574" t="s">
        <v>10636</v>
      </c>
      <c r="C5046" s="574" t="s">
        <v>5575</v>
      </c>
      <c r="D5046" s="582">
        <v>157.22</v>
      </c>
    </row>
    <row r="5047" spans="1:4" x14ac:dyDescent="0.2">
      <c r="A5047" s="574">
        <v>9826</v>
      </c>
      <c r="B5047" s="574" t="s">
        <v>10637</v>
      </c>
      <c r="C5047" s="574" t="s">
        <v>5575</v>
      </c>
      <c r="D5047" s="582">
        <v>239.35</v>
      </c>
    </row>
    <row r="5048" spans="1:4" x14ac:dyDescent="0.2">
      <c r="A5048" s="574">
        <v>9827</v>
      </c>
      <c r="B5048" s="574" t="s">
        <v>10638</v>
      </c>
      <c r="C5048" s="574" t="s">
        <v>5575</v>
      </c>
      <c r="D5048" s="582">
        <v>339.87</v>
      </c>
    </row>
    <row r="5049" spans="1:4" x14ac:dyDescent="0.2">
      <c r="A5049" s="574">
        <v>36374</v>
      </c>
      <c r="B5049" s="574" t="s">
        <v>10639</v>
      </c>
      <c r="C5049" s="574" t="s">
        <v>5575</v>
      </c>
      <c r="D5049" s="582">
        <v>41.31</v>
      </c>
    </row>
    <row r="5050" spans="1:4" x14ac:dyDescent="0.2">
      <c r="A5050" s="574">
        <v>36084</v>
      </c>
      <c r="B5050" s="574" t="s">
        <v>10640</v>
      </c>
      <c r="C5050" s="574" t="s">
        <v>5575</v>
      </c>
      <c r="D5050" s="582">
        <v>12.24</v>
      </c>
    </row>
    <row r="5051" spans="1:4" x14ac:dyDescent="0.2">
      <c r="A5051" s="574">
        <v>36373</v>
      </c>
      <c r="B5051" s="574" t="s">
        <v>10641</v>
      </c>
      <c r="C5051" s="574" t="s">
        <v>5575</v>
      </c>
      <c r="D5051" s="582">
        <v>25.42</v>
      </c>
    </row>
    <row r="5052" spans="1:4" x14ac:dyDescent="0.2">
      <c r="A5052" s="574">
        <v>36377</v>
      </c>
      <c r="B5052" s="574" t="s">
        <v>10642</v>
      </c>
      <c r="C5052" s="574" t="s">
        <v>5575</v>
      </c>
      <c r="D5052" s="582">
        <v>49.56</v>
      </c>
    </row>
    <row r="5053" spans="1:4" x14ac:dyDescent="0.2">
      <c r="A5053" s="574">
        <v>36375</v>
      </c>
      <c r="B5053" s="574" t="s">
        <v>10643</v>
      </c>
      <c r="C5053" s="574" t="s">
        <v>5575</v>
      </c>
      <c r="D5053" s="582">
        <v>15.1</v>
      </c>
    </row>
    <row r="5054" spans="1:4" x14ac:dyDescent="0.2">
      <c r="A5054" s="574">
        <v>36376</v>
      </c>
      <c r="B5054" s="574" t="s">
        <v>10644</v>
      </c>
      <c r="C5054" s="574" t="s">
        <v>5575</v>
      </c>
      <c r="D5054" s="582">
        <v>29.66</v>
      </c>
    </row>
    <row r="5055" spans="1:4" x14ac:dyDescent="0.2">
      <c r="A5055" s="574">
        <v>36380</v>
      </c>
      <c r="B5055" s="574" t="s">
        <v>10645</v>
      </c>
      <c r="C5055" s="574" t="s">
        <v>5575</v>
      </c>
      <c r="D5055" s="582">
        <v>61.97</v>
      </c>
    </row>
    <row r="5056" spans="1:4" x14ac:dyDescent="0.2">
      <c r="A5056" s="574">
        <v>36378</v>
      </c>
      <c r="B5056" s="574" t="s">
        <v>10646</v>
      </c>
      <c r="C5056" s="574" t="s">
        <v>5575</v>
      </c>
      <c r="D5056" s="582">
        <v>18.57</v>
      </c>
    </row>
    <row r="5057" spans="1:4" x14ac:dyDescent="0.2">
      <c r="A5057" s="574">
        <v>36379</v>
      </c>
      <c r="B5057" s="574" t="s">
        <v>10647</v>
      </c>
      <c r="C5057" s="574" t="s">
        <v>5575</v>
      </c>
      <c r="D5057" s="582">
        <v>37.43</v>
      </c>
    </row>
    <row r="5058" spans="1:4" x14ac:dyDescent="0.2">
      <c r="A5058" s="574">
        <v>9859</v>
      </c>
      <c r="B5058" s="574" t="s">
        <v>10648</v>
      </c>
      <c r="C5058" s="574" t="s">
        <v>5575</v>
      </c>
      <c r="D5058" s="582">
        <v>8.09</v>
      </c>
    </row>
    <row r="5059" spans="1:4" x14ac:dyDescent="0.2">
      <c r="A5059" s="574">
        <v>9838</v>
      </c>
      <c r="B5059" s="574" t="s">
        <v>10649</v>
      </c>
      <c r="C5059" s="574" t="s">
        <v>5575</v>
      </c>
      <c r="D5059" s="582">
        <v>5.63</v>
      </c>
    </row>
    <row r="5060" spans="1:4" x14ac:dyDescent="0.2">
      <c r="A5060" s="574">
        <v>9837</v>
      </c>
      <c r="B5060" s="574" t="s">
        <v>10650</v>
      </c>
      <c r="C5060" s="574" t="s">
        <v>5575</v>
      </c>
      <c r="D5060" s="582">
        <v>8.1199999999999992</v>
      </c>
    </row>
    <row r="5061" spans="1:4" x14ac:dyDescent="0.2">
      <c r="A5061" s="574">
        <v>9833</v>
      </c>
      <c r="B5061" s="574" t="s">
        <v>10651</v>
      </c>
      <c r="C5061" s="574" t="s">
        <v>5575</v>
      </c>
      <c r="D5061" s="582">
        <v>8.91</v>
      </c>
    </row>
    <row r="5062" spans="1:4" x14ac:dyDescent="0.2">
      <c r="A5062" s="574">
        <v>9830</v>
      </c>
      <c r="B5062" s="574" t="s">
        <v>10652</v>
      </c>
      <c r="C5062" s="574" t="s">
        <v>5575</v>
      </c>
      <c r="D5062" s="582">
        <v>4.7699999999999996</v>
      </c>
    </row>
    <row r="5063" spans="1:4" x14ac:dyDescent="0.2">
      <c r="A5063" s="574">
        <v>9834</v>
      </c>
      <c r="B5063" s="574" t="s">
        <v>10653</v>
      </c>
      <c r="C5063" s="574" t="s">
        <v>5575</v>
      </c>
      <c r="D5063" s="582">
        <v>24.81</v>
      </c>
    </row>
    <row r="5064" spans="1:4" x14ac:dyDescent="0.2">
      <c r="A5064" s="574">
        <v>9863</v>
      </c>
      <c r="B5064" s="574" t="s">
        <v>10654</v>
      </c>
      <c r="C5064" s="574" t="s">
        <v>5575</v>
      </c>
      <c r="D5064" s="582">
        <v>58.36</v>
      </c>
    </row>
    <row r="5065" spans="1:4" x14ac:dyDescent="0.2">
      <c r="A5065" s="574">
        <v>9860</v>
      </c>
      <c r="B5065" s="574" t="s">
        <v>10655</v>
      </c>
      <c r="C5065" s="574" t="s">
        <v>5575</v>
      </c>
      <c r="D5065" s="582">
        <v>37.47</v>
      </c>
    </row>
    <row r="5066" spans="1:4" x14ac:dyDescent="0.2">
      <c r="A5066" s="574">
        <v>9862</v>
      </c>
      <c r="B5066" s="574" t="s">
        <v>10656</v>
      </c>
      <c r="C5066" s="574" t="s">
        <v>5575</v>
      </c>
      <c r="D5066" s="582">
        <v>26.44</v>
      </c>
    </row>
    <row r="5067" spans="1:4" x14ac:dyDescent="0.2">
      <c r="A5067" s="574">
        <v>9861</v>
      </c>
      <c r="B5067" s="574" t="s">
        <v>10657</v>
      </c>
      <c r="C5067" s="574" t="s">
        <v>5575</v>
      </c>
      <c r="D5067" s="582">
        <v>21.25</v>
      </c>
    </row>
    <row r="5068" spans="1:4" x14ac:dyDescent="0.2">
      <c r="A5068" s="574">
        <v>9856</v>
      </c>
      <c r="B5068" s="574" t="s">
        <v>10658</v>
      </c>
      <c r="C5068" s="574" t="s">
        <v>5575</v>
      </c>
      <c r="D5068" s="582">
        <v>5.71</v>
      </c>
    </row>
    <row r="5069" spans="1:4" x14ac:dyDescent="0.2">
      <c r="A5069" s="574">
        <v>9866</v>
      </c>
      <c r="B5069" s="574" t="s">
        <v>10659</v>
      </c>
      <c r="C5069" s="574" t="s">
        <v>5575</v>
      </c>
      <c r="D5069" s="582">
        <v>15.69</v>
      </c>
    </row>
    <row r="5070" spans="1:4" x14ac:dyDescent="0.2">
      <c r="A5070" s="574">
        <v>9857</v>
      </c>
      <c r="B5070" s="574" t="s">
        <v>10660</v>
      </c>
      <c r="C5070" s="574" t="s">
        <v>5575</v>
      </c>
      <c r="D5070" s="582">
        <v>75.48</v>
      </c>
    </row>
    <row r="5071" spans="1:4" x14ac:dyDescent="0.2">
      <c r="A5071" s="574">
        <v>9864</v>
      </c>
      <c r="B5071" s="574" t="s">
        <v>10661</v>
      </c>
      <c r="C5071" s="574" t="s">
        <v>5575</v>
      </c>
      <c r="D5071" s="582">
        <v>91.13</v>
      </c>
    </row>
    <row r="5072" spans="1:4" x14ac:dyDescent="0.2">
      <c r="A5072" s="574">
        <v>9865</v>
      </c>
      <c r="B5072" s="574" t="s">
        <v>10662</v>
      </c>
      <c r="C5072" s="574" t="s">
        <v>5575</v>
      </c>
      <c r="D5072" s="582">
        <v>131.06</v>
      </c>
    </row>
    <row r="5073" spans="1:4" x14ac:dyDescent="0.2">
      <c r="A5073" s="574">
        <v>9858</v>
      </c>
      <c r="B5073" s="574" t="s">
        <v>10663</v>
      </c>
      <c r="C5073" s="574" t="s">
        <v>5575</v>
      </c>
      <c r="D5073" s="582">
        <v>137.4</v>
      </c>
    </row>
    <row r="5074" spans="1:4" x14ac:dyDescent="0.2">
      <c r="A5074" s="574">
        <v>9841</v>
      </c>
      <c r="B5074" s="574" t="s">
        <v>10664</v>
      </c>
      <c r="C5074" s="574" t="s">
        <v>5575</v>
      </c>
      <c r="D5074" s="582">
        <v>22.63</v>
      </c>
    </row>
    <row r="5075" spans="1:4" x14ac:dyDescent="0.2">
      <c r="A5075" s="574">
        <v>9840</v>
      </c>
      <c r="B5075" s="574" t="s">
        <v>10665</v>
      </c>
      <c r="C5075" s="574" t="s">
        <v>5575</v>
      </c>
      <c r="D5075" s="582">
        <v>45.99</v>
      </c>
    </row>
    <row r="5076" spans="1:4" x14ac:dyDescent="0.2">
      <c r="A5076" s="574">
        <v>20067</v>
      </c>
      <c r="B5076" s="574" t="s">
        <v>10666</v>
      </c>
      <c r="C5076" s="574" t="s">
        <v>5575</v>
      </c>
      <c r="D5076" s="582">
        <v>7.9</v>
      </c>
    </row>
    <row r="5077" spans="1:4" x14ac:dyDescent="0.2">
      <c r="A5077" s="574">
        <v>20068</v>
      </c>
      <c r="B5077" s="574" t="s">
        <v>10667</v>
      </c>
      <c r="C5077" s="574" t="s">
        <v>5575</v>
      </c>
      <c r="D5077" s="582">
        <v>9.85</v>
      </c>
    </row>
    <row r="5078" spans="1:4" x14ac:dyDescent="0.2">
      <c r="A5078" s="574">
        <v>9839</v>
      </c>
      <c r="B5078" s="574" t="s">
        <v>10668</v>
      </c>
      <c r="C5078" s="574" t="s">
        <v>5575</v>
      </c>
      <c r="D5078" s="582">
        <v>12.92</v>
      </c>
    </row>
    <row r="5079" spans="1:4" x14ac:dyDescent="0.2">
      <c r="A5079" s="574">
        <v>9870</v>
      </c>
      <c r="B5079" s="574" t="s">
        <v>10669</v>
      </c>
      <c r="C5079" s="574" t="s">
        <v>5575</v>
      </c>
      <c r="D5079" s="582">
        <v>63.64</v>
      </c>
    </row>
    <row r="5080" spans="1:4" x14ac:dyDescent="0.2">
      <c r="A5080" s="574">
        <v>9867</v>
      </c>
      <c r="B5080" s="574" t="s">
        <v>10670</v>
      </c>
      <c r="C5080" s="574" t="s">
        <v>5575</v>
      </c>
      <c r="D5080" s="582">
        <v>2.34</v>
      </c>
    </row>
    <row r="5081" spans="1:4" x14ac:dyDescent="0.2">
      <c r="A5081" s="574">
        <v>9868</v>
      </c>
      <c r="B5081" s="574" t="s">
        <v>10671</v>
      </c>
      <c r="C5081" s="574" t="s">
        <v>5575</v>
      </c>
      <c r="D5081" s="582">
        <v>3</v>
      </c>
    </row>
    <row r="5082" spans="1:4" x14ac:dyDescent="0.2">
      <c r="A5082" s="574">
        <v>9869</v>
      </c>
      <c r="B5082" s="574" t="s">
        <v>10672</v>
      </c>
      <c r="C5082" s="574" t="s">
        <v>5575</v>
      </c>
      <c r="D5082" s="582">
        <v>6.73</v>
      </c>
    </row>
    <row r="5083" spans="1:4" x14ac:dyDescent="0.2">
      <c r="A5083" s="574">
        <v>9874</v>
      </c>
      <c r="B5083" s="574" t="s">
        <v>10673</v>
      </c>
      <c r="C5083" s="574" t="s">
        <v>5575</v>
      </c>
      <c r="D5083" s="582">
        <v>9.8000000000000007</v>
      </c>
    </row>
    <row r="5084" spans="1:4" x14ac:dyDescent="0.2">
      <c r="A5084" s="574">
        <v>9875</v>
      </c>
      <c r="B5084" s="574" t="s">
        <v>10674</v>
      </c>
      <c r="C5084" s="574" t="s">
        <v>5575</v>
      </c>
      <c r="D5084" s="582">
        <v>11.23</v>
      </c>
    </row>
    <row r="5085" spans="1:4" x14ac:dyDescent="0.2">
      <c r="A5085" s="574">
        <v>9873</v>
      </c>
      <c r="B5085" s="574" t="s">
        <v>10675</v>
      </c>
      <c r="C5085" s="574" t="s">
        <v>5575</v>
      </c>
      <c r="D5085" s="582">
        <v>18.95</v>
      </c>
    </row>
    <row r="5086" spans="1:4" x14ac:dyDescent="0.2">
      <c r="A5086" s="574">
        <v>9871</v>
      </c>
      <c r="B5086" s="574" t="s">
        <v>10676</v>
      </c>
      <c r="C5086" s="574" t="s">
        <v>5575</v>
      </c>
      <c r="D5086" s="582">
        <v>31.75</v>
      </c>
    </row>
    <row r="5087" spans="1:4" x14ac:dyDescent="0.2">
      <c r="A5087" s="574">
        <v>9872</v>
      </c>
      <c r="B5087" s="574" t="s">
        <v>10677</v>
      </c>
      <c r="C5087" s="574" t="s">
        <v>5575</v>
      </c>
      <c r="D5087" s="582">
        <v>39.67</v>
      </c>
    </row>
    <row r="5088" spans="1:4" x14ac:dyDescent="0.2">
      <c r="A5088" s="574">
        <v>7667</v>
      </c>
      <c r="B5088" s="574" t="s">
        <v>10678</v>
      </c>
      <c r="C5088" s="574" t="s">
        <v>5575</v>
      </c>
      <c r="D5088" s="583">
        <v>1535.49</v>
      </c>
    </row>
    <row r="5089" spans="1:4" x14ac:dyDescent="0.2">
      <c r="A5089" s="574">
        <v>7660</v>
      </c>
      <c r="B5089" s="574" t="s">
        <v>10679</v>
      </c>
      <c r="C5089" s="574" t="s">
        <v>5575</v>
      </c>
      <c r="D5089" s="583">
        <v>1957.39</v>
      </c>
    </row>
    <row r="5090" spans="1:4" x14ac:dyDescent="0.2">
      <c r="A5090" s="574">
        <v>7676</v>
      </c>
      <c r="B5090" s="574" t="s">
        <v>10680</v>
      </c>
      <c r="C5090" s="574" t="s">
        <v>5575</v>
      </c>
      <c r="D5090" s="583">
        <v>1979.76</v>
      </c>
    </row>
    <row r="5091" spans="1:4" x14ac:dyDescent="0.2">
      <c r="A5091" s="574">
        <v>12426</v>
      </c>
      <c r="B5091" s="574" t="s">
        <v>10681</v>
      </c>
      <c r="C5091" s="574" t="s">
        <v>5555</v>
      </c>
      <c r="D5091" s="582">
        <v>27.28</v>
      </c>
    </row>
    <row r="5092" spans="1:4" x14ac:dyDescent="0.2">
      <c r="A5092" s="574">
        <v>12425</v>
      </c>
      <c r="B5092" s="574" t="s">
        <v>10682</v>
      </c>
      <c r="C5092" s="574" t="s">
        <v>5555</v>
      </c>
      <c r="D5092" s="582">
        <v>37.47</v>
      </c>
    </row>
    <row r="5093" spans="1:4" x14ac:dyDescent="0.2">
      <c r="A5093" s="574">
        <v>12427</v>
      </c>
      <c r="B5093" s="574" t="s">
        <v>10683</v>
      </c>
      <c r="C5093" s="574" t="s">
        <v>5555</v>
      </c>
      <c r="D5093" s="582">
        <v>155.55000000000001</v>
      </c>
    </row>
    <row r="5094" spans="1:4" x14ac:dyDescent="0.2">
      <c r="A5094" s="574">
        <v>12428</v>
      </c>
      <c r="B5094" s="574" t="s">
        <v>10684</v>
      </c>
      <c r="C5094" s="574" t="s">
        <v>5555</v>
      </c>
      <c r="D5094" s="582">
        <v>99.84</v>
      </c>
    </row>
    <row r="5095" spans="1:4" x14ac:dyDescent="0.2">
      <c r="A5095" s="574">
        <v>12430</v>
      </c>
      <c r="B5095" s="574" t="s">
        <v>10685</v>
      </c>
      <c r="C5095" s="574" t="s">
        <v>5555</v>
      </c>
      <c r="D5095" s="582">
        <v>33.44</v>
      </c>
    </row>
    <row r="5096" spans="1:4" x14ac:dyDescent="0.2">
      <c r="A5096" s="574">
        <v>12429</v>
      </c>
      <c r="B5096" s="574" t="s">
        <v>10686</v>
      </c>
      <c r="C5096" s="574" t="s">
        <v>5555</v>
      </c>
      <c r="D5096" s="582">
        <v>251.54</v>
      </c>
    </row>
    <row r="5097" spans="1:4" x14ac:dyDescent="0.2">
      <c r="A5097" s="574">
        <v>12431</v>
      </c>
      <c r="B5097" s="574" t="s">
        <v>10687</v>
      </c>
      <c r="C5097" s="574" t="s">
        <v>5555</v>
      </c>
      <c r="D5097" s="582">
        <v>428.07</v>
      </c>
    </row>
    <row r="5098" spans="1:4" x14ac:dyDescent="0.2">
      <c r="A5098" s="574">
        <v>12432</v>
      </c>
      <c r="B5098" s="574" t="s">
        <v>10688</v>
      </c>
      <c r="C5098" s="574" t="s">
        <v>5555</v>
      </c>
      <c r="D5098" s="582">
        <v>88.04</v>
      </c>
    </row>
    <row r="5099" spans="1:4" x14ac:dyDescent="0.2">
      <c r="A5099" s="574">
        <v>12434</v>
      </c>
      <c r="B5099" s="574" t="s">
        <v>10689</v>
      </c>
      <c r="C5099" s="574" t="s">
        <v>5555</v>
      </c>
      <c r="D5099" s="582">
        <v>28.69</v>
      </c>
    </row>
    <row r="5100" spans="1:4" x14ac:dyDescent="0.2">
      <c r="A5100" s="574">
        <v>12433</v>
      </c>
      <c r="B5100" s="574" t="s">
        <v>10690</v>
      </c>
      <c r="C5100" s="574" t="s">
        <v>5555</v>
      </c>
      <c r="D5100" s="582">
        <v>56.04</v>
      </c>
    </row>
    <row r="5101" spans="1:4" x14ac:dyDescent="0.2">
      <c r="A5101" s="574">
        <v>12435</v>
      </c>
      <c r="B5101" s="574" t="s">
        <v>10691</v>
      </c>
      <c r="C5101" s="574" t="s">
        <v>5555</v>
      </c>
      <c r="D5101" s="582">
        <v>173.45</v>
      </c>
    </row>
    <row r="5102" spans="1:4" x14ac:dyDescent="0.2">
      <c r="A5102" s="574">
        <v>12437</v>
      </c>
      <c r="B5102" s="574" t="s">
        <v>10692</v>
      </c>
      <c r="C5102" s="574" t="s">
        <v>5555</v>
      </c>
      <c r="D5102" s="582">
        <v>140.08000000000001</v>
      </c>
    </row>
    <row r="5103" spans="1:4" x14ac:dyDescent="0.2">
      <c r="A5103" s="574">
        <v>12439</v>
      </c>
      <c r="B5103" s="574" t="s">
        <v>10693</v>
      </c>
      <c r="C5103" s="574" t="s">
        <v>5555</v>
      </c>
      <c r="D5103" s="582">
        <v>44.96</v>
      </c>
    </row>
    <row r="5104" spans="1:4" x14ac:dyDescent="0.2">
      <c r="A5104" s="574">
        <v>12438</v>
      </c>
      <c r="B5104" s="574" t="s">
        <v>10694</v>
      </c>
      <c r="C5104" s="574" t="s">
        <v>5555</v>
      </c>
      <c r="D5104" s="582">
        <v>253.51</v>
      </c>
    </row>
    <row r="5105" spans="1:4" x14ac:dyDescent="0.2">
      <c r="A5105" s="574">
        <v>12436</v>
      </c>
      <c r="B5105" s="574" t="s">
        <v>10695</v>
      </c>
      <c r="C5105" s="574" t="s">
        <v>5555</v>
      </c>
      <c r="D5105" s="582">
        <v>320.24</v>
      </c>
    </row>
    <row r="5106" spans="1:4" x14ac:dyDescent="0.2">
      <c r="A5106" s="574">
        <v>36357</v>
      </c>
      <c r="B5106" s="574" t="s">
        <v>10696</v>
      </c>
      <c r="C5106" s="574" t="s">
        <v>5555</v>
      </c>
      <c r="D5106" s="582">
        <v>92.33</v>
      </c>
    </row>
    <row r="5107" spans="1:4" x14ac:dyDescent="0.2">
      <c r="A5107" s="574">
        <v>12424</v>
      </c>
      <c r="B5107" s="574" t="s">
        <v>10697</v>
      </c>
      <c r="C5107" s="574" t="s">
        <v>5555</v>
      </c>
      <c r="D5107" s="582">
        <v>57.7</v>
      </c>
    </row>
    <row r="5108" spans="1:4" x14ac:dyDescent="0.2">
      <c r="A5108" s="574">
        <v>12440</v>
      </c>
      <c r="B5108" s="574" t="s">
        <v>10698</v>
      </c>
      <c r="C5108" s="574" t="s">
        <v>5555</v>
      </c>
      <c r="D5108" s="582">
        <v>55.77</v>
      </c>
    </row>
    <row r="5109" spans="1:4" x14ac:dyDescent="0.2">
      <c r="A5109" s="574">
        <v>9884</v>
      </c>
      <c r="B5109" s="574" t="s">
        <v>10699</v>
      </c>
      <c r="C5109" s="574" t="s">
        <v>5555</v>
      </c>
      <c r="D5109" s="582">
        <v>41.6</v>
      </c>
    </row>
    <row r="5110" spans="1:4" x14ac:dyDescent="0.2">
      <c r="A5110" s="574">
        <v>9888</v>
      </c>
      <c r="B5110" s="574" t="s">
        <v>10700</v>
      </c>
      <c r="C5110" s="574" t="s">
        <v>5555</v>
      </c>
      <c r="D5110" s="582">
        <v>33.42</v>
      </c>
    </row>
    <row r="5111" spans="1:4" x14ac:dyDescent="0.2">
      <c r="A5111" s="574">
        <v>9883</v>
      </c>
      <c r="B5111" s="574" t="s">
        <v>10701</v>
      </c>
      <c r="C5111" s="574" t="s">
        <v>5555</v>
      </c>
      <c r="D5111" s="582">
        <v>14.58</v>
      </c>
    </row>
    <row r="5112" spans="1:4" x14ac:dyDescent="0.2">
      <c r="A5112" s="574">
        <v>9886</v>
      </c>
      <c r="B5112" s="574" t="s">
        <v>10702</v>
      </c>
      <c r="C5112" s="574" t="s">
        <v>5555</v>
      </c>
      <c r="D5112" s="582">
        <v>19.98</v>
      </c>
    </row>
    <row r="5113" spans="1:4" x14ac:dyDescent="0.2">
      <c r="A5113" s="574">
        <v>9889</v>
      </c>
      <c r="B5113" s="574" t="s">
        <v>10703</v>
      </c>
      <c r="C5113" s="574" t="s">
        <v>5555</v>
      </c>
      <c r="D5113" s="582">
        <v>101.22</v>
      </c>
    </row>
    <row r="5114" spans="1:4" x14ac:dyDescent="0.2">
      <c r="A5114" s="574">
        <v>9887</v>
      </c>
      <c r="B5114" s="574" t="s">
        <v>10704</v>
      </c>
      <c r="C5114" s="574" t="s">
        <v>5555</v>
      </c>
      <c r="D5114" s="582">
        <v>61.18</v>
      </c>
    </row>
    <row r="5115" spans="1:4" x14ac:dyDescent="0.2">
      <c r="A5115" s="574">
        <v>9885</v>
      </c>
      <c r="B5115" s="574" t="s">
        <v>10705</v>
      </c>
      <c r="C5115" s="574" t="s">
        <v>5555</v>
      </c>
      <c r="D5115" s="582">
        <v>19.309999999999999</v>
      </c>
    </row>
    <row r="5116" spans="1:4" x14ac:dyDescent="0.2">
      <c r="A5116" s="574">
        <v>9890</v>
      </c>
      <c r="B5116" s="574" t="s">
        <v>10706</v>
      </c>
      <c r="C5116" s="574" t="s">
        <v>5555</v>
      </c>
      <c r="D5116" s="582">
        <v>156.81</v>
      </c>
    </row>
    <row r="5117" spans="1:4" x14ac:dyDescent="0.2">
      <c r="A5117" s="574">
        <v>9891</v>
      </c>
      <c r="B5117" s="574" t="s">
        <v>10707</v>
      </c>
      <c r="C5117" s="574" t="s">
        <v>5555</v>
      </c>
      <c r="D5117" s="582">
        <v>220.14</v>
      </c>
    </row>
    <row r="5118" spans="1:4" x14ac:dyDescent="0.2">
      <c r="A5118" s="574">
        <v>39292</v>
      </c>
      <c r="B5118" s="574" t="s">
        <v>10708</v>
      </c>
      <c r="C5118" s="574" t="s">
        <v>5555</v>
      </c>
      <c r="D5118" s="582">
        <v>8.08</v>
      </c>
    </row>
    <row r="5119" spans="1:4" x14ac:dyDescent="0.2">
      <c r="A5119" s="574">
        <v>39293</v>
      </c>
      <c r="B5119" s="574" t="s">
        <v>10709</v>
      </c>
      <c r="C5119" s="574" t="s">
        <v>5555</v>
      </c>
      <c r="D5119" s="582">
        <v>13.04</v>
      </c>
    </row>
    <row r="5120" spans="1:4" x14ac:dyDescent="0.2">
      <c r="A5120" s="574">
        <v>39294</v>
      </c>
      <c r="B5120" s="574" t="s">
        <v>10710</v>
      </c>
      <c r="C5120" s="574" t="s">
        <v>5555</v>
      </c>
      <c r="D5120" s="582">
        <v>13.04</v>
      </c>
    </row>
    <row r="5121" spans="1:4" x14ac:dyDescent="0.2">
      <c r="A5121" s="574">
        <v>39295</v>
      </c>
      <c r="B5121" s="574" t="s">
        <v>10711</v>
      </c>
      <c r="C5121" s="574" t="s">
        <v>5555</v>
      </c>
      <c r="D5121" s="582">
        <v>22.24</v>
      </c>
    </row>
    <row r="5122" spans="1:4" x14ac:dyDescent="0.2">
      <c r="A5122" s="574">
        <v>36313</v>
      </c>
      <c r="B5122" s="574" t="s">
        <v>10712</v>
      </c>
      <c r="C5122" s="574" t="s">
        <v>5555</v>
      </c>
      <c r="D5122" s="582">
        <v>21.89</v>
      </c>
    </row>
    <row r="5123" spans="1:4" x14ac:dyDescent="0.2">
      <c r="A5123" s="574">
        <v>36316</v>
      </c>
      <c r="B5123" s="574" t="s">
        <v>10713</v>
      </c>
      <c r="C5123" s="574" t="s">
        <v>5555</v>
      </c>
      <c r="D5123" s="582">
        <v>26.54</v>
      </c>
    </row>
    <row r="5124" spans="1:4" x14ac:dyDescent="0.2">
      <c r="A5124" s="574">
        <v>64</v>
      </c>
      <c r="B5124" s="574" t="s">
        <v>10714</v>
      </c>
      <c r="C5124" s="574" t="s">
        <v>5555</v>
      </c>
      <c r="D5124" s="582">
        <v>4.34</v>
      </c>
    </row>
    <row r="5125" spans="1:4" x14ac:dyDescent="0.2">
      <c r="A5125" s="574">
        <v>37423</v>
      </c>
      <c r="B5125" s="574" t="s">
        <v>10715</v>
      </c>
      <c r="C5125" s="574" t="s">
        <v>5555</v>
      </c>
      <c r="D5125" s="582">
        <v>10.72</v>
      </c>
    </row>
    <row r="5126" spans="1:4" x14ac:dyDescent="0.2">
      <c r="A5126" s="574">
        <v>39296</v>
      </c>
      <c r="B5126" s="574" t="s">
        <v>10716</v>
      </c>
      <c r="C5126" s="574" t="s">
        <v>5555</v>
      </c>
      <c r="D5126" s="582">
        <v>6.24</v>
      </c>
    </row>
    <row r="5127" spans="1:4" x14ac:dyDescent="0.2">
      <c r="A5127" s="574">
        <v>39297</v>
      </c>
      <c r="B5127" s="574" t="s">
        <v>10717</v>
      </c>
      <c r="C5127" s="574" t="s">
        <v>5555</v>
      </c>
      <c r="D5127" s="582">
        <v>8.93</v>
      </c>
    </row>
    <row r="5128" spans="1:4" x14ac:dyDescent="0.2">
      <c r="A5128" s="574">
        <v>39298</v>
      </c>
      <c r="B5128" s="574" t="s">
        <v>10718</v>
      </c>
      <c r="C5128" s="574" t="s">
        <v>5555</v>
      </c>
      <c r="D5128" s="582">
        <v>15.72</v>
      </c>
    </row>
    <row r="5129" spans="1:4" x14ac:dyDescent="0.2">
      <c r="A5129" s="574">
        <v>39299</v>
      </c>
      <c r="B5129" s="574" t="s">
        <v>10719</v>
      </c>
      <c r="C5129" s="574" t="s">
        <v>5555</v>
      </c>
      <c r="D5129" s="582">
        <v>26.76</v>
      </c>
    </row>
    <row r="5130" spans="1:4" x14ac:dyDescent="0.2">
      <c r="A5130" s="574">
        <v>9892</v>
      </c>
      <c r="B5130" s="574" t="s">
        <v>10720</v>
      </c>
      <c r="C5130" s="574" t="s">
        <v>5555</v>
      </c>
      <c r="D5130" s="582">
        <v>5.0999999999999996</v>
      </c>
    </row>
    <row r="5131" spans="1:4" x14ac:dyDescent="0.2">
      <c r="A5131" s="574">
        <v>9893</v>
      </c>
      <c r="B5131" s="574" t="s">
        <v>10721</v>
      </c>
      <c r="C5131" s="574" t="s">
        <v>5555</v>
      </c>
      <c r="D5131" s="582">
        <v>69.23</v>
      </c>
    </row>
    <row r="5132" spans="1:4" x14ac:dyDescent="0.2">
      <c r="A5132" s="574">
        <v>9901</v>
      </c>
      <c r="B5132" s="574" t="s">
        <v>10722</v>
      </c>
      <c r="C5132" s="574" t="s">
        <v>5555</v>
      </c>
      <c r="D5132" s="582">
        <v>30.72</v>
      </c>
    </row>
    <row r="5133" spans="1:4" x14ac:dyDescent="0.2">
      <c r="A5133" s="574">
        <v>9896</v>
      </c>
      <c r="B5133" s="574" t="s">
        <v>10723</v>
      </c>
      <c r="C5133" s="574" t="s">
        <v>5555</v>
      </c>
      <c r="D5133" s="582">
        <v>27.69</v>
      </c>
    </row>
    <row r="5134" spans="1:4" x14ac:dyDescent="0.2">
      <c r="A5134" s="574">
        <v>9900</v>
      </c>
      <c r="B5134" s="574" t="s">
        <v>10724</v>
      </c>
      <c r="C5134" s="574" t="s">
        <v>5555</v>
      </c>
      <c r="D5134" s="582">
        <v>16.8</v>
      </c>
    </row>
    <row r="5135" spans="1:4" x14ac:dyDescent="0.2">
      <c r="A5135" s="574">
        <v>9898</v>
      </c>
      <c r="B5135" s="574" t="s">
        <v>10725</v>
      </c>
      <c r="C5135" s="574" t="s">
        <v>5555</v>
      </c>
      <c r="D5135" s="582">
        <v>142.35</v>
      </c>
    </row>
    <row r="5136" spans="1:4" x14ac:dyDescent="0.2">
      <c r="A5136" s="574">
        <v>9899</v>
      </c>
      <c r="B5136" s="574" t="s">
        <v>10726</v>
      </c>
      <c r="C5136" s="574" t="s">
        <v>5555</v>
      </c>
      <c r="D5136" s="582">
        <v>9.17</v>
      </c>
    </row>
    <row r="5137" spans="1:4" x14ac:dyDescent="0.2">
      <c r="A5137" s="574">
        <v>9902</v>
      </c>
      <c r="B5137" s="574" t="s">
        <v>10727</v>
      </c>
      <c r="C5137" s="574" t="s">
        <v>5555</v>
      </c>
      <c r="D5137" s="582">
        <v>180.26</v>
      </c>
    </row>
    <row r="5138" spans="1:4" x14ac:dyDescent="0.2">
      <c r="A5138" s="574">
        <v>9908</v>
      </c>
      <c r="B5138" s="574" t="s">
        <v>10728</v>
      </c>
      <c r="C5138" s="574" t="s">
        <v>5555</v>
      </c>
      <c r="D5138" s="582">
        <v>359.42</v>
      </c>
    </row>
    <row r="5139" spans="1:4" x14ac:dyDescent="0.2">
      <c r="A5139" s="574">
        <v>9905</v>
      </c>
      <c r="B5139" s="574" t="s">
        <v>10729</v>
      </c>
      <c r="C5139" s="574" t="s">
        <v>5555</v>
      </c>
      <c r="D5139" s="582">
        <v>6</v>
      </c>
    </row>
    <row r="5140" spans="1:4" x14ac:dyDescent="0.2">
      <c r="A5140" s="574">
        <v>9906</v>
      </c>
      <c r="B5140" s="574" t="s">
        <v>10730</v>
      </c>
      <c r="C5140" s="574" t="s">
        <v>5555</v>
      </c>
      <c r="D5140" s="582">
        <v>7.19</v>
      </c>
    </row>
    <row r="5141" spans="1:4" x14ac:dyDescent="0.2">
      <c r="A5141" s="574">
        <v>9895</v>
      </c>
      <c r="B5141" s="574" t="s">
        <v>10731</v>
      </c>
      <c r="C5141" s="574" t="s">
        <v>5555</v>
      </c>
      <c r="D5141" s="582">
        <v>11.8</v>
      </c>
    </row>
    <row r="5142" spans="1:4" x14ac:dyDescent="0.2">
      <c r="A5142" s="574">
        <v>9894</v>
      </c>
      <c r="B5142" s="574" t="s">
        <v>10732</v>
      </c>
      <c r="C5142" s="574" t="s">
        <v>5555</v>
      </c>
      <c r="D5142" s="582">
        <v>23</v>
      </c>
    </row>
    <row r="5143" spans="1:4" x14ac:dyDescent="0.2">
      <c r="A5143" s="574">
        <v>9897</v>
      </c>
      <c r="B5143" s="574" t="s">
        <v>10733</v>
      </c>
      <c r="C5143" s="574" t="s">
        <v>5555</v>
      </c>
      <c r="D5143" s="582">
        <v>24.9</v>
      </c>
    </row>
    <row r="5144" spans="1:4" x14ac:dyDescent="0.2">
      <c r="A5144" s="574">
        <v>9910</v>
      </c>
      <c r="B5144" s="574" t="s">
        <v>10734</v>
      </c>
      <c r="C5144" s="574" t="s">
        <v>5555</v>
      </c>
      <c r="D5144" s="582">
        <v>62.68</v>
      </c>
    </row>
    <row r="5145" spans="1:4" x14ac:dyDescent="0.2">
      <c r="A5145" s="574">
        <v>9909</v>
      </c>
      <c r="B5145" s="574" t="s">
        <v>10735</v>
      </c>
      <c r="C5145" s="574" t="s">
        <v>5555</v>
      </c>
      <c r="D5145" s="582">
        <v>126.48</v>
      </c>
    </row>
    <row r="5146" spans="1:4" x14ac:dyDescent="0.2">
      <c r="A5146" s="574">
        <v>9907</v>
      </c>
      <c r="B5146" s="574" t="s">
        <v>10736</v>
      </c>
      <c r="C5146" s="574" t="s">
        <v>5555</v>
      </c>
      <c r="D5146" s="582">
        <v>194.48</v>
      </c>
    </row>
    <row r="5147" spans="1:4" x14ac:dyDescent="0.2">
      <c r="A5147" s="574">
        <v>20973</v>
      </c>
      <c r="B5147" s="574" t="s">
        <v>10737</v>
      </c>
      <c r="C5147" s="574" t="s">
        <v>5555</v>
      </c>
      <c r="D5147" s="582">
        <v>77.16</v>
      </c>
    </row>
    <row r="5148" spans="1:4" x14ac:dyDescent="0.2">
      <c r="A5148" s="574">
        <v>20974</v>
      </c>
      <c r="B5148" s="574" t="s">
        <v>10738</v>
      </c>
      <c r="C5148" s="574" t="s">
        <v>5555</v>
      </c>
      <c r="D5148" s="582">
        <v>110.39</v>
      </c>
    </row>
    <row r="5149" spans="1:4" x14ac:dyDescent="0.2">
      <c r="A5149" s="574">
        <v>37989</v>
      </c>
      <c r="B5149" s="574" t="s">
        <v>10739</v>
      </c>
      <c r="C5149" s="574" t="s">
        <v>5555</v>
      </c>
      <c r="D5149" s="582">
        <v>8.77</v>
      </c>
    </row>
    <row r="5150" spans="1:4" x14ac:dyDescent="0.2">
      <c r="A5150" s="574">
        <v>37990</v>
      </c>
      <c r="B5150" s="574" t="s">
        <v>10740</v>
      </c>
      <c r="C5150" s="574" t="s">
        <v>5555</v>
      </c>
      <c r="D5150" s="582">
        <v>10.19</v>
      </c>
    </row>
    <row r="5151" spans="1:4" x14ac:dyDescent="0.2">
      <c r="A5151" s="574">
        <v>37991</v>
      </c>
      <c r="B5151" s="574" t="s">
        <v>10741</v>
      </c>
      <c r="C5151" s="574" t="s">
        <v>5555</v>
      </c>
      <c r="D5151" s="582">
        <v>16.13</v>
      </c>
    </row>
    <row r="5152" spans="1:4" x14ac:dyDescent="0.2">
      <c r="A5152" s="574">
        <v>37992</v>
      </c>
      <c r="B5152" s="574" t="s">
        <v>10742</v>
      </c>
      <c r="C5152" s="574" t="s">
        <v>5555</v>
      </c>
      <c r="D5152" s="582">
        <v>24.63</v>
      </c>
    </row>
    <row r="5153" spans="1:4" x14ac:dyDescent="0.2">
      <c r="A5153" s="574">
        <v>37993</v>
      </c>
      <c r="B5153" s="574" t="s">
        <v>10743</v>
      </c>
      <c r="C5153" s="574" t="s">
        <v>5555</v>
      </c>
      <c r="D5153" s="582">
        <v>36.56</v>
      </c>
    </row>
    <row r="5154" spans="1:4" x14ac:dyDescent="0.2">
      <c r="A5154" s="574">
        <v>37994</v>
      </c>
      <c r="B5154" s="574" t="s">
        <v>10744</v>
      </c>
      <c r="C5154" s="574" t="s">
        <v>5555</v>
      </c>
      <c r="D5154" s="582">
        <v>87.85</v>
      </c>
    </row>
    <row r="5155" spans="1:4" x14ac:dyDescent="0.2">
      <c r="A5155" s="574">
        <v>37995</v>
      </c>
      <c r="B5155" s="574" t="s">
        <v>10745</v>
      </c>
      <c r="C5155" s="574" t="s">
        <v>5555</v>
      </c>
      <c r="D5155" s="582">
        <v>127.51</v>
      </c>
    </row>
    <row r="5156" spans="1:4" x14ac:dyDescent="0.2">
      <c r="A5156" s="574">
        <v>37996</v>
      </c>
      <c r="B5156" s="574" t="s">
        <v>10746</v>
      </c>
      <c r="C5156" s="574" t="s">
        <v>5555</v>
      </c>
      <c r="D5156" s="582">
        <v>188.01</v>
      </c>
    </row>
    <row r="5157" spans="1:4" x14ac:dyDescent="0.2">
      <c r="A5157" s="574">
        <v>13883</v>
      </c>
      <c r="B5157" s="574" t="s">
        <v>10747</v>
      </c>
      <c r="C5157" s="574" t="s">
        <v>5555</v>
      </c>
      <c r="D5157" s="583">
        <v>83655.820000000007</v>
      </c>
    </row>
    <row r="5158" spans="1:4" x14ac:dyDescent="0.2">
      <c r="A5158" s="574">
        <v>38604</v>
      </c>
      <c r="B5158" s="574" t="s">
        <v>10748</v>
      </c>
      <c r="C5158" s="574" t="s">
        <v>5555</v>
      </c>
      <c r="D5158" s="583">
        <v>104192.22</v>
      </c>
    </row>
    <row r="5159" spans="1:4" x14ac:dyDescent="0.2">
      <c r="A5159" s="574">
        <v>10601</v>
      </c>
      <c r="B5159" s="574" t="s">
        <v>10749</v>
      </c>
      <c r="C5159" s="574" t="s">
        <v>5555</v>
      </c>
      <c r="D5159" s="583">
        <v>2026746.48</v>
      </c>
    </row>
    <row r="5160" spans="1:4" x14ac:dyDescent="0.2">
      <c r="A5160" s="574">
        <v>26034</v>
      </c>
      <c r="B5160" s="574" t="s">
        <v>10750</v>
      </c>
      <c r="C5160" s="574" t="s">
        <v>5555</v>
      </c>
      <c r="D5160" s="583">
        <v>5336351.95</v>
      </c>
    </row>
    <row r="5161" spans="1:4" x14ac:dyDescent="0.2">
      <c r="A5161" s="574">
        <v>13894</v>
      </c>
      <c r="B5161" s="574" t="s">
        <v>10751</v>
      </c>
      <c r="C5161" s="574" t="s">
        <v>5555</v>
      </c>
      <c r="D5161" s="583">
        <v>392649.25</v>
      </c>
    </row>
    <row r="5162" spans="1:4" x14ac:dyDescent="0.2">
      <c r="A5162" s="574">
        <v>13895</v>
      </c>
      <c r="B5162" s="574" t="s">
        <v>10752</v>
      </c>
      <c r="C5162" s="574" t="s">
        <v>5555</v>
      </c>
      <c r="D5162" s="583">
        <v>527982.35</v>
      </c>
    </row>
    <row r="5163" spans="1:4" x14ac:dyDescent="0.2">
      <c r="A5163" s="574">
        <v>13892</v>
      </c>
      <c r="B5163" s="574" t="s">
        <v>10753</v>
      </c>
      <c r="C5163" s="574" t="s">
        <v>5555</v>
      </c>
      <c r="D5163" s="583">
        <v>647029.46</v>
      </c>
    </row>
    <row r="5164" spans="1:4" x14ac:dyDescent="0.2">
      <c r="A5164" s="574">
        <v>9914</v>
      </c>
      <c r="B5164" s="574" t="s">
        <v>10754</v>
      </c>
      <c r="C5164" s="574" t="s">
        <v>5555</v>
      </c>
      <c r="D5164" s="583">
        <v>700000</v>
      </c>
    </row>
    <row r="5165" spans="1:4" x14ac:dyDescent="0.2">
      <c r="A5165" s="574">
        <v>36485</v>
      </c>
      <c r="B5165" s="574" t="s">
        <v>10755</v>
      </c>
      <c r="C5165" s="574" t="s">
        <v>5555</v>
      </c>
      <c r="D5165" s="583">
        <v>424438.89</v>
      </c>
    </row>
    <row r="5166" spans="1:4" x14ac:dyDescent="0.2">
      <c r="A5166" s="574">
        <v>9912</v>
      </c>
      <c r="B5166" s="574" t="s">
        <v>10756</v>
      </c>
      <c r="C5166" s="574" t="s">
        <v>5555</v>
      </c>
      <c r="D5166" s="583">
        <v>1650000</v>
      </c>
    </row>
    <row r="5167" spans="1:4" x14ac:dyDescent="0.2">
      <c r="A5167" s="574">
        <v>9921</v>
      </c>
      <c r="B5167" s="574" t="s">
        <v>10757</v>
      </c>
      <c r="C5167" s="574" t="s">
        <v>5555</v>
      </c>
      <c r="D5167" s="583">
        <v>851148.04</v>
      </c>
    </row>
    <row r="5168" spans="1:4" x14ac:dyDescent="0.2">
      <c r="A5168" s="574">
        <v>21112</v>
      </c>
      <c r="B5168" s="574" t="s">
        <v>10758</v>
      </c>
      <c r="C5168" s="574" t="s">
        <v>5555</v>
      </c>
      <c r="D5168" s="582">
        <v>102.66</v>
      </c>
    </row>
    <row r="5169" spans="1:4" x14ac:dyDescent="0.2">
      <c r="A5169" s="574">
        <v>10228</v>
      </c>
      <c r="B5169" s="574" t="s">
        <v>10759</v>
      </c>
      <c r="C5169" s="574" t="s">
        <v>5555</v>
      </c>
      <c r="D5169" s="582">
        <v>119.27</v>
      </c>
    </row>
    <row r="5170" spans="1:4" x14ac:dyDescent="0.2">
      <c r="A5170" s="574">
        <v>11781</v>
      </c>
      <c r="B5170" s="574" t="s">
        <v>10760</v>
      </c>
      <c r="C5170" s="574" t="s">
        <v>5555</v>
      </c>
      <c r="D5170" s="582">
        <v>96.62</v>
      </c>
    </row>
    <row r="5171" spans="1:4" x14ac:dyDescent="0.2">
      <c r="A5171" s="574">
        <v>11746</v>
      </c>
      <c r="B5171" s="574" t="s">
        <v>10761</v>
      </c>
      <c r="C5171" s="574" t="s">
        <v>5555</v>
      </c>
      <c r="D5171" s="582">
        <v>43.57</v>
      </c>
    </row>
    <row r="5172" spans="1:4" x14ac:dyDescent="0.2">
      <c r="A5172" s="574">
        <v>11751</v>
      </c>
      <c r="B5172" s="574" t="s">
        <v>10762</v>
      </c>
      <c r="C5172" s="574" t="s">
        <v>5555</v>
      </c>
      <c r="D5172" s="582">
        <v>78.260000000000005</v>
      </c>
    </row>
    <row r="5173" spans="1:4" x14ac:dyDescent="0.2">
      <c r="A5173" s="574">
        <v>11750</v>
      </c>
      <c r="B5173" s="574" t="s">
        <v>10763</v>
      </c>
      <c r="C5173" s="574" t="s">
        <v>5555</v>
      </c>
      <c r="D5173" s="582">
        <v>64.94</v>
      </c>
    </row>
    <row r="5174" spans="1:4" x14ac:dyDescent="0.2">
      <c r="A5174" s="574">
        <v>11748</v>
      </c>
      <c r="B5174" s="574" t="s">
        <v>10764</v>
      </c>
      <c r="C5174" s="574" t="s">
        <v>5555</v>
      </c>
      <c r="D5174" s="582">
        <v>27.96</v>
      </c>
    </row>
    <row r="5175" spans="1:4" x14ac:dyDescent="0.2">
      <c r="A5175" s="574">
        <v>11747</v>
      </c>
      <c r="B5175" s="574" t="s">
        <v>10765</v>
      </c>
      <c r="C5175" s="574" t="s">
        <v>5555</v>
      </c>
      <c r="D5175" s="582">
        <v>120.67</v>
      </c>
    </row>
    <row r="5176" spans="1:4" x14ac:dyDescent="0.2">
      <c r="A5176" s="574">
        <v>11749</v>
      </c>
      <c r="B5176" s="574" t="s">
        <v>10766</v>
      </c>
      <c r="C5176" s="574" t="s">
        <v>5555</v>
      </c>
      <c r="D5176" s="582">
        <v>32.270000000000003</v>
      </c>
    </row>
    <row r="5177" spans="1:4" x14ac:dyDescent="0.2">
      <c r="A5177" s="574">
        <v>10236</v>
      </c>
      <c r="B5177" s="574" t="s">
        <v>10767</v>
      </c>
      <c r="C5177" s="574" t="s">
        <v>5555</v>
      </c>
      <c r="D5177" s="582">
        <v>62.04</v>
      </c>
    </row>
    <row r="5178" spans="1:4" x14ac:dyDescent="0.2">
      <c r="A5178" s="574">
        <v>10233</v>
      </c>
      <c r="B5178" s="574" t="s">
        <v>10768</v>
      </c>
      <c r="C5178" s="574" t="s">
        <v>5555</v>
      </c>
      <c r="D5178" s="582">
        <v>58.13</v>
      </c>
    </row>
    <row r="5179" spans="1:4" x14ac:dyDescent="0.2">
      <c r="A5179" s="574">
        <v>10234</v>
      </c>
      <c r="B5179" s="574" t="s">
        <v>10769</v>
      </c>
      <c r="C5179" s="574" t="s">
        <v>5555</v>
      </c>
      <c r="D5179" s="582">
        <v>36.619999999999997</v>
      </c>
    </row>
    <row r="5180" spans="1:4" x14ac:dyDescent="0.2">
      <c r="A5180" s="574">
        <v>10231</v>
      </c>
      <c r="B5180" s="574" t="s">
        <v>10770</v>
      </c>
      <c r="C5180" s="574" t="s">
        <v>5555</v>
      </c>
      <c r="D5180" s="582">
        <v>167.93</v>
      </c>
    </row>
    <row r="5181" spans="1:4" x14ac:dyDescent="0.2">
      <c r="A5181" s="574">
        <v>10232</v>
      </c>
      <c r="B5181" s="574" t="s">
        <v>10771</v>
      </c>
      <c r="C5181" s="574" t="s">
        <v>5555</v>
      </c>
      <c r="D5181" s="582">
        <v>93.97</v>
      </c>
    </row>
    <row r="5182" spans="1:4" x14ac:dyDescent="0.2">
      <c r="A5182" s="574">
        <v>10229</v>
      </c>
      <c r="B5182" s="574" t="s">
        <v>10772</v>
      </c>
      <c r="C5182" s="574" t="s">
        <v>5555</v>
      </c>
      <c r="D5182" s="582">
        <v>33.119999999999997</v>
      </c>
    </row>
    <row r="5183" spans="1:4" x14ac:dyDescent="0.2">
      <c r="A5183" s="574">
        <v>10235</v>
      </c>
      <c r="B5183" s="574" t="s">
        <v>10773</v>
      </c>
      <c r="C5183" s="574" t="s">
        <v>5555</v>
      </c>
      <c r="D5183" s="582">
        <v>230.22</v>
      </c>
    </row>
    <row r="5184" spans="1:4" x14ac:dyDescent="0.2">
      <c r="A5184" s="574">
        <v>10230</v>
      </c>
      <c r="B5184" s="574" t="s">
        <v>10774</v>
      </c>
      <c r="C5184" s="574" t="s">
        <v>5555</v>
      </c>
      <c r="D5184" s="582">
        <v>405.17</v>
      </c>
    </row>
    <row r="5185" spans="1:4" x14ac:dyDescent="0.2">
      <c r="A5185" s="574">
        <v>10409</v>
      </c>
      <c r="B5185" s="574" t="s">
        <v>10775</v>
      </c>
      <c r="C5185" s="574" t="s">
        <v>5555</v>
      </c>
      <c r="D5185" s="582">
        <v>120.37</v>
      </c>
    </row>
    <row r="5186" spans="1:4" x14ac:dyDescent="0.2">
      <c r="A5186" s="574">
        <v>10411</v>
      </c>
      <c r="B5186" s="574" t="s">
        <v>10776</v>
      </c>
      <c r="C5186" s="574" t="s">
        <v>5555</v>
      </c>
      <c r="D5186" s="582">
        <v>107.71</v>
      </c>
    </row>
    <row r="5187" spans="1:4" x14ac:dyDescent="0.2">
      <c r="A5187" s="574">
        <v>10404</v>
      </c>
      <c r="B5187" s="574" t="s">
        <v>10777</v>
      </c>
      <c r="C5187" s="574" t="s">
        <v>5555</v>
      </c>
      <c r="D5187" s="582">
        <v>43.68</v>
      </c>
    </row>
    <row r="5188" spans="1:4" x14ac:dyDescent="0.2">
      <c r="A5188" s="574">
        <v>10410</v>
      </c>
      <c r="B5188" s="574" t="s">
        <v>10778</v>
      </c>
      <c r="C5188" s="574" t="s">
        <v>5555</v>
      </c>
      <c r="D5188" s="582">
        <v>71.95</v>
      </c>
    </row>
    <row r="5189" spans="1:4" x14ac:dyDescent="0.2">
      <c r="A5189" s="574">
        <v>10405</v>
      </c>
      <c r="B5189" s="574" t="s">
        <v>10779</v>
      </c>
      <c r="C5189" s="574" t="s">
        <v>5555</v>
      </c>
      <c r="D5189" s="582">
        <v>241.16</v>
      </c>
    </row>
    <row r="5190" spans="1:4" x14ac:dyDescent="0.2">
      <c r="A5190" s="574">
        <v>10408</v>
      </c>
      <c r="B5190" s="574" t="s">
        <v>10780</v>
      </c>
      <c r="C5190" s="574" t="s">
        <v>5555</v>
      </c>
      <c r="D5190" s="582">
        <v>168.64</v>
      </c>
    </row>
    <row r="5191" spans="1:4" x14ac:dyDescent="0.2">
      <c r="A5191" s="574">
        <v>10412</v>
      </c>
      <c r="B5191" s="574" t="s">
        <v>10781</v>
      </c>
      <c r="C5191" s="574" t="s">
        <v>5555</v>
      </c>
      <c r="D5191" s="582">
        <v>52.93</v>
      </c>
    </row>
    <row r="5192" spans="1:4" x14ac:dyDescent="0.2">
      <c r="A5192" s="574">
        <v>10406</v>
      </c>
      <c r="B5192" s="574" t="s">
        <v>10782</v>
      </c>
      <c r="C5192" s="574" t="s">
        <v>5555</v>
      </c>
      <c r="D5192" s="582">
        <v>333.1</v>
      </c>
    </row>
    <row r="5193" spans="1:4" x14ac:dyDescent="0.2">
      <c r="A5193" s="574">
        <v>10407</v>
      </c>
      <c r="B5193" s="574" t="s">
        <v>10783</v>
      </c>
      <c r="C5193" s="574" t="s">
        <v>5555</v>
      </c>
      <c r="D5193" s="582">
        <v>516.63</v>
      </c>
    </row>
    <row r="5194" spans="1:4" x14ac:dyDescent="0.2">
      <c r="A5194" s="574">
        <v>10416</v>
      </c>
      <c r="B5194" s="574" t="s">
        <v>10784</v>
      </c>
      <c r="C5194" s="574" t="s">
        <v>5555</v>
      </c>
      <c r="D5194" s="582">
        <v>64.08</v>
      </c>
    </row>
    <row r="5195" spans="1:4" x14ac:dyDescent="0.2">
      <c r="A5195" s="574">
        <v>10419</v>
      </c>
      <c r="B5195" s="574" t="s">
        <v>10785</v>
      </c>
      <c r="C5195" s="574" t="s">
        <v>5555</v>
      </c>
      <c r="D5195" s="582">
        <v>55.62</v>
      </c>
    </row>
    <row r="5196" spans="1:4" x14ac:dyDescent="0.2">
      <c r="A5196" s="574">
        <v>21092</v>
      </c>
      <c r="B5196" s="574" t="s">
        <v>10786</v>
      </c>
      <c r="C5196" s="574" t="s">
        <v>5555</v>
      </c>
      <c r="D5196" s="582">
        <v>31.8</v>
      </c>
    </row>
    <row r="5197" spans="1:4" x14ac:dyDescent="0.2">
      <c r="A5197" s="574">
        <v>10418</v>
      </c>
      <c r="B5197" s="574" t="s">
        <v>10787</v>
      </c>
      <c r="C5197" s="574" t="s">
        <v>5555</v>
      </c>
      <c r="D5197" s="582">
        <v>37.07</v>
      </c>
    </row>
    <row r="5198" spans="1:4" x14ac:dyDescent="0.2">
      <c r="A5198" s="574">
        <v>12657</v>
      </c>
      <c r="B5198" s="574" t="s">
        <v>10788</v>
      </c>
      <c r="C5198" s="574" t="s">
        <v>5555</v>
      </c>
      <c r="D5198" s="582">
        <v>149.62</v>
      </c>
    </row>
    <row r="5199" spans="1:4" x14ac:dyDescent="0.2">
      <c r="A5199" s="574">
        <v>10417</v>
      </c>
      <c r="B5199" s="574" t="s">
        <v>10789</v>
      </c>
      <c r="C5199" s="574" t="s">
        <v>5555</v>
      </c>
      <c r="D5199" s="582">
        <v>93.37</v>
      </c>
    </row>
    <row r="5200" spans="1:4" x14ac:dyDescent="0.2">
      <c r="A5200" s="574">
        <v>10413</v>
      </c>
      <c r="B5200" s="574" t="s">
        <v>10790</v>
      </c>
      <c r="C5200" s="574" t="s">
        <v>5555</v>
      </c>
      <c r="D5200" s="582">
        <v>33.93</v>
      </c>
    </row>
    <row r="5201" spans="1:4" x14ac:dyDescent="0.2">
      <c r="A5201" s="574">
        <v>10414</v>
      </c>
      <c r="B5201" s="574" t="s">
        <v>10791</v>
      </c>
      <c r="C5201" s="574" t="s">
        <v>5555</v>
      </c>
      <c r="D5201" s="582">
        <v>204.31</v>
      </c>
    </row>
    <row r="5202" spans="1:4" x14ac:dyDescent="0.2">
      <c r="A5202" s="574">
        <v>10415</v>
      </c>
      <c r="B5202" s="574" t="s">
        <v>10792</v>
      </c>
      <c r="C5202" s="574" t="s">
        <v>5555</v>
      </c>
      <c r="D5202" s="582">
        <v>354.6</v>
      </c>
    </row>
    <row r="5203" spans="1:4" x14ac:dyDescent="0.2">
      <c r="A5203" s="574">
        <v>38643</v>
      </c>
      <c r="B5203" s="574" t="s">
        <v>10793</v>
      </c>
      <c r="C5203" s="574" t="s">
        <v>5555</v>
      </c>
      <c r="D5203" s="582">
        <v>23.73</v>
      </c>
    </row>
    <row r="5204" spans="1:4" x14ac:dyDescent="0.2">
      <c r="A5204" s="574">
        <v>6157</v>
      </c>
      <c r="B5204" s="574" t="s">
        <v>10794</v>
      </c>
      <c r="C5204" s="574" t="s">
        <v>5555</v>
      </c>
      <c r="D5204" s="582">
        <v>32.42</v>
      </c>
    </row>
    <row r="5205" spans="1:4" x14ac:dyDescent="0.2">
      <c r="A5205" s="574">
        <v>37588</v>
      </c>
      <c r="B5205" s="574" t="s">
        <v>10795</v>
      </c>
      <c r="C5205" s="574" t="s">
        <v>5555</v>
      </c>
      <c r="D5205" s="582">
        <v>19.98</v>
      </c>
    </row>
    <row r="5206" spans="1:4" x14ac:dyDescent="0.2">
      <c r="A5206" s="574">
        <v>6152</v>
      </c>
      <c r="B5206" s="574" t="s">
        <v>10796</v>
      </c>
      <c r="C5206" s="574" t="s">
        <v>5555</v>
      </c>
      <c r="D5206" s="582">
        <v>2.64</v>
      </c>
    </row>
    <row r="5207" spans="1:4" x14ac:dyDescent="0.2">
      <c r="A5207" s="574">
        <v>6158</v>
      </c>
      <c r="B5207" s="574" t="s">
        <v>10797</v>
      </c>
      <c r="C5207" s="574" t="s">
        <v>5555</v>
      </c>
      <c r="D5207" s="582">
        <v>3.19</v>
      </c>
    </row>
    <row r="5208" spans="1:4" x14ac:dyDescent="0.2">
      <c r="A5208" s="574">
        <v>6153</v>
      </c>
      <c r="B5208" s="574" t="s">
        <v>10798</v>
      </c>
      <c r="C5208" s="574" t="s">
        <v>5555</v>
      </c>
      <c r="D5208" s="582">
        <v>2.48</v>
      </c>
    </row>
    <row r="5209" spans="1:4" x14ac:dyDescent="0.2">
      <c r="A5209" s="574">
        <v>6156</v>
      </c>
      <c r="B5209" s="574" t="s">
        <v>10799</v>
      </c>
      <c r="C5209" s="574" t="s">
        <v>5555</v>
      </c>
      <c r="D5209" s="582">
        <v>3.13</v>
      </c>
    </row>
    <row r="5210" spans="1:4" x14ac:dyDescent="0.2">
      <c r="A5210" s="574">
        <v>6154</v>
      </c>
      <c r="B5210" s="574" t="s">
        <v>10800</v>
      </c>
      <c r="C5210" s="574" t="s">
        <v>5555</v>
      </c>
      <c r="D5210" s="582">
        <v>5.92</v>
      </c>
    </row>
    <row r="5211" spans="1:4" x14ac:dyDescent="0.2">
      <c r="A5211" s="574">
        <v>6155</v>
      </c>
      <c r="B5211" s="574" t="s">
        <v>10801</v>
      </c>
      <c r="C5211" s="574" t="s">
        <v>5555</v>
      </c>
      <c r="D5211" s="582">
        <v>12.24</v>
      </c>
    </row>
    <row r="5212" spans="1:4" x14ac:dyDescent="0.2">
      <c r="A5212" s="574">
        <v>38108</v>
      </c>
      <c r="B5212" s="574" t="s">
        <v>10805</v>
      </c>
      <c r="C5212" s="574" t="s">
        <v>5555</v>
      </c>
      <c r="D5212" s="582">
        <v>41.66</v>
      </c>
    </row>
    <row r="5213" spans="1:4" x14ac:dyDescent="0.2">
      <c r="A5213" s="574">
        <v>38087</v>
      </c>
      <c r="B5213" s="574" t="s">
        <v>10806</v>
      </c>
      <c r="C5213" s="574" t="s">
        <v>5555</v>
      </c>
      <c r="D5213" s="582">
        <v>53.59</v>
      </c>
    </row>
    <row r="5214" spans="1:4" x14ac:dyDescent="0.2">
      <c r="A5214" s="574">
        <v>38109</v>
      </c>
      <c r="B5214" s="574" t="s">
        <v>10807</v>
      </c>
      <c r="C5214" s="574" t="s">
        <v>5555</v>
      </c>
      <c r="D5214" s="582">
        <v>66.59</v>
      </c>
    </row>
    <row r="5215" spans="1:4" x14ac:dyDescent="0.2">
      <c r="A5215" s="574">
        <v>38088</v>
      </c>
      <c r="B5215" s="574" t="s">
        <v>10808</v>
      </c>
      <c r="C5215" s="574" t="s">
        <v>5555</v>
      </c>
      <c r="D5215" s="582">
        <v>70.010000000000005</v>
      </c>
    </row>
    <row r="5216" spans="1:4" x14ac:dyDescent="0.2">
      <c r="A5216" s="574">
        <v>38110</v>
      </c>
      <c r="B5216" s="574" t="s">
        <v>10809</v>
      </c>
      <c r="C5216" s="574" t="s">
        <v>5555</v>
      </c>
      <c r="D5216" s="582">
        <v>25.61</v>
      </c>
    </row>
    <row r="5217" spans="1:4" x14ac:dyDescent="0.2">
      <c r="A5217" s="574">
        <v>38089</v>
      </c>
      <c r="B5217" s="574" t="s">
        <v>10810</v>
      </c>
      <c r="C5217" s="574" t="s">
        <v>5555</v>
      </c>
      <c r="D5217" s="582">
        <v>44.63</v>
      </c>
    </row>
    <row r="5218" spans="1:4" x14ac:dyDescent="0.2">
      <c r="A5218" s="574">
        <v>38111</v>
      </c>
      <c r="B5218" s="574" t="s">
        <v>10811</v>
      </c>
      <c r="C5218" s="574" t="s">
        <v>5555</v>
      </c>
      <c r="D5218" s="582">
        <v>28.64</v>
      </c>
    </row>
    <row r="5219" spans="1:4" x14ac:dyDescent="0.2">
      <c r="A5219" s="574">
        <v>38090</v>
      </c>
      <c r="B5219" s="574" t="s">
        <v>10812</v>
      </c>
      <c r="C5219" s="574" t="s">
        <v>5555</v>
      </c>
      <c r="D5219" s="582">
        <v>46.13</v>
      </c>
    </row>
    <row r="5220" spans="1:4" x14ac:dyDescent="0.2">
      <c r="A5220" s="574">
        <v>11786</v>
      </c>
      <c r="B5220" s="574" t="s">
        <v>10813</v>
      </c>
      <c r="C5220" s="574" t="s">
        <v>5555</v>
      </c>
      <c r="D5220" s="582">
        <v>284.36</v>
      </c>
    </row>
    <row r="5221" spans="1:4" x14ac:dyDescent="0.2">
      <c r="A5221" s="574">
        <v>13726</v>
      </c>
      <c r="B5221" s="574" t="s">
        <v>10814</v>
      </c>
      <c r="C5221" s="574" t="s">
        <v>5555</v>
      </c>
      <c r="D5221" s="583">
        <v>39209.18</v>
      </c>
    </row>
    <row r="5222" spans="1:4" x14ac:dyDescent="0.2">
      <c r="A5222" s="574">
        <v>38400</v>
      </c>
      <c r="B5222" s="574" t="s">
        <v>10815</v>
      </c>
      <c r="C5222" s="574" t="s">
        <v>5555</v>
      </c>
      <c r="D5222" s="582">
        <v>9.67</v>
      </c>
    </row>
    <row r="5223" spans="1:4" x14ac:dyDescent="0.2">
      <c r="A5223" s="574">
        <v>12627</v>
      </c>
      <c r="B5223" s="574" t="s">
        <v>10816</v>
      </c>
      <c r="C5223" s="574" t="s">
        <v>5555</v>
      </c>
      <c r="D5223" s="582">
        <v>0.36</v>
      </c>
    </row>
    <row r="5224" spans="1:4" x14ac:dyDescent="0.2">
      <c r="A5224" s="574">
        <v>6138</v>
      </c>
      <c r="B5224" s="574" t="s">
        <v>10817</v>
      </c>
      <c r="C5224" s="574" t="s">
        <v>5555</v>
      </c>
      <c r="D5224" s="582">
        <v>1.68</v>
      </c>
    </row>
    <row r="5225" spans="1:4" x14ac:dyDescent="0.2">
      <c r="A5225" s="574">
        <v>39996</v>
      </c>
      <c r="B5225" s="574" t="s">
        <v>10818</v>
      </c>
      <c r="C5225" s="574" t="s">
        <v>5575</v>
      </c>
      <c r="D5225" s="582">
        <v>1.93</v>
      </c>
    </row>
    <row r="5226" spans="1:4" x14ac:dyDescent="0.2">
      <c r="A5226" s="574">
        <v>10478</v>
      </c>
      <c r="B5226" s="574" t="s">
        <v>10819</v>
      </c>
      <c r="C5226" s="574" t="s">
        <v>5628</v>
      </c>
      <c r="D5226" s="582">
        <v>27.2</v>
      </c>
    </row>
    <row r="5227" spans="1:4" x14ac:dyDescent="0.2">
      <c r="A5227" s="574">
        <v>10475</v>
      </c>
      <c r="B5227" s="574" t="s">
        <v>10821</v>
      </c>
      <c r="C5227" s="574" t="s">
        <v>5628</v>
      </c>
      <c r="D5227" s="582">
        <v>23.92</v>
      </c>
    </row>
    <row r="5228" spans="1:4" x14ac:dyDescent="0.2">
      <c r="A5228" s="574">
        <v>10481</v>
      </c>
      <c r="B5228" s="574" t="s">
        <v>10822</v>
      </c>
      <c r="C5228" s="574" t="s">
        <v>5628</v>
      </c>
      <c r="D5228" s="582">
        <v>26.09</v>
      </c>
    </row>
    <row r="5229" spans="1:4" x14ac:dyDescent="0.2">
      <c r="A5229" s="574">
        <v>4031</v>
      </c>
      <c r="B5229" s="574" t="s">
        <v>10823</v>
      </c>
      <c r="C5229" s="574" t="s">
        <v>5564</v>
      </c>
      <c r="D5229" s="582">
        <v>21.04</v>
      </c>
    </row>
    <row r="5230" spans="1:4" x14ac:dyDescent="0.2">
      <c r="A5230" s="574">
        <v>4030</v>
      </c>
      <c r="B5230" s="574" t="s">
        <v>10824</v>
      </c>
      <c r="C5230" s="574" t="s">
        <v>5564</v>
      </c>
      <c r="D5230" s="582">
        <v>4.47</v>
      </c>
    </row>
    <row r="5231" spans="1:4" x14ac:dyDescent="0.2">
      <c r="A5231" s="574">
        <v>39399</v>
      </c>
      <c r="B5231" s="574" t="s">
        <v>10825</v>
      </c>
      <c r="C5231" s="574" t="s">
        <v>5555</v>
      </c>
      <c r="D5231" s="583">
        <v>1025.46</v>
      </c>
    </row>
    <row r="5232" spans="1:4" x14ac:dyDescent="0.2">
      <c r="A5232" s="574">
        <v>39400</v>
      </c>
      <c r="B5232" s="574" t="s">
        <v>10826</v>
      </c>
      <c r="C5232" s="574" t="s">
        <v>5555</v>
      </c>
      <c r="D5232" s="583">
        <v>1114.6400000000001</v>
      </c>
    </row>
    <row r="5233" spans="1:4" x14ac:dyDescent="0.2">
      <c r="A5233" s="574">
        <v>39401</v>
      </c>
      <c r="B5233" s="574" t="s">
        <v>10827</v>
      </c>
      <c r="C5233" s="574" t="s">
        <v>5555</v>
      </c>
      <c r="D5233" s="583">
        <v>1250.3499999999999</v>
      </c>
    </row>
    <row r="5234" spans="1:4" x14ac:dyDescent="0.2">
      <c r="A5234" s="574">
        <v>11652</v>
      </c>
      <c r="B5234" s="574" t="s">
        <v>10828</v>
      </c>
      <c r="C5234" s="574" t="s">
        <v>5555</v>
      </c>
      <c r="D5234" s="583">
        <v>2690</v>
      </c>
    </row>
    <row r="5235" spans="1:4" x14ac:dyDescent="0.2">
      <c r="A5235" s="574">
        <v>13896</v>
      </c>
      <c r="B5235" s="574" t="s">
        <v>10829</v>
      </c>
      <c r="C5235" s="574" t="s">
        <v>5555</v>
      </c>
      <c r="D5235" s="583">
        <v>2413.16</v>
      </c>
    </row>
    <row r="5236" spans="1:4" x14ac:dyDescent="0.2">
      <c r="A5236" s="574">
        <v>13475</v>
      </c>
      <c r="B5236" s="574" t="s">
        <v>10830</v>
      </c>
      <c r="C5236" s="574" t="s">
        <v>5555</v>
      </c>
      <c r="D5236" s="583">
        <v>2939.52</v>
      </c>
    </row>
    <row r="5237" spans="1:4" x14ac:dyDescent="0.2">
      <c r="A5237" s="574">
        <v>25971</v>
      </c>
      <c r="B5237" s="574" t="s">
        <v>10831</v>
      </c>
      <c r="C5237" s="574" t="s">
        <v>5555</v>
      </c>
      <c r="D5237" s="583">
        <v>3134544.27</v>
      </c>
    </row>
    <row r="5238" spans="1:4" x14ac:dyDescent="0.2">
      <c r="A5238" s="574">
        <v>25970</v>
      </c>
      <c r="B5238" s="574" t="s">
        <v>10832</v>
      </c>
      <c r="C5238" s="574" t="s">
        <v>5555</v>
      </c>
      <c r="D5238" s="583">
        <v>1319606.75</v>
      </c>
    </row>
    <row r="5239" spans="1:4" x14ac:dyDescent="0.2">
      <c r="A5239" s="574">
        <v>13476</v>
      </c>
      <c r="B5239" s="574" t="s">
        <v>10833</v>
      </c>
      <c r="C5239" s="574" t="s">
        <v>5555</v>
      </c>
      <c r="D5239" s="583">
        <v>1329169.22</v>
      </c>
    </row>
    <row r="5240" spans="1:4" x14ac:dyDescent="0.2">
      <c r="A5240" s="574">
        <v>10488</v>
      </c>
      <c r="B5240" s="574" t="s">
        <v>10834</v>
      </c>
      <c r="C5240" s="574" t="s">
        <v>5555</v>
      </c>
      <c r="D5240" s="583">
        <v>1610302.81</v>
      </c>
    </row>
    <row r="5241" spans="1:4" x14ac:dyDescent="0.2">
      <c r="A5241" s="574">
        <v>13606</v>
      </c>
      <c r="B5241" s="574" t="s">
        <v>10835</v>
      </c>
      <c r="C5241" s="574" t="s">
        <v>5555</v>
      </c>
      <c r="D5241" s="583">
        <v>1426705.26</v>
      </c>
    </row>
    <row r="5242" spans="1:4" x14ac:dyDescent="0.2">
      <c r="A5242" s="574">
        <v>10489</v>
      </c>
      <c r="B5242" s="574" t="s">
        <v>10836</v>
      </c>
      <c r="C5242" s="574" t="s">
        <v>5566</v>
      </c>
      <c r="D5242" s="582">
        <v>15.64</v>
      </c>
    </row>
    <row r="5243" spans="1:4" x14ac:dyDescent="0.2">
      <c r="A5243" s="574">
        <v>41073</v>
      </c>
      <c r="B5243" s="574" t="s">
        <v>10837</v>
      </c>
      <c r="C5243" s="574" t="s">
        <v>5755</v>
      </c>
      <c r="D5243" s="583">
        <v>2737.67</v>
      </c>
    </row>
    <row r="5244" spans="1:4" x14ac:dyDescent="0.2">
      <c r="A5244" s="574">
        <v>34391</v>
      </c>
      <c r="B5244" s="574" t="s">
        <v>10838</v>
      </c>
      <c r="C5244" s="574" t="s">
        <v>5564</v>
      </c>
      <c r="D5244" s="582">
        <v>797.76</v>
      </c>
    </row>
    <row r="5245" spans="1:4" x14ac:dyDescent="0.2">
      <c r="A5245" s="574">
        <v>10496</v>
      </c>
      <c r="B5245" s="574" t="s">
        <v>10839</v>
      </c>
      <c r="C5245" s="574" t="s">
        <v>5564</v>
      </c>
      <c r="D5245" s="582">
        <v>694.44</v>
      </c>
    </row>
    <row r="5246" spans="1:4" x14ac:dyDescent="0.2">
      <c r="A5246" s="574">
        <v>10497</v>
      </c>
      <c r="B5246" s="574" t="s">
        <v>10840</v>
      </c>
      <c r="C5246" s="574" t="s">
        <v>5564</v>
      </c>
      <c r="D5246" s="583">
        <v>1805.55</v>
      </c>
    </row>
    <row r="5247" spans="1:4" x14ac:dyDescent="0.2">
      <c r="A5247" s="574">
        <v>10504</v>
      </c>
      <c r="B5247" s="574" t="s">
        <v>10841</v>
      </c>
      <c r="C5247" s="574" t="s">
        <v>5564</v>
      </c>
      <c r="D5247" s="583">
        <v>2111.11</v>
      </c>
    </row>
    <row r="5248" spans="1:4" x14ac:dyDescent="0.2">
      <c r="A5248" s="574">
        <v>34390</v>
      </c>
      <c r="B5248" s="574" t="s">
        <v>10842</v>
      </c>
      <c r="C5248" s="574" t="s">
        <v>5564</v>
      </c>
      <c r="D5248" s="582">
        <v>622.22</v>
      </c>
    </row>
    <row r="5249" spans="1:4" x14ac:dyDescent="0.2">
      <c r="A5249" s="574">
        <v>34389</v>
      </c>
      <c r="B5249" s="574" t="s">
        <v>10843</v>
      </c>
      <c r="C5249" s="574" t="s">
        <v>5564</v>
      </c>
      <c r="D5249" s="582">
        <v>194.44</v>
      </c>
    </row>
    <row r="5250" spans="1:4" x14ac:dyDescent="0.2">
      <c r="A5250" s="574">
        <v>34388</v>
      </c>
      <c r="B5250" s="574" t="s">
        <v>10844</v>
      </c>
      <c r="C5250" s="574" t="s">
        <v>5564</v>
      </c>
      <c r="D5250" s="582">
        <v>276.33999999999997</v>
      </c>
    </row>
    <row r="5251" spans="1:4" x14ac:dyDescent="0.2">
      <c r="A5251" s="574">
        <v>34387</v>
      </c>
      <c r="B5251" s="574" t="s">
        <v>10845</v>
      </c>
      <c r="C5251" s="574" t="s">
        <v>5564</v>
      </c>
      <c r="D5251" s="582">
        <v>448.61</v>
      </c>
    </row>
    <row r="5252" spans="1:4" x14ac:dyDescent="0.2">
      <c r="A5252" s="574">
        <v>11188</v>
      </c>
      <c r="B5252" s="574" t="s">
        <v>10846</v>
      </c>
      <c r="C5252" s="574" t="s">
        <v>5564</v>
      </c>
      <c r="D5252" s="582">
        <v>222.22</v>
      </c>
    </row>
    <row r="5253" spans="1:4" x14ac:dyDescent="0.2">
      <c r="A5253" s="574">
        <v>11189</v>
      </c>
      <c r="B5253" s="574" t="s">
        <v>10847</v>
      </c>
      <c r="C5253" s="574" t="s">
        <v>5564</v>
      </c>
      <c r="D5253" s="582">
        <v>333.33</v>
      </c>
    </row>
    <row r="5254" spans="1:4" x14ac:dyDescent="0.2">
      <c r="A5254" s="574">
        <v>21107</v>
      </c>
      <c r="B5254" s="574" t="s">
        <v>10848</v>
      </c>
      <c r="C5254" s="574" t="s">
        <v>5564</v>
      </c>
      <c r="D5254" s="582">
        <v>239.87</v>
      </c>
    </row>
    <row r="5255" spans="1:4" x14ac:dyDescent="0.2">
      <c r="A5255" s="574">
        <v>34386</v>
      </c>
      <c r="B5255" s="574" t="s">
        <v>10849</v>
      </c>
      <c r="C5255" s="574" t="s">
        <v>5564</v>
      </c>
      <c r="D5255" s="582">
        <v>416.66</v>
      </c>
    </row>
    <row r="5256" spans="1:4" x14ac:dyDescent="0.2">
      <c r="A5256" s="574">
        <v>10490</v>
      </c>
      <c r="B5256" s="574" t="s">
        <v>10850</v>
      </c>
      <c r="C5256" s="574" t="s">
        <v>5564</v>
      </c>
      <c r="D5256" s="582">
        <v>125</v>
      </c>
    </row>
    <row r="5257" spans="1:4" x14ac:dyDescent="0.2">
      <c r="A5257" s="574">
        <v>10492</v>
      </c>
      <c r="B5257" s="574" t="s">
        <v>10851</v>
      </c>
      <c r="C5257" s="574" t="s">
        <v>5564</v>
      </c>
      <c r="D5257" s="582">
        <v>166.66</v>
      </c>
    </row>
    <row r="5258" spans="1:4" x14ac:dyDescent="0.2">
      <c r="A5258" s="574">
        <v>10493</v>
      </c>
      <c r="B5258" s="574" t="s">
        <v>10852</v>
      </c>
      <c r="C5258" s="574" t="s">
        <v>5564</v>
      </c>
      <c r="D5258" s="582">
        <v>194.44</v>
      </c>
    </row>
    <row r="5259" spans="1:4" x14ac:dyDescent="0.2">
      <c r="A5259" s="574">
        <v>10491</v>
      </c>
      <c r="B5259" s="574" t="s">
        <v>10853</v>
      </c>
      <c r="C5259" s="574" t="s">
        <v>5564</v>
      </c>
      <c r="D5259" s="582">
        <v>236.11</v>
      </c>
    </row>
    <row r="5260" spans="1:4" x14ac:dyDescent="0.2">
      <c r="A5260" s="574">
        <v>34385</v>
      </c>
      <c r="B5260" s="574" t="s">
        <v>10854</v>
      </c>
      <c r="C5260" s="574" t="s">
        <v>5564</v>
      </c>
      <c r="D5260" s="582">
        <v>344.44</v>
      </c>
    </row>
    <row r="5261" spans="1:4" x14ac:dyDescent="0.2">
      <c r="A5261" s="574">
        <v>10499</v>
      </c>
      <c r="B5261" s="574" t="s">
        <v>10855</v>
      </c>
      <c r="C5261" s="574" t="s">
        <v>5564</v>
      </c>
      <c r="D5261" s="582">
        <v>138.88</v>
      </c>
    </row>
    <row r="5262" spans="1:4" x14ac:dyDescent="0.2">
      <c r="A5262" s="574">
        <v>34384</v>
      </c>
      <c r="B5262" s="574" t="s">
        <v>10856</v>
      </c>
      <c r="C5262" s="574" t="s">
        <v>5564</v>
      </c>
      <c r="D5262" s="582">
        <v>416.66</v>
      </c>
    </row>
    <row r="5263" spans="1:4" x14ac:dyDescent="0.2">
      <c r="A5263" s="574">
        <v>11185</v>
      </c>
      <c r="B5263" s="574" t="s">
        <v>10857</v>
      </c>
      <c r="C5263" s="574" t="s">
        <v>5564</v>
      </c>
      <c r="D5263" s="582">
        <v>430.55</v>
      </c>
    </row>
    <row r="5264" spans="1:4" x14ac:dyDescent="0.2">
      <c r="A5264" s="574">
        <v>10507</v>
      </c>
      <c r="B5264" s="574" t="s">
        <v>10858</v>
      </c>
      <c r="C5264" s="574" t="s">
        <v>5564</v>
      </c>
      <c r="D5264" s="582">
        <v>254.25</v>
      </c>
    </row>
    <row r="5265" spans="1:4" x14ac:dyDescent="0.2">
      <c r="A5265" s="574">
        <v>10505</v>
      </c>
      <c r="B5265" s="574" t="s">
        <v>10859</v>
      </c>
      <c r="C5265" s="574" t="s">
        <v>5564</v>
      </c>
      <c r="D5265" s="582">
        <v>150.02000000000001</v>
      </c>
    </row>
    <row r="5266" spans="1:4" x14ac:dyDescent="0.2">
      <c r="A5266" s="574">
        <v>10506</v>
      </c>
      <c r="B5266" s="574" t="s">
        <v>10860</v>
      </c>
      <c r="C5266" s="574" t="s">
        <v>5564</v>
      </c>
      <c r="D5266" s="582">
        <v>195.84</v>
      </c>
    </row>
    <row r="5267" spans="1:4" x14ac:dyDescent="0.2">
      <c r="A5267" s="574">
        <v>5031</v>
      </c>
      <c r="B5267" s="574" t="s">
        <v>10861</v>
      </c>
      <c r="C5267" s="574" t="s">
        <v>5564</v>
      </c>
      <c r="D5267" s="582">
        <v>275</v>
      </c>
    </row>
    <row r="5268" spans="1:4" x14ac:dyDescent="0.2">
      <c r="A5268" s="574">
        <v>10502</v>
      </c>
      <c r="B5268" s="574" t="s">
        <v>10862</v>
      </c>
      <c r="C5268" s="574" t="s">
        <v>5564</v>
      </c>
      <c r="D5268" s="582">
        <v>320.44</v>
      </c>
    </row>
    <row r="5269" spans="1:4" x14ac:dyDescent="0.2">
      <c r="A5269" s="574">
        <v>10501</v>
      </c>
      <c r="B5269" s="574" t="s">
        <v>10863</v>
      </c>
      <c r="C5269" s="574" t="s">
        <v>5564</v>
      </c>
      <c r="D5269" s="582">
        <v>181.04</v>
      </c>
    </row>
    <row r="5270" spans="1:4" x14ac:dyDescent="0.2">
      <c r="A5270" s="574">
        <v>10503</v>
      </c>
      <c r="B5270" s="574" t="s">
        <v>10864</v>
      </c>
      <c r="C5270" s="574" t="s">
        <v>5564</v>
      </c>
      <c r="D5270" s="582">
        <v>244.58</v>
      </c>
    </row>
    <row r="5271" spans="1:4" x14ac:dyDescent="0.2">
      <c r="A5271" s="574">
        <v>40270</v>
      </c>
      <c r="B5271" s="574" t="s">
        <v>10865</v>
      </c>
      <c r="C5271" s="574" t="s">
        <v>5575</v>
      </c>
      <c r="D5271" s="582">
        <v>53.28</v>
      </c>
    </row>
    <row r="5272" spans="1:4" x14ac:dyDescent="0.2">
      <c r="A5272" s="574">
        <v>20213</v>
      </c>
      <c r="B5272" s="574" t="s">
        <v>10866</v>
      </c>
      <c r="C5272" s="574" t="s">
        <v>5575</v>
      </c>
      <c r="D5272" s="582">
        <v>12.41</v>
      </c>
    </row>
    <row r="5273" spans="1:4" x14ac:dyDescent="0.2">
      <c r="A5273" s="574">
        <v>20211</v>
      </c>
      <c r="B5273" s="574" t="s">
        <v>10867</v>
      </c>
      <c r="C5273" s="574" t="s">
        <v>5575</v>
      </c>
      <c r="D5273" s="582">
        <v>18.329999999999998</v>
      </c>
    </row>
    <row r="5274" spans="1:4" x14ac:dyDescent="0.2">
      <c r="A5274" s="574">
        <v>4472</v>
      </c>
      <c r="B5274" s="574" t="s">
        <v>10868</v>
      </c>
      <c r="C5274" s="574" t="s">
        <v>5575</v>
      </c>
      <c r="D5274" s="582">
        <v>16.03</v>
      </c>
    </row>
    <row r="5275" spans="1:4" x14ac:dyDescent="0.2">
      <c r="A5275" s="574">
        <v>35272</v>
      </c>
      <c r="B5275" s="574" t="s">
        <v>10869</v>
      </c>
      <c r="C5275" s="574" t="s">
        <v>5575</v>
      </c>
      <c r="D5275" s="582">
        <v>21.05</v>
      </c>
    </row>
    <row r="5276" spans="1:4" x14ac:dyDescent="0.2">
      <c r="A5276" s="574">
        <v>4448</v>
      </c>
      <c r="B5276" s="574" t="s">
        <v>10870</v>
      </c>
      <c r="C5276" s="574" t="s">
        <v>5575</v>
      </c>
      <c r="D5276" s="582">
        <v>17.18</v>
      </c>
    </row>
    <row r="5277" spans="1:4" x14ac:dyDescent="0.2">
      <c r="A5277" s="574">
        <v>4425</v>
      </c>
      <c r="B5277" s="574" t="s">
        <v>10871</v>
      </c>
      <c r="C5277" s="574" t="s">
        <v>5575</v>
      </c>
      <c r="D5277" s="582">
        <v>11.77</v>
      </c>
    </row>
    <row r="5278" spans="1:4" x14ac:dyDescent="0.2">
      <c r="A5278" s="574">
        <v>4481</v>
      </c>
      <c r="B5278" s="574" t="s">
        <v>10872</v>
      </c>
      <c r="C5278" s="574" t="s">
        <v>5575</v>
      </c>
      <c r="D5278" s="582">
        <v>21.69</v>
      </c>
    </row>
    <row r="5279" spans="1:4" x14ac:dyDescent="0.2">
      <c r="A5279" s="574">
        <v>34345</v>
      </c>
      <c r="B5279" s="574" t="s">
        <v>10873</v>
      </c>
      <c r="C5279" s="574" t="s">
        <v>5566</v>
      </c>
      <c r="D5279" s="582">
        <v>12.54</v>
      </c>
    </row>
    <row r="5280" spans="1:4" x14ac:dyDescent="0.2">
      <c r="A5280" s="574">
        <v>41096</v>
      </c>
      <c r="B5280" s="574" t="s">
        <v>10874</v>
      </c>
      <c r="C5280" s="574" t="s">
        <v>5755</v>
      </c>
      <c r="D5280" s="583">
        <v>2195.71</v>
      </c>
    </row>
    <row r="5281" spans="1:4" x14ac:dyDescent="0.2">
      <c r="A5281" s="574">
        <v>41776</v>
      </c>
      <c r="B5281" s="574" t="s">
        <v>10875</v>
      </c>
      <c r="C5281" s="574" t="s">
        <v>5566</v>
      </c>
      <c r="D5281" s="582">
        <v>17.190000000000001</v>
      </c>
    </row>
    <row r="5282" spans="1:4" x14ac:dyDescent="0.2">
      <c r="A5282" s="574">
        <v>11157</v>
      </c>
      <c r="B5282" s="574" t="s">
        <v>10877</v>
      </c>
      <c r="C5282" s="574" t="s">
        <v>7915</v>
      </c>
      <c r="D5282" s="582">
        <v>143.22</v>
      </c>
    </row>
    <row r="5283" spans="1:4" x14ac:dyDescent="0.2">
      <c r="A5283" s="574" t="s">
        <v>5549</v>
      </c>
    </row>
    <row r="5284" spans="1:4" x14ac:dyDescent="0.2">
      <c r="A5284" s="574" t="s">
        <v>13803</v>
      </c>
    </row>
  </sheetData>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A1:U2478"/>
  <sheetViews>
    <sheetView showGridLines="0" view="pageBreakPreview" zoomScale="85" zoomScaleNormal="100" zoomScaleSheetLayoutView="85" workbookViewId="0">
      <selection activeCell="H186" sqref="H186"/>
    </sheetView>
  </sheetViews>
  <sheetFormatPr defaultColWidth="9.140625" defaultRowHeight="15" x14ac:dyDescent="0.25"/>
  <cols>
    <col min="1" max="1" width="12.28515625" style="35" customWidth="1"/>
    <col min="2" max="2" width="19.7109375" style="35" customWidth="1"/>
    <col min="3" max="3" width="15.28515625" style="35" customWidth="1"/>
    <col min="4" max="4" width="17.140625" style="35" customWidth="1"/>
    <col min="5" max="5" width="17.42578125" style="35" customWidth="1"/>
    <col min="6" max="6" width="17.85546875" style="35" customWidth="1"/>
    <col min="7" max="9" width="15.28515625" style="35" customWidth="1"/>
    <col min="10" max="10" width="7.28515625" style="35" customWidth="1"/>
    <col min="11" max="13" width="9.140625" style="35"/>
    <col min="14" max="14" width="9.5703125" style="35" bestFit="1" customWidth="1"/>
    <col min="15" max="15" width="15.28515625" style="35" customWidth="1"/>
    <col min="16" max="16384" width="9.140625" style="35"/>
  </cols>
  <sheetData>
    <row r="1" spans="1:16" s="2" customFormat="1" ht="7.5" customHeight="1" thickBot="1" x14ac:dyDescent="0.3">
      <c r="A1" s="1"/>
      <c r="B1" s="111"/>
      <c r="C1" s="1"/>
      <c r="D1" s="1"/>
      <c r="E1" s="1"/>
      <c r="F1" s="1"/>
      <c r="G1" s="1"/>
      <c r="H1" s="1"/>
      <c r="I1" s="1"/>
      <c r="J1" s="1"/>
    </row>
    <row r="2" spans="1:16" s="5" customFormat="1" ht="31.5" customHeight="1" x14ac:dyDescent="0.25">
      <c r="A2" s="142"/>
      <c r="B2" s="143" t="s">
        <v>0</v>
      </c>
      <c r="C2" s="720" t="str">
        <f>PO!C2</f>
        <v>Reforma e Ampliação do Almoxarifado da Farmácia</v>
      </c>
      <c r="D2" s="720"/>
      <c r="E2" s="720"/>
      <c r="F2" s="720"/>
      <c r="G2" s="720"/>
      <c r="H2" s="720"/>
      <c r="I2" s="720"/>
      <c r="J2" s="721"/>
    </row>
    <row r="3" spans="1:16" s="5" customFormat="1" ht="15.75" x14ac:dyDescent="0.25">
      <c r="A3" s="144"/>
      <c r="B3" s="145" t="s">
        <v>1</v>
      </c>
      <c r="C3" s="125" t="str">
        <f>PO!C3</f>
        <v>BR - 364 - km 17 - Hospital Santa Marcelina</v>
      </c>
      <c r="D3" s="126"/>
      <c r="E3" s="127"/>
      <c r="F3" s="128"/>
      <c r="G3" s="126"/>
      <c r="H3" s="146"/>
      <c r="I3" s="147"/>
      <c r="J3" s="148"/>
    </row>
    <row r="4" spans="1:16" s="5" customFormat="1" ht="15.75" x14ac:dyDescent="0.25">
      <c r="A4" s="144"/>
      <c r="B4" s="145" t="s">
        <v>2</v>
      </c>
      <c r="C4" s="125" t="s">
        <v>3</v>
      </c>
      <c r="D4" s="126"/>
      <c r="E4" s="127"/>
      <c r="F4" s="128"/>
      <c r="G4" s="126"/>
      <c r="H4" s="146"/>
      <c r="I4" s="147"/>
      <c r="J4" s="148"/>
    </row>
    <row r="5" spans="1:16" s="14" customFormat="1" ht="16.5" thickBot="1" x14ac:dyDescent="0.3">
      <c r="A5" s="149"/>
      <c r="B5" s="150" t="s">
        <v>4</v>
      </c>
      <c r="C5" s="151" t="str">
        <f>PO!C5</f>
        <v>07/2020</v>
      </c>
      <c r="D5" s="131"/>
      <c r="E5" s="131"/>
      <c r="F5" s="132"/>
      <c r="G5" s="131"/>
      <c r="H5" s="152"/>
      <c r="I5" s="153"/>
      <c r="J5" s="154"/>
      <c r="K5" s="5"/>
      <c r="L5" s="5"/>
      <c r="M5" s="5"/>
      <c r="N5" s="5"/>
      <c r="O5" s="5"/>
      <c r="P5" s="5"/>
    </row>
    <row r="6" spans="1:16" s="62" customFormat="1" ht="15.75" customHeight="1" x14ac:dyDescent="0.2">
      <c r="A6" s="339"/>
      <c r="B6" s="340"/>
      <c r="C6" s="340"/>
      <c r="D6" s="340"/>
      <c r="E6" s="341" t="s">
        <v>42</v>
      </c>
      <c r="F6" s="340"/>
      <c r="G6" s="342"/>
      <c r="H6" s="342"/>
      <c r="I6" s="342"/>
      <c r="J6" s="343"/>
    </row>
    <row r="7" spans="1:16" ht="15.75" thickBot="1" x14ac:dyDescent="0.3">
      <c r="A7" s="344"/>
      <c r="B7" s="345"/>
      <c r="C7" s="345"/>
      <c r="D7" s="345"/>
      <c r="E7" s="345"/>
      <c r="F7" s="345"/>
      <c r="G7" s="345"/>
      <c r="H7" s="345"/>
      <c r="I7" s="345"/>
      <c r="J7" s="346"/>
    </row>
    <row r="8" spans="1:16" s="40" customFormat="1" ht="15.75" thickBot="1" x14ac:dyDescent="0.3">
      <c r="A8" s="36" t="s">
        <v>81</v>
      </c>
      <c r="B8" s="37" t="s">
        <v>96</v>
      </c>
      <c r="C8" s="38"/>
      <c r="D8" s="37"/>
      <c r="E8" s="38"/>
      <c r="F8" s="38"/>
      <c r="G8" s="38"/>
      <c r="H8" s="38"/>
      <c r="I8" s="38"/>
      <c r="J8" s="39"/>
    </row>
    <row r="9" spans="1:16" ht="16.5" customHeight="1" thickBot="1" x14ac:dyDescent="0.3">
      <c r="A9" s="344"/>
      <c r="B9" s="345"/>
      <c r="C9" s="345"/>
      <c r="D9" s="345"/>
      <c r="E9" s="345"/>
      <c r="F9" s="345"/>
      <c r="G9" s="345"/>
      <c r="H9" s="345"/>
      <c r="I9" s="345"/>
      <c r="J9" s="346"/>
    </row>
    <row r="10" spans="1:16" s="40" customFormat="1" ht="15.75" thickBot="1" x14ac:dyDescent="0.3">
      <c r="A10" s="41" t="s">
        <v>12</v>
      </c>
      <c r="B10" s="42" t="s">
        <v>97</v>
      </c>
      <c r="C10" s="43"/>
      <c r="D10" s="43"/>
      <c r="E10" s="43"/>
      <c r="F10" s="43"/>
      <c r="G10" s="43"/>
      <c r="H10" s="43"/>
      <c r="I10" s="43"/>
      <c r="J10" s="44"/>
    </row>
    <row r="11" spans="1:16" s="40" customFormat="1" ht="15.75" thickBot="1" x14ac:dyDescent="0.3">
      <c r="A11" s="347"/>
      <c r="B11" s="205"/>
      <c r="C11" s="205"/>
      <c r="D11" s="348"/>
      <c r="E11" s="205"/>
      <c r="F11" s="237"/>
      <c r="G11" s="208"/>
      <c r="H11" s="208"/>
      <c r="I11" s="208"/>
      <c r="J11" s="349"/>
    </row>
    <row r="12" spans="1:16" s="40" customFormat="1" ht="15.75" thickBot="1" x14ac:dyDescent="0.3">
      <c r="A12" s="46" t="s">
        <v>13</v>
      </c>
      <c r="B12" s="60" t="str">
        <f>VLOOKUP(A12,PO!$A$8:$K$433,4,FALSE)</f>
        <v>Administração e controle - Responsável Técnico (Engenheiro).</v>
      </c>
      <c r="C12" s="47"/>
      <c r="D12" s="48"/>
      <c r="E12" s="47"/>
      <c r="F12" s="49"/>
      <c r="G12" s="50"/>
      <c r="H12" s="50"/>
      <c r="I12" s="50">
        <f>SUM(H15:H15)</f>
        <v>5</v>
      </c>
      <c r="J12" s="284" t="str">
        <f>VLOOKUP(A12,PO!$A$8:$K$433,5,FALSE)</f>
        <v>mês</v>
      </c>
    </row>
    <row r="13" spans="1:16" s="40" customFormat="1" x14ac:dyDescent="0.25">
      <c r="A13" s="347"/>
      <c r="B13" s="205"/>
      <c r="C13" s="205"/>
      <c r="D13" s="348"/>
      <c r="E13" s="205"/>
      <c r="F13" s="237"/>
      <c r="G13" s="208"/>
      <c r="H13" s="208"/>
      <c r="I13" s="208"/>
      <c r="J13" s="349"/>
    </row>
    <row r="14" spans="1:16" x14ac:dyDescent="0.25">
      <c r="A14" s="350"/>
      <c r="B14" s="351" t="s">
        <v>10886</v>
      </c>
      <c r="C14" s="351"/>
      <c r="D14" s="352"/>
      <c r="E14" s="352"/>
      <c r="F14" s="352"/>
      <c r="G14" s="351"/>
      <c r="H14" s="351" t="s">
        <v>14</v>
      </c>
      <c r="I14" s="243" t="s">
        <v>15</v>
      </c>
      <c r="J14" s="346"/>
    </row>
    <row r="15" spans="1:16" ht="18" customHeight="1" x14ac:dyDescent="0.25">
      <c r="A15" s="353"/>
      <c r="B15" s="354" t="s">
        <v>10887</v>
      </c>
      <c r="C15" s="354"/>
      <c r="D15" s="352"/>
      <c r="E15" s="352"/>
      <c r="F15" s="352"/>
      <c r="G15" s="355" t="s">
        <v>16</v>
      </c>
      <c r="H15" s="354">
        <v>5</v>
      </c>
      <c r="I15" s="237" t="str">
        <f>J12</f>
        <v>mês</v>
      </c>
      <c r="J15" s="346"/>
    </row>
    <row r="16" spans="1:16" ht="18" customHeight="1" thickBot="1" x14ac:dyDescent="0.3">
      <c r="A16" s="353"/>
      <c r="B16" s="356"/>
      <c r="C16" s="357"/>
      <c r="D16" s="354"/>
      <c r="E16" s="352"/>
      <c r="F16" s="352"/>
      <c r="G16" s="354"/>
      <c r="H16" s="355"/>
      <c r="I16" s="354"/>
      <c r="J16" s="346"/>
    </row>
    <row r="17" spans="1:10" s="40" customFormat="1" ht="15.75" thickBot="1" x14ac:dyDescent="0.3">
      <c r="A17" s="41" t="s">
        <v>45</v>
      </c>
      <c r="B17" s="42" t="s">
        <v>245</v>
      </c>
      <c r="C17" s="43"/>
      <c r="D17" s="43"/>
      <c r="E17" s="43"/>
      <c r="F17" s="43"/>
      <c r="G17" s="43"/>
      <c r="H17" s="43"/>
      <c r="I17" s="43"/>
      <c r="J17" s="44"/>
    </row>
    <row r="18" spans="1:10" s="40" customFormat="1" ht="15.75" thickBot="1" x14ac:dyDescent="0.3">
      <c r="A18" s="347"/>
      <c r="B18" s="205"/>
      <c r="C18" s="205"/>
      <c r="D18" s="348"/>
      <c r="E18" s="205"/>
      <c r="F18" s="237"/>
      <c r="G18" s="208"/>
      <c r="H18" s="208"/>
      <c r="I18" s="208"/>
      <c r="J18" s="349"/>
    </row>
    <row r="19" spans="1:10" s="40" customFormat="1" ht="15.75" thickBot="1" x14ac:dyDescent="0.3">
      <c r="A19" s="46" t="s">
        <v>46</v>
      </c>
      <c r="B19" s="60" t="str">
        <f>VLOOKUP(A19,PO!$A$8:$K$433,4,FALSE)</f>
        <v>PCMSO - (Programa de Controle Médico e Saúde Ocupacional)</v>
      </c>
      <c r="C19" s="47"/>
      <c r="D19" s="48"/>
      <c r="E19" s="47"/>
      <c r="F19" s="49"/>
      <c r="G19" s="50"/>
      <c r="H19" s="50"/>
      <c r="I19" s="50">
        <f>SUM(H22:H22)</f>
        <v>1</v>
      </c>
      <c r="J19" s="284" t="str">
        <f>VLOOKUP(A19,PO!$A$8:$K$433,5,FALSE)</f>
        <v>unid</v>
      </c>
    </row>
    <row r="20" spans="1:10" s="40" customFormat="1" x14ac:dyDescent="0.25">
      <c r="A20" s="347"/>
      <c r="B20" s="205"/>
      <c r="C20" s="205"/>
      <c r="D20" s="348"/>
      <c r="E20" s="205"/>
      <c r="F20" s="237"/>
      <c r="G20" s="208"/>
      <c r="H20" s="208"/>
      <c r="I20" s="208"/>
      <c r="J20" s="349"/>
    </row>
    <row r="21" spans="1:10" x14ac:dyDescent="0.25">
      <c r="A21" s="350"/>
      <c r="B21" s="351" t="s">
        <v>10886</v>
      </c>
      <c r="C21" s="351"/>
      <c r="D21" s="352"/>
      <c r="E21" s="352"/>
      <c r="F21" s="352"/>
      <c r="G21" s="351"/>
      <c r="H21" s="351" t="s">
        <v>14</v>
      </c>
      <c r="I21" s="243" t="s">
        <v>15</v>
      </c>
      <c r="J21" s="346"/>
    </row>
    <row r="22" spans="1:10" ht="18" customHeight="1" x14ac:dyDescent="0.25">
      <c r="A22" s="353"/>
      <c r="B22" s="354" t="s">
        <v>10888</v>
      </c>
      <c r="C22" s="354"/>
      <c r="D22" s="352"/>
      <c r="E22" s="352"/>
      <c r="F22" s="352"/>
      <c r="G22" s="355" t="s">
        <v>16</v>
      </c>
      <c r="H22" s="354">
        <v>1</v>
      </c>
      <c r="I22" s="237" t="str">
        <f>J19</f>
        <v>unid</v>
      </c>
      <c r="J22" s="346"/>
    </row>
    <row r="23" spans="1:10" ht="18" customHeight="1" thickBot="1" x14ac:dyDescent="0.3">
      <c r="A23" s="353"/>
      <c r="B23" s="354"/>
      <c r="C23" s="357"/>
      <c r="D23" s="352"/>
      <c r="E23" s="354"/>
      <c r="F23" s="355"/>
      <c r="G23" s="354"/>
      <c r="H23" s="237"/>
      <c r="I23" s="208"/>
      <c r="J23" s="346"/>
    </row>
    <row r="24" spans="1:10" s="40" customFormat="1" ht="15.75" thickBot="1" x14ac:dyDescent="0.3">
      <c r="A24" s="46" t="s">
        <v>48</v>
      </c>
      <c r="B24" s="60" t="str">
        <f>VLOOKUP(A24,PO!$A$8:$K$433,4,FALSE)</f>
        <v>PPRA - (Programa de Prevenção de Riscos Ambientais)</v>
      </c>
      <c r="C24" s="47"/>
      <c r="D24" s="48"/>
      <c r="E24" s="47"/>
      <c r="F24" s="49"/>
      <c r="G24" s="50"/>
      <c r="H24" s="50"/>
      <c r="I24" s="50">
        <f>SUM(H27:H27)</f>
        <v>1</v>
      </c>
      <c r="J24" s="284" t="str">
        <f>VLOOKUP(A24,PO!$A$8:$K$433,5,FALSE)</f>
        <v>unid</v>
      </c>
    </row>
    <row r="25" spans="1:10" s="40" customFormat="1" x14ac:dyDescent="0.25">
      <c r="A25" s="347"/>
      <c r="B25" s="205"/>
      <c r="C25" s="205"/>
      <c r="D25" s="348"/>
      <c r="E25" s="205"/>
      <c r="F25" s="351"/>
      <c r="G25" s="208"/>
      <c r="H25" s="208"/>
      <c r="I25" s="208"/>
      <c r="J25" s="349"/>
    </row>
    <row r="26" spans="1:10" x14ac:dyDescent="0.25">
      <c r="A26" s="350"/>
      <c r="B26" s="351" t="s">
        <v>10886</v>
      </c>
      <c r="C26" s="351"/>
      <c r="D26" s="352"/>
      <c r="E26" s="352"/>
      <c r="F26" s="352"/>
      <c r="G26" s="351"/>
      <c r="H26" s="351" t="s">
        <v>14</v>
      </c>
      <c r="I26" s="243" t="s">
        <v>15</v>
      </c>
      <c r="J26" s="346"/>
    </row>
    <row r="27" spans="1:10" ht="18" customHeight="1" x14ac:dyDescent="0.25">
      <c r="A27" s="353"/>
      <c r="B27" s="354" t="s">
        <v>10889</v>
      </c>
      <c r="C27" s="357"/>
      <c r="D27" s="352"/>
      <c r="E27" s="352"/>
      <c r="F27" s="352"/>
      <c r="G27" s="355" t="s">
        <v>16</v>
      </c>
      <c r="H27" s="354">
        <v>1</v>
      </c>
      <c r="I27" s="237" t="str">
        <f>J24</f>
        <v>unid</v>
      </c>
      <c r="J27" s="346"/>
    </row>
    <row r="28" spans="1:10" ht="16.5" customHeight="1" thickBot="1" x14ac:dyDescent="0.3">
      <c r="A28" s="344"/>
      <c r="B28" s="345"/>
      <c r="C28" s="345"/>
      <c r="D28" s="345"/>
      <c r="E28" s="345"/>
      <c r="F28" s="345"/>
      <c r="G28" s="345"/>
      <c r="H28" s="345"/>
      <c r="I28" s="345"/>
      <c r="J28" s="346"/>
    </row>
    <row r="29" spans="1:10" s="40" customFormat="1" ht="15.75" thickBot="1" x14ac:dyDescent="0.3">
      <c r="A29" s="41" t="s">
        <v>103</v>
      </c>
      <c r="B29" s="42" t="s">
        <v>102</v>
      </c>
      <c r="C29" s="43"/>
      <c r="D29" s="43"/>
      <c r="E29" s="43"/>
      <c r="F29" s="43"/>
      <c r="G29" s="43"/>
      <c r="H29" s="43"/>
      <c r="I29" s="43"/>
      <c r="J29" s="44"/>
    </row>
    <row r="30" spans="1:10" s="40" customFormat="1" ht="15.75" thickBot="1" x14ac:dyDescent="0.3">
      <c r="A30" s="347"/>
      <c r="B30" s="205"/>
      <c r="C30" s="205"/>
      <c r="D30" s="348"/>
      <c r="E30" s="205"/>
      <c r="F30" s="237"/>
      <c r="G30" s="208"/>
      <c r="H30" s="208"/>
      <c r="I30" s="208"/>
      <c r="J30" s="349"/>
    </row>
    <row r="31" spans="1:10" s="40" customFormat="1" ht="15.75" thickBot="1" x14ac:dyDescent="0.3">
      <c r="A31" s="46" t="s">
        <v>104</v>
      </c>
      <c r="B31" s="60" t="str">
        <f>VLOOKUP(A31,PO!$A$8:$K$433,4,FALSE)</f>
        <v>Remoção de telhas, de fibrocimento, metálica, de forma manual, sem reaproveitamento. </v>
      </c>
      <c r="C31" s="47"/>
      <c r="D31" s="48"/>
      <c r="E31" s="47"/>
      <c r="F31" s="49"/>
      <c r="G31" s="50"/>
      <c r="H31" s="50"/>
      <c r="I31" s="50">
        <f>SUM(H34:H37)</f>
        <v>548.80000000000007</v>
      </c>
      <c r="J31" s="338" t="str">
        <f>VLOOKUP(A31,PO!$A$8:$K$433,5,FALSE)</f>
        <v>m²</v>
      </c>
    </row>
    <row r="32" spans="1:10" s="198" customFormat="1" ht="14.25" x14ac:dyDescent="0.2">
      <c r="A32" s="358"/>
      <c r="B32" s="359"/>
      <c r="C32" s="360"/>
      <c r="D32" s="360"/>
      <c r="E32" s="203"/>
      <c r="F32" s="359"/>
      <c r="G32" s="201"/>
      <c r="H32" s="360"/>
      <c r="I32" s="360"/>
      <c r="J32" s="361"/>
    </row>
    <row r="33" spans="1:12" s="198" customFormat="1" ht="14.25" x14ac:dyDescent="0.2">
      <c r="A33" s="362"/>
      <c r="B33" s="363" t="s">
        <v>21</v>
      </c>
      <c r="C33" s="359"/>
      <c r="D33" s="359"/>
      <c r="E33" s="363" t="s">
        <v>10921</v>
      </c>
      <c r="F33" s="363" t="s">
        <v>10922</v>
      </c>
      <c r="G33" s="210"/>
      <c r="H33" s="363" t="s">
        <v>14</v>
      </c>
      <c r="I33" s="363" t="s">
        <v>15</v>
      </c>
      <c r="J33" s="364"/>
    </row>
    <row r="34" spans="1:12" ht="15" customHeight="1" x14ac:dyDescent="0.25">
      <c r="A34" s="350"/>
      <c r="B34" s="365" t="s">
        <v>10890</v>
      </c>
      <c r="C34" s="352"/>
      <c r="D34" s="352"/>
      <c r="E34" s="366">
        <v>12.41</v>
      </c>
      <c r="F34" s="366">
        <v>21.75</v>
      </c>
      <c r="G34" s="367" t="s">
        <v>16</v>
      </c>
      <c r="H34" s="222">
        <f>ROUND(E34*F34,2)</f>
        <v>269.92</v>
      </c>
      <c r="I34" s="368" t="str">
        <f>$J$31</f>
        <v>m²</v>
      </c>
      <c r="J34" s="369"/>
      <c r="L34" s="202"/>
    </row>
    <row r="35" spans="1:12" ht="15" customHeight="1" x14ac:dyDescent="0.25">
      <c r="A35" s="350"/>
      <c r="B35" s="365" t="s">
        <v>10891</v>
      </c>
      <c r="C35" s="352"/>
      <c r="D35" s="352"/>
      <c r="E35" s="366">
        <v>12.2</v>
      </c>
      <c r="F35" s="366">
        <v>15.06</v>
      </c>
      <c r="G35" s="367" t="s">
        <v>16</v>
      </c>
      <c r="H35" s="222">
        <f>ROUND(E35*F35,2)</f>
        <v>183.73</v>
      </c>
      <c r="I35" s="368" t="str">
        <f>I34</f>
        <v>m²</v>
      </c>
      <c r="J35" s="369"/>
    </row>
    <row r="36" spans="1:12" ht="15" customHeight="1" x14ac:dyDescent="0.25">
      <c r="A36" s="350"/>
      <c r="B36" s="365" t="s">
        <v>10892</v>
      </c>
      <c r="C36" s="352"/>
      <c r="D36" s="352"/>
      <c r="E36" s="366">
        <v>4.62</v>
      </c>
      <c r="F36" s="366">
        <v>13.03</v>
      </c>
      <c r="G36" s="367" t="s">
        <v>16</v>
      </c>
      <c r="H36" s="222">
        <f t="shared" ref="H36" si="0">ROUND(E36*F36,2)</f>
        <v>60.2</v>
      </c>
      <c r="I36" s="368" t="str">
        <f t="shared" ref="I36:I37" si="1">I35</f>
        <v>m²</v>
      </c>
      <c r="J36" s="369"/>
    </row>
    <row r="37" spans="1:12" ht="15" customHeight="1" x14ac:dyDescent="0.25">
      <c r="A37" s="350"/>
      <c r="B37" s="365" t="s">
        <v>10893</v>
      </c>
      <c r="C37" s="352"/>
      <c r="D37" s="352"/>
      <c r="E37" s="366">
        <v>11.61</v>
      </c>
      <c r="F37" s="366">
        <v>3.01</v>
      </c>
      <c r="G37" s="367" t="s">
        <v>16</v>
      </c>
      <c r="H37" s="222">
        <f>ROUND(E37*F37,2)</f>
        <v>34.950000000000003</v>
      </c>
      <c r="I37" s="368" t="str">
        <f t="shared" si="1"/>
        <v>m²</v>
      </c>
      <c r="J37" s="369"/>
    </row>
    <row r="38" spans="1:12" ht="15.75" thickBot="1" x14ac:dyDescent="0.3">
      <c r="A38" s="350"/>
      <c r="B38" s="352"/>
      <c r="C38" s="352"/>
      <c r="D38" s="370"/>
      <c r="E38" s="370"/>
      <c r="F38" s="370"/>
      <c r="G38" s="370"/>
      <c r="H38" s="370"/>
      <c r="I38" s="370"/>
      <c r="J38" s="371"/>
    </row>
    <row r="39" spans="1:12" ht="15.75" thickBot="1" x14ac:dyDescent="0.3">
      <c r="A39" s="229" t="s">
        <v>105</v>
      </c>
      <c r="B39" s="221" t="str">
        <f>VLOOKUP(A39,PO!$A$8:$K$433,4,FALSE)</f>
        <v>Remoção de trama de madeira para cobertura, de forma manual, sem reaproveitamento.</v>
      </c>
      <c r="C39" s="230"/>
      <c r="D39" s="231"/>
      <c r="E39" s="230"/>
      <c r="F39" s="232"/>
      <c r="G39" s="233"/>
      <c r="H39" s="233"/>
      <c r="I39" s="233">
        <f>SUM(H42:H45)</f>
        <v>548.80000000000007</v>
      </c>
      <c r="J39" s="338" t="str">
        <f>VLOOKUP(A39,PO!$A$8:$K$433,5,FALSE)</f>
        <v>m²</v>
      </c>
    </row>
    <row r="40" spans="1:12" x14ac:dyDescent="0.25">
      <c r="A40" s="347"/>
      <c r="B40" s="204"/>
      <c r="C40" s="205"/>
      <c r="D40" s="206"/>
      <c r="E40" s="205"/>
      <c r="F40" s="212"/>
      <c r="G40" s="207"/>
      <c r="H40" s="352"/>
      <c r="I40" s="208"/>
      <c r="J40" s="372"/>
    </row>
    <row r="41" spans="1:12" s="198" customFormat="1" x14ac:dyDescent="0.25">
      <c r="A41" s="350" t="s">
        <v>13861</v>
      </c>
      <c r="B41" s="363" t="s">
        <v>21</v>
      </c>
      <c r="C41" s="359"/>
      <c r="D41" s="359"/>
      <c r="E41" s="363" t="s">
        <v>10921</v>
      </c>
      <c r="F41" s="363" t="s">
        <v>10922</v>
      </c>
      <c r="G41" s="210"/>
      <c r="H41" s="363" t="s">
        <v>14</v>
      </c>
      <c r="I41" s="363" t="s">
        <v>15</v>
      </c>
      <c r="J41" s="364"/>
    </row>
    <row r="42" spans="1:12" ht="15" customHeight="1" x14ac:dyDescent="0.25">
      <c r="A42" s="350"/>
      <c r="B42" s="365" t="s">
        <v>10890</v>
      </c>
      <c r="C42" s="352"/>
      <c r="D42" s="352"/>
      <c r="E42" s="366">
        <v>12.41</v>
      </c>
      <c r="F42" s="366">
        <v>21.75</v>
      </c>
      <c r="G42" s="367" t="s">
        <v>16</v>
      </c>
      <c r="H42" s="222">
        <f>ROUND(E42*F42,2)</f>
        <v>269.92</v>
      </c>
      <c r="I42" s="368" t="str">
        <f>$J$31</f>
        <v>m²</v>
      </c>
      <c r="J42" s="369"/>
      <c r="L42" s="202"/>
    </row>
    <row r="43" spans="1:12" ht="15" customHeight="1" x14ac:dyDescent="0.25">
      <c r="A43" s="350"/>
      <c r="B43" s="365" t="s">
        <v>10891</v>
      </c>
      <c r="C43" s="352"/>
      <c r="D43" s="352"/>
      <c r="E43" s="366">
        <v>12.2</v>
      </c>
      <c r="F43" s="366">
        <v>15.06</v>
      </c>
      <c r="G43" s="367" t="s">
        <v>16</v>
      </c>
      <c r="H43" s="222">
        <f>ROUND(E43*F43,2)</f>
        <v>183.73</v>
      </c>
      <c r="I43" s="368" t="str">
        <f>I42</f>
        <v>m²</v>
      </c>
      <c r="J43" s="369"/>
    </row>
    <row r="44" spans="1:12" ht="15" customHeight="1" x14ac:dyDescent="0.25">
      <c r="A44" s="350"/>
      <c r="B44" s="365" t="s">
        <v>10892</v>
      </c>
      <c r="C44" s="352"/>
      <c r="D44" s="352"/>
      <c r="E44" s="366">
        <v>4.62</v>
      </c>
      <c r="F44" s="366">
        <v>13.03</v>
      </c>
      <c r="G44" s="367" t="s">
        <v>16</v>
      </c>
      <c r="H44" s="222">
        <f t="shared" ref="H44" si="2">ROUND(E44*F44,2)</f>
        <v>60.2</v>
      </c>
      <c r="I44" s="368" t="str">
        <f t="shared" ref="I44:I45" si="3">I43</f>
        <v>m²</v>
      </c>
      <c r="J44" s="369"/>
    </row>
    <row r="45" spans="1:12" ht="15" customHeight="1" x14ac:dyDescent="0.25">
      <c r="A45" s="350"/>
      <c r="B45" s="365" t="s">
        <v>10893</v>
      </c>
      <c r="C45" s="352"/>
      <c r="D45" s="352"/>
      <c r="E45" s="366">
        <v>11.61</v>
      </c>
      <c r="F45" s="366">
        <v>3.01</v>
      </c>
      <c r="G45" s="367" t="s">
        <v>16</v>
      </c>
      <c r="H45" s="222">
        <f>ROUND(E45*F45,2)</f>
        <v>34.950000000000003</v>
      </c>
      <c r="I45" s="368" t="str">
        <f t="shared" si="3"/>
        <v>m²</v>
      </c>
      <c r="J45" s="369"/>
    </row>
    <row r="46" spans="1:12" ht="15.75" thickBot="1" x14ac:dyDescent="0.3">
      <c r="A46" s="350"/>
      <c r="B46" s="352"/>
      <c r="C46" s="352"/>
      <c r="D46" s="370"/>
      <c r="E46" s="370"/>
      <c r="F46" s="370"/>
      <c r="G46" s="370"/>
      <c r="H46" s="370"/>
      <c r="I46" s="370"/>
      <c r="J46" s="371"/>
    </row>
    <row r="47" spans="1:12" s="218" customFormat="1" ht="15.75" thickBot="1" x14ac:dyDescent="0.3">
      <c r="A47" s="229" t="s">
        <v>106</v>
      </c>
      <c r="B47" s="221" t="str">
        <f>VLOOKUP(A47,PO!$A$8:$K$433,4,FALSE)</f>
        <v xml:space="preserve">Remoção de tesouras de madeira, com vão maior ou igual a 8m, de forma manual, sem reaproveitamento. </v>
      </c>
      <c r="C47" s="230"/>
      <c r="D47" s="231"/>
      <c r="E47" s="230"/>
      <c r="F47" s="232"/>
      <c r="G47" s="233"/>
      <c r="H47" s="233"/>
      <c r="I47" s="233">
        <f>SUM(H50:H51)</f>
        <v>10</v>
      </c>
      <c r="J47" s="416" t="str">
        <f>VLOOKUP(A47,PO!$A$8:$K$433,5,FALSE)</f>
        <v>unid</v>
      </c>
    </row>
    <row r="48" spans="1:12" x14ac:dyDescent="0.25">
      <c r="A48" s="347"/>
      <c r="B48" s="204"/>
      <c r="C48" s="205"/>
      <c r="D48" s="206"/>
      <c r="E48" s="205"/>
      <c r="F48" s="373"/>
      <c r="G48" s="370"/>
      <c r="H48" s="208"/>
      <c r="I48" s="208"/>
      <c r="J48" s="372"/>
    </row>
    <row r="49" spans="1:15" s="198" customFormat="1" x14ac:dyDescent="0.25">
      <c r="A49" s="350" t="s">
        <v>13861</v>
      </c>
      <c r="B49" s="363" t="s">
        <v>21</v>
      </c>
      <c r="C49" s="359"/>
      <c r="D49" s="360" t="s">
        <v>10927</v>
      </c>
      <c r="E49" s="363" t="s">
        <v>10922</v>
      </c>
      <c r="F49" s="363" t="s">
        <v>10896</v>
      </c>
      <c r="G49" s="210"/>
      <c r="H49" s="363" t="s">
        <v>14</v>
      </c>
      <c r="I49" s="363" t="s">
        <v>15</v>
      </c>
      <c r="J49" s="364"/>
    </row>
    <row r="50" spans="1:15" ht="15" customHeight="1" x14ac:dyDescent="0.25">
      <c r="A50" s="350"/>
      <c r="B50" s="365" t="s">
        <v>10894</v>
      </c>
      <c r="C50" s="352"/>
      <c r="D50" s="370">
        <v>4</v>
      </c>
      <c r="E50" s="366" t="s">
        <v>10937</v>
      </c>
      <c r="F50" s="366" t="s">
        <v>10937</v>
      </c>
      <c r="G50" s="367" t="s">
        <v>16</v>
      </c>
      <c r="H50" s="222">
        <f>D50</f>
        <v>4</v>
      </c>
      <c r="I50" s="368" t="str">
        <f>J47</f>
        <v>unid</v>
      </c>
      <c r="J50" s="369"/>
      <c r="L50" s="202"/>
    </row>
    <row r="51" spans="1:15" ht="15" customHeight="1" x14ac:dyDescent="0.25">
      <c r="A51" s="350"/>
      <c r="B51" s="365" t="s">
        <v>10895</v>
      </c>
      <c r="C51" s="352"/>
      <c r="D51" s="352"/>
      <c r="E51" s="366">
        <v>18.809999999999999</v>
      </c>
      <c r="F51" s="366">
        <v>3</v>
      </c>
      <c r="G51" s="367" t="s">
        <v>16</v>
      </c>
      <c r="H51" s="222">
        <f>ROUND(E51/F51,0)</f>
        <v>6</v>
      </c>
      <c r="I51" s="368" t="str">
        <f>I50</f>
        <v>unid</v>
      </c>
      <c r="J51" s="369"/>
    </row>
    <row r="52" spans="1:15" ht="15.75" thickBot="1" x14ac:dyDescent="0.3">
      <c r="A52" s="350"/>
      <c r="B52" s="352"/>
      <c r="C52" s="352"/>
      <c r="D52" s="370"/>
      <c r="E52" s="370"/>
      <c r="F52" s="370"/>
      <c r="G52" s="370"/>
      <c r="H52" s="370"/>
      <c r="I52" s="370"/>
      <c r="J52" s="371"/>
    </row>
    <row r="53" spans="1:15" ht="15.75" thickBot="1" x14ac:dyDescent="0.3">
      <c r="A53" s="46" t="s">
        <v>107</v>
      </c>
      <c r="B53" s="60" t="str">
        <f>VLOOKUP(A53,PO!$A$8:$K$433,4,FALSE)</f>
        <v xml:space="preserve">Remoção de forros de PVC, de forma manual, sem reaproveitamento. </v>
      </c>
      <c r="C53" s="47"/>
      <c r="D53" s="48"/>
      <c r="E53" s="47"/>
      <c r="F53" s="49"/>
      <c r="G53" s="50"/>
      <c r="H53" s="50"/>
      <c r="I53" s="50">
        <f>SUM(H56:H67)</f>
        <v>175.78919999999999</v>
      </c>
      <c r="J53" s="338" t="str">
        <f>VLOOKUP(A53,PO!$A$8:'PO'!$E$1270,5,FALSE)</f>
        <v>m²</v>
      </c>
    </row>
    <row r="54" spans="1:15" x14ac:dyDescent="0.25">
      <c r="A54" s="347"/>
      <c r="B54" s="204"/>
      <c r="C54" s="205"/>
      <c r="D54" s="206"/>
      <c r="E54" s="205"/>
      <c r="F54" s="373"/>
      <c r="G54" s="370"/>
      <c r="H54" s="208"/>
      <c r="I54" s="208"/>
      <c r="J54" s="372"/>
    </row>
    <row r="55" spans="1:15" s="198" customFormat="1" x14ac:dyDescent="0.25">
      <c r="A55" s="350" t="s">
        <v>13862</v>
      </c>
      <c r="B55" s="363" t="s">
        <v>21</v>
      </c>
      <c r="C55" s="359"/>
      <c r="D55" s="359"/>
      <c r="E55" s="363" t="s">
        <v>10921</v>
      </c>
      <c r="F55" s="363" t="s">
        <v>10922</v>
      </c>
      <c r="G55" s="210"/>
      <c r="H55" s="363" t="s">
        <v>14</v>
      </c>
      <c r="I55" s="363" t="s">
        <v>15</v>
      </c>
      <c r="J55" s="364"/>
    </row>
    <row r="56" spans="1:15" x14ac:dyDescent="0.25">
      <c r="A56" s="350"/>
      <c r="B56" s="367" t="s">
        <v>10910</v>
      </c>
      <c r="C56" s="352"/>
      <c r="D56" s="352"/>
      <c r="E56" s="374">
        <v>1.46</v>
      </c>
      <c r="F56" s="374">
        <v>3.02</v>
      </c>
      <c r="G56" s="222" t="s">
        <v>16</v>
      </c>
      <c r="H56" s="367">
        <f>E56*F56</f>
        <v>4.4092000000000002</v>
      </c>
      <c r="I56" s="368" t="str">
        <f>$J$53</f>
        <v>m²</v>
      </c>
      <c r="J56" s="369"/>
    </row>
    <row r="57" spans="1:15" ht="15" customHeight="1" x14ac:dyDescent="0.25">
      <c r="A57" s="350"/>
      <c r="B57" s="365" t="s">
        <v>10899</v>
      </c>
      <c r="C57" s="352"/>
      <c r="D57" s="352"/>
      <c r="E57" s="354">
        <v>4</v>
      </c>
      <c r="F57" s="354">
        <v>4.95</v>
      </c>
      <c r="G57" s="367" t="s">
        <v>16</v>
      </c>
      <c r="H57" s="222">
        <f t="shared" ref="H57:H67" si="4">ROUND(E57*F57,2)</f>
        <v>19.8</v>
      </c>
      <c r="I57" s="368" t="str">
        <f t="shared" ref="I57:I67" si="5">$J$53</f>
        <v>m²</v>
      </c>
      <c r="J57" s="369"/>
      <c r="L57" s="224"/>
      <c r="M57" s="223"/>
      <c r="N57" s="225"/>
      <c r="O57" s="225"/>
    </row>
    <row r="58" spans="1:15" ht="15" customHeight="1" x14ac:dyDescent="0.25">
      <c r="A58" s="350"/>
      <c r="B58" s="365" t="s">
        <v>10900</v>
      </c>
      <c r="C58" s="352"/>
      <c r="D58" s="352"/>
      <c r="E58" s="354">
        <v>4</v>
      </c>
      <c r="F58" s="354">
        <v>4.95</v>
      </c>
      <c r="G58" s="367" t="s">
        <v>16</v>
      </c>
      <c r="H58" s="222">
        <f t="shared" si="4"/>
        <v>19.8</v>
      </c>
      <c r="I58" s="368" t="str">
        <f t="shared" si="5"/>
        <v>m²</v>
      </c>
      <c r="J58" s="369"/>
      <c r="L58" s="224"/>
      <c r="M58" s="223"/>
      <c r="N58" s="225"/>
      <c r="O58" s="225"/>
    </row>
    <row r="59" spans="1:15" ht="15" customHeight="1" x14ac:dyDescent="0.25">
      <c r="A59" s="350"/>
      <c r="B59" s="365" t="s">
        <v>10901</v>
      </c>
      <c r="C59" s="352"/>
      <c r="D59" s="352"/>
      <c r="E59" s="354">
        <v>4</v>
      </c>
      <c r="F59" s="354">
        <v>4.95</v>
      </c>
      <c r="G59" s="367" t="s">
        <v>16</v>
      </c>
      <c r="H59" s="222">
        <f t="shared" si="4"/>
        <v>19.8</v>
      </c>
      <c r="I59" s="368" t="str">
        <f t="shared" si="5"/>
        <v>m²</v>
      </c>
      <c r="J59" s="369"/>
    </row>
    <row r="60" spans="1:15" ht="15" customHeight="1" x14ac:dyDescent="0.25">
      <c r="A60" s="350"/>
      <c r="B60" s="365" t="s">
        <v>10902</v>
      </c>
      <c r="C60" s="352"/>
      <c r="D60" s="352"/>
      <c r="E60" s="354">
        <v>4.09</v>
      </c>
      <c r="F60" s="354">
        <v>5.25</v>
      </c>
      <c r="G60" s="367" t="s">
        <v>16</v>
      </c>
      <c r="H60" s="222">
        <f t="shared" si="4"/>
        <v>21.47</v>
      </c>
      <c r="I60" s="368" t="str">
        <f t="shared" si="5"/>
        <v>m²</v>
      </c>
      <c r="J60" s="369"/>
    </row>
    <row r="61" spans="1:15" ht="15" customHeight="1" x14ac:dyDescent="0.25">
      <c r="A61" s="350"/>
      <c r="B61" s="365" t="s">
        <v>10903</v>
      </c>
      <c r="C61" s="352"/>
      <c r="D61" s="352"/>
      <c r="E61" s="354">
        <v>3.81</v>
      </c>
      <c r="F61" s="354">
        <v>3.87</v>
      </c>
      <c r="G61" s="367" t="s">
        <v>16</v>
      </c>
      <c r="H61" s="222">
        <f t="shared" si="4"/>
        <v>14.74</v>
      </c>
      <c r="I61" s="368" t="str">
        <f t="shared" si="5"/>
        <v>m²</v>
      </c>
      <c r="J61" s="369"/>
    </row>
    <row r="62" spans="1:15" ht="15" customHeight="1" x14ac:dyDescent="0.25">
      <c r="A62" s="350"/>
      <c r="B62" s="365" t="s">
        <v>10904</v>
      </c>
      <c r="C62" s="352"/>
      <c r="D62" s="352"/>
      <c r="E62" s="354">
        <v>3.22</v>
      </c>
      <c r="F62" s="354">
        <v>5.01</v>
      </c>
      <c r="G62" s="367" t="s">
        <v>16</v>
      </c>
      <c r="H62" s="222">
        <f t="shared" si="4"/>
        <v>16.13</v>
      </c>
      <c r="I62" s="368" t="str">
        <f t="shared" si="5"/>
        <v>m²</v>
      </c>
      <c r="J62" s="369"/>
    </row>
    <row r="63" spans="1:15" ht="15" customHeight="1" x14ac:dyDescent="0.25">
      <c r="A63" s="350"/>
      <c r="B63" s="365" t="s">
        <v>10905</v>
      </c>
      <c r="C63" s="352"/>
      <c r="D63" s="352"/>
      <c r="E63" s="354">
        <v>4.4400000000000004</v>
      </c>
      <c r="F63" s="354">
        <v>5.01</v>
      </c>
      <c r="G63" s="367" t="s">
        <v>16</v>
      </c>
      <c r="H63" s="222">
        <f t="shared" si="4"/>
        <v>22.24</v>
      </c>
      <c r="I63" s="368" t="str">
        <f t="shared" si="5"/>
        <v>m²</v>
      </c>
      <c r="J63" s="369"/>
    </row>
    <row r="64" spans="1:15" ht="15" customHeight="1" x14ac:dyDescent="0.25">
      <c r="A64" s="350"/>
      <c r="B64" s="365" t="s">
        <v>10906</v>
      </c>
      <c r="C64" s="352"/>
      <c r="D64" s="352"/>
      <c r="E64" s="354">
        <v>5.54</v>
      </c>
      <c r="F64" s="354">
        <v>3.87</v>
      </c>
      <c r="G64" s="367" t="s">
        <v>16</v>
      </c>
      <c r="H64" s="222">
        <f t="shared" si="4"/>
        <v>21.44</v>
      </c>
      <c r="I64" s="368" t="str">
        <f t="shared" si="5"/>
        <v>m²</v>
      </c>
      <c r="J64" s="369"/>
    </row>
    <row r="65" spans="1:12" ht="15" customHeight="1" x14ac:dyDescent="0.25">
      <c r="A65" s="350"/>
      <c r="B65" s="365" t="s">
        <v>10907</v>
      </c>
      <c r="C65" s="352"/>
      <c r="D65" s="352"/>
      <c r="E65" s="354">
        <v>1.56</v>
      </c>
      <c r="F65" s="354">
        <v>1.79</v>
      </c>
      <c r="G65" s="367" t="s">
        <v>16</v>
      </c>
      <c r="H65" s="222">
        <f t="shared" si="4"/>
        <v>2.79</v>
      </c>
      <c r="I65" s="368" t="str">
        <f t="shared" si="5"/>
        <v>m²</v>
      </c>
      <c r="J65" s="369"/>
    </row>
    <row r="66" spans="1:12" ht="15" customHeight="1" x14ac:dyDescent="0.25">
      <c r="A66" s="350"/>
      <c r="B66" s="365" t="s">
        <v>10908</v>
      </c>
      <c r="C66" s="352"/>
      <c r="D66" s="352"/>
      <c r="E66" s="354">
        <v>1.18</v>
      </c>
      <c r="F66" s="354">
        <v>1.66</v>
      </c>
      <c r="G66" s="367" t="s">
        <v>16</v>
      </c>
      <c r="H66" s="222">
        <f t="shared" si="4"/>
        <v>1.96</v>
      </c>
      <c r="I66" s="368" t="str">
        <f t="shared" si="5"/>
        <v>m²</v>
      </c>
      <c r="J66" s="369"/>
    </row>
    <row r="67" spans="1:12" ht="15" customHeight="1" x14ac:dyDescent="0.25">
      <c r="A67" s="350"/>
      <c r="B67" s="365" t="s">
        <v>10914</v>
      </c>
      <c r="C67" s="352"/>
      <c r="D67" s="352"/>
      <c r="E67" s="354">
        <v>1.18</v>
      </c>
      <c r="F67" s="354">
        <v>9.5</v>
      </c>
      <c r="G67" s="367" t="s">
        <v>16</v>
      </c>
      <c r="H67" s="222">
        <f t="shared" si="4"/>
        <v>11.21</v>
      </c>
      <c r="I67" s="368" t="str">
        <f t="shared" si="5"/>
        <v>m²</v>
      </c>
      <c r="J67" s="369"/>
    </row>
    <row r="68" spans="1:12" ht="15.75" thickBot="1" x14ac:dyDescent="0.3">
      <c r="A68" s="350"/>
      <c r="B68" s="352"/>
      <c r="C68" s="352"/>
      <c r="D68" s="352"/>
      <c r="E68" s="352"/>
      <c r="F68" s="352"/>
      <c r="G68" s="352"/>
      <c r="H68" s="352"/>
      <c r="I68" s="352"/>
      <c r="J68" s="369"/>
    </row>
    <row r="69" spans="1:12" ht="15.75" thickBot="1" x14ac:dyDescent="0.3">
      <c r="A69" s="46" t="s">
        <v>108</v>
      </c>
      <c r="B69" s="60" t="str">
        <f>VLOOKUP(A69,PO!$A$8:$K$433,4,FALSE)</f>
        <v xml:space="preserve">Remoção de trama metálica ou de madeira para forro, de forma manual, sem reaproveitamento. </v>
      </c>
      <c r="C69" s="47"/>
      <c r="D69" s="48"/>
      <c r="E69" s="47"/>
      <c r="F69" s="49"/>
      <c r="G69" s="50"/>
      <c r="H69" s="50"/>
      <c r="I69" s="50">
        <f>SUM(H72:H73)</f>
        <v>175.78919999999999</v>
      </c>
      <c r="J69" s="338" t="str">
        <f>VLOOKUP(A69,PO!$A$8:'PO'!$E$1270,5,FALSE)</f>
        <v>m²</v>
      </c>
    </row>
    <row r="70" spans="1:12" x14ac:dyDescent="0.25">
      <c r="A70" s="347"/>
      <c r="B70" s="204"/>
      <c r="C70" s="205"/>
      <c r="D70" s="206"/>
      <c r="E70" s="205"/>
      <c r="F70" s="373"/>
      <c r="G70" s="370"/>
      <c r="H70" s="208"/>
      <c r="I70" s="208"/>
      <c r="J70" s="372"/>
    </row>
    <row r="71" spans="1:12" s="198" customFormat="1" x14ac:dyDescent="0.25">
      <c r="A71" s="350" t="s">
        <v>13862</v>
      </c>
      <c r="B71" s="363" t="s">
        <v>21</v>
      </c>
      <c r="C71" s="359"/>
      <c r="D71" s="359"/>
      <c r="E71" s="363"/>
      <c r="F71" s="363" t="s">
        <v>10936</v>
      </c>
      <c r="G71" s="210"/>
      <c r="H71" s="363" t="s">
        <v>14</v>
      </c>
      <c r="I71" s="363" t="s">
        <v>15</v>
      </c>
      <c r="J71" s="364"/>
    </row>
    <row r="72" spans="1:12" x14ac:dyDescent="0.25">
      <c r="A72" s="350"/>
      <c r="B72" s="367" t="s">
        <v>11159</v>
      </c>
      <c r="C72" s="352"/>
      <c r="D72" s="352"/>
      <c r="E72" s="374"/>
      <c r="F72" s="374">
        <f>$I$53</f>
        <v>175.78919999999999</v>
      </c>
      <c r="G72" s="222" t="s">
        <v>16</v>
      </c>
      <c r="H72" s="222">
        <f>F72</f>
        <v>175.78919999999999</v>
      </c>
      <c r="I72" s="368" t="str">
        <f>$J$69</f>
        <v>m²</v>
      </c>
      <c r="J72" s="369"/>
    </row>
    <row r="73" spans="1:12" ht="15" customHeight="1" thickBot="1" x14ac:dyDescent="0.3">
      <c r="A73" s="350"/>
      <c r="B73" s="365"/>
      <c r="C73" s="352"/>
      <c r="D73" s="352"/>
      <c r="E73" s="354"/>
      <c r="F73" s="354"/>
      <c r="G73" s="367"/>
      <c r="H73" s="222"/>
      <c r="I73" s="368"/>
      <c r="J73" s="369"/>
    </row>
    <row r="74" spans="1:12" ht="15.75" thickBot="1" x14ac:dyDescent="0.3">
      <c r="A74" s="46" t="s">
        <v>109</v>
      </c>
      <c r="B74" s="60" t="str">
        <f>VLOOKUP(A74,PO!$A$8:$K$433,4,FALSE)</f>
        <v>Remoção de luminárias, de forma manual, sem reaproveitamento.</v>
      </c>
      <c r="C74" s="47"/>
      <c r="D74" s="48"/>
      <c r="E74" s="47"/>
      <c r="F74" s="49"/>
      <c r="G74" s="50"/>
      <c r="H74" s="50"/>
      <c r="I74" s="50">
        <f>SUM(H77:H87)</f>
        <v>36</v>
      </c>
      <c r="J74" s="338" t="str">
        <f>VLOOKUP(A74,PO!$A$8:'PO'!$E$1270,5,FALSE)</f>
        <v>unid</v>
      </c>
    </row>
    <row r="75" spans="1:12" x14ac:dyDescent="0.25">
      <c r="A75" s="347"/>
      <c r="B75" s="204"/>
      <c r="C75" s="205"/>
      <c r="D75" s="206"/>
      <c r="E75" s="205"/>
      <c r="F75" s="373"/>
      <c r="G75" s="370"/>
      <c r="H75" s="208"/>
      <c r="I75" s="208"/>
      <c r="J75" s="372"/>
    </row>
    <row r="76" spans="1:12" s="198" customFormat="1" ht="14.25" x14ac:dyDescent="0.2">
      <c r="A76" s="362"/>
      <c r="B76" s="363" t="s">
        <v>21</v>
      </c>
      <c r="C76" s="359"/>
      <c r="D76" s="359"/>
      <c r="E76" s="363"/>
      <c r="F76" s="363" t="s">
        <v>10909</v>
      </c>
      <c r="G76" s="210"/>
      <c r="H76" s="363" t="s">
        <v>14</v>
      </c>
      <c r="I76" s="363" t="s">
        <v>15</v>
      </c>
      <c r="J76" s="364"/>
    </row>
    <row r="77" spans="1:12" ht="15" customHeight="1" x14ac:dyDescent="0.25">
      <c r="A77" s="350" t="s">
        <v>13862</v>
      </c>
      <c r="B77" s="365" t="s">
        <v>10910</v>
      </c>
      <c r="C77" s="352"/>
      <c r="D77" s="352"/>
      <c r="E77" s="354"/>
      <c r="F77" s="354">
        <v>2</v>
      </c>
      <c r="G77" s="367" t="s">
        <v>16</v>
      </c>
      <c r="H77" s="222">
        <f>ROUND(F77,2)</f>
        <v>2</v>
      </c>
      <c r="I77" s="368" t="str">
        <f>J74</f>
        <v>unid</v>
      </c>
      <c r="J77" s="369"/>
      <c r="L77" s="202"/>
    </row>
    <row r="78" spans="1:12" ht="15" customHeight="1" x14ac:dyDescent="0.25">
      <c r="A78" s="350"/>
      <c r="B78" s="365" t="s">
        <v>10899</v>
      </c>
      <c r="C78" s="352"/>
      <c r="D78" s="352"/>
      <c r="E78" s="354"/>
      <c r="F78" s="354">
        <v>4</v>
      </c>
      <c r="G78" s="367" t="s">
        <v>16</v>
      </c>
      <c r="H78" s="222">
        <f t="shared" ref="H78:H88" si="6">ROUND(F78,2)</f>
        <v>4</v>
      </c>
      <c r="I78" s="368" t="str">
        <f>I77</f>
        <v>unid</v>
      </c>
      <c r="J78" s="369"/>
    </row>
    <row r="79" spans="1:12" ht="15" customHeight="1" x14ac:dyDescent="0.25">
      <c r="A79" s="350"/>
      <c r="B79" s="365" t="s">
        <v>10900</v>
      </c>
      <c r="C79" s="352"/>
      <c r="D79" s="352"/>
      <c r="E79" s="354"/>
      <c r="F79" s="354">
        <v>4</v>
      </c>
      <c r="G79" s="367" t="s">
        <v>16</v>
      </c>
      <c r="H79" s="222">
        <f t="shared" si="6"/>
        <v>4</v>
      </c>
      <c r="I79" s="368" t="str">
        <f t="shared" ref="I79:I88" si="7">I78</f>
        <v>unid</v>
      </c>
      <c r="J79" s="369"/>
    </row>
    <row r="80" spans="1:12" ht="15" customHeight="1" x14ac:dyDescent="0.25">
      <c r="A80" s="350"/>
      <c r="B80" s="365" t="s">
        <v>10901</v>
      </c>
      <c r="C80" s="352"/>
      <c r="D80" s="352"/>
      <c r="E80" s="354"/>
      <c r="F80" s="354">
        <v>4</v>
      </c>
      <c r="G80" s="367" t="s">
        <v>16</v>
      </c>
      <c r="H80" s="222">
        <f t="shared" si="6"/>
        <v>4</v>
      </c>
      <c r="I80" s="368" t="str">
        <f t="shared" si="7"/>
        <v>unid</v>
      </c>
      <c r="J80" s="369"/>
    </row>
    <row r="81" spans="1:12" ht="15" customHeight="1" x14ac:dyDescent="0.25">
      <c r="A81" s="350"/>
      <c r="B81" s="365" t="s">
        <v>10902</v>
      </c>
      <c r="C81" s="352"/>
      <c r="D81" s="352"/>
      <c r="E81" s="354"/>
      <c r="F81" s="354">
        <v>4</v>
      </c>
      <c r="G81" s="367" t="s">
        <v>16</v>
      </c>
      <c r="H81" s="222">
        <f t="shared" si="6"/>
        <v>4</v>
      </c>
      <c r="I81" s="368" t="str">
        <f t="shared" si="7"/>
        <v>unid</v>
      </c>
      <c r="J81" s="369"/>
    </row>
    <row r="82" spans="1:12" ht="15" customHeight="1" x14ac:dyDescent="0.25">
      <c r="A82" s="350"/>
      <c r="B82" s="365" t="s">
        <v>10903</v>
      </c>
      <c r="C82" s="352"/>
      <c r="D82" s="352"/>
      <c r="E82" s="354"/>
      <c r="F82" s="354">
        <v>4</v>
      </c>
      <c r="G82" s="367" t="s">
        <v>16</v>
      </c>
      <c r="H82" s="222">
        <f t="shared" si="6"/>
        <v>4</v>
      </c>
      <c r="I82" s="368" t="str">
        <f t="shared" si="7"/>
        <v>unid</v>
      </c>
      <c r="J82" s="369"/>
    </row>
    <row r="83" spans="1:12" ht="15" customHeight="1" x14ac:dyDescent="0.25">
      <c r="A83" s="350"/>
      <c r="B83" s="365" t="s">
        <v>10904</v>
      </c>
      <c r="C83" s="352"/>
      <c r="D83" s="352"/>
      <c r="E83" s="354"/>
      <c r="F83" s="354">
        <v>4</v>
      </c>
      <c r="G83" s="367" t="s">
        <v>16</v>
      </c>
      <c r="H83" s="222">
        <f t="shared" si="6"/>
        <v>4</v>
      </c>
      <c r="I83" s="368" t="str">
        <f t="shared" si="7"/>
        <v>unid</v>
      </c>
      <c r="J83" s="369"/>
    </row>
    <row r="84" spans="1:12" ht="15" customHeight="1" x14ac:dyDescent="0.25">
      <c r="A84" s="350"/>
      <c r="B84" s="365" t="s">
        <v>10905</v>
      </c>
      <c r="C84" s="352"/>
      <c r="D84" s="352"/>
      <c r="E84" s="354"/>
      <c r="F84" s="354">
        <v>4</v>
      </c>
      <c r="G84" s="367" t="s">
        <v>16</v>
      </c>
      <c r="H84" s="222">
        <f t="shared" si="6"/>
        <v>4</v>
      </c>
      <c r="I84" s="368" t="str">
        <f t="shared" si="7"/>
        <v>unid</v>
      </c>
      <c r="J84" s="369"/>
    </row>
    <row r="85" spans="1:12" ht="15" customHeight="1" x14ac:dyDescent="0.25">
      <c r="A85" s="350"/>
      <c r="B85" s="365" t="s">
        <v>10906</v>
      </c>
      <c r="C85" s="352"/>
      <c r="D85" s="352"/>
      <c r="E85" s="354"/>
      <c r="F85" s="354">
        <v>4</v>
      </c>
      <c r="G85" s="367" t="s">
        <v>16</v>
      </c>
      <c r="H85" s="222">
        <f t="shared" si="6"/>
        <v>4</v>
      </c>
      <c r="I85" s="368" t="str">
        <f t="shared" si="7"/>
        <v>unid</v>
      </c>
      <c r="J85" s="369"/>
    </row>
    <row r="86" spans="1:12" ht="15" customHeight="1" x14ac:dyDescent="0.25">
      <c r="A86" s="350"/>
      <c r="B86" s="365" t="s">
        <v>10907</v>
      </c>
      <c r="C86" s="352"/>
      <c r="D86" s="352"/>
      <c r="E86" s="354"/>
      <c r="F86" s="354">
        <v>1</v>
      </c>
      <c r="G86" s="367" t="s">
        <v>16</v>
      </c>
      <c r="H86" s="222">
        <f t="shared" si="6"/>
        <v>1</v>
      </c>
      <c r="I86" s="368" t="str">
        <f t="shared" si="7"/>
        <v>unid</v>
      </c>
      <c r="J86" s="369"/>
    </row>
    <row r="87" spans="1:12" ht="15" customHeight="1" x14ac:dyDescent="0.25">
      <c r="A87" s="350"/>
      <c r="B87" s="365" t="s">
        <v>10908</v>
      </c>
      <c r="C87" s="352"/>
      <c r="D87" s="352"/>
      <c r="E87" s="354"/>
      <c r="F87" s="354">
        <v>1</v>
      </c>
      <c r="G87" s="367" t="s">
        <v>16</v>
      </c>
      <c r="H87" s="222">
        <f t="shared" si="6"/>
        <v>1</v>
      </c>
      <c r="I87" s="368" t="str">
        <f t="shared" si="7"/>
        <v>unid</v>
      </c>
      <c r="J87" s="369"/>
    </row>
    <row r="88" spans="1:12" ht="15" customHeight="1" x14ac:dyDescent="0.25">
      <c r="A88" s="350"/>
      <c r="B88" s="365" t="s">
        <v>10914</v>
      </c>
      <c r="C88" s="352"/>
      <c r="D88" s="352"/>
      <c r="E88" s="354"/>
      <c r="F88" s="354">
        <v>2</v>
      </c>
      <c r="G88" s="367" t="s">
        <v>16</v>
      </c>
      <c r="H88" s="222">
        <f t="shared" si="6"/>
        <v>2</v>
      </c>
      <c r="I88" s="368" t="str">
        <f t="shared" si="7"/>
        <v>unid</v>
      </c>
      <c r="J88" s="369"/>
    </row>
    <row r="89" spans="1:12" ht="15.75" thickBot="1" x14ac:dyDescent="0.3">
      <c r="A89" s="350"/>
      <c r="B89" s="352"/>
      <c r="C89" s="352"/>
      <c r="D89" s="375"/>
      <c r="E89" s="375"/>
      <c r="F89" s="373"/>
      <c r="G89" s="370"/>
      <c r="H89" s="376"/>
      <c r="I89" s="377"/>
      <c r="J89" s="369"/>
    </row>
    <row r="90" spans="1:12" ht="15.75" thickBot="1" x14ac:dyDescent="0.3">
      <c r="A90" s="46" t="s">
        <v>110</v>
      </c>
      <c r="B90" s="60" t="str">
        <f>VLOOKUP(A90,PO!$A$8:$K$433,4,FALSE)</f>
        <v xml:space="preserve">Remoção de interruptores/tomadas elétricas, de forma manual, sem reaproveitamento. </v>
      </c>
      <c r="C90" s="47"/>
      <c r="D90" s="48"/>
      <c r="E90" s="47"/>
      <c r="F90" s="49"/>
      <c r="G90" s="50"/>
      <c r="H90" s="50"/>
      <c r="I90" s="50">
        <f>SUM(H93:H105)</f>
        <v>64</v>
      </c>
      <c r="J90" s="338" t="str">
        <f>VLOOKUP(A90,PO!$A$8:'PO'!$E$1270,5,FALSE)</f>
        <v>unid</v>
      </c>
    </row>
    <row r="91" spans="1:12" x14ac:dyDescent="0.25">
      <c r="A91" s="347"/>
      <c r="B91" s="204"/>
      <c r="C91" s="205"/>
      <c r="D91" s="206"/>
      <c r="E91" s="205"/>
      <c r="F91" s="373"/>
      <c r="G91" s="370"/>
      <c r="H91" s="208"/>
      <c r="I91" s="208"/>
      <c r="J91" s="372"/>
    </row>
    <row r="92" spans="1:12" s="198" customFormat="1" x14ac:dyDescent="0.25">
      <c r="A92" s="350" t="s">
        <v>13862</v>
      </c>
      <c r="B92" s="363" t="s">
        <v>21</v>
      </c>
      <c r="C92" s="359"/>
      <c r="D92" s="359"/>
      <c r="E92" s="363" t="s">
        <v>10912</v>
      </c>
      <c r="F92" s="363" t="s">
        <v>10909</v>
      </c>
      <c r="G92" s="210"/>
      <c r="H92" s="363" t="s">
        <v>14</v>
      </c>
      <c r="I92" s="363" t="s">
        <v>15</v>
      </c>
      <c r="J92" s="364"/>
    </row>
    <row r="93" spans="1:12" ht="15" customHeight="1" x14ac:dyDescent="0.25">
      <c r="A93" s="350"/>
      <c r="B93" s="365" t="s">
        <v>10910</v>
      </c>
      <c r="C93" s="352"/>
      <c r="D93" s="352"/>
      <c r="E93" s="354">
        <v>23.74</v>
      </c>
      <c r="F93" s="354">
        <v>5</v>
      </c>
      <c r="G93" s="367" t="s">
        <v>16</v>
      </c>
      <c r="H93" s="222">
        <f>ROUND(E93/F93,0)</f>
        <v>5</v>
      </c>
      <c r="I93" s="368" t="str">
        <f>J90</f>
        <v>unid</v>
      </c>
      <c r="J93" s="369"/>
      <c r="L93" s="202"/>
    </row>
    <row r="94" spans="1:12" ht="15" customHeight="1" x14ac:dyDescent="0.25">
      <c r="A94" s="350"/>
      <c r="B94" s="365" t="s">
        <v>10899</v>
      </c>
      <c r="C94" s="352"/>
      <c r="D94" s="352"/>
      <c r="E94" s="354">
        <v>17.899999999999999</v>
      </c>
      <c r="F94" s="354">
        <v>5</v>
      </c>
      <c r="G94" s="367" t="s">
        <v>16</v>
      </c>
      <c r="H94" s="222">
        <f t="shared" ref="H94:H105" si="8">ROUND(E94/F94,0)</f>
        <v>4</v>
      </c>
      <c r="I94" s="368" t="str">
        <f>I93</f>
        <v>unid</v>
      </c>
      <c r="J94" s="369"/>
    </row>
    <row r="95" spans="1:12" ht="15" customHeight="1" x14ac:dyDescent="0.25">
      <c r="A95" s="350"/>
      <c r="B95" s="365" t="s">
        <v>10900</v>
      </c>
      <c r="C95" s="352"/>
      <c r="D95" s="352"/>
      <c r="E95" s="354">
        <v>17.899999999999999</v>
      </c>
      <c r="F95" s="354">
        <v>5</v>
      </c>
      <c r="G95" s="367" t="s">
        <v>16</v>
      </c>
      <c r="H95" s="222">
        <f t="shared" si="8"/>
        <v>4</v>
      </c>
      <c r="I95" s="368" t="str">
        <f t="shared" ref="I95:I105" si="9">I94</f>
        <v>unid</v>
      </c>
      <c r="J95" s="369"/>
    </row>
    <row r="96" spans="1:12" ht="15" customHeight="1" x14ac:dyDescent="0.25">
      <c r="A96" s="350"/>
      <c r="B96" s="365" t="s">
        <v>10901</v>
      </c>
      <c r="C96" s="352"/>
      <c r="D96" s="352"/>
      <c r="E96" s="354">
        <v>17.899999999999999</v>
      </c>
      <c r="F96" s="354">
        <v>5</v>
      </c>
      <c r="G96" s="367" t="s">
        <v>16</v>
      </c>
      <c r="H96" s="222">
        <f t="shared" si="8"/>
        <v>4</v>
      </c>
      <c r="I96" s="368" t="str">
        <f t="shared" si="9"/>
        <v>unid</v>
      </c>
      <c r="J96" s="369"/>
    </row>
    <row r="97" spans="1:12" ht="15" customHeight="1" x14ac:dyDescent="0.25">
      <c r="A97" s="350"/>
      <c r="B97" s="365" t="s">
        <v>10902</v>
      </c>
      <c r="C97" s="352"/>
      <c r="D97" s="352"/>
      <c r="E97" s="354">
        <v>18.68</v>
      </c>
      <c r="F97" s="354">
        <v>5</v>
      </c>
      <c r="G97" s="367" t="s">
        <v>16</v>
      </c>
      <c r="H97" s="222">
        <f t="shared" si="8"/>
        <v>4</v>
      </c>
      <c r="I97" s="368" t="str">
        <f t="shared" si="9"/>
        <v>unid</v>
      </c>
      <c r="J97" s="369"/>
    </row>
    <row r="98" spans="1:12" ht="15" customHeight="1" x14ac:dyDescent="0.25">
      <c r="A98" s="350"/>
      <c r="B98" s="365" t="s">
        <v>10903</v>
      </c>
      <c r="C98" s="352"/>
      <c r="D98" s="352"/>
      <c r="E98" s="354">
        <v>15.36</v>
      </c>
      <c r="F98" s="354">
        <v>5</v>
      </c>
      <c r="G98" s="367" t="s">
        <v>16</v>
      </c>
      <c r="H98" s="222">
        <f t="shared" si="8"/>
        <v>3</v>
      </c>
      <c r="I98" s="368" t="str">
        <f t="shared" si="9"/>
        <v>unid</v>
      </c>
      <c r="J98" s="369"/>
    </row>
    <row r="99" spans="1:12" ht="15" customHeight="1" x14ac:dyDescent="0.25">
      <c r="A99" s="350"/>
      <c r="B99" s="365" t="s">
        <v>10904</v>
      </c>
      <c r="C99" s="352"/>
      <c r="D99" s="352"/>
      <c r="E99" s="354">
        <v>16.46</v>
      </c>
      <c r="F99" s="354">
        <v>5</v>
      </c>
      <c r="G99" s="367" t="s">
        <v>16</v>
      </c>
      <c r="H99" s="222">
        <f t="shared" si="8"/>
        <v>3</v>
      </c>
      <c r="I99" s="368" t="str">
        <f t="shared" si="9"/>
        <v>unid</v>
      </c>
      <c r="J99" s="369"/>
    </row>
    <row r="100" spans="1:12" ht="15" customHeight="1" x14ac:dyDescent="0.25">
      <c r="A100" s="350"/>
      <c r="B100" s="365" t="s">
        <v>10905</v>
      </c>
      <c r="C100" s="352"/>
      <c r="D100" s="352"/>
      <c r="E100" s="354">
        <v>18.899999999999999</v>
      </c>
      <c r="F100" s="354">
        <v>5</v>
      </c>
      <c r="G100" s="367" t="s">
        <v>16</v>
      </c>
      <c r="H100" s="222">
        <f t="shared" si="8"/>
        <v>4</v>
      </c>
      <c r="I100" s="368" t="str">
        <f t="shared" si="9"/>
        <v>unid</v>
      </c>
      <c r="J100" s="369"/>
    </row>
    <row r="101" spans="1:12" ht="15" customHeight="1" x14ac:dyDescent="0.25">
      <c r="A101" s="350"/>
      <c r="B101" s="365" t="s">
        <v>10906</v>
      </c>
      <c r="C101" s="352"/>
      <c r="D101" s="352"/>
      <c r="E101" s="354">
        <f>21.16+4.42+4.42+4.96+9.64</f>
        <v>44.6</v>
      </c>
      <c r="F101" s="354">
        <v>3.5</v>
      </c>
      <c r="G101" s="367" t="s">
        <v>16</v>
      </c>
      <c r="H101" s="222">
        <f t="shared" si="8"/>
        <v>13</v>
      </c>
      <c r="I101" s="368" t="str">
        <f t="shared" si="9"/>
        <v>unid</v>
      </c>
      <c r="J101" s="369"/>
    </row>
    <row r="102" spans="1:12" ht="15" customHeight="1" x14ac:dyDescent="0.25">
      <c r="A102" s="350"/>
      <c r="B102" s="365" t="s">
        <v>10907</v>
      </c>
      <c r="C102" s="352"/>
      <c r="D102" s="352"/>
      <c r="E102" s="354">
        <v>6.7</v>
      </c>
      <c r="F102" s="354">
        <v>3.5</v>
      </c>
      <c r="G102" s="367" t="s">
        <v>16</v>
      </c>
      <c r="H102" s="222">
        <f t="shared" si="8"/>
        <v>2</v>
      </c>
      <c r="I102" s="368" t="str">
        <f t="shared" si="9"/>
        <v>unid</v>
      </c>
      <c r="J102" s="369"/>
    </row>
    <row r="103" spans="1:12" ht="15" customHeight="1" x14ac:dyDescent="0.25">
      <c r="A103" s="350"/>
      <c r="B103" s="365" t="s">
        <v>10908</v>
      </c>
      <c r="C103" s="352"/>
      <c r="D103" s="352"/>
      <c r="E103" s="354">
        <v>5.64</v>
      </c>
      <c r="F103" s="354">
        <v>3.5</v>
      </c>
      <c r="G103" s="367" t="s">
        <v>16</v>
      </c>
      <c r="H103" s="222">
        <f t="shared" si="8"/>
        <v>2</v>
      </c>
      <c r="I103" s="368" t="str">
        <f t="shared" si="9"/>
        <v>unid</v>
      </c>
      <c r="J103" s="369"/>
    </row>
    <row r="104" spans="1:12" x14ac:dyDescent="0.25">
      <c r="A104" s="350"/>
      <c r="B104" s="365" t="s">
        <v>10911</v>
      </c>
      <c r="C104" s="352"/>
      <c r="D104" s="352"/>
      <c r="E104" s="354">
        <v>61.22</v>
      </c>
      <c r="F104" s="354">
        <v>5</v>
      </c>
      <c r="G104" s="367" t="s">
        <v>16</v>
      </c>
      <c r="H104" s="222">
        <f t="shared" si="8"/>
        <v>12</v>
      </c>
      <c r="I104" s="368" t="str">
        <f t="shared" si="9"/>
        <v>unid</v>
      </c>
      <c r="J104" s="369"/>
    </row>
    <row r="105" spans="1:12" x14ac:dyDescent="0.25">
      <c r="A105" s="350"/>
      <c r="B105" s="365" t="s">
        <v>10914</v>
      </c>
      <c r="C105" s="352"/>
      <c r="D105" s="352"/>
      <c r="E105" s="354">
        <v>21.36</v>
      </c>
      <c r="F105" s="354">
        <v>5</v>
      </c>
      <c r="G105" s="367" t="s">
        <v>16</v>
      </c>
      <c r="H105" s="222">
        <f t="shared" si="8"/>
        <v>4</v>
      </c>
      <c r="I105" s="368" t="str">
        <f t="shared" si="9"/>
        <v>unid</v>
      </c>
      <c r="J105" s="369"/>
    </row>
    <row r="106" spans="1:12" ht="15.75" thickBot="1" x14ac:dyDescent="0.3">
      <c r="A106" s="350"/>
      <c r="B106" s="352"/>
      <c r="C106" s="378"/>
      <c r="D106" s="352"/>
      <c r="E106" s="352"/>
      <c r="F106" s="352"/>
      <c r="G106" s="352"/>
      <c r="H106" s="352"/>
      <c r="I106" s="352"/>
      <c r="J106" s="369"/>
    </row>
    <row r="107" spans="1:12" ht="15.75" thickBot="1" x14ac:dyDescent="0.3">
      <c r="A107" s="46" t="s">
        <v>111</v>
      </c>
      <c r="B107" s="60" t="str">
        <f>VLOOKUP(A107,PO!$A$8:$K$433,4,FALSE)</f>
        <v>Remoção de cabos elétricos, de forma manual, sem reaproveitamento.</v>
      </c>
      <c r="C107" s="47"/>
      <c r="D107" s="48"/>
      <c r="E107" s="47"/>
      <c r="F107" s="49"/>
      <c r="G107" s="50"/>
      <c r="H107" s="50"/>
      <c r="I107" s="217">
        <f>SUM(H110:H122)</f>
        <v>806.4</v>
      </c>
      <c r="J107" s="338" t="str">
        <f>VLOOKUP(A107,PO!$A$8:'PO'!$E$1270,5,FALSE)</f>
        <v>m</v>
      </c>
    </row>
    <row r="108" spans="1:12" x14ac:dyDescent="0.25">
      <c r="A108" s="347"/>
      <c r="B108" s="204"/>
      <c r="C108" s="205"/>
      <c r="D108" s="206"/>
      <c r="E108" s="205"/>
      <c r="F108" s="373"/>
      <c r="G108" s="370"/>
      <c r="H108" s="208"/>
      <c r="I108" s="208"/>
      <c r="J108" s="372"/>
    </row>
    <row r="109" spans="1:12" s="198" customFormat="1" ht="14.25" x14ac:dyDescent="0.2">
      <c r="A109" s="362"/>
      <c r="B109" s="363" t="s">
        <v>21</v>
      </c>
      <c r="C109" s="359"/>
      <c r="D109" s="359"/>
      <c r="E109" s="379" t="s">
        <v>10913</v>
      </c>
      <c r="F109" s="363" t="s">
        <v>10933</v>
      </c>
      <c r="G109" s="210"/>
      <c r="H109" s="363" t="s">
        <v>14</v>
      </c>
      <c r="I109" s="363" t="s">
        <v>15</v>
      </c>
      <c r="J109" s="364"/>
    </row>
    <row r="110" spans="1:12" ht="15" customHeight="1" x14ac:dyDescent="0.25">
      <c r="A110" s="350"/>
      <c r="B110" s="365" t="s">
        <v>10910</v>
      </c>
      <c r="C110" s="352"/>
      <c r="D110" s="352"/>
      <c r="E110" s="354">
        <f t="shared" ref="E110:E122" si="10">H93</f>
        <v>5</v>
      </c>
      <c r="F110" s="354">
        <v>12.6</v>
      </c>
      <c r="G110" s="367" t="s">
        <v>16</v>
      </c>
      <c r="H110" s="222">
        <f t="shared" ref="H110:H122" si="11">E110*F110</f>
        <v>63</v>
      </c>
      <c r="I110" s="368" t="str">
        <f>$J$31</f>
        <v>m²</v>
      </c>
      <c r="J110" s="369"/>
      <c r="L110" s="202"/>
    </row>
    <row r="111" spans="1:12" ht="15" customHeight="1" x14ac:dyDescent="0.25">
      <c r="A111" s="350"/>
      <c r="B111" s="365" t="s">
        <v>10899</v>
      </c>
      <c r="C111" s="352"/>
      <c r="D111" s="352"/>
      <c r="E111" s="354">
        <f t="shared" si="10"/>
        <v>4</v>
      </c>
      <c r="F111" s="354">
        <v>12.6</v>
      </c>
      <c r="G111" s="367" t="s">
        <v>16</v>
      </c>
      <c r="H111" s="222">
        <f t="shared" si="11"/>
        <v>50.4</v>
      </c>
      <c r="I111" s="368" t="str">
        <f>I110</f>
        <v>m²</v>
      </c>
      <c r="J111" s="369"/>
    </row>
    <row r="112" spans="1:12" ht="15" customHeight="1" x14ac:dyDescent="0.25">
      <c r="A112" s="350"/>
      <c r="B112" s="365" t="s">
        <v>10900</v>
      </c>
      <c r="C112" s="352"/>
      <c r="D112" s="352"/>
      <c r="E112" s="354">
        <f t="shared" si="10"/>
        <v>4</v>
      </c>
      <c r="F112" s="354">
        <v>12.6</v>
      </c>
      <c r="G112" s="367" t="s">
        <v>16</v>
      </c>
      <c r="H112" s="222">
        <f t="shared" si="11"/>
        <v>50.4</v>
      </c>
      <c r="I112" s="368" t="str">
        <f t="shared" ref="I112:I120" si="12">I111</f>
        <v>m²</v>
      </c>
      <c r="J112" s="369"/>
    </row>
    <row r="113" spans="1:10" ht="15" customHeight="1" x14ac:dyDescent="0.25">
      <c r="A113" s="350"/>
      <c r="B113" s="365" t="s">
        <v>10901</v>
      </c>
      <c r="C113" s="352"/>
      <c r="D113" s="352"/>
      <c r="E113" s="354">
        <f t="shared" si="10"/>
        <v>4</v>
      </c>
      <c r="F113" s="354">
        <v>12.6</v>
      </c>
      <c r="G113" s="367" t="s">
        <v>16</v>
      </c>
      <c r="H113" s="222">
        <f t="shared" si="11"/>
        <v>50.4</v>
      </c>
      <c r="I113" s="368" t="str">
        <f t="shared" si="12"/>
        <v>m²</v>
      </c>
      <c r="J113" s="369"/>
    </row>
    <row r="114" spans="1:10" ht="15" customHeight="1" x14ac:dyDescent="0.25">
      <c r="A114" s="350"/>
      <c r="B114" s="365" t="s">
        <v>10902</v>
      </c>
      <c r="C114" s="352"/>
      <c r="D114" s="352"/>
      <c r="E114" s="354">
        <f t="shared" si="10"/>
        <v>4</v>
      </c>
      <c r="F114" s="354">
        <v>12.6</v>
      </c>
      <c r="G114" s="367" t="s">
        <v>16</v>
      </c>
      <c r="H114" s="222">
        <f t="shared" si="11"/>
        <v>50.4</v>
      </c>
      <c r="I114" s="368" t="str">
        <f t="shared" si="12"/>
        <v>m²</v>
      </c>
      <c r="J114" s="369"/>
    </row>
    <row r="115" spans="1:10" ht="15" customHeight="1" x14ac:dyDescent="0.25">
      <c r="A115" s="350"/>
      <c r="B115" s="365" t="s">
        <v>10903</v>
      </c>
      <c r="C115" s="352"/>
      <c r="D115" s="352"/>
      <c r="E115" s="354">
        <f t="shared" si="10"/>
        <v>3</v>
      </c>
      <c r="F115" s="354">
        <v>12.6</v>
      </c>
      <c r="G115" s="367" t="s">
        <v>16</v>
      </c>
      <c r="H115" s="222">
        <f t="shared" si="11"/>
        <v>37.799999999999997</v>
      </c>
      <c r="I115" s="368" t="str">
        <f t="shared" si="12"/>
        <v>m²</v>
      </c>
      <c r="J115" s="369"/>
    </row>
    <row r="116" spans="1:10" ht="15" customHeight="1" x14ac:dyDescent="0.25">
      <c r="A116" s="350"/>
      <c r="B116" s="365" t="s">
        <v>10904</v>
      </c>
      <c r="C116" s="352"/>
      <c r="D116" s="352"/>
      <c r="E116" s="354">
        <f t="shared" si="10"/>
        <v>3</v>
      </c>
      <c r="F116" s="354">
        <v>12.6</v>
      </c>
      <c r="G116" s="367" t="s">
        <v>16</v>
      </c>
      <c r="H116" s="222">
        <f t="shared" si="11"/>
        <v>37.799999999999997</v>
      </c>
      <c r="I116" s="368" t="str">
        <f t="shared" si="12"/>
        <v>m²</v>
      </c>
      <c r="J116" s="369"/>
    </row>
    <row r="117" spans="1:10" ht="15" customHeight="1" x14ac:dyDescent="0.25">
      <c r="A117" s="350"/>
      <c r="B117" s="365" t="s">
        <v>10905</v>
      </c>
      <c r="C117" s="352"/>
      <c r="D117" s="352"/>
      <c r="E117" s="354">
        <f t="shared" si="10"/>
        <v>4</v>
      </c>
      <c r="F117" s="354">
        <v>12.6</v>
      </c>
      <c r="G117" s="367" t="s">
        <v>16</v>
      </c>
      <c r="H117" s="222">
        <f t="shared" si="11"/>
        <v>50.4</v>
      </c>
      <c r="I117" s="368" t="str">
        <f t="shared" si="12"/>
        <v>m²</v>
      </c>
      <c r="J117" s="369"/>
    </row>
    <row r="118" spans="1:10" ht="15" customHeight="1" x14ac:dyDescent="0.25">
      <c r="A118" s="350"/>
      <c r="B118" s="365" t="s">
        <v>10906</v>
      </c>
      <c r="C118" s="352"/>
      <c r="D118" s="352"/>
      <c r="E118" s="354">
        <f t="shared" si="10"/>
        <v>13</v>
      </c>
      <c r="F118" s="354">
        <v>12.6</v>
      </c>
      <c r="G118" s="367" t="s">
        <v>16</v>
      </c>
      <c r="H118" s="222">
        <f t="shared" si="11"/>
        <v>163.79999999999998</v>
      </c>
      <c r="I118" s="368" t="str">
        <f t="shared" si="12"/>
        <v>m²</v>
      </c>
      <c r="J118" s="369"/>
    </row>
    <row r="119" spans="1:10" ht="15" customHeight="1" x14ac:dyDescent="0.25">
      <c r="A119" s="350"/>
      <c r="B119" s="365" t="s">
        <v>10907</v>
      </c>
      <c r="C119" s="352"/>
      <c r="D119" s="352"/>
      <c r="E119" s="354">
        <f t="shared" si="10"/>
        <v>2</v>
      </c>
      <c r="F119" s="354">
        <v>12.6</v>
      </c>
      <c r="G119" s="367" t="s">
        <v>16</v>
      </c>
      <c r="H119" s="222">
        <f t="shared" si="11"/>
        <v>25.2</v>
      </c>
      <c r="I119" s="368" t="str">
        <f t="shared" si="12"/>
        <v>m²</v>
      </c>
      <c r="J119" s="369"/>
    </row>
    <row r="120" spans="1:10" ht="15" customHeight="1" x14ac:dyDescent="0.25">
      <c r="A120" s="350"/>
      <c r="B120" s="365" t="s">
        <v>10908</v>
      </c>
      <c r="C120" s="352"/>
      <c r="D120" s="352"/>
      <c r="E120" s="354">
        <f t="shared" si="10"/>
        <v>2</v>
      </c>
      <c r="F120" s="354">
        <v>12.6</v>
      </c>
      <c r="G120" s="367" t="s">
        <v>16</v>
      </c>
      <c r="H120" s="222">
        <f t="shared" si="11"/>
        <v>25.2</v>
      </c>
      <c r="I120" s="368" t="str">
        <f t="shared" si="12"/>
        <v>m²</v>
      </c>
      <c r="J120" s="369"/>
    </row>
    <row r="121" spans="1:10" x14ac:dyDescent="0.25">
      <c r="A121" s="350"/>
      <c r="B121" s="365" t="s">
        <v>10911</v>
      </c>
      <c r="C121" s="352"/>
      <c r="D121" s="352"/>
      <c r="E121" s="354">
        <f t="shared" si="10"/>
        <v>12</v>
      </c>
      <c r="F121" s="354">
        <v>12.6</v>
      </c>
      <c r="G121" s="367" t="s">
        <v>16</v>
      </c>
      <c r="H121" s="222">
        <f t="shared" si="11"/>
        <v>151.19999999999999</v>
      </c>
      <c r="I121" s="368" t="str">
        <f>I120</f>
        <v>m²</v>
      </c>
      <c r="J121" s="369"/>
    </row>
    <row r="122" spans="1:10" x14ac:dyDescent="0.25">
      <c r="A122" s="350"/>
      <c r="B122" s="365" t="s">
        <v>10914</v>
      </c>
      <c r="C122" s="352"/>
      <c r="D122" s="352"/>
      <c r="E122" s="354">
        <f t="shared" si="10"/>
        <v>4</v>
      </c>
      <c r="F122" s="354">
        <v>12.6</v>
      </c>
      <c r="G122" s="367" t="s">
        <v>16</v>
      </c>
      <c r="H122" s="222">
        <f t="shared" si="11"/>
        <v>50.4</v>
      </c>
      <c r="I122" s="368" t="str">
        <f t="shared" ref="I122" si="13">I121</f>
        <v>m²</v>
      </c>
      <c r="J122" s="369"/>
    </row>
    <row r="123" spans="1:10" ht="15.75" thickBot="1" x14ac:dyDescent="0.3">
      <c r="A123" s="350"/>
      <c r="B123" s="352"/>
      <c r="C123" s="352"/>
      <c r="D123" s="352"/>
      <c r="E123" s="352"/>
      <c r="F123" s="352"/>
      <c r="G123" s="352"/>
      <c r="H123" s="222"/>
      <c r="I123" s="352"/>
      <c r="J123" s="369"/>
    </row>
    <row r="124" spans="1:10" ht="15.75" thickBot="1" x14ac:dyDescent="0.3">
      <c r="A124" s="46" t="s">
        <v>112</v>
      </c>
      <c r="B124" s="60" t="str">
        <f>VLOOKUP(A124,PO!$A$8:$K$433,4,FALSE)</f>
        <v>Demolição de revestimento cerâmico, de forma manual, sem reaproveitamento.</v>
      </c>
      <c r="C124" s="47"/>
      <c r="D124" s="48"/>
      <c r="E124" s="47"/>
      <c r="F124" s="49"/>
      <c r="G124" s="50"/>
      <c r="H124" s="50"/>
      <c r="I124" s="50">
        <f>H185</f>
        <v>349.04820000000001</v>
      </c>
      <c r="J124" s="338" t="str">
        <f>VLOOKUP(A124,PO!$A$8:'PO'!$E$1270,5,FALSE)</f>
        <v>m²</v>
      </c>
    </row>
    <row r="125" spans="1:10" x14ac:dyDescent="0.25">
      <c r="A125" s="347"/>
      <c r="B125" s="204"/>
      <c r="C125" s="205"/>
      <c r="D125" s="206"/>
      <c r="E125" s="205"/>
      <c r="F125" s="373"/>
      <c r="G125" s="370"/>
      <c r="H125" s="208"/>
      <c r="I125" s="208"/>
      <c r="J125" s="372"/>
    </row>
    <row r="126" spans="1:10" ht="15.75" x14ac:dyDescent="0.25">
      <c r="A126" s="722" t="s">
        <v>142</v>
      </c>
      <c r="B126" s="723"/>
      <c r="C126" s="723"/>
      <c r="D126" s="723"/>
      <c r="E126" s="723"/>
      <c r="F126" s="723"/>
      <c r="G126" s="723"/>
      <c r="H126" s="723"/>
      <c r="I126" s="723"/>
      <c r="J126" s="724"/>
    </row>
    <row r="127" spans="1:10" x14ac:dyDescent="0.25">
      <c r="A127" s="350" t="s">
        <v>13862</v>
      </c>
      <c r="B127" s="204"/>
      <c r="C127" s="205"/>
      <c r="D127" s="206"/>
      <c r="E127" s="205"/>
      <c r="F127" s="373"/>
      <c r="G127" s="370"/>
      <c r="H127" s="208"/>
      <c r="I127" s="208"/>
      <c r="J127" s="372"/>
    </row>
    <row r="128" spans="1:10" s="198" customFormat="1" ht="14.25" x14ac:dyDescent="0.2">
      <c r="A128" s="362"/>
      <c r="B128" s="363" t="s">
        <v>21</v>
      </c>
      <c r="C128" s="359"/>
      <c r="D128" s="359"/>
      <c r="E128" s="363" t="s">
        <v>10921</v>
      </c>
      <c r="F128" s="363" t="s">
        <v>10922</v>
      </c>
      <c r="G128" s="210"/>
      <c r="H128" s="363" t="s">
        <v>14</v>
      </c>
      <c r="I128" s="363" t="s">
        <v>15</v>
      </c>
      <c r="J128" s="364"/>
    </row>
    <row r="129" spans="1:12" s="226" customFormat="1" ht="15" customHeight="1" x14ac:dyDescent="0.25">
      <c r="A129" s="380"/>
      <c r="B129" s="366" t="s">
        <v>13890</v>
      </c>
      <c r="C129" s="381"/>
      <c r="D129" s="381"/>
      <c r="E129" s="382">
        <v>1.46</v>
      </c>
      <c r="F129" s="382">
        <v>3.02</v>
      </c>
      <c r="G129" s="366" t="s">
        <v>16</v>
      </c>
      <c r="H129" s="222">
        <f t="shared" ref="H129:H140" si="14">ROUND(E129*F129,2)</f>
        <v>4.41</v>
      </c>
      <c r="I129" s="384" t="str">
        <f>$J$124</f>
        <v>m²</v>
      </c>
      <c r="J129" s="385"/>
      <c r="L129" s="227"/>
    </row>
    <row r="130" spans="1:12" ht="15" customHeight="1" x14ac:dyDescent="0.25">
      <c r="A130" s="350"/>
      <c r="B130" s="365" t="s">
        <v>10899</v>
      </c>
      <c r="C130" s="352"/>
      <c r="D130" s="352"/>
      <c r="E130" s="354">
        <v>4</v>
      </c>
      <c r="F130" s="354">
        <v>4.95</v>
      </c>
      <c r="G130" s="367" t="s">
        <v>16</v>
      </c>
      <c r="H130" s="222">
        <f t="shared" si="14"/>
        <v>19.8</v>
      </c>
      <c r="I130" s="384" t="str">
        <f t="shared" ref="I130:I140" si="15">$J$124</f>
        <v>m²</v>
      </c>
      <c r="J130" s="369"/>
    </row>
    <row r="131" spans="1:12" ht="15" customHeight="1" x14ac:dyDescent="0.25">
      <c r="A131" s="350"/>
      <c r="B131" s="365" t="s">
        <v>10900</v>
      </c>
      <c r="C131" s="352"/>
      <c r="D131" s="352"/>
      <c r="E131" s="354">
        <v>4</v>
      </c>
      <c r="F131" s="354">
        <v>4.95</v>
      </c>
      <c r="G131" s="367" t="s">
        <v>16</v>
      </c>
      <c r="H131" s="222">
        <f t="shared" si="14"/>
        <v>19.8</v>
      </c>
      <c r="I131" s="384" t="str">
        <f t="shared" si="15"/>
        <v>m²</v>
      </c>
      <c r="J131" s="369"/>
    </row>
    <row r="132" spans="1:12" ht="15" customHeight="1" x14ac:dyDescent="0.25">
      <c r="A132" s="350"/>
      <c r="B132" s="365" t="s">
        <v>10901</v>
      </c>
      <c r="C132" s="352"/>
      <c r="D132" s="352"/>
      <c r="E132" s="354">
        <v>4</v>
      </c>
      <c r="F132" s="354">
        <v>4.95</v>
      </c>
      <c r="G132" s="367" t="s">
        <v>16</v>
      </c>
      <c r="H132" s="222">
        <f t="shared" si="14"/>
        <v>19.8</v>
      </c>
      <c r="I132" s="384" t="str">
        <f t="shared" si="15"/>
        <v>m²</v>
      </c>
      <c r="J132" s="369"/>
    </row>
    <row r="133" spans="1:12" ht="15" customHeight="1" x14ac:dyDescent="0.25">
      <c r="A133" s="350"/>
      <c r="B133" s="365" t="s">
        <v>10902</v>
      </c>
      <c r="C133" s="352"/>
      <c r="D133" s="352"/>
      <c r="E133" s="354">
        <v>4.09</v>
      </c>
      <c r="F133" s="354">
        <v>5.25</v>
      </c>
      <c r="G133" s="367" t="s">
        <v>16</v>
      </c>
      <c r="H133" s="222">
        <f t="shared" si="14"/>
        <v>21.47</v>
      </c>
      <c r="I133" s="384" t="str">
        <f t="shared" si="15"/>
        <v>m²</v>
      </c>
      <c r="J133" s="369"/>
    </row>
    <row r="134" spans="1:12" ht="15" customHeight="1" x14ac:dyDescent="0.25">
      <c r="A134" s="350"/>
      <c r="B134" s="365" t="s">
        <v>10903</v>
      </c>
      <c r="C134" s="352"/>
      <c r="D134" s="352"/>
      <c r="E134" s="354">
        <v>3.81</v>
      </c>
      <c r="F134" s="354">
        <v>3.87</v>
      </c>
      <c r="G134" s="367" t="s">
        <v>16</v>
      </c>
      <c r="H134" s="222">
        <f t="shared" si="14"/>
        <v>14.74</v>
      </c>
      <c r="I134" s="384" t="str">
        <f t="shared" si="15"/>
        <v>m²</v>
      </c>
      <c r="J134" s="369"/>
    </row>
    <row r="135" spans="1:12" ht="15" customHeight="1" x14ac:dyDescent="0.25">
      <c r="A135" s="350"/>
      <c r="B135" s="365" t="s">
        <v>10904</v>
      </c>
      <c r="C135" s="352"/>
      <c r="D135" s="352"/>
      <c r="E135" s="354">
        <v>3.22</v>
      </c>
      <c r="F135" s="354">
        <v>5.01</v>
      </c>
      <c r="G135" s="367" t="s">
        <v>16</v>
      </c>
      <c r="H135" s="222">
        <f t="shared" si="14"/>
        <v>16.13</v>
      </c>
      <c r="I135" s="384" t="str">
        <f t="shared" si="15"/>
        <v>m²</v>
      </c>
      <c r="J135" s="369"/>
    </row>
    <row r="136" spans="1:12" ht="15" customHeight="1" x14ac:dyDescent="0.25">
      <c r="A136" s="350"/>
      <c r="B136" s="365" t="s">
        <v>10905</v>
      </c>
      <c r="C136" s="352"/>
      <c r="D136" s="352"/>
      <c r="E136" s="354">
        <v>4.4400000000000004</v>
      </c>
      <c r="F136" s="354">
        <v>5.01</v>
      </c>
      <c r="G136" s="367" t="s">
        <v>16</v>
      </c>
      <c r="H136" s="222">
        <f t="shared" si="14"/>
        <v>22.24</v>
      </c>
      <c r="I136" s="384" t="str">
        <f t="shared" si="15"/>
        <v>m²</v>
      </c>
      <c r="J136" s="369"/>
    </row>
    <row r="137" spans="1:12" ht="15" customHeight="1" x14ac:dyDescent="0.25">
      <c r="A137" s="350"/>
      <c r="B137" s="365" t="s">
        <v>10906</v>
      </c>
      <c r="C137" s="352"/>
      <c r="D137" s="352"/>
      <c r="E137" s="354">
        <v>5.54</v>
      </c>
      <c r="F137" s="354">
        <v>3.87</v>
      </c>
      <c r="G137" s="367" t="s">
        <v>16</v>
      </c>
      <c r="H137" s="222">
        <f t="shared" si="14"/>
        <v>21.44</v>
      </c>
      <c r="I137" s="384" t="str">
        <f t="shared" si="15"/>
        <v>m²</v>
      </c>
      <c r="J137" s="369"/>
    </row>
    <row r="138" spans="1:12" ht="15" customHeight="1" x14ac:dyDescent="0.25">
      <c r="A138" s="350"/>
      <c r="B138" s="365" t="s">
        <v>10907</v>
      </c>
      <c r="C138" s="352"/>
      <c r="D138" s="352"/>
      <c r="E138" s="354">
        <v>1.56</v>
      </c>
      <c r="F138" s="354">
        <v>1.79</v>
      </c>
      <c r="G138" s="367" t="s">
        <v>16</v>
      </c>
      <c r="H138" s="222">
        <f t="shared" si="14"/>
        <v>2.79</v>
      </c>
      <c r="I138" s="384" t="str">
        <f t="shared" si="15"/>
        <v>m²</v>
      </c>
      <c r="J138" s="369"/>
    </row>
    <row r="139" spans="1:12" ht="15" customHeight="1" x14ac:dyDescent="0.25">
      <c r="A139" s="350"/>
      <c r="B139" s="365" t="s">
        <v>10908</v>
      </c>
      <c r="C139" s="352"/>
      <c r="D139" s="352"/>
      <c r="E139" s="354">
        <v>1.18</v>
      </c>
      <c r="F139" s="354">
        <v>1.66</v>
      </c>
      <c r="G139" s="367" t="s">
        <v>16</v>
      </c>
      <c r="H139" s="222">
        <f t="shared" si="14"/>
        <v>1.96</v>
      </c>
      <c r="I139" s="384" t="str">
        <f t="shared" si="15"/>
        <v>m²</v>
      </c>
      <c r="J139" s="369"/>
    </row>
    <row r="140" spans="1:12" ht="15" customHeight="1" x14ac:dyDescent="0.25">
      <c r="A140" s="350"/>
      <c r="B140" s="365" t="s">
        <v>10914</v>
      </c>
      <c r="C140" s="352"/>
      <c r="D140" s="352"/>
      <c r="E140" s="354">
        <v>1.18</v>
      </c>
      <c r="F140" s="354">
        <v>9.5</v>
      </c>
      <c r="G140" s="367" t="s">
        <v>16</v>
      </c>
      <c r="H140" s="222">
        <f t="shared" si="14"/>
        <v>11.21</v>
      </c>
      <c r="I140" s="384" t="str">
        <f t="shared" si="15"/>
        <v>m²</v>
      </c>
      <c r="J140" s="369"/>
    </row>
    <row r="141" spans="1:12" ht="15" customHeight="1" x14ac:dyDescent="0.25">
      <c r="A141" s="350"/>
      <c r="B141" s="352"/>
      <c r="C141" s="365"/>
      <c r="D141" s="352"/>
      <c r="E141" s="354"/>
      <c r="F141" s="354"/>
      <c r="G141" s="367"/>
      <c r="H141" s="222"/>
      <c r="I141" s="368"/>
      <c r="J141" s="369"/>
    </row>
    <row r="142" spans="1:12" s="198" customFormat="1" ht="15" customHeight="1" x14ac:dyDescent="0.2">
      <c r="A142" s="725" t="s">
        <v>10935</v>
      </c>
      <c r="B142" s="726"/>
      <c r="C142" s="726"/>
      <c r="D142" s="726"/>
      <c r="E142" s="726"/>
      <c r="F142" s="726"/>
      <c r="G142" s="363" t="s">
        <v>16</v>
      </c>
      <c r="H142" s="210">
        <f>SUM(H129:H141)</f>
        <v>175.79</v>
      </c>
      <c r="I142" s="386" t="str">
        <f>I139</f>
        <v>m²</v>
      </c>
      <c r="J142" s="364"/>
    </row>
    <row r="143" spans="1:12" ht="15" customHeight="1" x14ac:dyDescent="0.25">
      <c r="A143" s="350"/>
      <c r="B143" s="352"/>
      <c r="C143" s="365"/>
      <c r="D143" s="352"/>
      <c r="E143" s="354"/>
      <c r="F143" s="354"/>
      <c r="G143" s="367"/>
      <c r="H143" s="222"/>
      <c r="I143" s="368"/>
      <c r="J143" s="369"/>
    </row>
    <row r="144" spans="1:12" ht="15.75" x14ac:dyDescent="0.25">
      <c r="A144" s="722" t="s">
        <v>133</v>
      </c>
      <c r="B144" s="723"/>
      <c r="C144" s="723"/>
      <c r="D144" s="723"/>
      <c r="E144" s="723"/>
      <c r="F144" s="723"/>
      <c r="G144" s="723"/>
      <c r="H144" s="723"/>
      <c r="I144" s="723"/>
      <c r="J144" s="724"/>
    </row>
    <row r="145" spans="1:10" x14ac:dyDescent="0.25">
      <c r="A145" s="347"/>
      <c r="B145" s="204"/>
      <c r="C145" s="205"/>
      <c r="D145" s="206"/>
      <c r="E145" s="205"/>
      <c r="F145" s="373"/>
      <c r="G145" s="370"/>
      <c r="H145" s="208"/>
      <c r="I145" s="208"/>
      <c r="J145" s="372"/>
    </row>
    <row r="146" spans="1:10" s="252" customFormat="1" ht="14.25" x14ac:dyDescent="0.2">
      <c r="A146" s="387"/>
      <c r="B146" s="388" t="s">
        <v>21</v>
      </c>
      <c r="C146" s="389"/>
      <c r="D146" s="389"/>
      <c r="E146" s="388" t="s">
        <v>10912</v>
      </c>
      <c r="F146" s="388" t="s">
        <v>44</v>
      </c>
      <c r="G146" s="253"/>
      <c r="H146" s="388" t="s">
        <v>14</v>
      </c>
      <c r="I146" s="388" t="s">
        <v>15</v>
      </c>
      <c r="J146" s="390"/>
    </row>
    <row r="147" spans="1:10" s="226" customFormat="1" ht="15" customHeight="1" x14ac:dyDescent="0.25">
      <c r="A147" s="380"/>
      <c r="B147" s="391" t="s">
        <v>10899</v>
      </c>
      <c r="C147" s="381"/>
      <c r="D147" s="381"/>
      <c r="E147" s="392">
        <v>17.899999999999999</v>
      </c>
      <c r="F147" s="392">
        <v>1.46</v>
      </c>
      <c r="G147" s="366" t="s">
        <v>16</v>
      </c>
      <c r="H147" s="383">
        <f>ROUND(E147*F147,2)</f>
        <v>26.13</v>
      </c>
      <c r="I147" s="384" t="s">
        <v>164</v>
      </c>
      <c r="J147" s="385"/>
    </row>
    <row r="148" spans="1:10" s="226" customFormat="1" ht="15" customHeight="1" x14ac:dyDescent="0.25">
      <c r="A148" s="380"/>
      <c r="B148" s="391" t="s">
        <v>10900</v>
      </c>
      <c r="C148" s="381"/>
      <c r="D148" s="381"/>
      <c r="E148" s="392">
        <v>17.899999999999999</v>
      </c>
      <c r="F148" s="392">
        <v>1.46</v>
      </c>
      <c r="G148" s="366" t="s">
        <v>16</v>
      </c>
      <c r="H148" s="383">
        <f t="shared" ref="H148" si="16">ROUND(E148*F148,2)</f>
        <v>26.13</v>
      </c>
      <c r="I148" s="384" t="s">
        <v>164</v>
      </c>
      <c r="J148" s="385"/>
    </row>
    <row r="149" spans="1:10" s="226" customFormat="1" ht="15" customHeight="1" x14ac:dyDescent="0.25">
      <c r="A149" s="380"/>
      <c r="B149" s="391" t="s">
        <v>10901</v>
      </c>
      <c r="C149" s="381"/>
      <c r="D149" s="381"/>
      <c r="E149" s="392">
        <v>17.899999999999999</v>
      </c>
      <c r="F149" s="392">
        <v>1.46</v>
      </c>
      <c r="G149" s="366" t="s">
        <v>16</v>
      </c>
      <c r="H149" s="383">
        <f>ROUND(E149*F149,2)</f>
        <v>26.13</v>
      </c>
      <c r="I149" s="384" t="s">
        <v>164</v>
      </c>
      <c r="J149" s="385"/>
    </row>
    <row r="150" spans="1:10" s="226" customFormat="1" ht="15" customHeight="1" x14ac:dyDescent="0.25">
      <c r="A150" s="380"/>
      <c r="B150" s="391" t="s">
        <v>10902</v>
      </c>
      <c r="C150" s="381"/>
      <c r="D150" s="381"/>
      <c r="E150" s="375">
        <v>18.68</v>
      </c>
      <c r="F150" s="392">
        <v>1.46</v>
      </c>
      <c r="G150" s="366" t="s">
        <v>16</v>
      </c>
      <c r="H150" s="383">
        <f t="shared" ref="H150:H152" si="17">ROUND(E150*F150,2)</f>
        <v>27.27</v>
      </c>
      <c r="I150" s="384" t="s">
        <v>164</v>
      </c>
      <c r="J150" s="385"/>
    </row>
    <row r="151" spans="1:10" s="226" customFormat="1" ht="15" customHeight="1" x14ac:dyDescent="0.25">
      <c r="A151" s="380"/>
      <c r="B151" s="391" t="s">
        <v>10903</v>
      </c>
      <c r="C151" s="381"/>
      <c r="D151" s="381"/>
      <c r="E151" s="375">
        <v>15.36</v>
      </c>
      <c r="F151" s="392">
        <v>1.46</v>
      </c>
      <c r="G151" s="366" t="s">
        <v>16</v>
      </c>
      <c r="H151" s="383">
        <f t="shared" si="17"/>
        <v>22.43</v>
      </c>
      <c r="I151" s="384" t="s">
        <v>164</v>
      </c>
      <c r="J151" s="385"/>
    </row>
    <row r="152" spans="1:10" s="226" customFormat="1" ht="15" customHeight="1" x14ac:dyDescent="0.25">
      <c r="A152" s="380"/>
      <c r="B152" s="391" t="s">
        <v>10906</v>
      </c>
      <c r="C152" s="381"/>
      <c r="D152" s="381"/>
      <c r="E152" s="392">
        <v>38.28</v>
      </c>
      <c r="F152" s="392">
        <v>1.46</v>
      </c>
      <c r="G152" s="366" t="s">
        <v>16</v>
      </c>
      <c r="H152" s="383">
        <f t="shared" si="17"/>
        <v>55.89</v>
      </c>
      <c r="I152" s="384" t="s">
        <v>164</v>
      </c>
      <c r="J152" s="385"/>
    </row>
    <row r="153" spans="1:10" s="226" customFormat="1" ht="15" customHeight="1" x14ac:dyDescent="0.25">
      <c r="A153" s="380"/>
      <c r="B153" s="381"/>
      <c r="C153" s="391"/>
      <c r="D153" s="381"/>
      <c r="E153" s="392"/>
      <c r="F153" s="392"/>
      <c r="G153" s="366"/>
      <c r="H153" s="383"/>
      <c r="I153" s="384"/>
      <c r="J153" s="385"/>
    </row>
    <row r="154" spans="1:10" s="252" customFormat="1" ht="15" customHeight="1" x14ac:dyDescent="0.2">
      <c r="A154" s="727" t="s">
        <v>10935</v>
      </c>
      <c r="B154" s="728"/>
      <c r="C154" s="728"/>
      <c r="D154" s="728"/>
      <c r="E154" s="728"/>
      <c r="F154" s="728"/>
      <c r="G154" s="388" t="s">
        <v>16</v>
      </c>
      <c r="H154" s="253">
        <f>SUM(H147:H153)</f>
        <v>183.98000000000002</v>
      </c>
      <c r="I154" s="394" t="str">
        <f>$J$124</f>
        <v>m²</v>
      </c>
      <c r="J154" s="390"/>
    </row>
    <row r="155" spans="1:10" s="226" customFormat="1" ht="15" customHeight="1" x14ac:dyDescent="0.25">
      <c r="A155" s="380"/>
      <c r="B155" s="381"/>
      <c r="C155" s="391"/>
      <c r="D155" s="381"/>
      <c r="E155" s="392"/>
      <c r="F155" s="392"/>
      <c r="G155" s="366"/>
      <c r="H155" s="383"/>
      <c r="I155" s="384"/>
      <c r="J155" s="385"/>
    </row>
    <row r="156" spans="1:10" s="226" customFormat="1" ht="15" customHeight="1" x14ac:dyDescent="0.25">
      <c r="A156" s="722" t="s">
        <v>189</v>
      </c>
      <c r="B156" s="723"/>
      <c r="C156" s="723"/>
      <c r="D156" s="723"/>
      <c r="E156" s="723"/>
      <c r="F156" s="723"/>
      <c r="G156" s="723"/>
      <c r="H156" s="723"/>
      <c r="I156" s="723"/>
      <c r="J156" s="724"/>
    </row>
    <row r="157" spans="1:10" s="223" customFormat="1" ht="15" customHeight="1" x14ac:dyDescent="0.25">
      <c r="A157" s="395"/>
      <c r="B157" s="251"/>
      <c r="C157" s="251"/>
      <c r="D157" s="251"/>
      <c r="E157" s="251"/>
      <c r="F157" s="251"/>
      <c r="G157" s="251"/>
      <c r="H157" s="251"/>
      <c r="I157" s="251"/>
      <c r="J157" s="396"/>
    </row>
    <row r="158" spans="1:10" ht="15" customHeight="1" x14ac:dyDescent="0.25">
      <c r="A158" s="397" t="s">
        <v>10886</v>
      </c>
      <c r="B158" s="363" t="s">
        <v>21</v>
      </c>
      <c r="C158" s="352"/>
      <c r="D158" s="352"/>
      <c r="E158" s="363" t="s">
        <v>10933</v>
      </c>
      <c r="F158" s="398" t="s">
        <v>10932</v>
      </c>
      <c r="G158" s="367"/>
      <c r="H158" s="222"/>
      <c r="I158" s="368"/>
      <c r="J158" s="369"/>
    </row>
    <row r="159" spans="1:10" ht="15" customHeight="1" x14ac:dyDescent="0.25">
      <c r="A159" s="399" t="s">
        <v>10924</v>
      </c>
      <c r="B159" s="365" t="s">
        <v>10899</v>
      </c>
      <c r="C159" s="352"/>
      <c r="D159" s="352"/>
      <c r="E159" s="354">
        <v>0.8</v>
      </c>
      <c r="F159" s="354">
        <v>0.2</v>
      </c>
      <c r="G159" s="367" t="s">
        <v>16</v>
      </c>
      <c r="H159" s="222">
        <f t="shared" ref="H159:H166" si="18">E159*F159</f>
        <v>0.16000000000000003</v>
      </c>
      <c r="I159" s="368" t="str">
        <f t="shared" ref="I159:I168" si="19">$J$124</f>
        <v>m²</v>
      </c>
      <c r="J159" s="369"/>
    </row>
    <row r="160" spans="1:10" ht="15" customHeight="1" x14ac:dyDescent="0.25">
      <c r="A160" s="399" t="s">
        <v>10924</v>
      </c>
      <c r="B160" s="365" t="s">
        <v>10900</v>
      </c>
      <c r="C160" s="352"/>
      <c r="D160" s="352"/>
      <c r="E160" s="354">
        <v>0.8</v>
      </c>
      <c r="F160" s="354">
        <v>0.2</v>
      </c>
      <c r="G160" s="367" t="s">
        <v>16</v>
      </c>
      <c r="H160" s="222">
        <f t="shared" si="18"/>
        <v>0.16000000000000003</v>
      </c>
      <c r="I160" s="368" t="str">
        <f t="shared" si="19"/>
        <v>m²</v>
      </c>
      <c r="J160" s="369"/>
    </row>
    <row r="161" spans="1:10" ht="15" customHeight="1" x14ac:dyDescent="0.25">
      <c r="A161" s="399" t="s">
        <v>10924</v>
      </c>
      <c r="B161" s="365" t="s">
        <v>10901</v>
      </c>
      <c r="C161" s="352"/>
      <c r="D161" s="352"/>
      <c r="E161" s="354">
        <v>0.8</v>
      </c>
      <c r="F161" s="354">
        <v>0.2</v>
      </c>
      <c r="G161" s="367" t="s">
        <v>16</v>
      </c>
      <c r="H161" s="222">
        <f t="shared" si="18"/>
        <v>0.16000000000000003</v>
      </c>
      <c r="I161" s="368" t="str">
        <f t="shared" si="19"/>
        <v>m²</v>
      </c>
      <c r="J161" s="369"/>
    </row>
    <row r="162" spans="1:10" ht="15" customHeight="1" x14ac:dyDescent="0.25">
      <c r="A162" s="399" t="s">
        <v>10924</v>
      </c>
      <c r="B162" s="365" t="s">
        <v>10902</v>
      </c>
      <c r="C162" s="352"/>
      <c r="D162" s="352"/>
      <c r="E162" s="354">
        <v>0.8</v>
      </c>
      <c r="F162" s="354">
        <v>0.2</v>
      </c>
      <c r="G162" s="367" t="s">
        <v>16</v>
      </c>
      <c r="H162" s="222">
        <f t="shared" si="18"/>
        <v>0.16000000000000003</v>
      </c>
      <c r="I162" s="368" t="str">
        <f t="shared" si="19"/>
        <v>m²</v>
      </c>
      <c r="J162" s="369"/>
    </row>
    <row r="163" spans="1:10" ht="15" customHeight="1" x14ac:dyDescent="0.25">
      <c r="A163" s="399" t="s">
        <v>10924</v>
      </c>
      <c r="B163" s="365" t="s">
        <v>10903</v>
      </c>
      <c r="C163" s="352"/>
      <c r="D163" s="352"/>
      <c r="E163" s="354">
        <v>0.8</v>
      </c>
      <c r="F163" s="354">
        <v>0.2</v>
      </c>
      <c r="G163" s="367" t="s">
        <v>16</v>
      </c>
      <c r="H163" s="222">
        <f t="shared" si="18"/>
        <v>0.16000000000000003</v>
      </c>
      <c r="I163" s="368" t="str">
        <f t="shared" si="19"/>
        <v>m²</v>
      </c>
      <c r="J163" s="369"/>
    </row>
    <row r="164" spans="1:10" ht="15" customHeight="1" x14ac:dyDescent="0.25">
      <c r="A164" s="399" t="s">
        <v>10924</v>
      </c>
      <c r="B164" s="400" t="s">
        <v>10906</v>
      </c>
      <c r="C164" s="352"/>
      <c r="D164" s="352"/>
      <c r="E164" s="354">
        <v>0.8</v>
      </c>
      <c r="F164" s="354">
        <v>0.2</v>
      </c>
      <c r="G164" s="367" t="s">
        <v>16</v>
      </c>
      <c r="H164" s="222">
        <f t="shared" si="18"/>
        <v>0.16000000000000003</v>
      </c>
      <c r="I164" s="368" t="str">
        <f t="shared" si="19"/>
        <v>m²</v>
      </c>
      <c r="J164" s="369"/>
    </row>
    <row r="165" spans="1:10" ht="15" customHeight="1" x14ac:dyDescent="0.25">
      <c r="A165" s="399" t="s">
        <v>10925</v>
      </c>
      <c r="B165" s="400" t="s">
        <v>10906</v>
      </c>
      <c r="C165" s="352"/>
      <c r="D165" s="352"/>
      <c r="E165" s="354">
        <v>0.6</v>
      </c>
      <c r="F165" s="354">
        <v>0.2</v>
      </c>
      <c r="G165" s="367" t="s">
        <v>16</v>
      </c>
      <c r="H165" s="222">
        <f t="shared" si="18"/>
        <v>0.12</v>
      </c>
      <c r="I165" s="368" t="str">
        <f t="shared" si="19"/>
        <v>m²</v>
      </c>
      <c r="J165" s="369"/>
    </row>
    <row r="166" spans="1:10" ht="15" customHeight="1" x14ac:dyDescent="0.25">
      <c r="A166" s="399" t="s">
        <v>10924</v>
      </c>
      <c r="B166" s="365" t="s">
        <v>10914</v>
      </c>
      <c r="C166" s="352"/>
      <c r="D166" s="352"/>
      <c r="E166" s="354">
        <v>0.8</v>
      </c>
      <c r="F166" s="354">
        <v>0.2</v>
      </c>
      <c r="G166" s="367" t="s">
        <v>16</v>
      </c>
      <c r="H166" s="222">
        <f t="shared" si="18"/>
        <v>0.16000000000000003</v>
      </c>
      <c r="I166" s="368" t="str">
        <f t="shared" si="19"/>
        <v>m²</v>
      </c>
      <c r="J166" s="369"/>
    </row>
    <row r="167" spans="1:10" ht="15" customHeight="1" x14ac:dyDescent="0.25">
      <c r="A167" s="350"/>
      <c r="B167" s="365"/>
      <c r="C167" s="365"/>
      <c r="D167" s="352"/>
      <c r="E167" s="354"/>
      <c r="F167" s="354"/>
      <c r="G167" s="367"/>
      <c r="H167" s="222"/>
      <c r="I167" s="368"/>
      <c r="J167" s="369"/>
    </row>
    <row r="168" spans="1:10" s="198" customFormat="1" ht="15" customHeight="1" x14ac:dyDescent="0.2">
      <c r="A168" s="725" t="s">
        <v>10935</v>
      </c>
      <c r="B168" s="726"/>
      <c r="C168" s="726"/>
      <c r="D168" s="726"/>
      <c r="E168" s="726"/>
      <c r="F168" s="726"/>
      <c r="G168" s="363" t="s">
        <v>16</v>
      </c>
      <c r="H168" s="210">
        <f>SUM(H159:H167)</f>
        <v>1.2400000000000002</v>
      </c>
      <c r="I168" s="386" t="str">
        <f t="shared" si="19"/>
        <v>m²</v>
      </c>
      <c r="J168" s="364"/>
    </row>
    <row r="169" spans="1:10" ht="15" customHeight="1" x14ac:dyDescent="0.25">
      <c r="A169" s="350"/>
      <c r="B169" s="365"/>
      <c r="C169" s="365"/>
      <c r="D169" s="352"/>
      <c r="E169" s="354"/>
      <c r="F169" s="354"/>
      <c r="G169" s="367"/>
      <c r="H169" s="222"/>
      <c r="I169" s="368"/>
      <c r="J169" s="369"/>
    </row>
    <row r="170" spans="1:10" ht="15" customHeight="1" x14ac:dyDescent="0.25">
      <c r="A170" s="722" t="str">
        <f>UPPER("Desconto das áreas das portas e janelas")</f>
        <v>DESCONTO DAS ÁREAS DAS PORTAS E JANELAS</v>
      </c>
      <c r="B170" s="723"/>
      <c r="C170" s="723"/>
      <c r="D170" s="723"/>
      <c r="E170" s="723" t="s">
        <v>10931</v>
      </c>
      <c r="F170" s="723"/>
      <c r="G170" s="723"/>
      <c r="H170" s="723"/>
      <c r="I170" s="723"/>
      <c r="J170" s="724"/>
    </row>
    <row r="171" spans="1:10" ht="15" customHeight="1" x14ac:dyDescent="0.25">
      <c r="A171" s="401"/>
      <c r="B171" s="321"/>
      <c r="C171" s="321"/>
      <c r="D171" s="321"/>
      <c r="E171" s="321"/>
      <c r="F171" s="321"/>
      <c r="G171" s="321"/>
      <c r="H171" s="321"/>
      <c r="I171" s="321"/>
      <c r="J171" s="402"/>
    </row>
    <row r="172" spans="1:10" ht="15" customHeight="1" x14ac:dyDescent="0.25">
      <c r="A172" s="397" t="s">
        <v>10886</v>
      </c>
      <c r="B172" s="363" t="s">
        <v>21</v>
      </c>
      <c r="C172" s="352"/>
      <c r="D172" s="360" t="s">
        <v>10927</v>
      </c>
      <c r="E172" s="363" t="s">
        <v>10921</v>
      </c>
      <c r="F172" s="398" t="s">
        <v>10930</v>
      </c>
      <c r="G172" s="367"/>
      <c r="H172" s="222"/>
      <c r="I172" s="368"/>
      <c r="J172" s="369"/>
    </row>
    <row r="173" spans="1:10" ht="15" customHeight="1" x14ac:dyDescent="0.25">
      <c r="A173" s="399" t="s">
        <v>10924</v>
      </c>
      <c r="B173" s="365" t="s">
        <v>10899</v>
      </c>
      <c r="C173" s="352"/>
      <c r="D173" s="370">
        <v>1</v>
      </c>
      <c r="E173" s="354">
        <v>0.8</v>
      </c>
      <c r="F173" s="354">
        <v>1.46</v>
      </c>
      <c r="G173" s="367" t="s">
        <v>16</v>
      </c>
      <c r="H173" s="222">
        <f t="shared" ref="H173:H177" si="20">E173*F173</f>
        <v>1.1679999999999999</v>
      </c>
      <c r="I173" s="368" t="str">
        <f t="shared" ref="I173:I181" si="21">$J$124</f>
        <v>m²</v>
      </c>
      <c r="J173" s="369"/>
    </row>
    <row r="174" spans="1:10" ht="15" customHeight="1" x14ac:dyDescent="0.25">
      <c r="A174" s="399" t="s">
        <v>10924</v>
      </c>
      <c r="B174" s="365" t="s">
        <v>10900</v>
      </c>
      <c r="C174" s="352"/>
      <c r="D174" s="370">
        <v>1</v>
      </c>
      <c r="E174" s="354">
        <v>0.8</v>
      </c>
      <c r="F174" s="354">
        <v>1.46</v>
      </c>
      <c r="G174" s="367" t="s">
        <v>16</v>
      </c>
      <c r="H174" s="222">
        <f t="shared" si="20"/>
        <v>1.1679999999999999</v>
      </c>
      <c r="I174" s="368" t="str">
        <f t="shared" si="21"/>
        <v>m²</v>
      </c>
      <c r="J174" s="369"/>
    </row>
    <row r="175" spans="1:10" ht="15" customHeight="1" x14ac:dyDescent="0.25">
      <c r="A175" s="399" t="s">
        <v>10924</v>
      </c>
      <c r="B175" s="365" t="s">
        <v>10901</v>
      </c>
      <c r="C175" s="352"/>
      <c r="D175" s="370">
        <v>1</v>
      </c>
      <c r="E175" s="354">
        <v>0.8</v>
      </c>
      <c r="F175" s="354">
        <v>1.46</v>
      </c>
      <c r="G175" s="367" t="s">
        <v>16</v>
      </c>
      <c r="H175" s="222">
        <f t="shared" si="20"/>
        <v>1.1679999999999999</v>
      </c>
      <c r="I175" s="368" t="str">
        <f t="shared" si="21"/>
        <v>m²</v>
      </c>
      <c r="J175" s="369"/>
    </row>
    <row r="176" spans="1:10" ht="15" customHeight="1" x14ac:dyDescent="0.25">
      <c r="A176" s="399" t="s">
        <v>10924</v>
      </c>
      <c r="B176" s="365" t="s">
        <v>10902</v>
      </c>
      <c r="C176" s="352"/>
      <c r="D176" s="370">
        <v>1</v>
      </c>
      <c r="E176" s="354">
        <v>0.8</v>
      </c>
      <c r="F176" s="354">
        <v>1.46</v>
      </c>
      <c r="G176" s="367" t="s">
        <v>16</v>
      </c>
      <c r="H176" s="222">
        <f t="shared" si="20"/>
        <v>1.1679999999999999</v>
      </c>
      <c r="I176" s="368" t="str">
        <f t="shared" si="21"/>
        <v>m²</v>
      </c>
      <c r="J176" s="369"/>
    </row>
    <row r="177" spans="1:12" ht="15" customHeight="1" x14ac:dyDescent="0.25">
      <c r="A177" s="399" t="s">
        <v>10924</v>
      </c>
      <c r="B177" s="365" t="s">
        <v>10903</v>
      </c>
      <c r="C177" s="352"/>
      <c r="D177" s="370">
        <v>1</v>
      </c>
      <c r="E177" s="354">
        <v>0.8</v>
      </c>
      <c r="F177" s="354">
        <v>1.46</v>
      </c>
      <c r="G177" s="367" t="s">
        <v>16</v>
      </c>
      <c r="H177" s="222">
        <f t="shared" si="20"/>
        <v>1.1679999999999999</v>
      </c>
      <c r="I177" s="368" t="str">
        <f t="shared" si="21"/>
        <v>m²</v>
      </c>
      <c r="J177" s="369"/>
    </row>
    <row r="178" spans="1:12" ht="15" customHeight="1" x14ac:dyDescent="0.25">
      <c r="A178" s="399" t="s">
        <v>10929</v>
      </c>
      <c r="B178" s="365" t="s">
        <v>10906</v>
      </c>
      <c r="C178" s="352"/>
      <c r="D178" s="370">
        <v>3</v>
      </c>
      <c r="E178" s="354">
        <v>0.7</v>
      </c>
      <c r="F178" s="354">
        <v>1.05</v>
      </c>
      <c r="G178" s="367" t="s">
        <v>16</v>
      </c>
      <c r="H178" s="222">
        <f>D178*E178*F178</f>
        <v>2.2049999999999996</v>
      </c>
      <c r="I178" s="368" t="str">
        <f t="shared" si="21"/>
        <v>m²</v>
      </c>
      <c r="J178" s="369"/>
    </row>
    <row r="179" spans="1:12" ht="15" customHeight="1" x14ac:dyDescent="0.25">
      <c r="A179" s="399" t="s">
        <v>10916</v>
      </c>
      <c r="B179" s="365" t="s">
        <v>10899</v>
      </c>
      <c r="C179" s="352"/>
      <c r="D179" s="370">
        <v>2</v>
      </c>
      <c r="E179" s="354">
        <v>1.28</v>
      </c>
      <c r="F179" s="354">
        <f>1.46-0.95</f>
        <v>0.51</v>
      </c>
      <c r="G179" s="367" t="s">
        <v>16</v>
      </c>
      <c r="H179" s="222">
        <f t="shared" ref="H179:H181" si="22">D179*E179*F179</f>
        <v>1.3056000000000001</v>
      </c>
      <c r="I179" s="368" t="str">
        <f t="shared" si="21"/>
        <v>m²</v>
      </c>
      <c r="J179" s="369"/>
    </row>
    <row r="180" spans="1:12" ht="15" customHeight="1" x14ac:dyDescent="0.25">
      <c r="A180" s="399" t="s">
        <v>10916</v>
      </c>
      <c r="B180" s="365" t="s">
        <v>10900</v>
      </c>
      <c r="C180" s="352"/>
      <c r="D180" s="370">
        <v>2</v>
      </c>
      <c r="E180" s="354">
        <v>1.28</v>
      </c>
      <c r="F180" s="354">
        <f t="shared" ref="F180:F181" si="23">1.46-0.95</f>
        <v>0.51</v>
      </c>
      <c r="G180" s="367" t="s">
        <v>16</v>
      </c>
      <c r="H180" s="222">
        <f t="shared" si="22"/>
        <v>1.3056000000000001</v>
      </c>
      <c r="I180" s="368" t="str">
        <f t="shared" si="21"/>
        <v>m²</v>
      </c>
      <c r="J180" s="369"/>
    </row>
    <row r="181" spans="1:12" ht="15" customHeight="1" x14ac:dyDescent="0.25">
      <c r="A181" s="399" t="s">
        <v>10916</v>
      </c>
      <c r="B181" s="365" t="s">
        <v>10901</v>
      </c>
      <c r="C181" s="352"/>
      <c r="D181" s="370">
        <v>2</v>
      </c>
      <c r="E181" s="354">
        <v>1.28</v>
      </c>
      <c r="F181" s="354">
        <f t="shared" si="23"/>
        <v>0.51</v>
      </c>
      <c r="G181" s="367" t="s">
        <v>16</v>
      </c>
      <c r="H181" s="222">
        <f t="shared" si="22"/>
        <v>1.3056000000000001</v>
      </c>
      <c r="I181" s="368" t="str">
        <f t="shared" si="21"/>
        <v>m²</v>
      </c>
      <c r="J181" s="369"/>
    </row>
    <row r="182" spans="1:12" ht="15" customHeight="1" x14ac:dyDescent="0.25">
      <c r="A182" s="350"/>
      <c r="B182" s="365"/>
      <c r="C182" s="365"/>
      <c r="D182" s="370"/>
      <c r="E182" s="354"/>
      <c r="F182" s="354"/>
      <c r="G182" s="367"/>
      <c r="H182" s="222"/>
      <c r="I182" s="368"/>
      <c r="J182" s="369"/>
    </row>
    <row r="183" spans="1:12" ht="15" customHeight="1" x14ac:dyDescent="0.25">
      <c r="A183" s="725" t="s">
        <v>14</v>
      </c>
      <c r="B183" s="726"/>
      <c r="C183" s="726"/>
      <c r="D183" s="726"/>
      <c r="E183" s="726"/>
      <c r="F183" s="726"/>
      <c r="G183" s="363" t="s">
        <v>16</v>
      </c>
      <c r="H183" s="210">
        <f>SUM(H173:H182)</f>
        <v>11.9618</v>
      </c>
      <c r="I183" s="386" t="str">
        <f t="shared" ref="I183:I185" si="24">$J$124</f>
        <v>m²</v>
      </c>
      <c r="J183" s="369"/>
    </row>
    <row r="184" spans="1:12" ht="15" customHeight="1" x14ac:dyDescent="0.25">
      <c r="A184" s="350"/>
      <c r="B184" s="352"/>
      <c r="C184" s="365"/>
      <c r="D184" s="352"/>
      <c r="E184" s="354"/>
      <c r="F184" s="354"/>
      <c r="G184" s="367"/>
      <c r="H184" s="222"/>
      <c r="I184" s="386"/>
      <c r="J184" s="369"/>
    </row>
    <row r="185" spans="1:12" s="198" customFormat="1" ht="15" customHeight="1" x14ac:dyDescent="0.2">
      <c r="A185" s="707" t="s">
        <v>10934</v>
      </c>
      <c r="B185" s="708"/>
      <c r="C185" s="708"/>
      <c r="D185" s="708"/>
      <c r="E185" s="708"/>
      <c r="F185" s="708"/>
      <c r="G185" s="363" t="s">
        <v>16</v>
      </c>
      <c r="H185" s="210">
        <f>(H142+H154+H168)-H183</f>
        <v>349.04820000000001</v>
      </c>
      <c r="I185" s="386" t="str">
        <f t="shared" si="24"/>
        <v>m²</v>
      </c>
      <c r="J185" s="364"/>
    </row>
    <row r="186" spans="1:12" ht="15" customHeight="1" thickBot="1" x14ac:dyDescent="0.3">
      <c r="A186" s="350"/>
      <c r="B186" s="352"/>
      <c r="C186" s="365"/>
      <c r="D186" s="352"/>
      <c r="E186" s="354"/>
      <c r="F186" s="354"/>
      <c r="G186" s="367"/>
      <c r="H186" s="222"/>
      <c r="I186" s="368"/>
      <c r="J186" s="369"/>
    </row>
    <row r="187" spans="1:12" ht="15.75" thickBot="1" x14ac:dyDescent="0.3">
      <c r="A187" s="46" t="s">
        <v>254</v>
      </c>
      <c r="B187" s="221" t="str">
        <f>VLOOKUP(A187,PO!$A$8:$K$433,4,FALSE)</f>
        <v>Demolição de rodapé cerâmico, de forma manual, sem reaproveitamento.</v>
      </c>
      <c r="C187" s="47"/>
      <c r="D187" s="48"/>
      <c r="E187" s="47"/>
      <c r="F187" s="49"/>
      <c r="G187" s="50"/>
      <c r="H187" s="50"/>
      <c r="I187" s="50">
        <f>H216</f>
        <v>178.78</v>
      </c>
      <c r="J187" s="338" t="str">
        <f>VLOOKUP(A187,PO!$A$8:'PO'!$E$1270,5,FALSE)</f>
        <v>m</v>
      </c>
    </row>
    <row r="188" spans="1:12" x14ac:dyDescent="0.25">
      <c r="A188" s="347"/>
      <c r="B188" s="204"/>
      <c r="C188" s="205"/>
      <c r="D188" s="206"/>
      <c r="E188" s="205"/>
      <c r="F188" s="373"/>
      <c r="G188" s="370"/>
      <c r="H188" s="208"/>
      <c r="I188" s="208"/>
      <c r="J188" s="372"/>
    </row>
    <row r="189" spans="1:12" s="198" customFormat="1" x14ac:dyDescent="0.25">
      <c r="A189" s="350" t="s">
        <v>13862</v>
      </c>
      <c r="B189" s="363" t="s">
        <v>21</v>
      </c>
      <c r="C189" s="359"/>
      <c r="D189" s="359"/>
      <c r="E189" s="363" t="s">
        <v>10921</v>
      </c>
      <c r="F189" s="363" t="s">
        <v>10922</v>
      </c>
      <c r="G189" s="210"/>
      <c r="H189" s="363" t="s">
        <v>14</v>
      </c>
      <c r="I189" s="363" t="s">
        <v>15</v>
      </c>
      <c r="J189" s="364"/>
    </row>
    <row r="190" spans="1:12" s="218" customFormat="1" ht="15" customHeight="1" x14ac:dyDescent="0.25">
      <c r="A190" s="403"/>
      <c r="B190" s="366" t="s">
        <v>10910</v>
      </c>
      <c r="C190" s="404"/>
      <c r="D190" s="381"/>
      <c r="E190" s="382">
        <v>1.46</v>
      </c>
      <c r="F190" s="382">
        <v>3.02</v>
      </c>
      <c r="G190" s="366" t="s">
        <v>16</v>
      </c>
      <c r="H190" s="383">
        <f>(E190+F190)*2</f>
        <v>8.9600000000000009</v>
      </c>
      <c r="I190" s="384" t="str">
        <f>$J$187</f>
        <v>m</v>
      </c>
      <c r="J190" s="405"/>
      <c r="L190" s="219"/>
    </row>
    <row r="191" spans="1:12" ht="15" customHeight="1" x14ac:dyDescent="0.25">
      <c r="A191" s="350"/>
      <c r="B191" s="365" t="s">
        <v>10899</v>
      </c>
      <c r="C191" s="352"/>
      <c r="D191" s="352"/>
      <c r="E191" s="354">
        <v>4</v>
      </c>
      <c r="F191" s="354">
        <v>4.95</v>
      </c>
      <c r="G191" s="367" t="s">
        <v>16</v>
      </c>
      <c r="H191" s="383">
        <f t="shared" ref="H191:H200" si="25">(E191+F191)*2</f>
        <v>17.899999999999999</v>
      </c>
      <c r="I191" s="384" t="str">
        <f t="shared" ref="I191:I200" si="26">$J$187</f>
        <v>m</v>
      </c>
      <c r="J191" s="369"/>
    </row>
    <row r="192" spans="1:12" ht="15" customHeight="1" x14ac:dyDescent="0.25">
      <c r="A192" s="350"/>
      <c r="B192" s="365" t="s">
        <v>10900</v>
      </c>
      <c r="C192" s="352"/>
      <c r="D192" s="352"/>
      <c r="E192" s="354">
        <v>4</v>
      </c>
      <c r="F192" s="354">
        <v>4.95</v>
      </c>
      <c r="G192" s="367" t="s">
        <v>16</v>
      </c>
      <c r="H192" s="383">
        <f t="shared" si="25"/>
        <v>17.899999999999999</v>
      </c>
      <c r="I192" s="384" t="str">
        <f t="shared" si="26"/>
        <v>m</v>
      </c>
      <c r="J192" s="369"/>
    </row>
    <row r="193" spans="1:10" ht="15" customHeight="1" x14ac:dyDescent="0.25">
      <c r="A193" s="350"/>
      <c r="B193" s="365" t="s">
        <v>10901</v>
      </c>
      <c r="C193" s="352"/>
      <c r="D193" s="352"/>
      <c r="E193" s="354">
        <v>4</v>
      </c>
      <c r="F193" s="354">
        <v>4.95</v>
      </c>
      <c r="G193" s="367" t="s">
        <v>16</v>
      </c>
      <c r="H193" s="383">
        <f t="shared" si="25"/>
        <v>17.899999999999999</v>
      </c>
      <c r="I193" s="384" t="str">
        <f t="shared" si="26"/>
        <v>m</v>
      </c>
      <c r="J193" s="369"/>
    </row>
    <row r="194" spans="1:10" ht="15" customHeight="1" x14ac:dyDescent="0.25">
      <c r="A194" s="350"/>
      <c r="B194" s="365" t="s">
        <v>10902</v>
      </c>
      <c r="C194" s="352"/>
      <c r="D194" s="352"/>
      <c r="E194" s="354">
        <v>4.09</v>
      </c>
      <c r="F194" s="354">
        <v>5.25</v>
      </c>
      <c r="G194" s="367" t="s">
        <v>16</v>
      </c>
      <c r="H194" s="383">
        <f t="shared" si="25"/>
        <v>18.68</v>
      </c>
      <c r="I194" s="384" t="str">
        <f t="shared" si="26"/>
        <v>m</v>
      </c>
      <c r="J194" s="369"/>
    </row>
    <row r="195" spans="1:10" ht="15" customHeight="1" x14ac:dyDescent="0.25">
      <c r="A195" s="350"/>
      <c r="B195" s="365" t="s">
        <v>10903</v>
      </c>
      <c r="C195" s="352"/>
      <c r="D195" s="352"/>
      <c r="E195" s="354">
        <v>3.81</v>
      </c>
      <c r="F195" s="354">
        <v>3.87</v>
      </c>
      <c r="G195" s="367" t="s">
        <v>16</v>
      </c>
      <c r="H195" s="383">
        <f t="shared" si="25"/>
        <v>15.36</v>
      </c>
      <c r="I195" s="384" t="str">
        <f t="shared" si="26"/>
        <v>m</v>
      </c>
      <c r="J195" s="369"/>
    </row>
    <row r="196" spans="1:10" ht="15" customHeight="1" x14ac:dyDescent="0.25">
      <c r="A196" s="350"/>
      <c r="B196" s="365" t="s">
        <v>10904</v>
      </c>
      <c r="C196" s="352"/>
      <c r="D196" s="352"/>
      <c r="E196" s="354">
        <v>3.22</v>
      </c>
      <c r="F196" s="354">
        <v>5.01</v>
      </c>
      <c r="G196" s="367" t="s">
        <v>16</v>
      </c>
      <c r="H196" s="383">
        <f t="shared" si="25"/>
        <v>16.46</v>
      </c>
      <c r="I196" s="384" t="str">
        <f t="shared" si="26"/>
        <v>m</v>
      </c>
      <c r="J196" s="369"/>
    </row>
    <row r="197" spans="1:10" ht="15" customHeight="1" x14ac:dyDescent="0.25">
      <c r="A197" s="350"/>
      <c r="B197" s="365" t="s">
        <v>10905</v>
      </c>
      <c r="C197" s="352"/>
      <c r="D197" s="352"/>
      <c r="E197" s="354">
        <v>4.4400000000000004</v>
      </c>
      <c r="F197" s="354">
        <v>5.01</v>
      </c>
      <c r="G197" s="367" t="s">
        <v>16</v>
      </c>
      <c r="H197" s="383">
        <f t="shared" si="25"/>
        <v>18.899999999999999</v>
      </c>
      <c r="I197" s="384" t="str">
        <f t="shared" si="26"/>
        <v>m</v>
      </c>
      <c r="J197" s="369"/>
    </row>
    <row r="198" spans="1:10" s="218" customFormat="1" ht="15" customHeight="1" x14ac:dyDescent="0.25">
      <c r="A198" s="403"/>
      <c r="B198" s="365" t="s">
        <v>10906</v>
      </c>
      <c r="C198" s="404"/>
      <c r="D198" s="352"/>
      <c r="E198" s="354">
        <v>5.54</v>
      </c>
      <c r="F198" s="354">
        <v>3.87</v>
      </c>
      <c r="G198" s="367" t="s">
        <v>16</v>
      </c>
      <c r="H198" s="383">
        <f t="shared" si="25"/>
        <v>18.82</v>
      </c>
      <c r="I198" s="384" t="str">
        <f t="shared" si="26"/>
        <v>m</v>
      </c>
      <c r="J198" s="405"/>
    </row>
    <row r="199" spans="1:10" s="218" customFormat="1" ht="15" customHeight="1" x14ac:dyDescent="0.25">
      <c r="A199" s="403"/>
      <c r="B199" s="365" t="s">
        <v>10907</v>
      </c>
      <c r="C199" s="404"/>
      <c r="D199" s="352"/>
      <c r="E199" s="354">
        <v>1.56</v>
      </c>
      <c r="F199" s="354">
        <v>1.79</v>
      </c>
      <c r="G199" s="367" t="s">
        <v>16</v>
      </c>
      <c r="H199" s="383">
        <f t="shared" si="25"/>
        <v>6.7</v>
      </c>
      <c r="I199" s="384" t="str">
        <f t="shared" si="26"/>
        <v>m</v>
      </c>
      <c r="J199" s="405"/>
    </row>
    <row r="200" spans="1:10" ht="15" customHeight="1" x14ac:dyDescent="0.25">
      <c r="A200" s="350"/>
      <c r="B200" s="365" t="s">
        <v>10908</v>
      </c>
      <c r="C200" s="352"/>
      <c r="D200" s="352"/>
      <c r="E200" s="354">
        <v>1.18</v>
      </c>
      <c r="F200" s="354">
        <v>1.66</v>
      </c>
      <c r="G200" s="367" t="s">
        <v>16</v>
      </c>
      <c r="H200" s="383">
        <f t="shared" si="25"/>
        <v>5.68</v>
      </c>
      <c r="I200" s="384" t="str">
        <f t="shared" si="26"/>
        <v>m</v>
      </c>
      <c r="J200" s="369"/>
    </row>
    <row r="201" spans="1:10" ht="15" customHeight="1" x14ac:dyDescent="0.25">
      <c r="A201" s="350"/>
      <c r="B201" s="365" t="s">
        <v>10914</v>
      </c>
      <c r="C201" s="352"/>
      <c r="D201" s="352"/>
      <c r="E201" s="354">
        <v>1.18</v>
      </c>
      <c r="F201" s="354">
        <v>9.5</v>
      </c>
      <c r="G201" s="367" t="s">
        <v>16</v>
      </c>
      <c r="H201" s="383">
        <f>(E201+F201)*2</f>
        <v>21.36</v>
      </c>
      <c r="I201" s="384" t="str">
        <f>$J$187</f>
        <v>m</v>
      </c>
      <c r="J201" s="369"/>
    </row>
    <row r="202" spans="1:10" ht="15" customHeight="1" x14ac:dyDescent="0.25">
      <c r="A202" s="350"/>
      <c r="B202" s="352"/>
      <c r="C202" s="365"/>
      <c r="D202" s="354"/>
      <c r="E202" s="354"/>
      <c r="F202" s="352"/>
      <c r="G202" s="367"/>
      <c r="H202" s="222"/>
      <c r="I202" s="368"/>
      <c r="J202" s="369"/>
    </row>
    <row r="203" spans="1:10" ht="15" customHeight="1" x14ac:dyDescent="0.25">
      <c r="A203" s="350"/>
      <c r="B203" s="352"/>
      <c r="C203" s="365"/>
      <c r="D203" s="354"/>
      <c r="E203" s="354"/>
      <c r="F203" s="360" t="s">
        <v>14</v>
      </c>
      <c r="G203" s="363" t="s">
        <v>16</v>
      </c>
      <c r="H203" s="210">
        <f>SUM(H190:H201)</f>
        <v>184.62</v>
      </c>
      <c r="I203" s="386" t="str">
        <f t="shared" ref="I203" si="27">$J$187</f>
        <v>m</v>
      </c>
      <c r="J203" s="369"/>
    </row>
    <row r="204" spans="1:10" ht="15" customHeight="1" x14ac:dyDescent="0.25">
      <c r="A204" s="350"/>
      <c r="B204" s="352"/>
      <c r="C204" s="365"/>
      <c r="D204" s="352"/>
      <c r="E204" s="354"/>
      <c r="F204" s="354"/>
      <c r="G204" s="367"/>
      <c r="H204" s="222"/>
      <c r="I204" s="368"/>
      <c r="J204" s="369"/>
    </row>
    <row r="205" spans="1:10" ht="15" customHeight="1" x14ac:dyDescent="0.25">
      <c r="A205" s="735" t="s">
        <v>10923</v>
      </c>
      <c r="B205" s="736"/>
      <c r="C205" s="736"/>
      <c r="D205" s="736"/>
      <c r="E205" s="736"/>
      <c r="F205" s="736"/>
      <c r="G205" s="736"/>
      <c r="H205" s="736"/>
      <c r="I205" s="736"/>
      <c r="J205" s="737"/>
    </row>
    <row r="206" spans="1:10" ht="15" customHeight="1" x14ac:dyDescent="0.25">
      <c r="A206" s="350"/>
      <c r="B206" s="352"/>
      <c r="C206" s="365"/>
      <c r="D206" s="352"/>
      <c r="E206" s="354"/>
      <c r="F206" s="398"/>
      <c r="G206" s="367"/>
      <c r="H206" s="222"/>
      <c r="I206" s="368"/>
      <c r="J206" s="369"/>
    </row>
    <row r="207" spans="1:10" ht="15" customHeight="1" x14ac:dyDescent="0.25">
      <c r="A207" s="397" t="s">
        <v>10886</v>
      </c>
      <c r="B207" s="363" t="s">
        <v>21</v>
      </c>
      <c r="C207" s="352"/>
      <c r="D207" s="360" t="s">
        <v>10927</v>
      </c>
      <c r="E207" s="363" t="s">
        <v>10921</v>
      </c>
      <c r="F207" s="398" t="s">
        <v>10930</v>
      </c>
      <c r="G207" s="367"/>
      <c r="H207" s="222"/>
      <c r="I207" s="368"/>
      <c r="J207" s="369"/>
    </row>
    <row r="208" spans="1:10" ht="15" customHeight="1" x14ac:dyDescent="0.25">
      <c r="A208" s="399" t="s">
        <v>10924</v>
      </c>
      <c r="B208" s="365" t="s">
        <v>10899</v>
      </c>
      <c r="C208" s="352"/>
      <c r="D208" s="370">
        <v>1</v>
      </c>
      <c r="E208" s="354">
        <v>0.8</v>
      </c>
      <c r="F208" s="354">
        <v>1.46</v>
      </c>
      <c r="G208" s="367" t="s">
        <v>16</v>
      </c>
      <c r="H208" s="222">
        <f t="shared" ref="H208:H212" si="28">E208*F208</f>
        <v>1.1679999999999999</v>
      </c>
      <c r="I208" s="368" t="str">
        <f t="shared" ref="I208:I212" si="29">$J$124</f>
        <v>m²</v>
      </c>
      <c r="J208" s="369"/>
    </row>
    <row r="209" spans="1:12" ht="15" customHeight="1" x14ac:dyDescent="0.25">
      <c r="A209" s="399" t="s">
        <v>10924</v>
      </c>
      <c r="B209" s="365" t="s">
        <v>10900</v>
      </c>
      <c r="C209" s="352"/>
      <c r="D209" s="370">
        <v>1</v>
      </c>
      <c r="E209" s="354">
        <v>0.8</v>
      </c>
      <c r="F209" s="354">
        <v>1.46</v>
      </c>
      <c r="G209" s="367" t="s">
        <v>16</v>
      </c>
      <c r="H209" s="222">
        <f t="shared" si="28"/>
        <v>1.1679999999999999</v>
      </c>
      <c r="I209" s="368" t="str">
        <f t="shared" si="29"/>
        <v>m²</v>
      </c>
      <c r="J209" s="369"/>
    </row>
    <row r="210" spans="1:12" ht="15" customHeight="1" x14ac:dyDescent="0.25">
      <c r="A210" s="399" t="s">
        <v>10924</v>
      </c>
      <c r="B210" s="365" t="s">
        <v>10901</v>
      </c>
      <c r="C210" s="352"/>
      <c r="D210" s="370">
        <v>1</v>
      </c>
      <c r="E210" s="354">
        <v>0.8</v>
      </c>
      <c r="F210" s="354">
        <v>1.46</v>
      </c>
      <c r="G210" s="367" t="s">
        <v>16</v>
      </c>
      <c r="H210" s="222">
        <f t="shared" si="28"/>
        <v>1.1679999999999999</v>
      </c>
      <c r="I210" s="368" t="str">
        <f t="shared" si="29"/>
        <v>m²</v>
      </c>
      <c r="J210" s="369"/>
    </row>
    <row r="211" spans="1:12" ht="15" customHeight="1" x14ac:dyDescent="0.25">
      <c r="A211" s="399" t="s">
        <v>10924</v>
      </c>
      <c r="B211" s="365" t="s">
        <v>10902</v>
      </c>
      <c r="C211" s="352"/>
      <c r="D211" s="370">
        <v>1</v>
      </c>
      <c r="E211" s="354">
        <v>0.8</v>
      </c>
      <c r="F211" s="354">
        <v>1.46</v>
      </c>
      <c r="G211" s="367" t="s">
        <v>16</v>
      </c>
      <c r="H211" s="222">
        <f t="shared" si="28"/>
        <v>1.1679999999999999</v>
      </c>
      <c r="I211" s="368" t="str">
        <f t="shared" si="29"/>
        <v>m²</v>
      </c>
      <c r="J211" s="369"/>
    </row>
    <row r="212" spans="1:12" ht="15" customHeight="1" x14ac:dyDescent="0.25">
      <c r="A212" s="399" t="s">
        <v>10924</v>
      </c>
      <c r="B212" s="365" t="s">
        <v>10903</v>
      </c>
      <c r="C212" s="352"/>
      <c r="D212" s="370">
        <v>1</v>
      </c>
      <c r="E212" s="354">
        <v>0.8</v>
      </c>
      <c r="F212" s="354">
        <v>1.46</v>
      </c>
      <c r="G212" s="367" t="s">
        <v>16</v>
      </c>
      <c r="H212" s="222">
        <f t="shared" si="28"/>
        <v>1.1679999999999999</v>
      </c>
      <c r="I212" s="368" t="str">
        <f t="shared" si="29"/>
        <v>m²</v>
      </c>
      <c r="J212" s="369"/>
    </row>
    <row r="213" spans="1:12" ht="15" customHeight="1" x14ac:dyDescent="0.25">
      <c r="A213" s="350"/>
      <c r="B213" s="365"/>
      <c r="C213" s="365"/>
      <c r="D213" s="354"/>
      <c r="E213" s="354"/>
      <c r="F213" s="352"/>
      <c r="G213" s="367"/>
      <c r="H213" s="222"/>
      <c r="I213" s="368"/>
      <c r="J213" s="369"/>
    </row>
    <row r="214" spans="1:12" ht="15" customHeight="1" x14ac:dyDescent="0.25">
      <c r="A214" s="350"/>
      <c r="B214" s="352"/>
      <c r="C214" s="365"/>
      <c r="D214" s="352"/>
      <c r="E214" s="354"/>
      <c r="F214" s="398" t="s">
        <v>14</v>
      </c>
      <c r="G214" s="363" t="s">
        <v>16</v>
      </c>
      <c r="H214" s="210">
        <f>SUM(H208:H212)</f>
        <v>5.84</v>
      </c>
      <c r="I214" s="386" t="str">
        <f>$J$187</f>
        <v>m</v>
      </c>
      <c r="J214" s="369"/>
    </row>
    <row r="215" spans="1:12" x14ac:dyDescent="0.25">
      <c r="A215" s="350"/>
      <c r="B215" s="352"/>
      <c r="C215" s="352"/>
      <c r="D215" s="352"/>
      <c r="E215" s="352"/>
      <c r="F215" s="352"/>
      <c r="G215" s="352"/>
      <c r="H215" s="352"/>
      <c r="I215" s="386"/>
      <c r="J215" s="369"/>
    </row>
    <row r="216" spans="1:12" x14ac:dyDescent="0.25">
      <c r="A216" s="707" t="str">
        <f>UPPER("Valor total do comprimento do rodapé com desconto")</f>
        <v>VALOR TOTAL DO COMPRIMENTO DO RODAPÉ COM DESCONTO</v>
      </c>
      <c r="B216" s="708"/>
      <c r="C216" s="708"/>
      <c r="D216" s="708"/>
      <c r="E216" s="708"/>
      <c r="F216" s="708"/>
      <c r="G216" s="360" t="s">
        <v>16</v>
      </c>
      <c r="H216" s="406">
        <f>H203-H214</f>
        <v>178.78</v>
      </c>
      <c r="I216" s="386" t="str">
        <f>$J$187</f>
        <v>m</v>
      </c>
      <c r="J216" s="369"/>
    </row>
    <row r="217" spans="1:12" ht="15.75" thickBot="1" x14ac:dyDescent="0.3">
      <c r="A217" s="350"/>
      <c r="B217" s="352"/>
      <c r="C217" s="352"/>
      <c r="D217" s="352"/>
      <c r="E217" s="352"/>
      <c r="F217" s="352"/>
      <c r="G217" s="352"/>
      <c r="H217" s="352"/>
      <c r="I217" s="352"/>
      <c r="J217" s="369"/>
    </row>
    <row r="218" spans="1:12" ht="15.75" thickBot="1" x14ac:dyDescent="0.3">
      <c r="A218" s="46" t="s">
        <v>255</v>
      </c>
      <c r="B218" s="60" t="str">
        <f>VLOOKUP(A218,PO!$A$8:$K$433,4,FALSE)</f>
        <v>Demolição de contrapiso até 3 cm, de forma manual, sem reaproveitamento.</v>
      </c>
      <c r="C218" s="47"/>
      <c r="D218" s="48"/>
      <c r="E218" s="47"/>
      <c r="F218" s="49"/>
      <c r="G218" s="50"/>
      <c r="H218" s="50"/>
      <c r="I218" s="50">
        <f>H238</f>
        <v>430.02689999999996</v>
      </c>
      <c r="J218" s="338" t="str">
        <f>VLOOKUP(A218,PO!$A$8:'PO'!$E$1270,5,FALSE)</f>
        <v>m²</v>
      </c>
    </row>
    <row r="219" spans="1:12" x14ac:dyDescent="0.25">
      <c r="A219" s="347"/>
      <c r="B219" s="204"/>
      <c r="C219" s="205"/>
      <c r="D219" s="206"/>
      <c r="E219" s="205"/>
      <c r="F219" s="373"/>
      <c r="G219" s="370"/>
      <c r="H219" s="208"/>
      <c r="I219" s="208"/>
      <c r="J219" s="372"/>
    </row>
    <row r="220" spans="1:12" s="198" customFormat="1" x14ac:dyDescent="0.25">
      <c r="A220" s="350" t="s">
        <v>13862</v>
      </c>
      <c r="B220" s="363" t="s">
        <v>21</v>
      </c>
      <c r="C220" s="359"/>
      <c r="D220" s="360" t="s">
        <v>10936</v>
      </c>
      <c r="E220" s="363" t="s">
        <v>10921</v>
      </c>
      <c r="F220" s="363" t="s">
        <v>10922</v>
      </c>
      <c r="G220" s="210"/>
      <c r="H220" s="363" t="s">
        <v>14</v>
      </c>
      <c r="I220" s="363" t="s">
        <v>15</v>
      </c>
      <c r="J220" s="364"/>
    </row>
    <row r="221" spans="1:12" s="226" customFormat="1" ht="15" customHeight="1" x14ac:dyDescent="0.25">
      <c r="A221" s="380"/>
      <c r="B221" s="391" t="s">
        <v>10897</v>
      </c>
      <c r="C221" s="381"/>
      <c r="D221" s="375" t="s">
        <v>10937</v>
      </c>
      <c r="E221" s="392">
        <v>2.63</v>
      </c>
      <c r="F221" s="392">
        <v>2.95</v>
      </c>
      <c r="G221" s="366" t="s">
        <v>16</v>
      </c>
      <c r="H221" s="383">
        <f>ROUND(E221*F221,2)</f>
        <v>7.76</v>
      </c>
      <c r="I221" s="384" t="str">
        <f>$J$31</f>
        <v>m²</v>
      </c>
      <c r="J221" s="385"/>
      <c r="L221" s="227"/>
    </row>
    <row r="222" spans="1:12" s="226" customFormat="1" ht="15" customHeight="1" x14ac:dyDescent="0.25">
      <c r="A222" s="380"/>
      <c r="B222" s="391" t="s">
        <v>10898</v>
      </c>
      <c r="C222" s="381"/>
      <c r="D222" s="375" t="s">
        <v>10937</v>
      </c>
      <c r="E222" s="392">
        <v>2.97</v>
      </c>
      <c r="F222" s="392">
        <v>2.95</v>
      </c>
      <c r="G222" s="366" t="s">
        <v>16</v>
      </c>
      <c r="H222" s="383">
        <f>ROUND(E222*F222,2)</f>
        <v>8.76</v>
      </c>
      <c r="I222" s="384" t="str">
        <f>I221</f>
        <v>m²</v>
      </c>
      <c r="J222" s="385"/>
    </row>
    <row r="223" spans="1:12" s="226" customFormat="1" ht="15" customHeight="1" x14ac:dyDescent="0.25">
      <c r="A223" s="380"/>
      <c r="B223" s="391" t="s">
        <v>13888</v>
      </c>
      <c r="C223" s="381"/>
      <c r="D223" s="375">
        <v>56.11</v>
      </c>
      <c r="E223" s="392"/>
      <c r="F223" s="392"/>
      <c r="G223" s="366" t="s">
        <v>16</v>
      </c>
      <c r="H223" s="383">
        <f>D223</f>
        <v>56.11</v>
      </c>
      <c r="I223" s="384"/>
      <c r="J223" s="385"/>
    </row>
    <row r="224" spans="1:12" s="226" customFormat="1" ht="15" customHeight="1" x14ac:dyDescent="0.25">
      <c r="A224" s="380"/>
      <c r="B224" s="391" t="s">
        <v>13889</v>
      </c>
      <c r="C224" s="381"/>
      <c r="D224" s="375">
        <v>32.06</v>
      </c>
      <c r="E224" s="392"/>
      <c r="F224" s="392"/>
      <c r="G224" s="366" t="s">
        <v>16</v>
      </c>
      <c r="H224" s="383">
        <f>D224</f>
        <v>32.06</v>
      </c>
      <c r="I224" s="384"/>
      <c r="J224" s="385"/>
    </row>
    <row r="225" spans="1:10" ht="15" customHeight="1" x14ac:dyDescent="0.25">
      <c r="A225" s="350"/>
      <c r="B225" s="365" t="s">
        <v>10899</v>
      </c>
      <c r="C225" s="352"/>
      <c r="D225" s="370" t="s">
        <v>10937</v>
      </c>
      <c r="E225" s="354">
        <v>4</v>
      </c>
      <c r="F225" s="354">
        <v>4.95</v>
      </c>
      <c r="G225" s="367" t="s">
        <v>16</v>
      </c>
      <c r="H225" s="222">
        <f t="shared" ref="H225:H235" si="30">ROUND(E225*F225,2)</f>
        <v>19.8</v>
      </c>
      <c r="I225" s="368" t="str">
        <f>I222</f>
        <v>m²</v>
      </c>
      <c r="J225" s="369"/>
    </row>
    <row r="226" spans="1:10" ht="15" customHeight="1" x14ac:dyDescent="0.25">
      <c r="A226" s="350"/>
      <c r="B226" s="365" t="s">
        <v>10900</v>
      </c>
      <c r="C226" s="352"/>
      <c r="D226" s="370" t="s">
        <v>10937</v>
      </c>
      <c r="E226" s="354">
        <v>4</v>
      </c>
      <c r="F226" s="354">
        <v>4.95</v>
      </c>
      <c r="G226" s="367" t="s">
        <v>16</v>
      </c>
      <c r="H226" s="222">
        <f t="shared" si="30"/>
        <v>19.8</v>
      </c>
      <c r="I226" s="368" t="str">
        <f t="shared" ref="I226:I235" si="31">I225</f>
        <v>m²</v>
      </c>
      <c r="J226" s="369"/>
    </row>
    <row r="227" spans="1:10" ht="15" customHeight="1" x14ac:dyDescent="0.25">
      <c r="A227" s="350"/>
      <c r="B227" s="365" t="s">
        <v>10901</v>
      </c>
      <c r="C227" s="352"/>
      <c r="D227" s="370" t="s">
        <v>10937</v>
      </c>
      <c r="E227" s="354">
        <v>4</v>
      </c>
      <c r="F227" s="354">
        <v>4.95</v>
      </c>
      <c r="G227" s="367" t="s">
        <v>16</v>
      </c>
      <c r="H227" s="222">
        <f t="shared" si="30"/>
        <v>19.8</v>
      </c>
      <c r="I227" s="368" t="str">
        <f t="shared" si="31"/>
        <v>m²</v>
      </c>
      <c r="J227" s="369"/>
    </row>
    <row r="228" spans="1:10" ht="15" customHeight="1" x14ac:dyDescent="0.25">
      <c r="A228" s="350"/>
      <c r="B228" s="365" t="s">
        <v>10902</v>
      </c>
      <c r="C228" s="352"/>
      <c r="D228" s="370" t="s">
        <v>10937</v>
      </c>
      <c r="E228" s="354">
        <v>4.09</v>
      </c>
      <c r="F228" s="354">
        <v>5.25</v>
      </c>
      <c r="G228" s="367" t="s">
        <v>16</v>
      </c>
      <c r="H228" s="222">
        <f t="shared" si="30"/>
        <v>21.47</v>
      </c>
      <c r="I228" s="368" t="str">
        <f t="shared" si="31"/>
        <v>m²</v>
      </c>
      <c r="J228" s="369"/>
    </row>
    <row r="229" spans="1:10" ht="15" customHeight="1" x14ac:dyDescent="0.25">
      <c r="A229" s="350"/>
      <c r="B229" s="365" t="s">
        <v>10903</v>
      </c>
      <c r="C229" s="352"/>
      <c r="D229" s="370" t="s">
        <v>10937</v>
      </c>
      <c r="E229" s="354">
        <v>3.81</v>
      </c>
      <c r="F229" s="354">
        <v>3.87</v>
      </c>
      <c r="G229" s="367" t="s">
        <v>16</v>
      </c>
      <c r="H229" s="222">
        <f t="shared" si="30"/>
        <v>14.74</v>
      </c>
      <c r="I229" s="368" t="str">
        <f t="shared" si="31"/>
        <v>m²</v>
      </c>
      <c r="J229" s="369"/>
    </row>
    <row r="230" spans="1:10" ht="15" customHeight="1" x14ac:dyDescent="0.25">
      <c r="A230" s="350"/>
      <c r="B230" s="365" t="s">
        <v>10904</v>
      </c>
      <c r="C230" s="352"/>
      <c r="D230" s="370" t="s">
        <v>10937</v>
      </c>
      <c r="E230" s="354">
        <v>3.22</v>
      </c>
      <c r="F230" s="354">
        <v>5.01</v>
      </c>
      <c r="G230" s="367" t="s">
        <v>16</v>
      </c>
      <c r="H230" s="222">
        <f t="shared" si="30"/>
        <v>16.13</v>
      </c>
      <c r="I230" s="368" t="str">
        <f t="shared" si="31"/>
        <v>m²</v>
      </c>
      <c r="J230" s="369"/>
    </row>
    <row r="231" spans="1:10" ht="15" customHeight="1" x14ac:dyDescent="0.25">
      <c r="A231" s="350"/>
      <c r="B231" s="365" t="s">
        <v>10905</v>
      </c>
      <c r="C231" s="352"/>
      <c r="D231" s="370" t="s">
        <v>10937</v>
      </c>
      <c r="E231" s="354">
        <v>4.4400000000000004</v>
      </c>
      <c r="F231" s="354">
        <v>5.01</v>
      </c>
      <c r="G231" s="367" t="s">
        <v>16</v>
      </c>
      <c r="H231" s="222">
        <f t="shared" si="30"/>
        <v>22.24</v>
      </c>
      <c r="I231" s="368" t="str">
        <f t="shared" si="31"/>
        <v>m²</v>
      </c>
      <c r="J231" s="369"/>
    </row>
    <row r="232" spans="1:10" ht="15" customHeight="1" x14ac:dyDescent="0.25">
      <c r="A232" s="350"/>
      <c r="B232" s="365" t="s">
        <v>10906</v>
      </c>
      <c r="C232" s="352"/>
      <c r="D232" s="370" t="s">
        <v>10937</v>
      </c>
      <c r="E232" s="354">
        <v>5.54</v>
      </c>
      <c r="F232" s="354">
        <v>3.87</v>
      </c>
      <c r="G232" s="367" t="s">
        <v>16</v>
      </c>
      <c r="H232" s="222">
        <f t="shared" si="30"/>
        <v>21.44</v>
      </c>
      <c r="I232" s="368" t="str">
        <f t="shared" si="31"/>
        <v>m²</v>
      </c>
      <c r="J232" s="369"/>
    </row>
    <row r="233" spans="1:10" ht="15" customHeight="1" x14ac:dyDescent="0.25">
      <c r="A233" s="350"/>
      <c r="B233" s="365" t="s">
        <v>10907</v>
      </c>
      <c r="C233" s="352"/>
      <c r="D233" s="370" t="s">
        <v>10937</v>
      </c>
      <c r="E233" s="354">
        <v>1.56</v>
      </c>
      <c r="F233" s="354">
        <v>1.79</v>
      </c>
      <c r="G233" s="367" t="s">
        <v>16</v>
      </c>
      <c r="H233" s="222">
        <f t="shared" si="30"/>
        <v>2.79</v>
      </c>
      <c r="I233" s="368" t="str">
        <f t="shared" si="31"/>
        <v>m²</v>
      </c>
      <c r="J233" s="369"/>
    </row>
    <row r="234" spans="1:10" ht="15" customHeight="1" x14ac:dyDescent="0.25">
      <c r="A234" s="350"/>
      <c r="B234" s="365" t="s">
        <v>10908</v>
      </c>
      <c r="C234" s="352"/>
      <c r="D234" s="370" t="s">
        <v>10937</v>
      </c>
      <c r="E234" s="354">
        <v>1.18</v>
      </c>
      <c r="F234" s="354">
        <v>1.66</v>
      </c>
      <c r="G234" s="367" t="s">
        <v>16</v>
      </c>
      <c r="H234" s="222">
        <f t="shared" si="30"/>
        <v>1.96</v>
      </c>
      <c r="I234" s="368" t="str">
        <f t="shared" si="31"/>
        <v>m²</v>
      </c>
      <c r="J234" s="369"/>
    </row>
    <row r="235" spans="1:10" ht="15" customHeight="1" x14ac:dyDescent="0.25">
      <c r="A235" s="350"/>
      <c r="B235" s="365" t="s">
        <v>10914</v>
      </c>
      <c r="C235" s="352"/>
      <c r="D235" s="370" t="s">
        <v>10937</v>
      </c>
      <c r="E235" s="354">
        <v>1.18</v>
      </c>
      <c r="F235" s="354">
        <v>9.5</v>
      </c>
      <c r="G235" s="367" t="s">
        <v>16</v>
      </c>
      <c r="H235" s="222">
        <f t="shared" si="30"/>
        <v>11.21</v>
      </c>
      <c r="I235" s="368" t="str">
        <f t="shared" si="31"/>
        <v>m²</v>
      </c>
      <c r="J235" s="369"/>
    </row>
    <row r="236" spans="1:10" ht="15" customHeight="1" x14ac:dyDescent="0.25">
      <c r="A236" s="350"/>
      <c r="B236" s="365" t="s">
        <v>10911</v>
      </c>
      <c r="C236" s="352"/>
      <c r="D236" s="376">
        <v>153.95689999999999</v>
      </c>
      <c r="E236" s="354" t="s">
        <v>10937</v>
      </c>
      <c r="F236" s="354" t="s">
        <v>10937</v>
      </c>
      <c r="G236" s="367" t="s">
        <v>16</v>
      </c>
      <c r="H236" s="222">
        <f>D236</f>
        <v>153.95689999999999</v>
      </c>
      <c r="I236" s="368" t="str">
        <f>I235</f>
        <v>m²</v>
      </c>
      <c r="J236" s="369"/>
    </row>
    <row r="237" spans="1:10" ht="15" customHeight="1" x14ac:dyDescent="0.25">
      <c r="A237" s="350"/>
      <c r="B237" s="352"/>
      <c r="C237" s="365"/>
      <c r="D237" s="352"/>
      <c r="E237" s="354"/>
      <c r="F237" s="354"/>
      <c r="G237" s="367"/>
      <c r="H237" s="222"/>
      <c r="I237" s="368"/>
      <c r="J237" s="369"/>
    </row>
    <row r="238" spans="1:10" ht="15" customHeight="1" x14ac:dyDescent="0.25">
      <c r="A238" s="725" t="s">
        <v>10915</v>
      </c>
      <c r="B238" s="726"/>
      <c r="C238" s="726"/>
      <c r="D238" s="726"/>
      <c r="E238" s="726"/>
      <c r="F238" s="726"/>
      <c r="G238" s="363" t="s">
        <v>16</v>
      </c>
      <c r="H238" s="210">
        <f>SUM(H220:H236)</f>
        <v>430.02689999999996</v>
      </c>
      <c r="I238" s="386" t="str">
        <f>I233</f>
        <v>m²</v>
      </c>
      <c r="J238" s="369"/>
    </row>
    <row r="239" spans="1:10" ht="15.75" thickBot="1" x14ac:dyDescent="0.3">
      <c r="A239" s="350"/>
      <c r="B239" s="352"/>
      <c r="C239" s="352"/>
      <c r="D239" s="352"/>
      <c r="E239" s="352"/>
      <c r="F239" s="352"/>
      <c r="G239" s="352"/>
      <c r="H239" s="352"/>
      <c r="I239" s="352"/>
      <c r="J239" s="369"/>
    </row>
    <row r="240" spans="1:10" ht="15.75" thickBot="1" x14ac:dyDescent="0.3">
      <c r="A240" s="46" t="s">
        <v>256</v>
      </c>
      <c r="B240" s="60" t="str">
        <f>VLOOKUP(A240,PO!$A$8:$K$433,4,FALSE)</f>
        <v>Remoção de portas, de forma manual, sem reaproveitamento.</v>
      </c>
      <c r="C240" s="47"/>
      <c r="D240" s="48"/>
      <c r="E240" s="47"/>
      <c r="F240" s="49"/>
      <c r="G240" s="50"/>
      <c r="H240" s="50"/>
      <c r="I240" s="50">
        <f>H259</f>
        <v>29.520000000000003</v>
      </c>
      <c r="J240" s="338" t="str">
        <f>VLOOKUP(A240,PO!$A$8:'PO'!$E$1270,5,FALSE)</f>
        <v>m²</v>
      </c>
    </row>
    <row r="241" spans="1:10" x14ac:dyDescent="0.25">
      <c r="A241" s="347"/>
      <c r="B241" s="204"/>
      <c r="C241" s="205"/>
      <c r="D241" s="206"/>
      <c r="E241" s="205"/>
      <c r="F241" s="373"/>
      <c r="G241" s="370"/>
      <c r="H241" s="208"/>
      <c r="I241" s="208"/>
      <c r="J241" s="372"/>
    </row>
    <row r="242" spans="1:10" x14ac:dyDescent="0.25">
      <c r="A242" s="407" t="s">
        <v>10886</v>
      </c>
      <c r="B242" s="363" t="s">
        <v>21</v>
      </c>
      <c r="C242" s="352"/>
      <c r="D242" s="363" t="s">
        <v>10921</v>
      </c>
      <c r="E242" s="363" t="s">
        <v>44</v>
      </c>
      <c r="F242" s="363" t="s">
        <v>10909</v>
      </c>
      <c r="G242" s="363"/>
      <c r="H242" s="363" t="s">
        <v>14</v>
      </c>
      <c r="I242" s="363" t="s">
        <v>15</v>
      </c>
      <c r="J242" s="369"/>
    </row>
    <row r="243" spans="1:10" x14ac:dyDescent="0.25">
      <c r="A243" s="408" t="s">
        <v>10926</v>
      </c>
      <c r="B243" s="365" t="s">
        <v>10910</v>
      </c>
      <c r="C243" s="352"/>
      <c r="D243" s="222">
        <v>0.95</v>
      </c>
      <c r="E243" s="383">
        <v>2.1</v>
      </c>
      <c r="F243" s="367">
        <v>1</v>
      </c>
      <c r="G243" s="367" t="s">
        <v>16</v>
      </c>
      <c r="H243" s="222">
        <f>ROUND(D243*E243*F243,2)</f>
        <v>2</v>
      </c>
      <c r="I243" s="368" t="str">
        <f>$J$240</f>
        <v>m²</v>
      </c>
      <c r="J243" s="369"/>
    </row>
    <row r="244" spans="1:10" x14ac:dyDescent="0.25">
      <c r="A244" s="408" t="s">
        <v>10924</v>
      </c>
      <c r="B244" s="365" t="s">
        <v>10899</v>
      </c>
      <c r="C244" s="352"/>
      <c r="D244" s="222">
        <v>0.8</v>
      </c>
      <c r="E244" s="383">
        <v>2.1</v>
      </c>
      <c r="F244" s="367">
        <v>1</v>
      </c>
      <c r="G244" s="367" t="s">
        <v>16</v>
      </c>
      <c r="H244" s="222">
        <f t="shared" ref="H244:H255" si="32">ROUND(D244*E244*F244,2)</f>
        <v>1.68</v>
      </c>
      <c r="I244" s="368" t="str">
        <f>I243</f>
        <v>m²</v>
      </c>
      <c r="J244" s="369"/>
    </row>
    <row r="245" spans="1:10" x14ac:dyDescent="0.25">
      <c r="A245" s="408" t="s">
        <v>10924</v>
      </c>
      <c r="B245" s="365" t="s">
        <v>10900</v>
      </c>
      <c r="C245" s="352"/>
      <c r="D245" s="222">
        <v>0.8</v>
      </c>
      <c r="E245" s="383">
        <v>2.1</v>
      </c>
      <c r="F245" s="367">
        <v>1</v>
      </c>
      <c r="G245" s="367" t="s">
        <v>16</v>
      </c>
      <c r="H245" s="222">
        <f t="shared" si="32"/>
        <v>1.68</v>
      </c>
      <c r="I245" s="368" t="str">
        <f t="shared" ref="I245:I255" si="33">I244</f>
        <v>m²</v>
      </c>
      <c r="J245" s="369"/>
    </row>
    <row r="246" spans="1:10" x14ac:dyDescent="0.25">
      <c r="A246" s="408" t="s">
        <v>10924</v>
      </c>
      <c r="B246" s="365" t="s">
        <v>10901</v>
      </c>
      <c r="C246" s="352"/>
      <c r="D246" s="222">
        <v>0.8</v>
      </c>
      <c r="E246" s="383">
        <v>2.1</v>
      </c>
      <c r="F246" s="367">
        <v>1</v>
      </c>
      <c r="G246" s="367" t="s">
        <v>16</v>
      </c>
      <c r="H246" s="222">
        <f t="shared" si="32"/>
        <v>1.68</v>
      </c>
      <c r="I246" s="368" t="str">
        <f t="shared" si="33"/>
        <v>m²</v>
      </c>
      <c r="J246" s="369"/>
    </row>
    <row r="247" spans="1:10" x14ac:dyDescent="0.25">
      <c r="A247" s="408" t="s">
        <v>10926</v>
      </c>
      <c r="B247" s="365" t="s">
        <v>10902</v>
      </c>
      <c r="C247" s="352"/>
      <c r="D247" s="222">
        <v>0.95</v>
      </c>
      <c r="E247" s="383">
        <v>2.1</v>
      </c>
      <c r="F247" s="367">
        <v>1</v>
      </c>
      <c r="G247" s="367" t="s">
        <v>16</v>
      </c>
      <c r="H247" s="222">
        <f t="shared" si="32"/>
        <v>2</v>
      </c>
      <c r="I247" s="368" t="str">
        <f t="shared" si="33"/>
        <v>m²</v>
      </c>
      <c r="J247" s="369"/>
    </row>
    <row r="248" spans="1:10" x14ac:dyDescent="0.25">
      <c r="A248" s="408" t="s">
        <v>10924</v>
      </c>
      <c r="B248" s="365" t="s">
        <v>10903</v>
      </c>
      <c r="C248" s="352"/>
      <c r="D248" s="222">
        <v>0.8</v>
      </c>
      <c r="E248" s="383">
        <v>2.1</v>
      </c>
      <c r="F248" s="367">
        <v>1</v>
      </c>
      <c r="G248" s="367" t="s">
        <v>16</v>
      </c>
      <c r="H248" s="222">
        <f t="shared" si="32"/>
        <v>1.68</v>
      </c>
      <c r="I248" s="368" t="str">
        <f t="shared" si="33"/>
        <v>m²</v>
      </c>
      <c r="J248" s="369"/>
    </row>
    <row r="249" spans="1:10" x14ac:dyDescent="0.25">
      <c r="A249" s="408" t="s">
        <v>10926</v>
      </c>
      <c r="B249" s="365" t="s">
        <v>10904</v>
      </c>
      <c r="C249" s="352"/>
      <c r="D249" s="222">
        <v>0.95</v>
      </c>
      <c r="E249" s="383">
        <v>2.1</v>
      </c>
      <c r="F249" s="367">
        <v>1</v>
      </c>
      <c r="G249" s="367" t="s">
        <v>16</v>
      </c>
      <c r="H249" s="222">
        <f t="shared" si="32"/>
        <v>2</v>
      </c>
      <c r="I249" s="368" t="str">
        <f t="shared" si="33"/>
        <v>m²</v>
      </c>
      <c r="J249" s="369"/>
    </row>
    <row r="250" spans="1:10" x14ac:dyDescent="0.25">
      <c r="A250" s="408" t="s">
        <v>10924</v>
      </c>
      <c r="B250" s="365" t="s">
        <v>10905</v>
      </c>
      <c r="C250" s="352"/>
      <c r="D250" s="222">
        <v>0.8</v>
      </c>
      <c r="E250" s="383">
        <v>2.1</v>
      </c>
      <c r="F250" s="367">
        <v>1</v>
      </c>
      <c r="G250" s="367" t="s">
        <v>16</v>
      </c>
      <c r="H250" s="222">
        <f t="shared" si="32"/>
        <v>1.68</v>
      </c>
      <c r="I250" s="368" t="str">
        <f t="shared" si="33"/>
        <v>m²</v>
      </c>
      <c r="J250" s="369"/>
    </row>
    <row r="251" spans="1:10" x14ac:dyDescent="0.25">
      <c r="A251" s="408" t="s">
        <v>10925</v>
      </c>
      <c r="B251" s="365" t="s">
        <v>10906</v>
      </c>
      <c r="C251" s="352"/>
      <c r="D251" s="222">
        <v>0.6</v>
      </c>
      <c r="E251" s="383">
        <v>2.1</v>
      </c>
      <c r="F251" s="367">
        <v>3</v>
      </c>
      <c r="G251" s="367" t="s">
        <v>16</v>
      </c>
      <c r="H251" s="222">
        <f t="shared" si="32"/>
        <v>3.78</v>
      </c>
      <c r="I251" s="368" t="str">
        <f t="shared" si="33"/>
        <v>m²</v>
      </c>
      <c r="J251" s="369"/>
    </row>
    <row r="252" spans="1:10" x14ac:dyDescent="0.25">
      <c r="A252" s="408" t="s">
        <v>10924</v>
      </c>
      <c r="B252" s="365" t="s">
        <v>10906</v>
      </c>
      <c r="C252" s="352"/>
      <c r="D252" s="222">
        <v>0.8</v>
      </c>
      <c r="E252" s="383">
        <v>2.1</v>
      </c>
      <c r="F252" s="367">
        <v>1</v>
      </c>
      <c r="G252" s="367" t="s">
        <v>16</v>
      </c>
      <c r="H252" s="222">
        <f t="shared" si="32"/>
        <v>1.68</v>
      </c>
      <c r="I252" s="368" t="str">
        <f t="shared" si="33"/>
        <v>m²</v>
      </c>
      <c r="J252" s="369"/>
    </row>
    <row r="253" spans="1:10" x14ac:dyDescent="0.25">
      <c r="A253" s="408" t="s">
        <v>10925</v>
      </c>
      <c r="B253" s="365" t="s">
        <v>10907</v>
      </c>
      <c r="C253" s="352"/>
      <c r="D253" s="222">
        <v>0.6</v>
      </c>
      <c r="E253" s="383">
        <v>2.1</v>
      </c>
      <c r="F253" s="367">
        <v>1</v>
      </c>
      <c r="G253" s="367" t="s">
        <v>16</v>
      </c>
      <c r="H253" s="222">
        <f t="shared" si="32"/>
        <v>1.26</v>
      </c>
      <c r="I253" s="368" t="str">
        <f t="shared" si="33"/>
        <v>m²</v>
      </c>
      <c r="J253" s="369"/>
    </row>
    <row r="254" spans="1:10" x14ac:dyDescent="0.25">
      <c r="A254" s="408" t="s">
        <v>10925</v>
      </c>
      <c r="B254" s="365" t="s">
        <v>10908</v>
      </c>
      <c r="C254" s="352"/>
      <c r="D254" s="222">
        <v>0.6</v>
      </c>
      <c r="E254" s="383">
        <v>2.1</v>
      </c>
      <c r="F254" s="367">
        <v>1</v>
      </c>
      <c r="G254" s="367" t="s">
        <v>16</v>
      </c>
      <c r="H254" s="222">
        <f t="shared" si="32"/>
        <v>1.26</v>
      </c>
      <c r="I254" s="368" t="str">
        <f t="shared" si="33"/>
        <v>m²</v>
      </c>
      <c r="J254" s="369"/>
    </row>
    <row r="255" spans="1:10" x14ac:dyDescent="0.25">
      <c r="A255" s="408" t="s">
        <v>10924</v>
      </c>
      <c r="B255" s="365" t="s">
        <v>10914</v>
      </c>
      <c r="C255" s="352"/>
      <c r="D255" s="222">
        <v>0.8</v>
      </c>
      <c r="E255" s="383">
        <v>2.1</v>
      </c>
      <c r="F255" s="367">
        <v>1</v>
      </c>
      <c r="G255" s="367" t="s">
        <v>16</v>
      </c>
      <c r="H255" s="222">
        <f t="shared" si="32"/>
        <v>1.68</v>
      </c>
      <c r="I255" s="368" t="str">
        <f t="shared" si="33"/>
        <v>m²</v>
      </c>
      <c r="J255" s="369"/>
    </row>
    <row r="256" spans="1:10" x14ac:dyDescent="0.25">
      <c r="A256" s="408" t="s">
        <v>10924</v>
      </c>
      <c r="B256" s="365" t="s">
        <v>10911</v>
      </c>
      <c r="C256" s="352"/>
      <c r="D256" s="222">
        <v>0.8</v>
      </c>
      <c r="E256" s="383">
        <v>2.1</v>
      </c>
      <c r="F256" s="367">
        <v>1</v>
      </c>
      <c r="G256" s="367" t="s">
        <v>16</v>
      </c>
      <c r="H256" s="222">
        <f t="shared" ref="H256" si="34">ROUND(D256*E256*F256,2)</f>
        <v>1.68</v>
      </c>
      <c r="I256" s="368" t="str">
        <f t="shared" ref="I256:I257" si="35">I255</f>
        <v>m²</v>
      </c>
      <c r="J256" s="369"/>
    </row>
    <row r="257" spans="1:10" x14ac:dyDescent="0.25">
      <c r="A257" s="408" t="s">
        <v>10925</v>
      </c>
      <c r="B257" s="365" t="s">
        <v>10911</v>
      </c>
      <c r="C257" s="352"/>
      <c r="D257" s="222">
        <v>0.6</v>
      </c>
      <c r="E257" s="383">
        <v>2.1</v>
      </c>
      <c r="F257" s="367">
        <v>3</v>
      </c>
      <c r="G257" s="367" t="s">
        <v>16</v>
      </c>
      <c r="H257" s="222">
        <f>ROUND(D257*E257*F257,2)</f>
        <v>3.78</v>
      </c>
      <c r="I257" s="368" t="str">
        <f t="shared" si="35"/>
        <v>m²</v>
      </c>
      <c r="J257" s="369"/>
    </row>
    <row r="258" spans="1:10" x14ac:dyDescent="0.25">
      <c r="A258" s="409"/>
      <c r="B258" s="365"/>
      <c r="C258" s="367"/>
      <c r="D258" s="366"/>
      <c r="E258" s="222"/>
      <c r="F258" s="366"/>
      <c r="G258" s="367"/>
      <c r="H258" s="367"/>
      <c r="I258" s="222"/>
      <c r="J258" s="410"/>
    </row>
    <row r="259" spans="1:10" ht="15" customHeight="1" x14ac:dyDescent="0.25">
      <c r="A259" s="411"/>
      <c r="B259" s="412"/>
      <c r="C259" s="412"/>
      <c r="D259" s="412"/>
      <c r="E259" s="412"/>
      <c r="F259" s="360" t="s">
        <v>14</v>
      </c>
      <c r="G259" s="363" t="s">
        <v>16</v>
      </c>
      <c r="H259" s="210">
        <f>SUM(H243:H257)</f>
        <v>29.520000000000003</v>
      </c>
      <c r="I259" s="413" t="str">
        <f>I256</f>
        <v>m²</v>
      </c>
      <c r="J259" s="369"/>
    </row>
    <row r="260" spans="1:10" ht="15.75" thickBot="1" x14ac:dyDescent="0.3">
      <c r="A260" s="350"/>
      <c r="B260" s="352"/>
      <c r="C260" s="352"/>
      <c r="D260" s="370"/>
      <c r="E260" s="370"/>
      <c r="F260" s="370"/>
      <c r="G260" s="370"/>
      <c r="H260" s="352"/>
      <c r="I260" s="352"/>
      <c r="J260" s="369"/>
    </row>
    <row r="261" spans="1:10" ht="15.75" thickBot="1" x14ac:dyDescent="0.3">
      <c r="A261" s="46" t="s">
        <v>257</v>
      </c>
      <c r="B261" s="60" t="str">
        <f>VLOOKUP(A261,PO!$A$8:$K$433,4,FALSE)</f>
        <v>Remoção de janelas, de forma manual, sem reaproveitamento.</v>
      </c>
      <c r="C261" s="47"/>
      <c r="D261" s="48"/>
      <c r="E261" s="47"/>
      <c r="F261" s="49"/>
      <c r="G261" s="50"/>
      <c r="H261" s="50"/>
      <c r="I261" s="50">
        <f>H277</f>
        <v>29.089999999999993</v>
      </c>
      <c r="J261" s="338" t="str">
        <f>VLOOKUP(A261,PO!$A$8:'PO'!$E$1270,5,FALSE)</f>
        <v>m²</v>
      </c>
    </row>
    <row r="262" spans="1:10" x14ac:dyDescent="0.25">
      <c r="A262" s="347"/>
      <c r="B262" s="204"/>
      <c r="C262" s="205"/>
      <c r="D262" s="206"/>
      <c r="E262" s="205"/>
      <c r="F262" s="373"/>
      <c r="G262" s="370"/>
      <c r="H262" s="208"/>
      <c r="I262" s="208"/>
      <c r="J262" s="372"/>
    </row>
    <row r="263" spans="1:10" x14ac:dyDescent="0.25">
      <c r="A263" s="407" t="s">
        <v>10886</v>
      </c>
      <c r="B263" s="363" t="s">
        <v>21</v>
      </c>
      <c r="C263" s="352"/>
      <c r="D263" s="363" t="s">
        <v>10921</v>
      </c>
      <c r="E263" s="363" t="s">
        <v>44</v>
      </c>
      <c r="F263" s="363" t="s">
        <v>10909</v>
      </c>
      <c r="G263" s="363"/>
      <c r="H263" s="363" t="s">
        <v>14</v>
      </c>
      <c r="I263" s="363" t="s">
        <v>15</v>
      </c>
      <c r="J263" s="369"/>
    </row>
    <row r="264" spans="1:10" s="34" customFormat="1" x14ac:dyDescent="0.25">
      <c r="A264" s="414" t="s">
        <v>10916</v>
      </c>
      <c r="B264" s="365" t="s">
        <v>10899</v>
      </c>
      <c r="C264" s="345"/>
      <c r="D264" s="355">
        <v>1.28</v>
      </c>
      <c r="E264" s="205">
        <v>1.6</v>
      </c>
      <c r="F264" s="355">
        <v>2</v>
      </c>
      <c r="G264" s="355" t="s">
        <v>16</v>
      </c>
      <c r="H264" s="354">
        <f t="shared" ref="H264:H275" si="36">ROUND(D264*E264*F264,2)</f>
        <v>4.0999999999999996</v>
      </c>
      <c r="I264" s="415" t="str">
        <f>$J$261</f>
        <v>m²</v>
      </c>
      <c r="J264" s="346"/>
    </row>
    <row r="265" spans="1:10" s="34" customFormat="1" x14ac:dyDescent="0.25">
      <c r="A265" s="414" t="s">
        <v>10916</v>
      </c>
      <c r="B265" s="365" t="s">
        <v>10900</v>
      </c>
      <c r="C265" s="345"/>
      <c r="D265" s="355">
        <v>1.28</v>
      </c>
      <c r="E265" s="205">
        <v>1.6</v>
      </c>
      <c r="F265" s="355">
        <v>2</v>
      </c>
      <c r="G265" s="355" t="s">
        <v>16</v>
      </c>
      <c r="H265" s="354">
        <f t="shared" si="36"/>
        <v>4.0999999999999996</v>
      </c>
      <c r="I265" s="415" t="str">
        <f t="shared" ref="I265:I275" si="37">$J$261</f>
        <v>m²</v>
      </c>
      <c r="J265" s="346"/>
    </row>
    <row r="266" spans="1:10" s="34" customFormat="1" x14ac:dyDescent="0.25">
      <c r="A266" s="414" t="s">
        <v>10916</v>
      </c>
      <c r="B266" s="365" t="s">
        <v>10901</v>
      </c>
      <c r="C266" s="345"/>
      <c r="D266" s="355">
        <v>1.28</v>
      </c>
      <c r="E266" s="205">
        <v>1.6</v>
      </c>
      <c r="F266" s="355">
        <v>2</v>
      </c>
      <c r="G266" s="355" t="s">
        <v>16</v>
      </c>
      <c r="H266" s="354">
        <f t="shared" si="36"/>
        <v>4.0999999999999996</v>
      </c>
      <c r="I266" s="415" t="str">
        <f t="shared" si="37"/>
        <v>m²</v>
      </c>
      <c r="J266" s="346"/>
    </row>
    <row r="267" spans="1:10" s="34" customFormat="1" x14ac:dyDescent="0.25">
      <c r="A267" s="414" t="s">
        <v>10916</v>
      </c>
      <c r="B267" s="365" t="s">
        <v>10902</v>
      </c>
      <c r="C267" s="345"/>
      <c r="D267" s="355">
        <v>1.28</v>
      </c>
      <c r="E267" s="205">
        <v>1.6</v>
      </c>
      <c r="F267" s="355">
        <v>2</v>
      </c>
      <c r="G267" s="355" t="s">
        <v>16</v>
      </c>
      <c r="H267" s="354">
        <f t="shared" si="36"/>
        <v>4.0999999999999996</v>
      </c>
      <c r="I267" s="415" t="str">
        <f t="shared" si="37"/>
        <v>m²</v>
      </c>
      <c r="J267" s="346"/>
    </row>
    <row r="268" spans="1:10" s="34" customFormat="1" x14ac:dyDescent="0.25">
      <c r="A268" s="414" t="s">
        <v>10928</v>
      </c>
      <c r="B268" s="365" t="s">
        <v>10903</v>
      </c>
      <c r="C268" s="345"/>
      <c r="D268" s="354">
        <v>1</v>
      </c>
      <c r="E268" s="205">
        <v>0.4</v>
      </c>
      <c r="F268" s="355">
        <v>1</v>
      </c>
      <c r="G268" s="355" t="s">
        <v>16</v>
      </c>
      <c r="H268" s="354">
        <f t="shared" si="36"/>
        <v>0.4</v>
      </c>
      <c r="I268" s="415" t="str">
        <f t="shared" si="37"/>
        <v>m²</v>
      </c>
      <c r="J268" s="346"/>
    </row>
    <row r="269" spans="1:10" s="34" customFormat="1" x14ac:dyDescent="0.25">
      <c r="A269" s="414" t="s">
        <v>10916</v>
      </c>
      <c r="B269" s="365" t="s">
        <v>10904</v>
      </c>
      <c r="C269" s="345"/>
      <c r="D269" s="355">
        <v>1.28</v>
      </c>
      <c r="E269" s="205">
        <v>1.6</v>
      </c>
      <c r="F269" s="355">
        <v>1</v>
      </c>
      <c r="G269" s="355" t="s">
        <v>16</v>
      </c>
      <c r="H269" s="354">
        <f t="shared" si="36"/>
        <v>2.0499999999999998</v>
      </c>
      <c r="I269" s="415" t="str">
        <f t="shared" si="37"/>
        <v>m²</v>
      </c>
      <c r="J269" s="346"/>
    </row>
    <row r="270" spans="1:10" s="34" customFormat="1" x14ac:dyDescent="0.25">
      <c r="A270" s="414" t="s">
        <v>10916</v>
      </c>
      <c r="B270" s="365" t="s">
        <v>10905</v>
      </c>
      <c r="C270" s="345"/>
      <c r="D270" s="355">
        <v>1.28</v>
      </c>
      <c r="E270" s="205">
        <v>1.6</v>
      </c>
      <c r="F270" s="355">
        <v>2</v>
      </c>
      <c r="G270" s="355" t="s">
        <v>16</v>
      </c>
      <c r="H270" s="354">
        <f t="shared" si="36"/>
        <v>4.0999999999999996</v>
      </c>
      <c r="I270" s="415" t="str">
        <f t="shared" si="37"/>
        <v>m²</v>
      </c>
      <c r="J270" s="346"/>
    </row>
    <row r="271" spans="1:10" s="34" customFormat="1" x14ac:dyDescent="0.25">
      <c r="A271" s="414" t="s">
        <v>10929</v>
      </c>
      <c r="B271" s="365" t="s">
        <v>10906</v>
      </c>
      <c r="C271" s="345"/>
      <c r="D271" s="355">
        <v>0.7</v>
      </c>
      <c r="E271" s="205">
        <v>1.05</v>
      </c>
      <c r="F271" s="355">
        <v>3</v>
      </c>
      <c r="G271" s="355" t="s">
        <v>16</v>
      </c>
      <c r="H271" s="354">
        <f t="shared" si="36"/>
        <v>2.21</v>
      </c>
      <c r="I271" s="415" t="str">
        <f t="shared" si="37"/>
        <v>m²</v>
      </c>
      <c r="J271" s="346"/>
    </row>
    <row r="272" spans="1:10" s="34" customFormat="1" x14ac:dyDescent="0.25">
      <c r="A272" s="414" t="s">
        <v>10929</v>
      </c>
      <c r="B272" s="365" t="s">
        <v>10907</v>
      </c>
      <c r="C272" s="345"/>
      <c r="D272" s="355">
        <v>0.7</v>
      </c>
      <c r="E272" s="205">
        <v>1.05</v>
      </c>
      <c r="F272" s="355">
        <v>1</v>
      </c>
      <c r="G272" s="355" t="s">
        <v>16</v>
      </c>
      <c r="H272" s="354">
        <f t="shared" si="36"/>
        <v>0.74</v>
      </c>
      <c r="I272" s="415" t="str">
        <f t="shared" si="37"/>
        <v>m²</v>
      </c>
      <c r="J272" s="346"/>
    </row>
    <row r="273" spans="1:10" s="34" customFormat="1" x14ac:dyDescent="0.25">
      <c r="A273" s="414" t="s">
        <v>10929</v>
      </c>
      <c r="B273" s="365" t="s">
        <v>10908</v>
      </c>
      <c r="C273" s="345"/>
      <c r="D273" s="355">
        <v>0.7</v>
      </c>
      <c r="E273" s="205">
        <v>1.05</v>
      </c>
      <c r="F273" s="355">
        <v>1</v>
      </c>
      <c r="G273" s="355" t="s">
        <v>16</v>
      </c>
      <c r="H273" s="354">
        <f t="shared" si="36"/>
        <v>0.74</v>
      </c>
      <c r="I273" s="415" t="str">
        <f t="shared" si="37"/>
        <v>m²</v>
      </c>
      <c r="J273" s="346"/>
    </row>
    <row r="274" spans="1:10" s="34" customFormat="1" x14ac:dyDescent="0.25">
      <c r="A274" s="414" t="s">
        <v>10928</v>
      </c>
      <c r="B274" s="365" t="s">
        <v>10914</v>
      </c>
      <c r="C274" s="345"/>
      <c r="D274" s="354">
        <v>1</v>
      </c>
      <c r="E274" s="205">
        <v>0.4</v>
      </c>
      <c r="F274" s="355">
        <v>1</v>
      </c>
      <c r="G274" s="355" t="s">
        <v>16</v>
      </c>
      <c r="H274" s="354">
        <f t="shared" si="36"/>
        <v>0.4</v>
      </c>
      <c r="I274" s="415" t="str">
        <f t="shared" si="37"/>
        <v>m²</v>
      </c>
      <c r="J274" s="346"/>
    </row>
    <row r="275" spans="1:10" s="34" customFormat="1" x14ac:dyDescent="0.25">
      <c r="A275" s="414" t="s">
        <v>10916</v>
      </c>
      <c r="B275" s="365" t="s">
        <v>10911</v>
      </c>
      <c r="C275" s="345"/>
      <c r="D275" s="355">
        <v>1.28</v>
      </c>
      <c r="E275" s="205">
        <v>1.6</v>
      </c>
      <c r="F275" s="355">
        <v>1</v>
      </c>
      <c r="G275" s="355" t="s">
        <v>16</v>
      </c>
      <c r="H275" s="354">
        <f t="shared" si="36"/>
        <v>2.0499999999999998</v>
      </c>
      <c r="I275" s="415" t="str">
        <f t="shared" si="37"/>
        <v>m²</v>
      </c>
      <c r="J275" s="346"/>
    </row>
    <row r="276" spans="1:10" x14ac:dyDescent="0.25">
      <c r="A276" s="409"/>
      <c r="B276" s="365"/>
      <c r="C276" s="367"/>
      <c r="D276" s="367"/>
      <c r="E276" s="222"/>
      <c r="F276" s="367"/>
      <c r="G276" s="367"/>
      <c r="H276" s="222"/>
      <c r="I276" s="368"/>
      <c r="J276" s="369"/>
    </row>
    <row r="277" spans="1:10" ht="15" customHeight="1" x14ac:dyDescent="0.25">
      <c r="A277" s="350"/>
      <c r="B277" s="412"/>
      <c r="C277" s="412"/>
      <c r="D277" s="412"/>
      <c r="E277" s="412"/>
      <c r="F277" s="360" t="s">
        <v>14</v>
      </c>
      <c r="G277" s="363" t="s">
        <v>16</v>
      </c>
      <c r="H277" s="210">
        <f>SUM(H264:H276)</f>
        <v>29.089999999999993</v>
      </c>
      <c r="I277" s="413" t="str">
        <f>I275</f>
        <v>m²</v>
      </c>
      <c r="J277" s="369"/>
    </row>
    <row r="278" spans="1:10" ht="15.75" thickBot="1" x14ac:dyDescent="0.3">
      <c r="A278" s="350"/>
      <c r="B278" s="352"/>
      <c r="C278" s="352"/>
      <c r="D278" s="352"/>
      <c r="E278" s="352"/>
      <c r="F278" s="352"/>
      <c r="G278" s="352"/>
      <c r="H278" s="352"/>
      <c r="I278" s="352"/>
      <c r="J278" s="369"/>
    </row>
    <row r="279" spans="1:10" s="218" customFormat="1" ht="15.75" thickBot="1" x14ac:dyDescent="0.3">
      <c r="A279" s="229" t="s">
        <v>263</v>
      </c>
      <c r="B279" s="221" t="str">
        <f>VLOOKUP(A279,PO!$A$8:$K$433,4,FALSE)</f>
        <v xml:space="preserve">Demolição de alvenaria de bloco furado, de forma manual, sem reaproveitamento. </v>
      </c>
      <c r="C279" s="230"/>
      <c r="D279" s="231"/>
      <c r="E279" s="230"/>
      <c r="F279" s="232"/>
      <c r="G279" s="233"/>
      <c r="H279" s="233"/>
      <c r="I279" s="233">
        <f>H319</f>
        <v>56.753998000000003</v>
      </c>
      <c r="J279" s="416" t="str">
        <f>VLOOKUP(A279,PO!$A$8:'PO'!$E$1270,5,FALSE)</f>
        <v>m³</v>
      </c>
    </row>
    <row r="280" spans="1:10" x14ac:dyDescent="0.25">
      <c r="A280" s="350" t="s">
        <v>13862</v>
      </c>
      <c r="B280" s="352"/>
      <c r="C280" s="205"/>
      <c r="D280" s="206"/>
      <c r="E280" s="205"/>
      <c r="F280" s="373"/>
      <c r="G280" s="370"/>
      <c r="H280" s="208"/>
      <c r="I280" s="208"/>
      <c r="J280" s="372"/>
    </row>
    <row r="281" spans="1:10" x14ac:dyDescent="0.25">
      <c r="A281" s="407" t="s">
        <v>10886</v>
      </c>
      <c r="B281" s="360" t="s">
        <v>21</v>
      </c>
      <c r="C281" s="360" t="s">
        <v>10933</v>
      </c>
      <c r="D281" s="360" t="s">
        <v>10930</v>
      </c>
      <c r="E281" s="359" t="s">
        <v>10932</v>
      </c>
      <c r="F281" s="360" t="s">
        <v>10927</v>
      </c>
      <c r="G281" s="360"/>
      <c r="H281" s="360" t="s">
        <v>14</v>
      </c>
      <c r="I281" s="360" t="s">
        <v>15</v>
      </c>
      <c r="J281" s="369"/>
    </row>
    <row r="282" spans="1:10" x14ac:dyDescent="0.25">
      <c r="A282" s="417"/>
      <c r="B282" s="365" t="s">
        <v>10910</v>
      </c>
      <c r="C282" s="383">
        <v>1.23</v>
      </c>
      <c r="D282" s="383">
        <v>3.18</v>
      </c>
      <c r="E282" s="222">
        <f>0.2+0.02</f>
        <v>0.22</v>
      </c>
      <c r="F282" s="370">
        <v>1</v>
      </c>
      <c r="G282" s="370" t="s">
        <v>16</v>
      </c>
      <c r="H282" s="376">
        <f t="shared" ref="H282:H296" si="38">C282*D282*E282</f>
        <v>0.86050800000000005</v>
      </c>
      <c r="I282" s="377" t="str">
        <f t="shared" ref="I282:I298" si="39">$J$279</f>
        <v>m³</v>
      </c>
      <c r="J282" s="369"/>
    </row>
    <row r="283" spans="1:10" x14ac:dyDescent="0.25">
      <c r="A283" s="417"/>
      <c r="B283" s="365" t="s">
        <v>10899</v>
      </c>
      <c r="C283" s="222">
        <v>1.5</v>
      </c>
      <c r="D283" s="222">
        <v>2.5</v>
      </c>
      <c r="E283" s="222">
        <f t="shared" ref="E283:E290" si="40">0.2+0.02</f>
        <v>0.22</v>
      </c>
      <c r="F283" s="370">
        <v>1</v>
      </c>
      <c r="G283" s="370" t="s">
        <v>16</v>
      </c>
      <c r="H283" s="376">
        <f t="shared" si="38"/>
        <v>0.82499999999999996</v>
      </c>
      <c r="I283" s="377" t="str">
        <f t="shared" si="39"/>
        <v>m³</v>
      </c>
      <c r="J283" s="369"/>
    </row>
    <row r="284" spans="1:10" x14ac:dyDescent="0.25">
      <c r="A284" s="417"/>
      <c r="B284" s="365" t="s">
        <v>10900</v>
      </c>
      <c r="C284" s="222">
        <v>0.7</v>
      </c>
      <c r="D284" s="222">
        <f>2.5-2.1</f>
        <v>0.39999999999999991</v>
      </c>
      <c r="E284" s="222">
        <f t="shared" si="40"/>
        <v>0.22</v>
      </c>
      <c r="F284" s="370">
        <v>1</v>
      </c>
      <c r="G284" s="370" t="s">
        <v>16</v>
      </c>
      <c r="H284" s="376">
        <f t="shared" si="38"/>
        <v>6.1599999999999981E-2</v>
      </c>
      <c r="I284" s="377" t="str">
        <f t="shared" si="39"/>
        <v>m³</v>
      </c>
      <c r="J284" s="369"/>
    </row>
    <row r="285" spans="1:10" x14ac:dyDescent="0.25">
      <c r="A285" s="417"/>
      <c r="B285" s="365" t="s">
        <v>10901</v>
      </c>
      <c r="C285" s="222">
        <v>1.5</v>
      </c>
      <c r="D285" s="222">
        <v>2.5</v>
      </c>
      <c r="E285" s="222">
        <f t="shared" si="40"/>
        <v>0.22</v>
      </c>
      <c r="F285" s="370">
        <v>1</v>
      </c>
      <c r="G285" s="370" t="s">
        <v>16</v>
      </c>
      <c r="H285" s="376">
        <f t="shared" si="38"/>
        <v>0.82499999999999996</v>
      </c>
      <c r="I285" s="377" t="str">
        <f t="shared" si="39"/>
        <v>m³</v>
      </c>
      <c r="J285" s="369"/>
    </row>
    <row r="286" spans="1:10" s="218" customFormat="1" x14ac:dyDescent="0.25">
      <c r="A286" s="418"/>
      <c r="B286" s="400" t="s">
        <v>10902</v>
      </c>
      <c r="C286" s="374">
        <f>4.49+5.25+0.55+0.65+1.18</f>
        <v>12.120000000000001</v>
      </c>
      <c r="D286" s="374">
        <v>3.18</v>
      </c>
      <c r="E286" s="222">
        <f t="shared" si="40"/>
        <v>0.22</v>
      </c>
      <c r="F286" s="400">
        <v>1</v>
      </c>
      <c r="G286" s="400" t="s">
        <v>16</v>
      </c>
      <c r="H286" s="419">
        <f t="shared" si="38"/>
        <v>8.4791520000000009</v>
      </c>
      <c r="I286" s="420" t="str">
        <f t="shared" si="39"/>
        <v>m³</v>
      </c>
      <c r="J286" s="405"/>
    </row>
    <row r="287" spans="1:10" x14ac:dyDescent="0.25">
      <c r="A287" s="417"/>
      <c r="B287" s="365" t="s">
        <v>10903</v>
      </c>
      <c r="C287" s="222">
        <f>3.81</f>
        <v>3.81</v>
      </c>
      <c r="D287" s="222">
        <v>3.18</v>
      </c>
      <c r="E287" s="222">
        <f t="shared" si="40"/>
        <v>0.22</v>
      </c>
      <c r="F287" s="370">
        <v>1</v>
      </c>
      <c r="G287" s="370" t="s">
        <v>16</v>
      </c>
      <c r="H287" s="376">
        <f t="shared" si="38"/>
        <v>2.665476</v>
      </c>
      <c r="I287" s="377" t="str">
        <f t="shared" si="39"/>
        <v>m³</v>
      </c>
      <c r="J287" s="369"/>
    </row>
    <row r="288" spans="1:10" x14ac:dyDescent="0.25">
      <c r="A288" s="417"/>
      <c r="B288" s="365" t="s">
        <v>10904</v>
      </c>
      <c r="C288" s="222">
        <f>5.01+5.01</f>
        <v>10.02</v>
      </c>
      <c r="D288" s="222">
        <v>3.18</v>
      </c>
      <c r="E288" s="222">
        <f t="shared" si="40"/>
        <v>0.22</v>
      </c>
      <c r="F288" s="370">
        <v>1</v>
      </c>
      <c r="G288" s="370" t="s">
        <v>16</v>
      </c>
      <c r="H288" s="376">
        <f t="shared" si="38"/>
        <v>7.0099920000000004</v>
      </c>
      <c r="I288" s="377" t="str">
        <f t="shared" si="39"/>
        <v>m³</v>
      </c>
      <c r="J288" s="369"/>
    </row>
    <row r="289" spans="1:10" x14ac:dyDescent="0.25">
      <c r="A289" s="417"/>
      <c r="B289" s="365" t="s">
        <v>10905</v>
      </c>
      <c r="C289" s="222">
        <f>4.59</f>
        <v>4.59</v>
      </c>
      <c r="D289" s="222">
        <v>3.18</v>
      </c>
      <c r="E289" s="222">
        <f t="shared" si="40"/>
        <v>0.22</v>
      </c>
      <c r="F289" s="370">
        <v>1</v>
      </c>
      <c r="G289" s="370" t="s">
        <v>16</v>
      </c>
      <c r="H289" s="376">
        <f t="shared" si="38"/>
        <v>3.2111640000000001</v>
      </c>
      <c r="I289" s="377" t="str">
        <f t="shared" si="39"/>
        <v>m³</v>
      </c>
      <c r="J289" s="369"/>
    </row>
    <row r="290" spans="1:10" s="218" customFormat="1" x14ac:dyDescent="0.25">
      <c r="A290" s="418"/>
      <c r="B290" s="400" t="s">
        <v>10906</v>
      </c>
      <c r="C290" s="374">
        <f>2.74+2.26</f>
        <v>5</v>
      </c>
      <c r="D290" s="374">
        <v>3.18</v>
      </c>
      <c r="E290" s="222">
        <f t="shared" si="40"/>
        <v>0.22</v>
      </c>
      <c r="F290" s="400">
        <v>1</v>
      </c>
      <c r="G290" s="400" t="s">
        <v>16</v>
      </c>
      <c r="H290" s="419">
        <f t="shared" si="38"/>
        <v>3.4980000000000002</v>
      </c>
      <c r="I290" s="420" t="str">
        <f t="shared" si="39"/>
        <v>m³</v>
      </c>
      <c r="J290" s="405"/>
    </row>
    <row r="291" spans="1:10" s="218" customFormat="1" x14ac:dyDescent="0.25">
      <c r="A291" s="418"/>
      <c r="B291" s="400" t="s">
        <v>10906</v>
      </c>
      <c r="C291" s="374">
        <f>0.64+1.35+0.76+2.8+0.15+(1.6*2)+1.17</f>
        <v>10.07</v>
      </c>
      <c r="D291" s="374">
        <v>2.1</v>
      </c>
      <c r="E291" s="374">
        <f>0.15+0.02</f>
        <v>0.16999999999999998</v>
      </c>
      <c r="F291" s="400">
        <v>1</v>
      </c>
      <c r="G291" s="400"/>
      <c r="H291" s="419">
        <f t="shared" si="38"/>
        <v>3.5949900000000001</v>
      </c>
      <c r="I291" s="420"/>
      <c r="J291" s="405"/>
    </row>
    <row r="292" spans="1:10" s="218" customFormat="1" x14ac:dyDescent="0.25">
      <c r="A292" s="418" t="s">
        <v>10938</v>
      </c>
      <c r="B292" s="400" t="s">
        <v>10906</v>
      </c>
      <c r="C292" s="374">
        <v>1.2</v>
      </c>
      <c r="D292" s="374">
        <v>0.4</v>
      </c>
      <c r="E292" s="374">
        <f>0.2+0.02</f>
        <v>0.22</v>
      </c>
      <c r="F292" s="400">
        <v>3</v>
      </c>
      <c r="G292" s="400" t="s">
        <v>16</v>
      </c>
      <c r="H292" s="419">
        <f>C292*D292*E292*F292</f>
        <v>0.31679999999999997</v>
      </c>
      <c r="I292" s="420" t="str">
        <f t="shared" si="39"/>
        <v>m³</v>
      </c>
      <c r="J292" s="405"/>
    </row>
    <row r="293" spans="1:10" x14ac:dyDescent="0.25">
      <c r="A293" s="417"/>
      <c r="B293" s="365" t="s">
        <v>10907</v>
      </c>
      <c r="C293" s="222">
        <f>(1.56*2)+1.99</f>
        <v>5.1100000000000003</v>
      </c>
      <c r="D293" s="222">
        <v>3.18</v>
      </c>
      <c r="E293" s="222">
        <f>0.2+0.02</f>
        <v>0.22</v>
      </c>
      <c r="F293" s="370">
        <v>1</v>
      </c>
      <c r="G293" s="370" t="s">
        <v>16</v>
      </c>
      <c r="H293" s="376">
        <f t="shared" si="38"/>
        <v>3.5749560000000002</v>
      </c>
      <c r="I293" s="377" t="str">
        <f t="shared" si="39"/>
        <v>m³</v>
      </c>
      <c r="J293" s="369"/>
    </row>
    <row r="294" spans="1:10" x14ac:dyDescent="0.25">
      <c r="A294" s="417"/>
      <c r="B294" s="365" t="s">
        <v>10908</v>
      </c>
      <c r="C294" s="222">
        <f>1.81+1.81+1.48</f>
        <v>5.0999999999999996</v>
      </c>
      <c r="D294" s="222">
        <v>3.18</v>
      </c>
      <c r="E294" s="222">
        <f t="shared" ref="E294:E296" si="41">0.2+0.02</f>
        <v>0.22</v>
      </c>
      <c r="F294" s="370">
        <v>1</v>
      </c>
      <c r="G294" s="370" t="s">
        <v>16</v>
      </c>
      <c r="H294" s="376">
        <f t="shared" si="38"/>
        <v>3.5679599999999998</v>
      </c>
      <c r="I294" s="377" t="str">
        <f t="shared" si="39"/>
        <v>m³</v>
      </c>
      <c r="J294" s="369"/>
    </row>
    <row r="295" spans="1:10" x14ac:dyDescent="0.25">
      <c r="A295" s="417"/>
      <c r="B295" s="370" t="s">
        <v>10911</v>
      </c>
      <c r="C295" s="222">
        <f>((0.13+1.65)*2)+((0.25+1.65)*2)+((0.37+1.65)*2)+((0.49+1.65)*2)+((0.61+1.65)*2)+((0.73+1.65)*2)+((0.85+1.65)*2)+((0.97+1.65)*2)+((1.09+1.65)*2)+((1.21+1.65)*2)+((1.33+1.65)*2)</f>
        <v>52.359999999999992</v>
      </c>
      <c r="D295" s="222" t="s">
        <v>10937</v>
      </c>
      <c r="E295" s="222">
        <f t="shared" si="41"/>
        <v>0.22</v>
      </c>
      <c r="F295" s="370">
        <v>2</v>
      </c>
      <c r="G295" s="370" t="s">
        <v>16</v>
      </c>
      <c r="H295" s="376">
        <f>C295*E295*F295</f>
        <v>23.038399999999996</v>
      </c>
      <c r="I295" s="377" t="str">
        <f t="shared" si="39"/>
        <v>m³</v>
      </c>
      <c r="J295" s="369"/>
    </row>
    <row r="296" spans="1:10" x14ac:dyDescent="0.25">
      <c r="A296" s="417" t="s">
        <v>10939</v>
      </c>
      <c r="B296" s="365" t="s">
        <v>10914</v>
      </c>
      <c r="C296" s="222">
        <v>1.5</v>
      </c>
      <c r="D296" s="222">
        <v>2.5</v>
      </c>
      <c r="E296" s="222">
        <f t="shared" si="41"/>
        <v>0.22</v>
      </c>
      <c r="F296" s="370">
        <v>1</v>
      </c>
      <c r="G296" s="370" t="s">
        <v>16</v>
      </c>
      <c r="H296" s="376">
        <f t="shared" si="38"/>
        <v>0.82499999999999996</v>
      </c>
      <c r="I296" s="377" t="str">
        <f t="shared" si="39"/>
        <v>m³</v>
      </c>
      <c r="J296" s="369"/>
    </row>
    <row r="297" spans="1:10" x14ac:dyDescent="0.25">
      <c r="A297" s="417"/>
      <c r="B297" s="365"/>
      <c r="C297" s="222"/>
      <c r="D297" s="222"/>
      <c r="E297" s="222"/>
      <c r="F297" s="352"/>
      <c r="G297" s="370"/>
      <c r="H297" s="376"/>
      <c r="I297" s="377"/>
      <c r="J297" s="369"/>
    </row>
    <row r="298" spans="1:10" s="198" customFormat="1" ht="14.25" x14ac:dyDescent="0.2">
      <c r="A298" s="362"/>
      <c r="B298" s="360"/>
      <c r="C298" s="210"/>
      <c r="D298" s="210"/>
      <c r="E298" s="210"/>
      <c r="F298" s="359" t="s">
        <v>14</v>
      </c>
      <c r="G298" s="360" t="s">
        <v>16</v>
      </c>
      <c r="H298" s="406">
        <f>SUM(H282:H297)</f>
        <v>62.353998000000004</v>
      </c>
      <c r="I298" s="413" t="str">
        <f t="shared" si="39"/>
        <v>m³</v>
      </c>
      <c r="J298" s="364"/>
    </row>
    <row r="299" spans="1:10" x14ac:dyDescent="0.25">
      <c r="A299" s="350"/>
      <c r="B299" s="370"/>
      <c r="C299" s="365"/>
      <c r="D299" s="222"/>
      <c r="E299" s="222"/>
      <c r="F299" s="222"/>
      <c r="G299" s="352"/>
      <c r="H299" s="370"/>
      <c r="I299" s="376"/>
      <c r="J299" s="421"/>
    </row>
    <row r="300" spans="1:10" x14ac:dyDescent="0.25">
      <c r="A300" s="707" t="s">
        <v>10940</v>
      </c>
      <c r="B300" s="708"/>
      <c r="C300" s="708"/>
      <c r="D300" s="708"/>
      <c r="E300" s="708"/>
      <c r="F300" s="708"/>
      <c r="G300" s="708"/>
      <c r="H300" s="708"/>
      <c r="I300" s="708"/>
      <c r="J300" s="709"/>
    </row>
    <row r="301" spans="1:10" x14ac:dyDescent="0.25">
      <c r="A301" s="350"/>
      <c r="B301" s="352"/>
      <c r="C301" s="352"/>
      <c r="D301" s="352"/>
      <c r="E301" s="352"/>
      <c r="F301" s="352"/>
      <c r="G301" s="352"/>
      <c r="H301" s="352"/>
      <c r="I301" s="352"/>
      <c r="J301" s="369"/>
    </row>
    <row r="302" spans="1:10" x14ac:dyDescent="0.25">
      <c r="A302" s="407" t="s">
        <v>10886</v>
      </c>
      <c r="B302" s="360" t="s">
        <v>21</v>
      </c>
      <c r="C302" s="360" t="s">
        <v>10933</v>
      </c>
      <c r="D302" s="360" t="s">
        <v>10930</v>
      </c>
      <c r="E302" s="360" t="s">
        <v>10927</v>
      </c>
      <c r="F302" s="359" t="s">
        <v>10932</v>
      </c>
      <c r="G302" s="360"/>
      <c r="H302" s="360" t="s">
        <v>14</v>
      </c>
      <c r="I302" s="360" t="s">
        <v>15</v>
      </c>
      <c r="J302" s="369"/>
    </row>
    <row r="303" spans="1:10" x14ac:dyDescent="0.25">
      <c r="A303" s="414" t="s">
        <v>10924</v>
      </c>
      <c r="B303" s="365" t="s">
        <v>10901</v>
      </c>
      <c r="C303" s="370">
        <v>0.8</v>
      </c>
      <c r="D303" s="370">
        <v>2.1</v>
      </c>
      <c r="E303" s="376">
        <v>1</v>
      </c>
      <c r="F303" s="376">
        <v>0.2</v>
      </c>
      <c r="G303" s="370" t="s">
        <v>16</v>
      </c>
      <c r="H303" s="376">
        <f>C303*D303*E303*F303</f>
        <v>0.33600000000000008</v>
      </c>
      <c r="I303" s="377" t="str">
        <f>$J$279</f>
        <v>m³</v>
      </c>
      <c r="J303" s="369"/>
    </row>
    <row r="304" spans="1:10" x14ac:dyDescent="0.25">
      <c r="A304" s="414" t="s">
        <v>10916</v>
      </c>
      <c r="B304" s="365" t="s">
        <v>10902</v>
      </c>
      <c r="C304" s="222">
        <f>0.55+0.51</f>
        <v>1.06</v>
      </c>
      <c r="D304" s="222">
        <v>1.6</v>
      </c>
      <c r="E304" s="376">
        <v>1</v>
      </c>
      <c r="F304" s="376">
        <v>0.2</v>
      </c>
      <c r="G304" s="370" t="s">
        <v>16</v>
      </c>
      <c r="H304" s="376">
        <f t="shared" ref="H304:H315" si="42">C304*D304*E304*F304</f>
        <v>0.33920000000000006</v>
      </c>
      <c r="I304" s="377" t="str">
        <f t="shared" ref="I304:I319" si="43">$J$279</f>
        <v>m³</v>
      </c>
      <c r="J304" s="369"/>
    </row>
    <row r="305" spans="1:10" x14ac:dyDescent="0.25">
      <c r="A305" s="414" t="s">
        <v>10926</v>
      </c>
      <c r="B305" s="365" t="s">
        <v>10902</v>
      </c>
      <c r="C305" s="222">
        <v>0.95</v>
      </c>
      <c r="D305" s="222">
        <v>2.1</v>
      </c>
      <c r="E305" s="376">
        <v>1</v>
      </c>
      <c r="F305" s="376">
        <v>0.2</v>
      </c>
      <c r="G305" s="370" t="s">
        <v>16</v>
      </c>
      <c r="H305" s="376">
        <f t="shared" si="42"/>
        <v>0.39900000000000002</v>
      </c>
      <c r="I305" s="377" t="str">
        <f t="shared" si="43"/>
        <v>m³</v>
      </c>
      <c r="J305" s="369"/>
    </row>
    <row r="306" spans="1:10" x14ac:dyDescent="0.25">
      <c r="A306" s="414" t="s">
        <v>10924</v>
      </c>
      <c r="B306" s="365" t="s">
        <v>10902</v>
      </c>
      <c r="C306" s="222">
        <v>0.8</v>
      </c>
      <c r="D306" s="222">
        <v>2.1</v>
      </c>
      <c r="E306" s="376">
        <v>2</v>
      </c>
      <c r="F306" s="376">
        <v>0.2</v>
      </c>
      <c r="G306" s="370" t="s">
        <v>16</v>
      </c>
      <c r="H306" s="376">
        <f t="shared" si="42"/>
        <v>0.67200000000000015</v>
      </c>
      <c r="I306" s="377" t="str">
        <f t="shared" si="43"/>
        <v>m³</v>
      </c>
      <c r="J306" s="369"/>
    </row>
    <row r="307" spans="1:10" x14ac:dyDescent="0.25">
      <c r="A307" s="414" t="s">
        <v>10929</v>
      </c>
      <c r="B307" s="365" t="s">
        <v>10903</v>
      </c>
      <c r="C307" s="222">
        <v>0.7</v>
      </c>
      <c r="D307" s="222">
        <v>1.05</v>
      </c>
      <c r="E307" s="376">
        <v>1</v>
      </c>
      <c r="F307" s="376">
        <v>0.2</v>
      </c>
      <c r="G307" s="370" t="s">
        <v>16</v>
      </c>
      <c r="H307" s="376">
        <f t="shared" si="42"/>
        <v>0.14699999999999999</v>
      </c>
      <c r="I307" s="377" t="str">
        <f t="shared" si="43"/>
        <v>m³</v>
      </c>
      <c r="J307" s="369"/>
    </row>
    <row r="308" spans="1:10" x14ac:dyDescent="0.25">
      <c r="A308" s="414" t="s">
        <v>10924</v>
      </c>
      <c r="B308" s="365" t="s">
        <v>10903</v>
      </c>
      <c r="C308" s="222">
        <v>0.8</v>
      </c>
      <c r="D308" s="222">
        <v>2.1</v>
      </c>
      <c r="E308" s="376">
        <v>1</v>
      </c>
      <c r="F308" s="376">
        <v>0.2</v>
      </c>
      <c r="G308" s="370" t="s">
        <v>16</v>
      </c>
      <c r="H308" s="376">
        <f t="shared" si="42"/>
        <v>0.33600000000000008</v>
      </c>
      <c r="I308" s="377" t="str">
        <f t="shared" si="43"/>
        <v>m³</v>
      </c>
      <c r="J308" s="369"/>
    </row>
    <row r="309" spans="1:10" x14ac:dyDescent="0.25">
      <c r="A309" s="414" t="s">
        <v>10916</v>
      </c>
      <c r="B309" s="365" t="s">
        <v>10904</v>
      </c>
      <c r="C309" s="222">
        <v>1.28</v>
      </c>
      <c r="D309" s="222">
        <v>1.6</v>
      </c>
      <c r="E309" s="376">
        <v>3</v>
      </c>
      <c r="F309" s="376">
        <v>0.2</v>
      </c>
      <c r="G309" s="370" t="s">
        <v>16</v>
      </c>
      <c r="H309" s="376">
        <f t="shared" si="42"/>
        <v>1.2288000000000001</v>
      </c>
      <c r="I309" s="377" t="str">
        <f t="shared" si="43"/>
        <v>m³</v>
      </c>
      <c r="J309" s="369"/>
    </row>
    <row r="310" spans="1:10" x14ac:dyDescent="0.25">
      <c r="A310" s="414" t="s">
        <v>10924</v>
      </c>
      <c r="B310" s="365" t="s">
        <v>10904</v>
      </c>
      <c r="C310" s="222">
        <v>0.8</v>
      </c>
      <c r="D310" s="222">
        <v>2.1</v>
      </c>
      <c r="E310" s="376">
        <v>1</v>
      </c>
      <c r="F310" s="376">
        <v>0.2</v>
      </c>
      <c r="G310" s="370" t="s">
        <v>16</v>
      </c>
      <c r="H310" s="376">
        <f t="shared" si="42"/>
        <v>0.33600000000000008</v>
      </c>
      <c r="I310" s="377" t="str">
        <f t="shared" si="43"/>
        <v>m³</v>
      </c>
      <c r="J310" s="369"/>
    </row>
    <row r="311" spans="1:10" x14ac:dyDescent="0.25">
      <c r="A311" s="414" t="s">
        <v>10925</v>
      </c>
      <c r="B311" s="365" t="s">
        <v>10904</v>
      </c>
      <c r="C311" s="222">
        <v>0.6</v>
      </c>
      <c r="D311" s="222">
        <v>2.1</v>
      </c>
      <c r="E311" s="376">
        <v>1</v>
      </c>
      <c r="F311" s="376">
        <v>0.2</v>
      </c>
      <c r="G311" s="370" t="s">
        <v>16</v>
      </c>
      <c r="H311" s="376">
        <f t="shared" si="42"/>
        <v>0.252</v>
      </c>
      <c r="I311" s="377"/>
      <c r="J311" s="369"/>
    </row>
    <row r="312" spans="1:10" s="218" customFormat="1" x14ac:dyDescent="0.25">
      <c r="A312" s="422" t="s">
        <v>10925</v>
      </c>
      <c r="B312" s="400" t="s">
        <v>10906</v>
      </c>
      <c r="C312" s="374">
        <v>0.6</v>
      </c>
      <c r="D312" s="374">
        <v>2.1</v>
      </c>
      <c r="E312" s="419">
        <v>3</v>
      </c>
      <c r="F312" s="376">
        <v>0.2</v>
      </c>
      <c r="G312" s="370" t="s">
        <v>16</v>
      </c>
      <c r="H312" s="376">
        <f t="shared" si="42"/>
        <v>0.75600000000000012</v>
      </c>
      <c r="I312" s="377" t="str">
        <f t="shared" si="43"/>
        <v>m³</v>
      </c>
      <c r="J312" s="405"/>
    </row>
    <row r="313" spans="1:10" x14ac:dyDescent="0.25">
      <c r="A313" s="414" t="s">
        <v>10929</v>
      </c>
      <c r="B313" s="365" t="s">
        <v>10907</v>
      </c>
      <c r="C313" s="222">
        <v>0.7</v>
      </c>
      <c r="D313" s="222">
        <v>1.05</v>
      </c>
      <c r="E313" s="376">
        <v>1</v>
      </c>
      <c r="F313" s="376">
        <v>0.2</v>
      </c>
      <c r="G313" s="370" t="s">
        <v>16</v>
      </c>
      <c r="H313" s="376">
        <f t="shared" si="42"/>
        <v>0.14699999999999999</v>
      </c>
      <c r="I313" s="377" t="str">
        <f t="shared" si="43"/>
        <v>m³</v>
      </c>
      <c r="J313" s="369"/>
    </row>
    <row r="314" spans="1:10" x14ac:dyDescent="0.25">
      <c r="A314" s="414" t="s">
        <v>10929</v>
      </c>
      <c r="B314" s="365" t="s">
        <v>10908</v>
      </c>
      <c r="C314" s="222">
        <v>0.7</v>
      </c>
      <c r="D314" s="222">
        <v>1.05</v>
      </c>
      <c r="E314" s="376">
        <v>1</v>
      </c>
      <c r="F314" s="376">
        <v>0.2</v>
      </c>
      <c r="G314" s="370" t="s">
        <v>16</v>
      </c>
      <c r="H314" s="376">
        <f t="shared" si="42"/>
        <v>0.14699999999999999</v>
      </c>
      <c r="I314" s="377" t="str">
        <f t="shared" si="43"/>
        <v>m³</v>
      </c>
      <c r="J314" s="369"/>
    </row>
    <row r="315" spans="1:10" x14ac:dyDescent="0.25">
      <c r="A315" s="414" t="s">
        <v>10924</v>
      </c>
      <c r="B315" s="365" t="s">
        <v>10914</v>
      </c>
      <c r="C315" s="222">
        <v>1.2</v>
      </c>
      <c r="D315" s="222">
        <v>2.1</v>
      </c>
      <c r="E315" s="222">
        <v>1</v>
      </c>
      <c r="F315" s="376">
        <v>0.2</v>
      </c>
      <c r="G315" s="370" t="s">
        <v>16</v>
      </c>
      <c r="H315" s="376">
        <f t="shared" si="42"/>
        <v>0.504</v>
      </c>
      <c r="I315" s="377" t="str">
        <f t="shared" si="43"/>
        <v>m³</v>
      </c>
      <c r="J315" s="369"/>
    </row>
    <row r="316" spans="1:10" x14ac:dyDescent="0.25">
      <c r="A316" s="350"/>
      <c r="B316" s="370"/>
      <c r="C316" s="222"/>
      <c r="D316" s="222"/>
      <c r="E316" s="370"/>
      <c r="F316" s="352"/>
      <c r="G316" s="352"/>
      <c r="H316" s="352"/>
      <c r="I316" s="377"/>
      <c r="J316" s="369"/>
    </row>
    <row r="317" spans="1:10" s="228" customFormat="1" ht="14.25" x14ac:dyDescent="0.2">
      <c r="A317" s="358"/>
      <c r="B317" s="360"/>
      <c r="C317" s="360"/>
      <c r="D317" s="360"/>
      <c r="E317" s="360"/>
      <c r="F317" s="360" t="s">
        <v>14</v>
      </c>
      <c r="G317" s="360" t="s">
        <v>16</v>
      </c>
      <c r="H317" s="406">
        <f>SUM(H303:H316)</f>
        <v>5.6000000000000014</v>
      </c>
      <c r="I317" s="413" t="str">
        <f t="shared" si="43"/>
        <v>m³</v>
      </c>
      <c r="J317" s="361"/>
    </row>
    <row r="318" spans="1:10" x14ac:dyDescent="0.25">
      <c r="A318" s="350"/>
      <c r="B318" s="352"/>
      <c r="C318" s="352"/>
      <c r="D318" s="352"/>
      <c r="E318" s="352"/>
      <c r="F318" s="352"/>
      <c r="G318" s="352"/>
      <c r="H318" s="352"/>
      <c r="I318" s="413"/>
      <c r="J318" s="369"/>
    </row>
    <row r="319" spans="1:10" x14ac:dyDescent="0.25">
      <c r="A319" s="350"/>
      <c r="B319" s="359" t="s">
        <v>10941</v>
      </c>
      <c r="C319" s="352"/>
      <c r="D319" s="352"/>
      <c r="E319" s="352"/>
      <c r="F319" s="352"/>
      <c r="G319" s="360" t="s">
        <v>16</v>
      </c>
      <c r="H319" s="406">
        <f>H298-H317</f>
        <v>56.753998000000003</v>
      </c>
      <c r="I319" s="413" t="str">
        <f t="shared" si="43"/>
        <v>m³</v>
      </c>
      <c r="J319" s="369"/>
    </row>
    <row r="320" spans="1:10" ht="15.75" thickBot="1" x14ac:dyDescent="0.3">
      <c r="A320" s="350"/>
      <c r="B320" s="352"/>
      <c r="C320" s="352"/>
      <c r="D320" s="352"/>
      <c r="E320" s="352"/>
      <c r="F320" s="352"/>
      <c r="G320" s="352"/>
      <c r="H320" s="352"/>
      <c r="I320" s="352"/>
      <c r="J320" s="369"/>
    </row>
    <row r="321" spans="1:10" ht="15.75" thickBot="1" x14ac:dyDescent="0.3">
      <c r="A321" s="46" t="s">
        <v>264</v>
      </c>
      <c r="B321" s="60" t="str">
        <f>VLOOKUP(A321,PO!$A$8:$K$433,4,FALSE)</f>
        <v>Demolição de piso de concreto/ calçada.</v>
      </c>
      <c r="C321" s="47"/>
      <c r="D321" s="48"/>
      <c r="E321" s="47"/>
      <c r="F321" s="49"/>
      <c r="G321" s="50"/>
      <c r="H321" s="50"/>
      <c r="I321" s="50">
        <f>H331</f>
        <v>272.64400000000001</v>
      </c>
      <c r="J321" s="338" t="str">
        <f>VLOOKUP(A321,PO!$A$8:'PO'!$E$1270,5,FALSE)</f>
        <v>m²</v>
      </c>
    </row>
    <row r="322" spans="1:10" x14ac:dyDescent="0.25">
      <c r="A322" s="347"/>
      <c r="B322" s="204"/>
      <c r="C322" s="205"/>
      <c r="D322" s="206"/>
      <c r="E322" s="205"/>
      <c r="F322" s="373"/>
      <c r="G322" s="370"/>
      <c r="H322" s="208"/>
      <c r="I322" s="208"/>
      <c r="J322" s="372"/>
    </row>
    <row r="323" spans="1:10" x14ac:dyDescent="0.25">
      <c r="A323" s="350"/>
      <c r="B323" s="360" t="s">
        <v>21</v>
      </c>
      <c r="C323" s="352"/>
      <c r="D323" s="360" t="s">
        <v>10921</v>
      </c>
      <c r="E323" s="360" t="s">
        <v>10922</v>
      </c>
      <c r="F323" s="423" t="s">
        <v>165</v>
      </c>
      <c r="G323" s="360"/>
      <c r="H323" s="360" t="s">
        <v>14</v>
      </c>
      <c r="I323" s="360" t="s">
        <v>15</v>
      </c>
      <c r="J323" s="369"/>
    </row>
    <row r="324" spans="1:10" x14ac:dyDescent="0.25">
      <c r="A324" s="350"/>
      <c r="B324" s="365" t="s">
        <v>10911</v>
      </c>
      <c r="C324" s="352"/>
      <c r="D324" s="354" t="s">
        <v>10937</v>
      </c>
      <c r="E324" s="354" t="s">
        <v>10937</v>
      </c>
      <c r="F324" s="354">
        <v>153.96</v>
      </c>
      <c r="G324" s="370" t="s">
        <v>16</v>
      </c>
      <c r="H324" s="376">
        <f>F324</f>
        <v>153.96</v>
      </c>
      <c r="I324" s="377" t="str">
        <f>$J$321</f>
        <v>m²</v>
      </c>
      <c r="J324" s="369"/>
    </row>
    <row r="325" spans="1:10" x14ac:dyDescent="0.25">
      <c r="A325" s="350"/>
      <c r="B325" s="355" t="s">
        <v>10917</v>
      </c>
      <c r="C325" s="352"/>
      <c r="D325" s="354">
        <v>2.63</v>
      </c>
      <c r="E325" s="354">
        <v>2.95</v>
      </c>
      <c r="F325" s="354">
        <f>ROUND(D325*E325,2)</f>
        <v>7.76</v>
      </c>
      <c r="G325" s="370" t="s">
        <v>16</v>
      </c>
      <c r="H325" s="376">
        <f t="shared" ref="H325:H326" si="44">F325</f>
        <v>7.76</v>
      </c>
      <c r="I325" s="377" t="str">
        <f t="shared" ref="I325:I329" si="45">$J$321</f>
        <v>m²</v>
      </c>
      <c r="J325" s="369"/>
    </row>
    <row r="326" spans="1:10" x14ac:dyDescent="0.25">
      <c r="A326" s="350"/>
      <c r="B326" s="355" t="s">
        <v>10918</v>
      </c>
      <c r="C326" s="352"/>
      <c r="D326" s="354">
        <v>2.97</v>
      </c>
      <c r="E326" s="354">
        <v>2.95</v>
      </c>
      <c r="F326" s="354">
        <f t="shared" ref="F326" si="46">ROUND(D326*E326,2)</f>
        <v>8.76</v>
      </c>
      <c r="G326" s="370" t="s">
        <v>16</v>
      </c>
      <c r="H326" s="376">
        <f t="shared" si="44"/>
        <v>8.76</v>
      </c>
      <c r="I326" s="377" t="str">
        <f t="shared" si="45"/>
        <v>m²</v>
      </c>
      <c r="J326" s="369"/>
    </row>
    <row r="327" spans="1:10" x14ac:dyDescent="0.25">
      <c r="A327" s="350"/>
      <c r="B327" s="355" t="s">
        <v>10919</v>
      </c>
      <c r="C327" s="352"/>
      <c r="D327" s="376" t="s">
        <v>10937</v>
      </c>
      <c r="E327" s="376" t="s">
        <v>10937</v>
      </c>
      <c r="F327" s="376">
        <f>41.06+6.13</f>
        <v>47.190000000000005</v>
      </c>
      <c r="G327" s="370" t="s">
        <v>16</v>
      </c>
      <c r="H327" s="376">
        <f>F327</f>
        <v>47.190000000000005</v>
      </c>
      <c r="I327" s="377" t="str">
        <f t="shared" si="45"/>
        <v>m²</v>
      </c>
      <c r="J327" s="369"/>
    </row>
    <row r="328" spans="1:10" x14ac:dyDescent="0.25">
      <c r="A328" s="350"/>
      <c r="B328" s="355" t="s">
        <v>10920</v>
      </c>
      <c r="C328" s="352"/>
      <c r="D328" s="376" t="s">
        <v>10937</v>
      </c>
      <c r="E328" s="376" t="s">
        <v>10937</v>
      </c>
      <c r="F328" s="354">
        <v>32.06</v>
      </c>
      <c r="G328" s="370" t="s">
        <v>16</v>
      </c>
      <c r="H328" s="376">
        <f>F328</f>
        <v>32.06</v>
      </c>
      <c r="I328" s="377" t="str">
        <f t="shared" si="45"/>
        <v>m²</v>
      </c>
      <c r="J328" s="369"/>
    </row>
    <row r="329" spans="1:10" x14ac:dyDescent="0.25">
      <c r="A329" s="350"/>
      <c r="B329" s="355" t="s">
        <v>10942</v>
      </c>
      <c r="C329" s="352"/>
      <c r="D329" s="376">
        <v>0.6</v>
      </c>
      <c r="E329" s="376">
        <v>38.19</v>
      </c>
      <c r="F329" s="354">
        <f>D329*E329</f>
        <v>22.913999999999998</v>
      </c>
      <c r="G329" s="370" t="s">
        <v>16</v>
      </c>
      <c r="H329" s="376">
        <f>F329</f>
        <v>22.913999999999998</v>
      </c>
      <c r="I329" s="377" t="str">
        <f t="shared" si="45"/>
        <v>m²</v>
      </c>
      <c r="J329" s="369"/>
    </row>
    <row r="330" spans="1:10" x14ac:dyDescent="0.25">
      <c r="A330" s="350"/>
      <c r="B330" s="355"/>
      <c r="C330" s="352"/>
      <c r="D330" s="376"/>
      <c r="E330" s="376"/>
      <c r="F330" s="354"/>
      <c r="G330" s="370"/>
      <c r="H330" s="376"/>
      <c r="I330" s="377"/>
      <c r="J330" s="369"/>
    </row>
    <row r="331" spans="1:10" ht="15" customHeight="1" x14ac:dyDescent="0.25">
      <c r="A331" s="725" t="s">
        <v>14</v>
      </c>
      <c r="B331" s="726"/>
      <c r="C331" s="726"/>
      <c r="D331" s="726"/>
      <c r="E331" s="726"/>
      <c r="F331" s="726"/>
      <c r="G331" s="363" t="s">
        <v>16</v>
      </c>
      <c r="H331" s="210">
        <f>SUM(H324:H329)</f>
        <v>272.64400000000001</v>
      </c>
      <c r="I331" s="377" t="str">
        <f>I328</f>
        <v>m²</v>
      </c>
      <c r="J331" s="424"/>
    </row>
    <row r="332" spans="1:10" ht="15" customHeight="1" thickBot="1" x14ac:dyDescent="0.3">
      <c r="A332" s="425"/>
      <c r="B332" s="426"/>
      <c r="C332" s="426"/>
      <c r="D332" s="426"/>
      <c r="E332" s="426"/>
      <c r="F332" s="426"/>
      <c r="G332" s="426"/>
      <c r="H332" s="363"/>
      <c r="I332" s="210"/>
      <c r="J332" s="424"/>
    </row>
    <row r="333" spans="1:10" ht="15.75" thickBot="1" x14ac:dyDescent="0.3">
      <c r="A333" s="46" t="s">
        <v>265</v>
      </c>
      <c r="B333" s="60" t="str">
        <f>VLOOKUP(A333,PO!$A$8:$K$433,4,FALSE)</f>
        <v>Remoção de peitoril em concreto</v>
      </c>
      <c r="C333" s="47"/>
      <c r="D333" s="48"/>
      <c r="E333" s="47"/>
      <c r="F333" s="49"/>
      <c r="G333" s="50"/>
      <c r="H333" s="50"/>
      <c r="I333" s="50">
        <f>SUM(H336:H339)</f>
        <v>10.24</v>
      </c>
      <c r="J333" s="338" t="str">
        <f>VLOOKUP(A333,PO!$A$8:'PO'!$E$1270,5,FALSE)</f>
        <v>m</v>
      </c>
    </row>
    <row r="334" spans="1:10" x14ac:dyDescent="0.25">
      <c r="A334" s="347"/>
      <c r="B334" s="204"/>
      <c r="C334" s="205"/>
      <c r="D334" s="206"/>
      <c r="E334" s="205"/>
      <c r="F334" s="373"/>
      <c r="G334" s="370"/>
      <c r="H334" s="208"/>
      <c r="I334" s="208"/>
      <c r="J334" s="372"/>
    </row>
    <row r="335" spans="1:10" x14ac:dyDescent="0.25">
      <c r="A335" s="407" t="s">
        <v>10886</v>
      </c>
      <c r="B335" s="360" t="s">
        <v>21</v>
      </c>
      <c r="C335" s="352"/>
      <c r="D335" s="352"/>
      <c r="E335" s="360" t="s">
        <v>10921</v>
      </c>
      <c r="F335" s="360" t="s">
        <v>10927</v>
      </c>
      <c r="G335" s="360"/>
      <c r="H335" s="360" t="s">
        <v>14</v>
      </c>
      <c r="I335" s="360" t="s">
        <v>15</v>
      </c>
      <c r="J335" s="369"/>
    </row>
    <row r="336" spans="1:10" x14ac:dyDescent="0.25">
      <c r="A336" s="417" t="s">
        <v>10916</v>
      </c>
      <c r="B336" s="365" t="s">
        <v>10899</v>
      </c>
      <c r="C336" s="352"/>
      <c r="D336" s="352"/>
      <c r="E336" s="370">
        <v>1.28</v>
      </c>
      <c r="F336" s="370">
        <v>2</v>
      </c>
      <c r="G336" s="370" t="s">
        <v>16</v>
      </c>
      <c r="H336" s="376">
        <f>E336*F336</f>
        <v>2.56</v>
      </c>
      <c r="I336" s="377" t="str">
        <f>$J$333</f>
        <v>m</v>
      </c>
      <c r="J336" s="369"/>
    </row>
    <row r="337" spans="1:10" x14ac:dyDescent="0.25">
      <c r="A337" s="417" t="s">
        <v>10916</v>
      </c>
      <c r="B337" s="365" t="s">
        <v>10900</v>
      </c>
      <c r="C337" s="352"/>
      <c r="D337" s="352"/>
      <c r="E337" s="370">
        <v>1.28</v>
      </c>
      <c r="F337" s="370">
        <v>2</v>
      </c>
      <c r="G337" s="370" t="s">
        <v>16</v>
      </c>
      <c r="H337" s="376">
        <f t="shared" ref="H337:H339" si="47">E337*F337</f>
        <v>2.56</v>
      </c>
      <c r="I337" s="377" t="str">
        <f t="shared" ref="I337:I339" si="48">$J$333</f>
        <v>m</v>
      </c>
      <c r="J337" s="369"/>
    </row>
    <row r="338" spans="1:10" x14ac:dyDescent="0.25">
      <c r="A338" s="417" t="s">
        <v>10916</v>
      </c>
      <c r="B338" s="365" t="s">
        <v>10901</v>
      </c>
      <c r="C338" s="352"/>
      <c r="D338" s="352"/>
      <c r="E338" s="370">
        <v>1.28</v>
      </c>
      <c r="F338" s="370">
        <v>2</v>
      </c>
      <c r="G338" s="370" t="s">
        <v>16</v>
      </c>
      <c r="H338" s="376">
        <f t="shared" si="47"/>
        <v>2.56</v>
      </c>
      <c r="I338" s="377" t="str">
        <f t="shared" si="48"/>
        <v>m</v>
      </c>
      <c r="J338" s="369"/>
    </row>
    <row r="339" spans="1:10" x14ac:dyDescent="0.25">
      <c r="A339" s="417" t="s">
        <v>10916</v>
      </c>
      <c r="B339" s="365" t="s">
        <v>10902</v>
      </c>
      <c r="C339" s="352"/>
      <c r="D339" s="352"/>
      <c r="E339" s="370">
        <v>1.28</v>
      </c>
      <c r="F339" s="427">
        <v>2</v>
      </c>
      <c r="G339" s="370" t="s">
        <v>16</v>
      </c>
      <c r="H339" s="376">
        <f t="shared" si="47"/>
        <v>2.56</v>
      </c>
      <c r="I339" s="377" t="str">
        <f t="shared" si="48"/>
        <v>m</v>
      </c>
      <c r="J339" s="369"/>
    </row>
    <row r="340" spans="1:10" ht="15.75" thickBot="1" x14ac:dyDescent="0.3">
      <c r="A340" s="350"/>
      <c r="B340" s="352"/>
      <c r="C340" s="352"/>
      <c r="D340" s="370"/>
      <c r="E340" s="370"/>
      <c r="F340" s="370"/>
      <c r="G340" s="352"/>
      <c r="H340" s="352"/>
      <c r="I340" s="352"/>
      <c r="J340" s="369"/>
    </row>
    <row r="341" spans="1:10" ht="15.75" thickBot="1" x14ac:dyDescent="0.3">
      <c r="A341" s="46" t="s">
        <v>266</v>
      </c>
      <c r="B341" s="60" t="str">
        <f>VLOOKUP(A341,PO!$A$8:$K$433,4,FALSE)</f>
        <v>Demolição de argamassas, de forma manual, sem reaproveitamento.</v>
      </c>
      <c r="C341" s="47"/>
      <c r="D341" s="48"/>
      <c r="E341" s="47"/>
      <c r="F341" s="49"/>
      <c r="G341" s="50"/>
      <c r="H341" s="50"/>
      <c r="I341" s="50">
        <f>H369</f>
        <v>122.15820000000001</v>
      </c>
      <c r="J341" s="338" t="str">
        <f>VLOOKUP(A341,PO!$A$8:'PO'!$E$1270,5,FALSE)</f>
        <v>m²</v>
      </c>
    </row>
    <row r="342" spans="1:10" x14ac:dyDescent="0.25">
      <c r="A342" s="347"/>
      <c r="B342" s="204"/>
      <c r="C342" s="205"/>
      <c r="D342" s="206"/>
      <c r="E342" s="205"/>
      <c r="F342" s="373"/>
      <c r="G342" s="370"/>
      <c r="H342" s="208"/>
      <c r="I342" s="208"/>
      <c r="J342" s="372"/>
    </row>
    <row r="343" spans="1:10" x14ac:dyDescent="0.25">
      <c r="A343" s="387"/>
      <c r="B343" s="388" t="s">
        <v>21</v>
      </c>
      <c r="C343" s="352"/>
      <c r="D343" s="389"/>
      <c r="E343" s="388" t="s">
        <v>10912</v>
      </c>
      <c r="F343" s="388" t="s">
        <v>44</v>
      </c>
      <c r="G343" s="253"/>
      <c r="H343" s="388" t="s">
        <v>14</v>
      </c>
      <c r="I343" s="388" t="s">
        <v>15</v>
      </c>
      <c r="J343" s="361"/>
    </row>
    <row r="344" spans="1:10" x14ac:dyDescent="0.25">
      <c r="A344" s="380"/>
      <c r="B344" s="391" t="s">
        <v>10899</v>
      </c>
      <c r="C344" s="352"/>
      <c r="D344" s="381"/>
      <c r="E344" s="392">
        <v>17.899999999999999</v>
      </c>
      <c r="F344" s="392">
        <v>1.46</v>
      </c>
      <c r="G344" s="366" t="s">
        <v>16</v>
      </c>
      <c r="H344" s="383">
        <f>ROUND(E344*F344,2)</f>
        <v>26.13</v>
      </c>
      <c r="I344" s="384" t="str">
        <f>J321</f>
        <v>m²</v>
      </c>
      <c r="J344" s="421"/>
    </row>
    <row r="345" spans="1:10" x14ac:dyDescent="0.25">
      <c r="A345" s="380"/>
      <c r="B345" s="391" t="s">
        <v>10900</v>
      </c>
      <c r="C345" s="352"/>
      <c r="D345" s="381"/>
      <c r="E345" s="392">
        <v>17.899999999999999</v>
      </c>
      <c r="F345" s="392">
        <v>1.46</v>
      </c>
      <c r="G345" s="366" t="s">
        <v>16</v>
      </c>
      <c r="H345" s="383">
        <f t="shared" ref="H345" si="49">ROUND(E345*F345,2)</f>
        <v>26.13</v>
      </c>
      <c r="I345" s="384" t="str">
        <f t="shared" ref="I345:I346" si="50">I344</f>
        <v>m²</v>
      </c>
      <c r="J345" s="369"/>
    </row>
    <row r="346" spans="1:10" x14ac:dyDescent="0.25">
      <c r="A346" s="380"/>
      <c r="B346" s="391" t="s">
        <v>10901</v>
      </c>
      <c r="C346" s="352"/>
      <c r="D346" s="381"/>
      <c r="E346" s="392">
        <v>17.899999999999999</v>
      </c>
      <c r="F346" s="392">
        <v>1.46</v>
      </c>
      <c r="G346" s="366" t="s">
        <v>16</v>
      </c>
      <c r="H346" s="383">
        <f>ROUND(E346*F346,2)</f>
        <v>26.13</v>
      </c>
      <c r="I346" s="384" t="str">
        <f t="shared" si="50"/>
        <v>m²</v>
      </c>
      <c r="J346" s="369"/>
    </row>
    <row r="347" spans="1:10" x14ac:dyDescent="0.25">
      <c r="A347" s="380"/>
      <c r="B347" s="391" t="s">
        <v>10902</v>
      </c>
      <c r="C347" s="352"/>
      <c r="D347" s="381"/>
      <c r="E347" s="375">
        <f>0.67+0.67</f>
        <v>1.34</v>
      </c>
      <c r="F347" s="392">
        <v>1.46</v>
      </c>
      <c r="G347" s="366" t="s">
        <v>16</v>
      </c>
      <c r="H347" s="383">
        <f t="shared" ref="H347:H350" si="51">ROUND(E347*F347,2)</f>
        <v>1.96</v>
      </c>
      <c r="I347" s="384" t="str">
        <f>I346</f>
        <v>m²</v>
      </c>
      <c r="J347" s="369"/>
    </row>
    <row r="348" spans="1:10" x14ac:dyDescent="0.25">
      <c r="A348" s="380"/>
      <c r="B348" s="391" t="s">
        <v>10902</v>
      </c>
      <c r="C348" s="352"/>
      <c r="D348" s="381"/>
      <c r="E348" s="393">
        <f>0.73+0.77</f>
        <v>1.5</v>
      </c>
      <c r="F348" s="392">
        <f>1.46-0.95</f>
        <v>0.51</v>
      </c>
      <c r="G348" s="366" t="s">
        <v>16</v>
      </c>
      <c r="H348" s="383">
        <f t="shared" si="51"/>
        <v>0.77</v>
      </c>
      <c r="I348" s="384" t="str">
        <f t="shared" ref="I348:I350" si="52">I347</f>
        <v>m²</v>
      </c>
      <c r="J348" s="369"/>
    </row>
    <row r="349" spans="1:10" x14ac:dyDescent="0.25">
      <c r="A349" s="380"/>
      <c r="B349" s="391" t="s">
        <v>10903</v>
      </c>
      <c r="C349" s="352"/>
      <c r="D349" s="381"/>
      <c r="E349" s="375">
        <f>0.73+2.28+3.87</f>
        <v>6.88</v>
      </c>
      <c r="F349" s="392">
        <v>1.46</v>
      </c>
      <c r="G349" s="366" t="s">
        <v>16</v>
      </c>
      <c r="H349" s="383">
        <f t="shared" si="51"/>
        <v>10.039999999999999</v>
      </c>
      <c r="I349" s="384" t="str">
        <f t="shared" si="52"/>
        <v>m²</v>
      </c>
      <c r="J349" s="369"/>
    </row>
    <row r="350" spans="1:10" x14ac:dyDescent="0.25">
      <c r="A350" s="380"/>
      <c r="B350" s="391" t="s">
        <v>10906</v>
      </c>
      <c r="C350" s="352"/>
      <c r="D350" s="381"/>
      <c r="E350" s="392">
        <f>3.87+0.96+0.35+2.47+2.8+3.87</f>
        <v>14.32</v>
      </c>
      <c r="F350" s="392">
        <v>3</v>
      </c>
      <c r="G350" s="366" t="s">
        <v>16</v>
      </c>
      <c r="H350" s="383">
        <f t="shared" si="51"/>
        <v>42.96</v>
      </c>
      <c r="I350" s="384" t="str">
        <f t="shared" si="52"/>
        <v>m²</v>
      </c>
      <c r="J350" s="369"/>
    </row>
    <row r="351" spans="1:10" x14ac:dyDescent="0.25">
      <c r="A351" s="380"/>
      <c r="B351" s="381"/>
      <c r="C351" s="391"/>
      <c r="D351" s="381"/>
      <c r="E351" s="392"/>
      <c r="F351" s="392"/>
      <c r="G351" s="366"/>
      <c r="H351" s="383"/>
      <c r="I351" s="384"/>
      <c r="J351" s="369"/>
    </row>
    <row r="352" spans="1:10" x14ac:dyDescent="0.25">
      <c r="A352" s="727" t="s">
        <v>10935</v>
      </c>
      <c r="B352" s="728"/>
      <c r="C352" s="728"/>
      <c r="D352" s="728"/>
      <c r="E352" s="728"/>
      <c r="F352" s="728"/>
      <c r="G352" s="388" t="s">
        <v>16</v>
      </c>
      <c r="H352" s="253">
        <f>SUM(H344:H351)</f>
        <v>134.12</v>
      </c>
      <c r="I352" s="394" t="str">
        <f>$J$124</f>
        <v>m²</v>
      </c>
      <c r="J352" s="369"/>
    </row>
    <row r="353" spans="1:10" x14ac:dyDescent="0.25">
      <c r="A353" s="350"/>
      <c r="B353" s="352"/>
      <c r="C353" s="352"/>
      <c r="D353" s="370"/>
      <c r="E353" s="370"/>
      <c r="F353" s="370"/>
      <c r="G353" s="352"/>
      <c r="H353" s="352"/>
      <c r="I353" s="352"/>
      <c r="J353" s="369"/>
    </row>
    <row r="354" spans="1:10" ht="15.75" x14ac:dyDescent="0.25">
      <c r="A354" s="722" t="str">
        <f>UPPER("Desconto das áreas das portas e janelas")</f>
        <v>DESCONTO DAS ÁREAS DAS PORTAS E JANELAS</v>
      </c>
      <c r="B354" s="723"/>
      <c r="C354" s="723"/>
      <c r="D354" s="723"/>
      <c r="E354" s="723" t="s">
        <v>10931</v>
      </c>
      <c r="F354" s="723"/>
      <c r="G354" s="723"/>
      <c r="H354" s="723"/>
      <c r="I354" s="723"/>
      <c r="J354" s="724"/>
    </row>
    <row r="355" spans="1:10" ht="15.75" x14ac:dyDescent="0.25">
      <c r="A355" s="401"/>
      <c r="B355" s="321"/>
      <c r="C355" s="321"/>
      <c r="D355" s="321"/>
      <c r="E355" s="321"/>
      <c r="F355" s="321"/>
      <c r="G355" s="321"/>
      <c r="H355" s="321"/>
      <c r="I355" s="321"/>
      <c r="J355" s="402"/>
    </row>
    <row r="356" spans="1:10" x14ac:dyDescent="0.25">
      <c r="A356" s="397" t="s">
        <v>10886</v>
      </c>
      <c r="B356" s="363" t="s">
        <v>21</v>
      </c>
      <c r="C356" s="352"/>
      <c r="D356" s="360" t="s">
        <v>10927</v>
      </c>
      <c r="E356" s="363" t="s">
        <v>10921</v>
      </c>
      <c r="F356" s="398" t="s">
        <v>10930</v>
      </c>
      <c r="G356" s="367"/>
      <c r="H356" s="222"/>
      <c r="I356" s="368"/>
      <c r="J356" s="369"/>
    </row>
    <row r="357" spans="1:10" x14ac:dyDescent="0.25">
      <c r="A357" s="399" t="s">
        <v>10924</v>
      </c>
      <c r="B357" s="365" t="s">
        <v>10899</v>
      </c>
      <c r="C357" s="352"/>
      <c r="D357" s="370">
        <v>1</v>
      </c>
      <c r="E357" s="354">
        <v>0.8</v>
      </c>
      <c r="F357" s="354">
        <v>1.46</v>
      </c>
      <c r="G357" s="367" t="s">
        <v>16</v>
      </c>
      <c r="H357" s="222">
        <f t="shared" ref="H357:H361" si="53">E357*F357</f>
        <v>1.1679999999999999</v>
      </c>
      <c r="I357" s="368" t="str">
        <f t="shared" ref="I357:I365" si="54">$J$124</f>
        <v>m²</v>
      </c>
      <c r="J357" s="369"/>
    </row>
    <row r="358" spans="1:10" x14ac:dyDescent="0.25">
      <c r="A358" s="399" t="s">
        <v>10924</v>
      </c>
      <c r="B358" s="365" t="s">
        <v>10900</v>
      </c>
      <c r="C358" s="352"/>
      <c r="D358" s="370">
        <v>1</v>
      </c>
      <c r="E358" s="354">
        <v>0.8</v>
      </c>
      <c r="F358" s="354">
        <v>1.46</v>
      </c>
      <c r="G358" s="367" t="s">
        <v>16</v>
      </c>
      <c r="H358" s="222">
        <f t="shared" si="53"/>
        <v>1.1679999999999999</v>
      </c>
      <c r="I358" s="368" t="str">
        <f t="shared" si="54"/>
        <v>m²</v>
      </c>
      <c r="J358" s="369"/>
    </row>
    <row r="359" spans="1:10" x14ac:dyDescent="0.25">
      <c r="A359" s="399" t="s">
        <v>10924</v>
      </c>
      <c r="B359" s="365" t="s">
        <v>10901</v>
      </c>
      <c r="C359" s="352"/>
      <c r="D359" s="370">
        <v>1</v>
      </c>
      <c r="E359" s="354">
        <v>0.8</v>
      </c>
      <c r="F359" s="354">
        <v>1.46</v>
      </c>
      <c r="G359" s="367" t="s">
        <v>16</v>
      </c>
      <c r="H359" s="222">
        <f t="shared" si="53"/>
        <v>1.1679999999999999</v>
      </c>
      <c r="I359" s="368" t="str">
        <f t="shared" si="54"/>
        <v>m²</v>
      </c>
      <c r="J359" s="369"/>
    </row>
    <row r="360" spans="1:10" x14ac:dyDescent="0.25">
      <c r="A360" s="399" t="s">
        <v>10924</v>
      </c>
      <c r="B360" s="365" t="s">
        <v>10902</v>
      </c>
      <c r="C360" s="352"/>
      <c r="D360" s="370">
        <v>1</v>
      </c>
      <c r="E360" s="354">
        <v>0.8</v>
      </c>
      <c r="F360" s="354">
        <v>1.46</v>
      </c>
      <c r="G360" s="367" t="s">
        <v>16</v>
      </c>
      <c r="H360" s="222">
        <f t="shared" si="53"/>
        <v>1.1679999999999999</v>
      </c>
      <c r="I360" s="368" t="str">
        <f t="shared" si="54"/>
        <v>m²</v>
      </c>
      <c r="J360" s="369"/>
    </row>
    <row r="361" spans="1:10" x14ac:dyDescent="0.25">
      <c r="A361" s="399" t="s">
        <v>10924</v>
      </c>
      <c r="B361" s="365" t="s">
        <v>10903</v>
      </c>
      <c r="C361" s="352"/>
      <c r="D361" s="370">
        <v>1</v>
      </c>
      <c r="E361" s="354">
        <v>0.8</v>
      </c>
      <c r="F361" s="354">
        <v>1.46</v>
      </c>
      <c r="G361" s="367" t="s">
        <v>16</v>
      </c>
      <c r="H361" s="222">
        <f t="shared" si="53"/>
        <v>1.1679999999999999</v>
      </c>
      <c r="I361" s="368" t="str">
        <f t="shared" si="54"/>
        <v>m²</v>
      </c>
      <c r="J361" s="369"/>
    </row>
    <row r="362" spans="1:10" x14ac:dyDescent="0.25">
      <c r="A362" s="399" t="s">
        <v>10929</v>
      </c>
      <c r="B362" s="365" t="s">
        <v>10906</v>
      </c>
      <c r="C362" s="352"/>
      <c r="D362" s="370">
        <v>3</v>
      </c>
      <c r="E362" s="354">
        <v>0.7</v>
      </c>
      <c r="F362" s="354">
        <v>1.05</v>
      </c>
      <c r="G362" s="367" t="s">
        <v>16</v>
      </c>
      <c r="H362" s="222">
        <f>D362*E362*F362</f>
        <v>2.2049999999999996</v>
      </c>
      <c r="I362" s="368" t="str">
        <f t="shared" si="54"/>
        <v>m²</v>
      </c>
      <c r="J362" s="369"/>
    </row>
    <row r="363" spans="1:10" x14ac:dyDescent="0.25">
      <c r="A363" s="399" t="s">
        <v>10916</v>
      </c>
      <c r="B363" s="365" t="s">
        <v>10899</v>
      </c>
      <c r="C363" s="352"/>
      <c r="D363" s="370">
        <v>2</v>
      </c>
      <c r="E363" s="354">
        <v>1.28</v>
      </c>
      <c r="F363" s="354">
        <f>1.46-0.95</f>
        <v>0.51</v>
      </c>
      <c r="G363" s="367" t="s">
        <v>16</v>
      </c>
      <c r="H363" s="222">
        <f t="shared" ref="H363:H365" si="55">D363*E363*F363</f>
        <v>1.3056000000000001</v>
      </c>
      <c r="I363" s="368" t="str">
        <f t="shared" si="54"/>
        <v>m²</v>
      </c>
      <c r="J363" s="369"/>
    </row>
    <row r="364" spans="1:10" x14ac:dyDescent="0.25">
      <c r="A364" s="399" t="s">
        <v>10916</v>
      </c>
      <c r="B364" s="365" t="s">
        <v>10900</v>
      </c>
      <c r="C364" s="352"/>
      <c r="D364" s="370">
        <v>2</v>
      </c>
      <c r="E364" s="354">
        <v>1.28</v>
      </c>
      <c r="F364" s="354">
        <f t="shared" ref="F364:F365" si="56">1.46-0.95</f>
        <v>0.51</v>
      </c>
      <c r="G364" s="367" t="s">
        <v>16</v>
      </c>
      <c r="H364" s="222">
        <f t="shared" si="55"/>
        <v>1.3056000000000001</v>
      </c>
      <c r="I364" s="368" t="str">
        <f t="shared" si="54"/>
        <v>m²</v>
      </c>
      <c r="J364" s="369"/>
    </row>
    <row r="365" spans="1:10" x14ac:dyDescent="0.25">
      <c r="A365" s="399" t="s">
        <v>10916</v>
      </c>
      <c r="B365" s="365" t="s">
        <v>10901</v>
      </c>
      <c r="C365" s="352"/>
      <c r="D365" s="370">
        <v>2</v>
      </c>
      <c r="E365" s="354">
        <v>1.28</v>
      </c>
      <c r="F365" s="354">
        <f t="shared" si="56"/>
        <v>0.51</v>
      </c>
      <c r="G365" s="367" t="s">
        <v>16</v>
      </c>
      <c r="H365" s="222">
        <f t="shared" si="55"/>
        <v>1.3056000000000001</v>
      </c>
      <c r="I365" s="368" t="str">
        <f t="shared" si="54"/>
        <v>m²</v>
      </c>
      <c r="J365" s="369"/>
    </row>
    <row r="366" spans="1:10" x14ac:dyDescent="0.25">
      <c r="A366" s="350"/>
      <c r="B366" s="365"/>
      <c r="C366" s="365"/>
      <c r="D366" s="370"/>
      <c r="E366" s="354"/>
      <c r="F366" s="354"/>
      <c r="G366" s="367"/>
      <c r="H366" s="222"/>
      <c r="I366" s="368"/>
      <c r="J366" s="369"/>
    </row>
    <row r="367" spans="1:10" x14ac:dyDescent="0.25">
      <c r="A367" s="725" t="s">
        <v>14</v>
      </c>
      <c r="B367" s="726"/>
      <c r="C367" s="726"/>
      <c r="D367" s="726"/>
      <c r="E367" s="726"/>
      <c r="F367" s="726"/>
      <c r="G367" s="363" t="s">
        <v>16</v>
      </c>
      <c r="H367" s="210">
        <f>SUM(H357:H366)</f>
        <v>11.9618</v>
      </c>
      <c r="I367" s="386" t="str">
        <f t="shared" ref="I367" si="57">$J$124</f>
        <v>m²</v>
      </c>
      <c r="J367" s="369"/>
    </row>
    <row r="368" spans="1:10" x14ac:dyDescent="0.25">
      <c r="A368" s="417"/>
      <c r="B368" s="370"/>
      <c r="C368" s="370"/>
      <c r="D368" s="370"/>
      <c r="E368" s="370"/>
      <c r="F368" s="370"/>
      <c r="G368" s="370"/>
      <c r="H368" s="370"/>
      <c r="I368" s="413"/>
      <c r="J368" s="371"/>
    </row>
    <row r="369" spans="1:10" x14ac:dyDescent="0.25">
      <c r="A369" s="417"/>
      <c r="B369" s="370"/>
      <c r="C369" s="370"/>
      <c r="D369" s="360" t="s">
        <v>10951</v>
      </c>
      <c r="E369" s="370"/>
      <c r="F369" s="360"/>
      <c r="G369" s="360" t="s">
        <v>16</v>
      </c>
      <c r="H369" s="406">
        <f>H352-H367</f>
        <v>122.15820000000001</v>
      </c>
      <c r="I369" s="413" t="str">
        <f t="shared" ref="I369" si="58">$J$341</f>
        <v>m²</v>
      </c>
      <c r="J369" s="371"/>
    </row>
    <row r="370" spans="1:10" ht="15.75" thickBot="1" x14ac:dyDescent="0.3">
      <c r="A370" s="417"/>
      <c r="B370" s="370"/>
      <c r="C370" s="370"/>
      <c r="D370" s="370"/>
      <c r="E370" s="370"/>
      <c r="F370" s="370"/>
      <c r="G370" s="370"/>
      <c r="H370" s="370"/>
      <c r="I370" s="370"/>
      <c r="J370" s="371"/>
    </row>
    <row r="371" spans="1:10" s="218" customFormat="1" ht="15.75" thickBot="1" x14ac:dyDescent="0.3">
      <c r="A371" s="229" t="s">
        <v>10946</v>
      </c>
      <c r="B371" s="221" t="str">
        <f>VLOOKUP(A371,PO!$A$8:$K$433,4,FALSE)</f>
        <v>Demolição de estrutura de madeira</v>
      </c>
      <c r="C371" s="230"/>
      <c r="D371" s="231"/>
      <c r="E371" s="230"/>
      <c r="F371" s="232"/>
      <c r="G371" s="233"/>
      <c r="H371" s="233"/>
      <c r="I371" s="233">
        <f>SUM(H374:H387)</f>
        <v>105.5214</v>
      </c>
      <c r="J371" s="416" t="str">
        <f>VLOOKUP(A371,PO!$A$8:'PO'!$E$1270,5,FALSE)</f>
        <v>m²</v>
      </c>
    </row>
    <row r="372" spans="1:10" x14ac:dyDescent="0.25">
      <c r="A372" s="347"/>
      <c r="B372" s="204"/>
      <c r="C372" s="205"/>
      <c r="D372" s="206"/>
      <c r="E372" s="205"/>
      <c r="F372" s="373"/>
      <c r="G372" s="370"/>
      <c r="H372" s="208"/>
      <c r="I372" s="208"/>
      <c r="J372" s="372"/>
    </row>
    <row r="373" spans="1:10" x14ac:dyDescent="0.25">
      <c r="A373" s="350"/>
      <c r="B373" s="360" t="s">
        <v>21</v>
      </c>
      <c r="C373" s="352"/>
      <c r="D373" s="360" t="s">
        <v>10960</v>
      </c>
      <c r="E373" s="360" t="s">
        <v>10930</v>
      </c>
      <c r="F373" s="360" t="s">
        <v>10962</v>
      </c>
      <c r="G373" s="360"/>
      <c r="H373" s="360" t="s">
        <v>14</v>
      </c>
      <c r="I373" s="360" t="s">
        <v>15</v>
      </c>
      <c r="J373" s="361"/>
    </row>
    <row r="374" spans="1:10" x14ac:dyDescent="0.25">
      <c r="A374" s="350" t="s">
        <v>13860</v>
      </c>
      <c r="B374" s="730" t="s">
        <v>10961</v>
      </c>
      <c r="C374" s="352"/>
      <c r="D374" s="175">
        <v>0.97</v>
      </c>
      <c r="E374" s="175">
        <f>3.18-1.28</f>
        <v>1.9000000000000001</v>
      </c>
      <c r="F374" s="370">
        <v>2</v>
      </c>
      <c r="G374" s="370" t="s">
        <v>16</v>
      </c>
      <c r="H374" s="376">
        <f>D374*E374*F374</f>
        <v>3.6859999999999999</v>
      </c>
      <c r="I374" s="377" t="str">
        <f>$J$371</f>
        <v>m²</v>
      </c>
      <c r="J374" s="369"/>
    </row>
    <row r="375" spans="1:10" x14ac:dyDescent="0.25">
      <c r="A375" s="350" t="s">
        <v>13860</v>
      </c>
      <c r="B375" s="730"/>
      <c r="C375" s="352"/>
      <c r="D375" s="175">
        <v>1.0900000000000001</v>
      </c>
      <c r="E375" s="175">
        <f>3.18-1.17</f>
        <v>2.0100000000000002</v>
      </c>
      <c r="F375" s="370">
        <v>2</v>
      </c>
      <c r="G375" s="370" t="s">
        <v>16</v>
      </c>
      <c r="H375" s="376">
        <f t="shared" ref="H375:H385" si="59">D375*E375*F375</f>
        <v>4.381800000000001</v>
      </c>
      <c r="I375" s="377" t="str">
        <f t="shared" ref="I375:I387" si="60">$J$371</f>
        <v>m²</v>
      </c>
      <c r="J375" s="369"/>
    </row>
    <row r="376" spans="1:10" x14ac:dyDescent="0.25">
      <c r="A376" s="350" t="s">
        <v>13860</v>
      </c>
      <c r="B376" s="730"/>
      <c r="C376" s="352"/>
      <c r="D376" s="175">
        <v>1.1200000000000001</v>
      </c>
      <c r="E376" s="175">
        <f>3.18-1.06</f>
        <v>2.12</v>
      </c>
      <c r="F376" s="370">
        <v>2</v>
      </c>
      <c r="G376" s="370" t="s">
        <v>16</v>
      </c>
      <c r="H376" s="376">
        <f t="shared" si="59"/>
        <v>4.748800000000001</v>
      </c>
      <c r="I376" s="377" t="str">
        <f t="shared" si="60"/>
        <v>m²</v>
      </c>
      <c r="J376" s="369"/>
    </row>
    <row r="377" spans="1:10" x14ac:dyDescent="0.25">
      <c r="A377" s="350" t="s">
        <v>13860</v>
      </c>
      <c r="B377" s="730"/>
      <c r="C377" s="352"/>
      <c r="D377" s="175">
        <v>1.1499999999999999</v>
      </c>
      <c r="E377" s="175">
        <f>3.18-0.95</f>
        <v>2.2300000000000004</v>
      </c>
      <c r="F377" s="370">
        <v>2</v>
      </c>
      <c r="G377" s="370" t="s">
        <v>16</v>
      </c>
      <c r="H377" s="376">
        <f t="shared" si="59"/>
        <v>5.1290000000000004</v>
      </c>
      <c r="I377" s="377" t="str">
        <f t="shared" si="60"/>
        <v>m²</v>
      </c>
      <c r="J377" s="369"/>
    </row>
    <row r="378" spans="1:10" x14ac:dyDescent="0.25">
      <c r="A378" s="350" t="s">
        <v>13860</v>
      </c>
      <c r="B378" s="730"/>
      <c r="C378" s="352"/>
      <c r="D378" s="175">
        <v>1.04</v>
      </c>
      <c r="E378" s="175">
        <f>3.18-0.79</f>
        <v>2.39</v>
      </c>
      <c r="F378" s="370">
        <v>2</v>
      </c>
      <c r="G378" s="370" t="s">
        <v>16</v>
      </c>
      <c r="H378" s="376">
        <f t="shared" si="59"/>
        <v>4.9712000000000005</v>
      </c>
      <c r="I378" s="377" t="str">
        <f t="shared" si="60"/>
        <v>m²</v>
      </c>
      <c r="J378" s="369"/>
    </row>
    <row r="379" spans="1:10" x14ac:dyDescent="0.25">
      <c r="A379" s="350" t="s">
        <v>13860</v>
      </c>
      <c r="B379" s="730"/>
      <c r="C379" s="352"/>
      <c r="D379" s="175">
        <v>1.1299999999999999</v>
      </c>
      <c r="E379" s="175">
        <f>3.18-0.67</f>
        <v>2.5100000000000002</v>
      </c>
      <c r="F379" s="370">
        <v>2</v>
      </c>
      <c r="G379" s="370" t="s">
        <v>16</v>
      </c>
      <c r="H379" s="376">
        <f t="shared" si="59"/>
        <v>5.6726000000000001</v>
      </c>
      <c r="I379" s="377" t="str">
        <f t="shared" si="60"/>
        <v>m²</v>
      </c>
      <c r="J379" s="369"/>
    </row>
    <row r="380" spans="1:10" x14ac:dyDescent="0.25">
      <c r="A380" s="350" t="s">
        <v>13860</v>
      </c>
      <c r="B380" s="730"/>
      <c r="C380" s="352"/>
      <c r="D380" s="199">
        <v>1.1000000000000001</v>
      </c>
      <c r="E380" s="175">
        <f>3.18-0.54</f>
        <v>2.64</v>
      </c>
      <c r="F380" s="370">
        <v>2</v>
      </c>
      <c r="G380" s="370" t="s">
        <v>16</v>
      </c>
      <c r="H380" s="376">
        <f t="shared" si="59"/>
        <v>5.8080000000000007</v>
      </c>
      <c r="I380" s="377" t="str">
        <f t="shared" si="60"/>
        <v>m²</v>
      </c>
      <c r="J380" s="369"/>
    </row>
    <row r="381" spans="1:10" x14ac:dyDescent="0.25">
      <c r="A381" s="350" t="s">
        <v>13860</v>
      </c>
      <c r="B381" s="730"/>
      <c r="C381" s="352"/>
      <c r="D381" s="175">
        <v>1.1399999999999999</v>
      </c>
      <c r="E381" s="175">
        <f>3.18-0.42</f>
        <v>2.7600000000000002</v>
      </c>
      <c r="F381" s="370">
        <v>2</v>
      </c>
      <c r="G381" s="370" t="s">
        <v>16</v>
      </c>
      <c r="H381" s="376">
        <f t="shared" si="59"/>
        <v>6.2927999999999997</v>
      </c>
      <c r="I381" s="377" t="str">
        <f t="shared" si="60"/>
        <v>m²</v>
      </c>
      <c r="J381" s="369"/>
    </row>
    <row r="382" spans="1:10" x14ac:dyDescent="0.25">
      <c r="A382" s="350" t="s">
        <v>13860</v>
      </c>
      <c r="B382" s="730"/>
      <c r="C382" s="352"/>
      <c r="D382" s="175">
        <v>1.0900000000000001</v>
      </c>
      <c r="E382" s="175">
        <f>3.18-0.34</f>
        <v>2.8400000000000003</v>
      </c>
      <c r="F382" s="370">
        <v>2</v>
      </c>
      <c r="G382" s="370" t="s">
        <v>16</v>
      </c>
      <c r="H382" s="376">
        <f t="shared" si="59"/>
        <v>6.1912000000000011</v>
      </c>
      <c r="I382" s="377" t="str">
        <f t="shared" si="60"/>
        <v>m²</v>
      </c>
      <c r="J382" s="369"/>
    </row>
    <row r="383" spans="1:10" x14ac:dyDescent="0.25">
      <c r="A383" s="350" t="s">
        <v>13860</v>
      </c>
      <c r="B383" s="730"/>
      <c r="C383" s="352"/>
      <c r="D383" s="175">
        <v>1.08</v>
      </c>
      <c r="E383" s="175">
        <f>3.18-0.2</f>
        <v>2.98</v>
      </c>
      <c r="F383" s="370">
        <v>2</v>
      </c>
      <c r="G383" s="370" t="s">
        <v>16</v>
      </c>
      <c r="H383" s="376">
        <f t="shared" si="59"/>
        <v>6.4368000000000007</v>
      </c>
      <c r="I383" s="377" t="str">
        <f t="shared" si="60"/>
        <v>m²</v>
      </c>
      <c r="J383" s="369"/>
    </row>
    <row r="384" spans="1:10" x14ac:dyDescent="0.25">
      <c r="A384" s="350" t="s">
        <v>13860</v>
      </c>
      <c r="B384" s="730"/>
      <c r="C384" s="352"/>
      <c r="D384" s="175">
        <v>1.1299999999999999</v>
      </c>
      <c r="E384" s="175">
        <f>3.18-0.1</f>
        <v>3.08</v>
      </c>
      <c r="F384" s="370">
        <v>2</v>
      </c>
      <c r="G384" s="370" t="s">
        <v>16</v>
      </c>
      <c r="H384" s="376">
        <f t="shared" si="59"/>
        <v>6.9607999999999999</v>
      </c>
      <c r="I384" s="377" t="str">
        <f t="shared" si="60"/>
        <v>m²</v>
      </c>
      <c r="J384" s="369"/>
    </row>
    <row r="385" spans="1:10" x14ac:dyDescent="0.25">
      <c r="A385" s="350" t="s">
        <v>13860</v>
      </c>
      <c r="B385" s="586"/>
      <c r="C385" s="352"/>
      <c r="D385" s="175">
        <v>2.4500000000000002</v>
      </c>
      <c r="E385" s="175">
        <v>3.18</v>
      </c>
      <c r="F385" s="370">
        <v>2</v>
      </c>
      <c r="G385" s="370" t="s">
        <v>16</v>
      </c>
      <c r="H385" s="376">
        <f t="shared" si="59"/>
        <v>15.582000000000003</v>
      </c>
      <c r="I385" s="377" t="str">
        <f t="shared" si="60"/>
        <v>m²</v>
      </c>
      <c r="J385" s="369"/>
    </row>
    <row r="386" spans="1:10" x14ac:dyDescent="0.25">
      <c r="A386" s="350" t="s">
        <v>13860</v>
      </c>
      <c r="B386" s="352"/>
      <c r="C386" s="352"/>
      <c r="D386" s="175">
        <v>3.57</v>
      </c>
      <c r="E386" s="175">
        <f>3.18-1.62</f>
        <v>1.56</v>
      </c>
      <c r="F386" s="370">
        <v>2</v>
      </c>
      <c r="G386" s="370" t="s">
        <v>16</v>
      </c>
      <c r="H386" s="376">
        <f>D386*E386*F386</f>
        <v>11.138400000000001</v>
      </c>
      <c r="I386" s="377" t="str">
        <f t="shared" si="60"/>
        <v>m²</v>
      </c>
      <c r="J386" s="369"/>
    </row>
    <row r="387" spans="1:10" x14ac:dyDescent="0.25">
      <c r="A387" s="350" t="s">
        <v>13860</v>
      </c>
      <c r="B387" s="352" t="s">
        <v>13834</v>
      </c>
      <c r="C387" s="352"/>
      <c r="D387" s="175">
        <f>3.62+2.22+1.51</f>
        <v>7.35</v>
      </c>
      <c r="E387" s="175">
        <f>4.18-1.66</f>
        <v>2.5199999999999996</v>
      </c>
      <c r="F387" s="370">
        <v>1</v>
      </c>
      <c r="G387" s="370" t="s">
        <v>16</v>
      </c>
      <c r="H387" s="376">
        <f>D387*E387*F387</f>
        <v>18.521999999999995</v>
      </c>
      <c r="I387" s="377" t="str">
        <f t="shared" si="60"/>
        <v>m²</v>
      </c>
      <c r="J387" s="369"/>
    </row>
    <row r="388" spans="1:10" ht="15.75" thickBot="1" x14ac:dyDescent="0.3">
      <c r="A388" s="350"/>
      <c r="B388" s="352"/>
      <c r="C388" s="352"/>
      <c r="D388" s="352"/>
      <c r="E388" s="352"/>
      <c r="F388" s="352"/>
      <c r="G388" s="370"/>
      <c r="H388" s="370"/>
      <c r="I388" s="377"/>
      <c r="J388" s="369"/>
    </row>
    <row r="389" spans="1:10" ht="15.75" thickBot="1" x14ac:dyDescent="0.3">
      <c r="A389" s="46" t="s">
        <v>10947</v>
      </c>
      <c r="B389" s="60" t="str">
        <f>VLOOKUP(A389,PO!$A$8:$K$433,4,FALSE)</f>
        <v>Remoção de louça sanitária</v>
      </c>
      <c r="C389" s="47"/>
      <c r="D389" s="48"/>
      <c r="E389" s="47"/>
      <c r="F389" s="49"/>
      <c r="G389" s="50"/>
      <c r="H389" s="50"/>
      <c r="I389" s="50">
        <f>SUM(H392:H397)</f>
        <v>10</v>
      </c>
      <c r="J389" s="338" t="str">
        <f>VLOOKUP(A389,PO!$A$8:'PO'!$E$1270,5,FALSE)</f>
        <v>und</v>
      </c>
    </row>
    <row r="390" spans="1:10" x14ac:dyDescent="0.25">
      <c r="A390" s="347"/>
      <c r="B390" s="204"/>
      <c r="C390" s="205"/>
      <c r="D390" s="206"/>
      <c r="E390" s="205"/>
      <c r="F390" s="373"/>
      <c r="G390" s="370"/>
      <c r="H390" s="208"/>
      <c r="I390" s="208"/>
      <c r="J390" s="372"/>
    </row>
    <row r="391" spans="1:10" x14ac:dyDescent="0.25">
      <c r="A391" s="358" t="s">
        <v>10886</v>
      </c>
      <c r="B391" s="360" t="s">
        <v>21</v>
      </c>
      <c r="C391" s="352"/>
      <c r="D391" s="360"/>
      <c r="E391" s="352"/>
      <c r="F391" s="360" t="s">
        <v>10927</v>
      </c>
      <c r="G391" s="360"/>
      <c r="H391" s="360" t="s">
        <v>14</v>
      </c>
      <c r="I391" s="360" t="s">
        <v>15</v>
      </c>
      <c r="J391" s="361"/>
    </row>
    <row r="392" spans="1:10" x14ac:dyDescent="0.25">
      <c r="A392" s="417" t="s">
        <v>10970</v>
      </c>
      <c r="B392" s="370" t="s">
        <v>10968</v>
      </c>
      <c r="C392" s="352"/>
      <c r="D392" s="376"/>
      <c r="E392" s="352"/>
      <c r="F392" s="370">
        <v>1</v>
      </c>
      <c r="G392" s="370" t="s">
        <v>16</v>
      </c>
      <c r="H392" s="376">
        <f>F392</f>
        <v>1</v>
      </c>
      <c r="I392" s="377" t="str">
        <f>$J$389</f>
        <v>und</v>
      </c>
      <c r="J392" s="369"/>
    </row>
    <row r="393" spans="1:10" x14ac:dyDescent="0.25">
      <c r="A393" s="417" t="s">
        <v>10971</v>
      </c>
      <c r="B393" s="370" t="s">
        <v>10968</v>
      </c>
      <c r="C393" s="352"/>
      <c r="D393" s="376"/>
      <c r="E393" s="352"/>
      <c r="F393" s="370">
        <v>1</v>
      </c>
      <c r="G393" s="370" t="s">
        <v>16</v>
      </c>
      <c r="H393" s="376">
        <f t="shared" ref="H393:H397" si="61">F393</f>
        <v>1</v>
      </c>
      <c r="I393" s="377" t="str">
        <f t="shared" ref="I393:I397" si="62">$J$389</f>
        <v>und</v>
      </c>
      <c r="J393" s="369"/>
    </row>
    <row r="394" spans="1:10" x14ac:dyDescent="0.25">
      <c r="A394" s="417" t="s">
        <v>10970</v>
      </c>
      <c r="B394" s="370" t="s">
        <v>10969</v>
      </c>
      <c r="C394" s="352"/>
      <c r="D394" s="352"/>
      <c r="E394" s="352"/>
      <c r="F394" s="370">
        <v>1</v>
      </c>
      <c r="G394" s="370" t="s">
        <v>16</v>
      </c>
      <c r="H394" s="376">
        <f t="shared" si="61"/>
        <v>1</v>
      </c>
      <c r="I394" s="377" t="str">
        <f t="shared" si="62"/>
        <v>und</v>
      </c>
      <c r="J394" s="369"/>
    </row>
    <row r="395" spans="1:10" x14ac:dyDescent="0.25">
      <c r="A395" s="417" t="s">
        <v>10971</v>
      </c>
      <c r="B395" s="370" t="s">
        <v>10969</v>
      </c>
      <c r="C395" s="352"/>
      <c r="D395" s="352"/>
      <c r="E395" s="352"/>
      <c r="F395" s="370">
        <v>1</v>
      </c>
      <c r="G395" s="370" t="s">
        <v>16</v>
      </c>
      <c r="H395" s="376">
        <f t="shared" si="61"/>
        <v>1</v>
      </c>
      <c r="I395" s="377" t="str">
        <f t="shared" si="62"/>
        <v>und</v>
      </c>
      <c r="J395" s="369"/>
    </row>
    <row r="396" spans="1:10" x14ac:dyDescent="0.25">
      <c r="A396" s="417" t="s">
        <v>10970</v>
      </c>
      <c r="B396" s="370" t="s">
        <v>10906</v>
      </c>
      <c r="C396" s="352"/>
      <c r="D396" s="352"/>
      <c r="E396" s="352"/>
      <c r="F396" s="370">
        <v>3</v>
      </c>
      <c r="G396" s="370" t="s">
        <v>16</v>
      </c>
      <c r="H396" s="376">
        <f t="shared" si="61"/>
        <v>3</v>
      </c>
      <c r="I396" s="377" t="str">
        <f t="shared" si="62"/>
        <v>und</v>
      </c>
      <c r="J396" s="369"/>
    </row>
    <row r="397" spans="1:10" x14ac:dyDescent="0.25">
      <c r="A397" s="417" t="s">
        <v>10971</v>
      </c>
      <c r="B397" s="370" t="s">
        <v>10906</v>
      </c>
      <c r="C397" s="352"/>
      <c r="D397" s="352"/>
      <c r="E397" s="352"/>
      <c r="F397" s="370">
        <v>3</v>
      </c>
      <c r="G397" s="370" t="s">
        <v>16</v>
      </c>
      <c r="H397" s="376">
        <f t="shared" si="61"/>
        <v>3</v>
      </c>
      <c r="I397" s="377" t="str">
        <f t="shared" si="62"/>
        <v>und</v>
      </c>
      <c r="J397" s="369"/>
    </row>
    <row r="398" spans="1:10" ht="15.75" thickBot="1" x14ac:dyDescent="0.3">
      <c r="A398" s="350"/>
      <c r="B398" s="352"/>
      <c r="C398" s="352"/>
      <c r="D398" s="352"/>
      <c r="E398" s="352"/>
      <c r="F398" s="352"/>
      <c r="G398" s="352"/>
      <c r="H398" s="352"/>
      <c r="I398" s="352"/>
      <c r="J398" s="369"/>
    </row>
    <row r="399" spans="1:10" ht="15.75" thickBot="1" x14ac:dyDescent="0.3">
      <c r="A399" s="46" t="s">
        <v>10952</v>
      </c>
      <c r="B399" s="60" t="str">
        <f>VLOOKUP(A399,PO!$A$8:$K$433,4,FALSE)</f>
        <v>Retirada de torneiras</v>
      </c>
      <c r="C399" s="47"/>
      <c r="D399" s="48"/>
      <c r="E399" s="47"/>
      <c r="F399" s="49"/>
      <c r="G399" s="50"/>
      <c r="H399" s="50"/>
      <c r="I399" s="50">
        <f>SUM(H402:H404)</f>
        <v>5</v>
      </c>
      <c r="J399" s="338" t="str">
        <f>VLOOKUP(A399,PO!$A$8:'PO'!$E$1270,5,FALSE)</f>
        <v>und</v>
      </c>
    </row>
    <row r="400" spans="1:10" x14ac:dyDescent="0.25">
      <c r="A400" s="347"/>
      <c r="B400" s="204"/>
      <c r="C400" s="205"/>
      <c r="D400" s="206"/>
      <c r="E400" s="205"/>
      <c r="F400" s="373"/>
      <c r="G400" s="370"/>
      <c r="H400" s="208"/>
      <c r="I400" s="208"/>
      <c r="J400" s="372"/>
    </row>
    <row r="401" spans="1:10" x14ac:dyDescent="0.25">
      <c r="A401" s="358" t="s">
        <v>10886</v>
      </c>
      <c r="B401" s="360" t="s">
        <v>21</v>
      </c>
      <c r="C401" s="352"/>
      <c r="D401" s="360"/>
      <c r="E401" s="352"/>
      <c r="F401" s="360" t="s">
        <v>10927</v>
      </c>
      <c r="G401" s="360"/>
      <c r="H401" s="360" t="s">
        <v>14</v>
      </c>
      <c r="I401" s="360" t="s">
        <v>15</v>
      </c>
      <c r="J401" s="361"/>
    </row>
    <row r="402" spans="1:10" x14ac:dyDescent="0.25">
      <c r="A402" s="417" t="s">
        <v>10970</v>
      </c>
      <c r="B402" s="370" t="s">
        <v>10968</v>
      </c>
      <c r="C402" s="352"/>
      <c r="D402" s="376"/>
      <c r="E402" s="352"/>
      <c r="F402" s="370">
        <v>1</v>
      </c>
      <c r="G402" s="370" t="s">
        <v>16</v>
      </c>
      <c r="H402" s="376">
        <f>F402</f>
        <v>1</v>
      </c>
      <c r="I402" s="377" t="str">
        <f>$J$389</f>
        <v>und</v>
      </c>
      <c r="J402" s="369"/>
    </row>
    <row r="403" spans="1:10" x14ac:dyDescent="0.25">
      <c r="A403" s="417" t="s">
        <v>10970</v>
      </c>
      <c r="B403" s="370" t="s">
        <v>10969</v>
      </c>
      <c r="C403" s="352"/>
      <c r="D403" s="352"/>
      <c r="E403" s="352"/>
      <c r="F403" s="370">
        <v>1</v>
      </c>
      <c r="G403" s="370" t="s">
        <v>16</v>
      </c>
      <c r="H403" s="376">
        <f t="shared" ref="H403:H404" si="63">F403</f>
        <v>1</v>
      </c>
      <c r="I403" s="377" t="str">
        <f t="shared" ref="I403:I404" si="64">$J$389</f>
        <v>und</v>
      </c>
      <c r="J403" s="369"/>
    </row>
    <row r="404" spans="1:10" x14ac:dyDescent="0.25">
      <c r="A404" s="417" t="s">
        <v>10970</v>
      </c>
      <c r="B404" s="370" t="s">
        <v>10906</v>
      </c>
      <c r="C404" s="352"/>
      <c r="D404" s="352"/>
      <c r="E404" s="352"/>
      <c r="F404" s="370">
        <v>3</v>
      </c>
      <c r="G404" s="370" t="s">
        <v>16</v>
      </c>
      <c r="H404" s="376">
        <f t="shared" si="63"/>
        <v>3</v>
      </c>
      <c r="I404" s="377" t="str">
        <f t="shared" si="64"/>
        <v>und</v>
      </c>
      <c r="J404" s="369"/>
    </row>
    <row r="405" spans="1:10" ht="15.75" thickBot="1" x14ac:dyDescent="0.3">
      <c r="A405" s="350"/>
      <c r="B405" s="352"/>
      <c r="C405" s="352"/>
      <c r="D405" s="352"/>
      <c r="E405" s="352"/>
      <c r="F405" s="352"/>
      <c r="G405" s="352"/>
      <c r="H405" s="352"/>
      <c r="I405" s="352"/>
      <c r="J405" s="369"/>
    </row>
    <row r="406" spans="1:10" ht="15.75" thickBot="1" x14ac:dyDescent="0.3">
      <c r="A406" s="46" t="s">
        <v>10954</v>
      </c>
      <c r="B406" s="60" t="str">
        <f>VLOOKUP(A406,PO!$A$8:$K$433,4,FALSE)</f>
        <v>Retirada de ventilador de teto metálico</v>
      </c>
      <c r="C406" s="47"/>
      <c r="D406" s="48"/>
      <c r="E406" s="47"/>
      <c r="F406" s="49"/>
      <c r="G406" s="50"/>
      <c r="H406" s="50"/>
      <c r="I406" s="50">
        <f>SUM(H409:H412)</f>
        <v>8</v>
      </c>
      <c r="J406" s="338" t="str">
        <f>VLOOKUP(A406,PO!$A$8:'PO'!$E$1270,5,FALSE)</f>
        <v>und</v>
      </c>
    </row>
    <row r="407" spans="1:10" x14ac:dyDescent="0.25">
      <c r="A407" s="347"/>
      <c r="B407" s="204"/>
      <c r="C407" s="205"/>
      <c r="D407" s="206"/>
      <c r="E407" s="205"/>
      <c r="F407" s="373"/>
      <c r="G407" s="370"/>
      <c r="H407" s="208"/>
      <c r="I407" s="208"/>
      <c r="J407" s="372"/>
    </row>
    <row r="408" spans="1:10" x14ac:dyDescent="0.25">
      <c r="A408" s="350"/>
      <c r="B408" s="360" t="s">
        <v>21</v>
      </c>
      <c r="C408" s="352"/>
      <c r="D408" s="360"/>
      <c r="E408" s="360"/>
      <c r="F408" s="360" t="s">
        <v>10927</v>
      </c>
      <c r="G408" s="360"/>
      <c r="H408" s="360" t="s">
        <v>14</v>
      </c>
      <c r="I408" s="360" t="s">
        <v>15</v>
      </c>
      <c r="J408" s="361"/>
    </row>
    <row r="409" spans="1:10" x14ac:dyDescent="0.25">
      <c r="A409" s="350"/>
      <c r="B409" s="370" t="s">
        <v>10899</v>
      </c>
      <c r="C409" s="352"/>
      <c r="D409" s="376"/>
      <c r="E409" s="370"/>
      <c r="F409" s="370">
        <v>2</v>
      </c>
      <c r="G409" s="370" t="s">
        <v>16</v>
      </c>
      <c r="H409" s="376">
        <f>F409</f>
        <v>2</v>
      </c>
      <c r="I409" s="377" t="str">
        <f>$J$406</f>
        <v>und</v>
      </c>
      <c r="J409" s="369"/>
    </row>
    <row r="410" spans="1:10" x14ac:dyDescent="0.25">
      <c r="A410" s="350"/>
      <c r="B410" s="370" t="s">
        <v>10900</v>
      </c>
      <c r="C410" s="352"/>
      <c r="D410" s="352"/>
      <c r="E410" s="370"/>
      <c r="F410" s="370">
        <v>2</v>
      </c>
      <c r="G410" s="370" t="s">
        <v>16</v>
      </c>
      <c r="H410" s="376">
        <f t="shared" ref="H410:H411" si="65">F410</f>
        <v>2</v>
      </c>
      <c r="I410" s="377" t="str">
        <f t="shared" ref="I410:I411" si="66">$J$406</f>
        <v>und</v>
      </c>
      <c r="J410" s="369"/>
    </row>
    <row r="411" spans="1:10" x14ac:dyDescent="0.25">
      <c r="A411" s="350"/>
      <c r="B411" s="370" t="s">
        <v>10901</v>
      </c>
      <c r="C411" s="352"/>
      <c r="D411" s="352"/>
      <c r="E411" s="370"/>
      <c r="F411" s="370">
        <v>2</v>
      </c>
      <c r="G411" s="370" t="s">
        <v>16</v>
      </c>
      <c r="H411" s="376">
        <f t="shared" si="65"/>
        <v>2</v>
      </c>
      <c r="I411" s="377" t="str">
        <f t="shared" si="66"/>
        <v>und</v>
      </c>
      <c r="J411" s="369"/>
    </row>
    <row r="412" spans="1:10" x14ac:dyDescent="0.25">
      <c r="A412" s="350"/>
      <c r="B412" s="370" t="s">
        <v>10905</v>
      </c>
      <c r="C412" s="352"/>
      <c r="D412" s="352"/>
      <c r="E412" s="352"/>
      <c r="F412" s="370">
        <v>2</v>
      </c>
      <c r="G412" s="370" t="s">
        <v>16</v>
      </c>
      <c r="H412" s="376">
        <v>2</v>
      </c>
      <c r="I412" s="377" t="str">
        <f>I411</f>
        <v>und</v>
      </c>
      <c r="J412" s="369"/>
    </row>
    <row r="413" spans="1:10" ht="15.75" thickBot="1" x14ac:dyDescent="0.3">
      <c r="A413" s="350"/>
      <c r="B413" s="352"/>
      <c r="C413" s="352"/>
      <c r="D413" s="352"/>
      <c r="E413" s="352"/>
      <c r="F413" s="352"/>
      <c r="G413" s="352"/>
      <c r="H413" s="352"/>
      <c r="I413" s="352"/>
      <c r="J413" s="369"/>
    </row>
    <row r="414" spans="1:10" ht="15.75" thickBot="1" x14ac:dyDescent="0.3">
      <c r="A414" s="46" t="s">
        <v>10957</v>
      </c>
      <c r="B414" s="60" t="str">
        <f>VLOOKUP(A414,PO!$A$8:$K$433,4,FALSE)</f>
        <v>Remoção de raízes remanescentes de tronco de árvore com diâmetro maior ou igual a 0,20 m e menor que 0,40 m</v>
      </c>
      <c r="C414" s="47"/>
      <c r="D414" s="48"/>
      <c r="E414" s="47"/>
      <c r="F414" s="49"/>
      <c r="G414" s="50"/>
      <c r="H414" s="50"/>
      <c r="I414" s="50">
        <f>SUM(H417:H420)</f>
        <v>6</v>
      </c>
      <c r="J414" s="338" t="str">
        <f>VLOOKUP(A414,PO!$A$8:'PO'!$E$1270,5,FALSE)</f>
        <v>und</v>
      </c>
    </row>
    <row r="415" spans="1:10" x14ac:dyDescent="0.25">
      <c r="A415" s="347"/>
      <c r="B415" s="204"/>
      <c r="C415" s="205"/>
      <c r="D415" s="206"/>
      <c r="E415" s="205"/>
      <c r="F415" s="373"/>
      <c r="G415" s="370"/>
      <c r="H415" s="208"/>
      <c r="I415" s="208"/>
      <c r="J415" s="372"/>
    </row>
    <row r="416" spans="1:10" x14ac:dyDescent="0.25">
      <c r="A416" s="350"/>
      <c r="B416" s="360" t="s">
        <v>21</v>
      </c>
      <c r="C416" s="352"/>
      <c r="D416" s="360"/>
      <c r="E416" s="360"/>
      <c r="F416" s="360" t="s">
        <v>10927</v>
      </c>
      <c r="G416" s="360"/>
      <c r="H416" s="360" t="s">
        <v>14</v>
      </c>
      <c r="I416" s="360" t="s">
        <v>15</v>
      </c>
      <c r="J416" s="361"/>
    </row>
    <row r="417" spans="1:10" x14ac:dyDescent="0.25">
      <c r="A417" s="350"/>
      <c r="B417" s="370" t="s">
        <v>11150</v>
      </c>
      <c r="C417" s="352"/>
      <c r="D417" s="376"/>
      <c r="E417" s="370"/>
      <c r="F417" s="370">
        <v>6</v>
      </c>
      <c r="G417" s="370" t="s">
        <v>16</v>
      </c>
      <c r="H417" s="376">
        <f>F417</f>
        <v>6</v>
      </c>
      <c r="I417" s="377" t="str">
        <f>$J$414</f>
        <v>und</v>
      </c>
      <c r="J417" s="369"/>
    </row>
    <row r="418" spans="1:10" ht="15.75" thickBot="1" x14ac:dyDescent="0.3">
      <c r="A418" s="350"/>
      <c r="B418" s="352"/>
      <c r="C418" s="352"/>
      <c r="D418" s="352"/>
      <c r="E418" s="352"/>
      <c r="F418" s="352"/>
      <c r="G418" s="352"/>
      <c r="H418" s="352"/>
      <c r="I418" s="352"/>
      <c r="J418" s="369"/>
    </row>
    <row r="419" spans="1:10" ht="15.75" thickBot="1" x14ac:dyDescent="0.3">
      <c r="A419" s="46" t="s">
        <v>10963</v>
      </c>
      <c r="B419" s="60" t="str">
        <f>VLOOKUP(A419,PO!$A$8:$K$433,4,FALSE)</f>
        <v>Carga manual de entulho.</v>
      </c>
      <c r="C419" s="47"/>
      <c r="D419" s="48"/>
      <c r="E419" s="47"/>
      <c r="F419" s="49"/>
      <c r="G419" s="50"/>
      <c r="H419" s="50"/>
      <c r="I419" s="50">
        <f>SUM(H422:H435)</f>
        <v>140.3525463654</v>
      </c>
      <c r="J419" s="338" t="str">
        <f>VLOOKUP(A419,PO!$A$8:'PO'!$E$1270,5,FALSE)</f>
        <v>m³</v>
      </c>
    </row>
    <row r="420" spans="1:10" x14ac:dyDescent="0.25">
      <c r="A420" s="347"/>
      <c r="B420" s="204"/>
      <c r="C420" s="205"/>
      <c r="D420" s="206"/>
      <c r="E420" s="205"/>
      <c r="F420" s="373"/>
      <c r="G420" s="370"/>
      <c r="H420" s="208"/>
      <c r="I420" s="208"/>
      <c r="J420" s="372"/>
    </row>
    <row r="421" spans="1:10" x14ac:dyDescent="0.25">
      <c r="A421" s="350"/>
      <c r="B421" s="360" t="s">
        <v>21</v>
      </c>
      <c r="C421" s="352"/>
      <c r="D421" s="360"/>
      <c r="E421" s="360" t="s">
        <v>10936</v>
      </c>
      <c r="F421" s="360" t="s">
        <v>11118</v>
      </c>
      <c r="G421" s="360"/>
      <c r="H421" s="360" t="s">
        <v>14</v>
      </c>
      <c r="I421" s="360" t="s">
        <v>15</v>
      </c>
      <c r="J421" s="361"/>
    </row>
    <row r="422" spans="1:10" x14ac:dyDescent="0.25">
      <c r="A422" s="350"/>
      <c r="B422" s="428" t="s">
        <v>11117</v>
      </c>
      <c r="C422" s="352"/>
      <c r="D422" s="376"/>
      <c r="E422" s="376">
        <f>$I$31</f>
        <v>548.80000000000007</v>
      </c>
      <c r="F422" s="376">
        <f>E422*$C$439</f>
        <v>2.1952000000000003</v>
      </c>
      <c r="G422" s="370" t="s">
        <v>16</v>
      </c>
      <c r="H422" s="376">
        <f>F422</f>
        <v>2.1952000000000003</v>
      </c>
      <c r="I422" s="377" t="str">
        <f>$J$419</f>
        <v>m³</v>
      </c>
      <c r="J422" s="369"/>
    </row>
    <row r="423" spans="1:10" x14ac:dyDescent="0.25">
      <c r="A423" s="350"/>
      <c r="B423" s="428" t="s">
        <v>11130</v>
      </c>
      <c r="C423" s="352"/>
      <c r="D423" s="352"/>
      <c r="E423" s="376">
        <f>$I$39</f>
        <v>548.80000000000007</v>
      </c>
      <c r="F423" s="376">
        <f>E423*$C$442</f>
        <v>16.991506560000001</v>
      </c>
      <c r="G423" s="370" t="s">
        <v>16</v>
      </c>
      <c r="H423" s="376">
        <f t="shared" ref="H423:H435" si="67">F423</f>
        <v>16.991506560000001</v>
      </c>
      <c r="I423" s="377" t="str">
        <f t="shared" ref="I423:I435" si="68">$J$419</f>
        <v>m³</v>
      </c>
      <c r="J423" s="369"/>
    </row>
    <row r="424" spans="1:10" x14ac:dyDescent="0.25">
      <c r="A424" s="350"/>
      <c r="B424" s="428" t="s">
        <v>11119</v>
      </c>
      <c r="C424" s="352"/>
      <c r="D424" s="352"/>
      <c r="E424" s="376">
        <f>$I$53</f>
        <v>175.78919999999999</v>
      </c>
      <c r="F424" s="376">
        <f>E424*$C$440</f>
        <v>1.0547352000000001</v>
      </c>
      <c r="G424" s="370" t="s">
        <v>16</v>
      </c>
      <c r="H424" s="376">
        <f t="shared" si="67"/>
        <v>1.0547352000000001</v>
      </c>
      <c r="I424" s="377" t="str">
        <f t="shared" si="68"/>
        <v>m³</v>
      </c>
      <c r="J424" s="369"/>
    </row>
    <row r="425" spans="1:10" x14ac:dyDescent="0.25">
      <c r="A425" s="350"/>
      <c r="B425" s="428" t="s">
        <v>11129</v>
      </c>
      <c r="C425" s="352"/>
      <c r="D425" s="352"/>
      <c r="E425" s="376">
        <f>$I$69</f>
        <v>175.78919999999999</v>
      </c>
      <c r="F425" s="376">
        <f>E425*$C$441</f>
        <v>3.3838542053999996</v>
      </c>
      <c r="G425" s="370" t="s">
        <v>16</v>
      </c>
      <c r="H425" s="376">
        <f t="shared" si="67"/>
        <v>3.3838542053999996</v>
      </c>
      <c r="I425" s="377" t="str">
        <f t="shared" si="68"/>
        <v>m³</v>
      </c>
      <c r="J425" s="369"/>
    </row>
    <row r="426" spans="1:10" x14ac:dyDescent="0.25">
      <c r="A426" s="350"/>
      <c r="B426" s="428" t="s">
        <v>11120</v>
      </c>
      <c r="C426" s="352"/>
      <c r="D426" s="352"/>
      <c r="E426" s="376">
        <f>$I$124</f>
        <v>349.04820000000001</v>
      </c>
      <c r="F426" s="376">
        <f>E426*$C$443</f>
        <v>3.4904820000000001</v>
      </c>
      <c r="G426" s="370" t="s">
        <v>16</v>
      </c>
      <c r="H426" s="376">
        <f t="shared" si="67"/>
        <v>3.4904820000000001</v>
      </c>
      <c r="I426" s="377" t="str">
        <f t="shared" si="68"/>
        <v>m³</v>
      </c>
      <c r="J426" s="369"/>
    </row>
    <row r="427" spans="1:10" x14ac:dyDescent="0.25">
      <c r="A427" s="350"/>
      <c r="B427" s="428" t="s">
        <v>11121</v>
      </c>
      <c r="C427" s="352"/>
      <c r="D427" s="352"/>
      <c r="E427" s="376">
        <f>$I$187</f>
        <v>178.78</v>
      </c>
      <c r="F427" s="376">
        <f>E427*$C$443*$D$443</f>
        <v>0.12514600000000001</v>
      </c>
      <c r="G427" s="370" t="s">
        <v>16</v>
      </c>
      <c r="H427" s="376">
        <f t="shared" si="67"/>
        <v>0.12514600000000001</v>
      </c>
      <c r="I427" s="377" t="str">
        <f t="shared" si="68"/>
        <v>m³</v>
      </c>
      <c r="J427" s="369"/>
    </row>
    <row r="428" spans="1:10" x14ac:dyDescent="0.25">
      <c r="A428" s="350"/>
      <c r="B428" s="428" t="s">
        <v>11122</v>
      </c>
      <c r="C428" s="352"/>
      <c r="D428" s="352"/>
      <c r="E428" s="376">
        <f>$I$218</f>
        <v>430.02689999999996</v>
      </c>
      <c r="F428" s="376">
        <f>E428*$C$444</f>
        <v>12.900806999999999</v>
      </c>
      <c r="G428" s="370" t="s">
        <v>16</v>
      </c>
      <c r="H428" s="376">
        <f t="shared" si="67"/>
        <v>12.900806999999999</v>
      </c>
      <c r="I428" s="377" t="str">
        <f t="shared" si="68"/>
        <v>m³</v>
      </c>
      <c r="J428" s="369"/>
    </row>
    <row r="429" spans="1:10" x14ac:dyDescent="0.25">
      <c r="A429" s="350"/>
      <c r="B429" s="428" t="s">
        <v>11123</v>
      </c>
      <c r="C429" s="352"/>
      <c r="D429" s="352"/>
      <c r="E429" s="376">
        <f>$I$240</f>
        <v>29.520000000000003</v>
      </c>
      <c r="F429" s="376">
        <f>E429*$C$445</f>
        <v>1.0332000000000001</v>
      </c>
      <c r="G429" s="370" t="s">
        <v>16</v>
      </c>
      <c r="H429" s="376">
        <f t="shared" si="67"/>
        <v>1.0332000000000001</v>
      </c>
      <c r="I429" s="377" t="str">
        <f t="shared" si="68"/>
        <v>m³</v>
      </c>
      <c r="J429" s="369"/>
    </row>
    <row r="430" spans="1:10" x14ac:dyDescent="0.25">
      <c r="A430" s="350"/>
      <c r="B430" s="428" t="s">
        <v>11124</v>
      </c>
      <c r="C430" s="352"/>
      <c r="D430" s="352"/>
      <c r="E430" s="376">
        <f>$I$261</f>
        <v>29.089999999999993</v>
      </c>
      <c r="F430" s="376">
        <f>E430*$C$446</f>
        <v>0.8726999999999997</v>
      </c>
      <c r="G430" s="370" t="s">
        <v>16</v>
      </c>
      <c r="H430" s="376">
        <f t="shared" si="67"/>
        <v>0.8726999999999997</v>
      </c>
      <c r="I430" s="377" t="str">
        <f t="shared" si="68"/>
        <v>m³</v>
      </c>
      <c r="J430" s="369"/>
    </row>
    <row r="431" spans="1:10" x14ac:dyDescent="0.25">
      <c r="A431" s="350"/>
      <c r="B431" s="428" t="s">
        <v>11125</v>
      </c>
      <c r="C431" s="352"/>
      <c r="D431" s="352"/>
      <c r="E431" s="370" t="s">
        <v>10937</v>
      </c>
      <c r="F431" s="376">
        <f>$I$279</f>
        <v>56.753998000000003</v>
      </c>
      <c r="G431" s="370" t="s">
        <v>16</v>
      </c>
      <c r="H431" s="376">
        <f t="shared" si="67"/>
        <v>56.753998000000003</v>
      </c>
      <c r="I431" s="377" t="str">
        <f t="shared" si="68"/>
        <v>m³</v>
      </c>
      <c r="J431" s="369"/>
    </row>
    <row r="432" spans="1:10" x14ac:dyDescent="0.25">
      <c r="A432" s="350"/>
      <c r="B432" s="428" t="s">
        <v>271</v>
      </c>
      <c r="C432" s="352"/>
      <c r="D432" s="352"/>
      <c r="E432" s="376">
        <f>$I$321</f>
        <v>272.64400000000001</v>
      </c>
      <c r="F432" s="376">
        <f>E432*$C$447</f>
        <v>40.896599999999999</v>
      </c>
      <c r="G432" s="370" t="s">
        <v>16</v>
      </c>
      <c r="H432" s="376">
        <f t="shared" si="67"/>
        <v>40.896599999999999</v>
      </c>
      <c r="I432" s="377" t="str">
        <f t="shared" si="68"/>
        <v>m³</v>
      </c>
      <c r="J432" s="369"/>
    </row>
    <row r="433" spans="1:10" x14ac:dyDescent="0.25">
      <c r="A433" s="350"/>
      <c r="B433" s="428" t="s">
        <v>10943</v>
      </c>
      <c r="C433" s="352"/>
      <c r="D433" s="352"/>
      <c r="E433" s="376">
        <f>$I$333</f>
        <v>10.24</v>
      </c>
      <c r="F433" s="376">
        <f>E433*$C$448*$D$448</f>
        <v>7.6799999999999993E-2</v>
      </c>
      <c r="G433" s="370" t="s">
        <v>16</v>
      </c>
      <c r="H433" s="376">
        <f t="shared" si="67"/>
        <v>7.6799999999999993E-2</v>
      </c>
      <c r="I433" s="377" t="str">
        <f t="shared" si="68"/>
        <v>m³</v>
      </c>
      <c r="J433" s="369"/>
    </row>
    <row r="434" spans="1:10" x14ac:dyDescent="0.25">
      <c r="A434" s="350"/>
      <c r="B434" s="428" t="s">
        <v>10948</v>
      </c>
      <c r="C434" s="352"/>
      <c r="D434" s="352"/>
      <c r="E434" s="376">
        <f>$I$341</f>
        <v>122.15820000000001</v>
      </c>
      <c r="F434" s="376">
        <f>E434*$C$449</f>
        <v>0.36647460000000004</v>
      </c>
      <c r="G434" s="370" t="s">
        <v>16</v>
      </c>
      <c r="H434" s="376">
        <f t="shared" si="67"/>
        <v>0.36647460000000004</v>
      </c>
      <c r="I434" s="377" t="str">
        <f t="shared" si="68"/>
        <v>m³</v>
      </c>
      <c r="J434" s="369"/>
    </row>
    <row r="435" spans="1:10" x14ac:dyDescent="0.25">
      <c r="A435" s="350"/>
      <c r="B435" s="428" t="s">
        <v>10955</v>
      </c>
      <c r="C435" s="352"/>
      <c r="D435" s="352"/>
      <c r="E435" s="376">
        <f>$I$371</f>
        <v>105.5214</v>
      </c>
      <c r="F435" s="376">
        <f>E435*$C$450</f>
        <v>0.2110428</v>
      </c>
      <c r="G435" s="370" t="s">
        <v>16</v>
      </c>
      <c r="H435" s="376">
        <f t="shared" si="67"/>
        <v>0.2110428</v>
      </c>
      <c r="I435" s="377" t="str">
        <f t="shared" si="68"/>
        <v>m³</v>
      </c>
      <c r="J435" s="369"/>
    </row>
    <row r="436" spans="1:10" x14ac:dyDescent="0.25">
      <c r="A436" s="350"/>
      <c r="B436" s="370"/>
      <c r="C436" s="352"/>
      <c r="D436" s="352"/>
      <c r="E436" s="370"/>
      <c r="F436" s="370"/>
      <c r="G436" s="370"/>
      <c r="H436" s="376"/>
      <c r="I436" s="377"/>
      <c r="J436" s="369"/>
    </row>
    <row r="437" spans="1:10" x14ac:dyDescent="0.25">
      <c r="A437" s="358"/>
      <c r="B437" s="708" t="s">
        <v>11109</v>
      </c>
      <c r="C437" s="708"/>
      <c r="D437" s="708"/>
      <c r="E437" s="370"/>
      <c r="F437" s="370"/>
      <c r="G437" s="370"/>
      <c r="H437" s="376"/>
      <c r="I437" s="377"/>
      <c r="J437" s="369"/>
    </row>
    <row r="438" spans="1:10" x14ac:dyDescent="0.25">
      <c r="A438" s="358"/>
      <c r="B438" s="360" t="s">
        <v>11111</v>
      </c>
      <c r="C438" s="360" t="s">
        <v>11135</v>
      </c>
      <c r="D438" s="360" t="s">
        <v>10930</v>
      </c>
      <c r="E438" s="370"/>
      <c r="F438" s="370"/>
      <c r="G438" s="370"/>
      <c r="H438" s="376"/>
      <c r="I438" s="377"/>
      <c r="J438" s="369"/>
    </row>
    <row r="439" spans="1:10" x14ac:dyDescent="0.25">
      <c r="A439" s="358"/>
      <c r="B439" s="428" t="s">
        <v>11116</v>
      </c>
      <c r="C439" s="370">
        <v>4.0000000000000001E-3</v>
      </c>
      <c r="D439" s="360" t="s">
        <v>10937</v>
      </c>
      <c r="E439" s="370"/>
      <c r="F439" s="370"/>
      <c r="G439" s="370"/>
      <c r="H439" s="376"/>
      <c r="I439" s="377"/>
      <c r="J439" s="369"/>
    </row>
    <row r="440" spans="1:10" x14ac:dyDescent="0.25">
      <c r="A440" s="350"/>
      <c r="B440" s="428" t="s">
        <v>11110</v>
      </c>
      <c r="C440" s="429">
        <v>6.0000000000000001E-3</v>
      </c>
      <c r="D440" s="429" t="s">
        <v>10937</v>
      </c>
      <c r="E440" s="370"/>
      <c r="F440" s="370"/>
      <c r="G440" s="370"/>
      <c r="H440" s="376"/>
      <c r="I440" s="377"/>
      <c r="J440" s="369"/>
    </row>
    <row r="441" spans="1:10" x14ac:dyDescent="0.25">
      <c r="A441" s="350"/>
      <c r="B441" s="428" t="s">
        <v>11126</v>
      </c>
      <c r="C441" s="429">
        <f>0.005*3.8499</f>
        <v>1.9249499999999999E-2</v>
      </c>
      <c r="D441" s="429" t="s">
        <v>10937</v>
      </c>
      <c r="E441" s="370"/>
      <c r="F441" s="370"/>
      <c r="G441" s="370"/>
      <c r="H441" s="376"/>
      <c r="I441" s="377"/>
      <c r="J441" s="369"/>
    </row>
    <row r="442" spans="1:10" x14ac:dyDescent="0.25">
      <c r="A442" s="350"/>
      <c r="B442" s="428" t="s">
        <v>11127</v>
      </c>
      <c r="C442" s="429">
        <f>(2.52*0.15*0.05)+(0.06*0.12*0.721)+(2.29*0.05*0.06)</f>
        <v>3.0961200000000001E-2</v>
      </c>
      <c r="D442" s="429" t="s">
        <v>10937</v>
      </c>
      <c r="E442" s="370"/>
      <c r="F442" s="370"/>
      <c r="G442" s="370"/>
      <c r="H442" s="376"/>
      <c r="I442" s="377"/>
      <c r="J442" s="369"/>
    </row>
    <row r="443" spans="1:10" x14ac:dyDescent="0.25">
      <c r="A443" s="350"/>
      <c r="B443" s="428" t="s">
        <v>11112</v>
      </c>
      <c r="C443" s="429">
        <v>0.01</v>
      </c>
      <c r="D443" s="429">
        <v>7.0000000000000007E-2</v>
      </c>
      <c r="E443" s="370"/>
      <c r="F443" s="370"/>
      <c r="G443" s="370"/>
      <c r="H443" s="376"/>
      <c r="I443" s="377"/>
      <c r="J443" s="369"/>
    </row>
    <row r="444" spans="1:10" x14ac:dyDescent="0.25">
      <c r="A444" s="350"/>
      <c r="B444" s="428" t="s">
        <v>11113</v>
      </c>
      <c r="C444" s="429">
        <v>0.03</v>
      </c>
      <c r="D444" s="429" t="s">
        <v>10937</v>
      </c>
      <c r="E444" s="370"/>
      <c r="F444" s="370"/>
      <c r="G444" s="370"/>
      <c r="H444" s="376"/>
      <c r="I444" s="377"/>
      <c r="J444" s="369"/>
    </row>
    <row r="445" spans="1:10" x14ac:dyDescent="0.25">
      <c r="A445" s="350"/>
      <c r="B445" s="428" t="s">
        <v>11114</v>
      </c>
      <c r="C445" s="429">
        <v>3.5000000000000003E-2</v>
      </c>
      <c r="D445" s="429" t="s">
        <v>10937</v>
      </c>
      <c r="E445" s="370"/>
      <c r="F445" s="370"/>
      <c r="G445" s="370"/>
      <c r="H445" s="376"/>
      <c r="I445" s="377"/>
      <c r="J445" s="369"/>
    </row>
    <row r="446" spans="1:10" x14ac:dyDescent="0.25">
      <c r="A446" s="350"/>
      <c r="B446" s="428" t="s">
        <v>11115</v>
      </c>
      <c r="C446" s="429">
        <v>0.03</v>
      </c>
      <c r="D446" s="429" t="s">
        <v>10937</v>
      </c>
      <c r="E446" s="370"/>
      <c r="F446" s="370"/>
      <c r="G446" s="370"/>
      <c r="H446" s="376"/>
      <c r="I446" s="377"/>
      <c r="J446" s="369"/>
    </row>
    <row r="447" spans="1:10" x14ac:dyDescent="0.25">
      <c r="A447" s="350"/>
      <c r="B447" s="428" t="s">
        <v>11128</v>
      </c>
      <c r="C447" s="429">
        <v>0.15</v>
      </c>
      <c r="D447" s="360" t="s">
        <v>10937</v>
      </c>
      <c r="E447" s="370"/>
      <c r="F447" s="370"/>
      <c r="G447" s="370"/>
      <c r="H447" s="376"/>
      <c r="I447" s="377"/>
      <c r="J447" s="369"/>
    </row>
    <row r="448" spans="1:10" x14ac:dyDescent="0.25">
      <c r="A448" s="350"/>
      <c r="B448" s="428" t="s">
        <v>11131</v>
      </c>
      <c r="C448" s="429">
        <v>0.05</v>
      </c>
      <c r="D448" s="370">
        <v>0.15</v>
      </c>
      <c r="E448" s="370"/>
      <c r="F448" s="370"/>
      <c r="G448" s="370"/>
      <c r="H448" s="376"/>
      <c r="I448" s="377"/>
      <c r="J448" s="369"/>
    </row>
    <row r="449" spans="1:10" x14ac:dyDescent="0.25">
      <c r="A449" s="350"/>
      <c r="B449" s="428" t="s">
        <v>11132</v>
      </c>
      <c r="C449" s="370">
        <v>3.0000000000000001E-3</v>
      </c>
      <c r="D449" s="370" t="s">
        <v>10937</v>
      </c>
      <c r="E449" s="370"/>
      <c r="F449" s="370"/>
      <c r="G449" s="370"/>
      <c r="H449" s="376"/>
      <c r="I449" s="377"/>
      <c r="J449" s="369"/>
    </row>
    <row r="450" spans="1:10" x14ac:dyDescent="0.25">
      <c r="A450" s="350"/>
      <c r="B450" s="428" t="s">
        <v>11133</v>
      </c>
      <c r="C450" s="370">
        <v>2E-3</v>
      </c>
      <c r="D450" s="370" t="s">
        <v>10937</v>
      </c>
      <c r="E450" s="370"/>
      <c r="F450" s="370"/>
      <c r="G450" s="370"/>
      <c r="H450" s="376"/>
      <c r="I450" s="377"/>
      <c r="J450" s="369"/>
    </row>
    <row r="451" spans="1:10" ht="15.75" thickBot="1" x14ac:dyDescent="0.3">
      <c r="A451" s="350"/>
      <c r="B451" s="370"/>
      <c r="C451" s="352"/>
      <c r="D451" s="352"/>
      <c r="E451" s="370"/>
      <c r="F451" s="370"/>
      <c r="G451" s="370"/>
      <c r="H451" s="376"/>
      <c r="I451" s="377"/>
      <c r="J451" s="369"/>
    </row>
    <row r="452" spans="1:10" ht="15.75" thickBot="1" x14ac:dyDescent="0.3">
      <c r="A452" s="46" t="s">
        <v>10965</v>
      </c>
      <c r="B452" s="60" t="str">
        <f>VLOOKUP(A452,PO!$A$8:$K$433,4,FALSE)</f>
        <v>Destinação e transporte de resíduos em caminhão basculante.</v>
      </c>
      <c r="C452" s="47"/>
      <c r="D452" s="48"/>
      <c r="E452" s="47"/>
      <c r="F452" s="49"/>
      <c r="G452" s="50"/>
      <c r="H452" s="50"/>
      <c r="I452" s="50">
        <f>SUM(H455:H455)</f>
        <v>140.3525463654</v>
      </c>
      <c r="J452" s="338" t="str">
        <f>VLOOKUP(A452,PO!$A$8:'PO'!$E$1270,5,FALSE)</f>
        <v>m³</v>
      </c>
    </row>
    <row r="453" spans="1:10" x14ac:dyDescent="0.25">
      <c r="A453" s="347"/>
      <c r="B453" s="204"/>
      <c r="C453" s="205"/>
      <c r="D453" s="206"/>
      <c r="E453" s="205"/>
      <c r="F453" s="373"/>
      <c r="G453" s="370"/>
      <c r="H453" s="208"/>
      <c r="I453" s="208"/>
      <c r="J453" s="372"/>
    </row>
    <row r="454" spans="1:10" x14ac:dyDescent="0.25">
      <c r="A454" s="350"/>
      <c r="B454" s="360" t="s">
        <v>21</v>
      </c>
      <c r="C454" s="352"/>
      <c r="D454" s="360"/>
      <c r="E454" s="360"/>
      <c r="F454" s="360" t="s">
        <v>11118</v>
      </c>
      <c r="G454" s="360"/>
      <c r="H454" s="360" t="s">
        <v>14</v>
      </c>
      <c r="I454" s="360" t="s">
        <v>15</v>
      </c>
      <c r="J454" s="361"/>
    </row>
    <row r="455" spans="1:10" x14ac:dyDescent="0.25">
      <c r="A455" s="350"/>
      <c r="B455" s="428" t="s">
        <v>11134</v>
      </c>
      <c r="C455" s="352"/>
      <c r="D455" s="376"/>
      <c r="E455" s="376"/>
      <c r="F455" s="376">
        <f>$I$419</f>
        <v>140.3525463654</v>
      </c>
      <c r="G455" s="370" t="s">
        <v>16</v>
      </c>
      <c r="H455" s="376">
        <f>F455</f>
        <v>140.3525463654</v>
      </c>
      <c r="I455" s="377" t="str">
        <f>$J$452</f>
        <v>m³</v>
      </c>
      <c r="J455" s="369"/>
    </row>
    <row r="456" spans="1:10" ht="15.75" thickBot="1" x14ac:dyDescent="0.3">
      <c r="A456" s="350"/>
      <c r="B456" s="370"/>
      <c r="C456" s="352"/>
      <c r="D456" s="352"/>
      <c r="E456" s="370"/>
      <c r="F456" s="370"/>
      <c r="G456" s="370"/>
      <c r="H456" s="376"/>
      <c r="I456" s="377"/>
      <c r="J456" s="369"/>
    </row>
    <row r="457" spans="1:10" s="40" customFormat="1" ht="15.75" thickBot="1" x14ac:dyDescent="0.3">
      <c r="A457" s="41" t="s">
        <v>169</v>
      </c>
      <c r="B457" s="42" t="s">
        <v>11693</v>
      </c>
      <c r="C457" s="43"/>
      <c r="D457" s="43"/>
      <c r="E457" s="43"/>
      <c r="F457" s="43"/>
      <c r="G457" s="43"/>
      <c r="H457" s="43"/>
      <c r="I457" s="43"/>
      <c r="J457" s="44"/>
    </row>
    <row r="458" spans="1:10" s="40" customFormat="1" ht="15.75" thickBot="1" x14ac:dyDescent="0.3">
      <c r="A458" s="347"/>
      <c r="B458" s="205"/>
      <c r="C458" s="205"/>
      <c r="D458" s="348"/>
      <c r="E458" s="205"/>
      <c r="F458" s="237"/>
      <c r="G458" s="208"/>
      <c r="H458" s="208"/>
      <c r="I458" s="208"/>
      <c r="J458" s="349"/>
    </row>
    <row r="459" spans="1:10" s="40" customFormat="1" ht="15.75" thickBot="1" x14ac:dyDescent="0.3">
      <c r="A459" s="46" t="s">
        <v>170</v>
      </c>
      <c r="B459" s="60" t="str">
        <f>VLOOKUP(A459,PO!$A$8:$K$433,4,FALSE)</f>
        <v>Capina e limpeza manual de terreno</v>
      </c>
      <c r="C459" s="47"/>
      <c r="D459" s="48"/>
      <c r="E459" s="47"/>
      <c r="F459" s="49"/>
      <c r="G459" s="50"/>
      <c r="H459" s="50"/>
      <c r="I459" s="50">
        <f>SUM(H462:H464)</f>
        <v>160.27800000000002</v>
      </c>
      <c r="J459" s="284" t="str">
        <f>VLOOKUP(A459,PO!$A$8:$K$433,5,FALSE)</f>
        <v>m²</v>
      </c>
    </row>
    <row r="460" spans="1:10" s="40" customFormat="1" x14ac:dyDescent="0.25">
      <c r="A460" s="347"/>
      <c r="B460" s="205"/>
      <c r="C460" s="205"/>
      <c r="D460" s="348"/>
      <c r="E460" s="205"/>
      <c r="F460" s="237"/>
      <c r="G460" s="208"/>
      <c r="H460" s="208"/>
      <c r="I460" s="208"/>
      <c r="J460" s="349"/>
    </row>
    <row r="461" spans="1:10" x14ac:dyDescent="0.25">
      <c r="A461" s="350"/>
      <c r="B461" s="351" t="s">
        <v>21</v>
      </c>
      <c r="C461" s="351"/>
      <c r="D461" s="352"/>
      <c r="E461" s="360" t="s">
        <v>10921</v>
      </c>
      <c r="F461" s="360" t="s">
        <v>10933</v>
      </c>
      <c r="G461" s="351"/>
      <c r="H461" s="351" t="s">
        <v>14</v>
      </c>
      <c r="I461" s="243" t="s">
        <v>15</v>
      </c>
      <c r="J461" s="346"/>
    </row>
    <row r="462" spans="1:10" ht="28.5" customHeight="1" x14ac:dyDescent="0.25">
      <c r="A462" s="353"/>
      <c r="B462" s="430" t="s">
        <v>10979</v>
      </c>
      <c r="C462" s="354"/>
      <c r="D462" s="352"/>
      <c r="E462" s="222">
        <v>5</v>
      </c>
      <c r="F462" s="222">
        <v>14.21</v>
      </c>
      <c r="G462" s="355" t="s">
        <v>16</v>
      </c>
      <c r="H462" s="354">
        <f>E462*F462</f>
        <v>71.050000000000011</v>
      </c>
      <c r="I462" s="237" t="str">
        <f>$J$459</f>
        <v>m²</v>
      </c>
      <c r="J462" s="346"/>
    </row>
    <row r="463" spans="1:10" ht="30" x14ac:dyDescent="0.25">
      <c r="A463" s="350"/>
      <c r="B463" s="430" t="s">
        <v>11723</v>
      </c>
      <c r="C463" s="352"/>
      <c r="D463" s="352"/>
      <c r="E463" s="222">
        <v>3.2</v>
      </c>
      <c r="F463" s="222">
        <v>15.43</v>
      </c>
      <c r="G463" s="355" t="s">
        <v>16</v>
      </c>
      <c r="H463" s="354">
        <f>E463*F463</f>
        <v>49.376000000000005</v>
      </c>
      <c r="I463" s="237" t="str">
        <f>$J$459</f>
        <v>m²</v>
      </c>
      <c r="J463" s="369"/>
    </row>
    <row r="464" spans="1:10" x14ac:dyDescent="0.25">
      <c r="A464" s="350"/>
      <c r="B464" s="370" t="s">
        <v>10980</v>
      </c>
      <c r="C464" s="352"/>
      <c r="D464" s="352"/>
      <c r="E464" s="376">
        <v>1.2</v>
      </c>
      <c r="F464" s="370">
        <f>32.61+0.6</f>
        <v>33.21</v>
      </c>
      <c r="G464" s="355" t="s">
        <v>16</v>
      </c>
      <c r="H464" s="354">
        <f>E464*F464</f>
        <v>39.851999999999997</v>
      </c>
      <c r="I464" s="237" t="str">
        <f>$J$459</f>
        <v>m²</v>
      </c>
      <c r="J464" s="369"/>
    </row>
    <row r="465" spans="1:10" ht="15.75" thickBot="1" x14ac:dyDescent="0.3">
      <c r="A465" s="350"/>
      <c r="B465" s="352"/>
      <c r="C465" s="352"/>
      <c r="D465" s="370"/>
      <c r="E465" s="370"/>
      <c r="F465" s="370"/>
      <c r="G465" s="352"/>
      <c r="H465" s="354"/>
      <c r="I465" s="237"/>
      <c r="J465" s="369"/>
    </row>
    <row r="466" spans="1:10" s="218" customFormat="1" ht="54" customHeight="1" thickBot="1" x14ac:dyDescent="0.3">
      <c r="A466" s="229" t="s">
        <v>171</v>
      </c>
      <c r="B466" s="738" t="str">
        <f>VLOOKUP(A466,PO!$A$8:$K$433,4,FALSE)</f>
        <v>Escavação mecanizada de vala com prof. Até 1,5 m(média entre montante e jusante/uma composição por trecho), com escavadeira hidráulica (0,8 m3), larg. De 1,5m a 2,5 m, em solo de 1a categoria, locais com baixo nível de interferência. Af_01/2015</v>
      </c>
      <c r="C466" s="738"/>
      <c r="D466" s="738"/>
      <c r="E466" s="738"/>
      <c r="F466" s="738"/>
      <c r="G466" s="738"/>
      <c r="H466" s="738"/>
      <c r="I466" s="233">
        <f>SUM(H469:H480)</f>
        <v>61.759566000000007</v>
      </c>
      <c r="J466" s="646" t="str">
        <f>VLOOKUP(A466,PO!$A$8:$K$433,5,FALSE)</f>
        <v>m³</v>
      </c>
    </row>
    <row r="467" spans="1:10" x14ac:dyDescent="0.25">
      <c r="A467" s="347"/>
      <c r="B467" s="205"/>
      <c r="C467" s="205"/>
      <c r="D467" s="348"/>
      <c r="E467" s="205"/>
      <c r="F467" s="237"/>
      <c r="G467" s="208"/>
      <c r="H467" s="208"/>
      <c r="I467" s="208"/>
      <c r="J467" s="349"/>
    </row>
    <row r="468" spans="1:10" x14ac:dyDescent="0.25">
      <c r="A468" s="350"/>
      <c r="B468" s="431" t="s">
        <v>21</v>
      </c>
      <c r="C468" s="431" t="s">
        <v>10921</v>
      </c>
      <c r="D468" s="431" t="s">
        <v>10933</v>
      </c>
      <c r="E468" s="360" t="s">
        <v>10936</v>
      </c>
      <c r="F468" s="431" t="s">
        <v>10930</v>
      </c>
      <c r="G468" s="431"/>
      <c r="H468" s="431" t="s">
        <v>14</v>
      </c>
      <c r="I468" s="431" t="s">
        <v>15</v>
      </c>
      <c r="J468" s="346"/>
    </row>
    <row r="469" spans="1:10" x14ac:dyDescent="0.25">
      <c r="A469" s="350" t="s">
        <v>13860</v>
      </c>
      <c r="B469" s="431"/>
      <c r="C469" s="365">
        <f>D374</f>
        <v>0.97</v>
      </c>
      <c r="D469" s="365">
        <v>7.58</v>
      </c>
      <c r="E469" s="376">
        <f>C469*D469</f>
        <v>7.3525999999999998</v>
      </c>
      <c r="F469" s="365">
        <v>1.28</v>
      </c>
      <c r="G469" s="431" t="s">
        <v>16</v>
      </c>
      <c r="H469" s="432">
        <f>E469*F469</f>
        <v>9.4113279999999992</v>
      </c>
      <c r="I469" s="432" t="str">
        <f>$J$466</f>
        <v>m³</v>
      </c>
      <c r="J469" s="346"/>
    </row>
    <row r="470" spans="1:10" x14ac:dyDescent="0.25">
      <c r="A470" s="350" t="s">
        <v>13860</v>
      </c>
      <c r="B470" s="729" t="s">
        <v>13841</v>
      </c>
      <c r="C470" s="365">
        <f t="shared" ref="C470:C479" si="69">D375</f>
        <v>1.0900000000000001</v>
      </c>
      <c r="D470" s="432">
        <v>7.58</v>
      </c>
      <c r="E470" s="376">
        <f>C470*D470</f>
        <v>8.2622</v>
      </c>
      <c r="F470" s="432">
        <v>1.17</v>
      </c>
      <c r="G470" s="365" t="s">
        <v>16</v>
      </c>
      <c r="H470" s="432">
        <f t="shared" ref="H470:H479" si="70">E470*F470</f>
        <v>9.6667740000000002</v>
      </c>
      <c r="I470" s="432" t="str">
        <f t="shared" ref="I470:I479" si="71">$J$466</f>
        <v>m³</v>
      </c>
      <c r="J470" s="346"/>
    </row>
    <row r="471" spans="1:10" x14ac:dyDescent="0.25">
      <c r="A471" s="350" t="s">
        <v>13860</v>
      </c>
      <c r="B471" s="729"/>
      <c r="C471" s="365">
        <f t="shared" si="69"/>
        <v>1.1200000000000001</v>
      </c>
      <c r="D471" s="432">
        <v>7.58</v>
      </c>
      <c r="E471" s="376">
        <f t="shared" ref="E471:E479" si="72">C471*D471</f>
        <v>8.4896000000000011</v>
      </c>
      <c r="F471" s="432">
        <v>1.06</v>
      </c>
      <c r="G471" s="365" t="s">
        <v>16</v>
      </c>
      <c r="H471" s="432">
        <f t="shared" si="70"/>
        <v>8.9989760000000025</v>
      </c>
      <c r="I471" s="432" t="str">
        <f t="shared" si="71"/>
        <v>m³</v>
      </c>
      <c r="J471" s="369"/>
    </row>
    <row r="472" spans="1:10" x14ac:dyDescent="0.25">
      <c r="A472" s="350" t="s">
        <v>13860</v>
      </c>
      <c r="B472" s="729"/>
      <c r="C472" s="365">
        <f t="shared" si="69"/>
        <v>1.1499999999999999</v>
      </c>
      <c r="D472" s="432">
        <v>7.58</v>
      </c>
      <c r="E472" s="376">
        <f t="shared" si="72"/>
        <v>8.7169999999999987</v>
      </c>
      <c r="F472" s="432">
        <v>0.95</v>
      </c>
      <c r="G472" s="365" t="s">
        <v>16</v>
      </c>
      <c r="H472" s="432">
        <f t="shared" si="70"/>
        <v>8.2811499999999985</v>
      </c>
      <c r="I472" s="432" t="str">
        <f t="shared" si="71"/>
        <v>m³</v>
      </c>
      <c r="J472" s="369"/>
    </row>
    <row r="473" spans="1:10" x14ac:dyDescent="0.25">
      <c r="A473" s="350" t="s">
        <v>13860</v>
      </c>
      <c r="B473" s="729"/>
      <c r="C473" s="365">
        <f t="shared" si="69"/>
        <v>1.04</v>
      </c>
      <c r="D473" s="432">
        <v>7.58</v>
      </c>
      <c r="E473" s="376">
        <f t="shared" si="72"/>
        <v>7.8832000000000004</v>
      </c>
      <c r="F473" s="432">
        <v>0.79</v>
      </c>
      <c r="G473" s="365" t="s">
        <v>16</v>
      </c>
      <c r="H473" s="432">
        <f t="shared" si="70"/>
        <v>6.2277280000000008</v>
      </c>
      <c r="I473" s="432" t="str">
        <f t="shared" si="71"/>
        <v>m³</v>
      </c>
      <c r="J473" s="369"/>
    </row>
    <row r="474" spans="1:10" x14ac:dyDescent="0.25">
      <c r="A474" s="350" t="s">
        <v>13860</v>
      </c>
      <c r="B474" s="729"/>
      <c r="C474" s="365">
        <f t="shared" si="69"/>
        <v>1.1299999999999999</v>
      </c>
      <c r="D474" s="432">
        <v>7.58</v>
      </c>
      <c r="E474" s="376">
        <f t="shared" si="72"/>
        <v>8.5653999999999986</v>
      </c>
      <c r="F474" s="432">
        <v>0.67</v>
      </c>
      <c r="G474" s="365" t="s">
        <v>16</v>
      </c>
      <c r="H474" s="432">
        <f t="shared" si="70"/>
        <v>5.7388179999999993</v>
      </c>
      <c r="I474" s="432" t="str">
        <f t="shared" si="71"/>
        <v>m³</v>
      </c>
      <c r="J474" s="369"/>
    </row>
    <row r="475" spans="1:10" x14ac:dyDescent="0.25">
      <c r="A475" s="350" t="s">
        <v>13860</v>
      </c>
      <c r="B475" s="729"/>
      <c r="C475" s="365">
        <f t="shared" si="69"/>
        <v>1.1000000000000001</v>
      </c>
      <c r="D475" s="432">
        <v>7.58</v>
      </c>
      <c r="E475" s="376">
        <f t="shared" si="72"/>
        <v>8.338000000000001</v>
      </c>
      <c r="F475" s="432">
        <v>0.54</v>
      </c>
      <c r="G475" s="365" t="s">
        <v>16</v>
      </c>
      <c r="H475" s="432">
        <f t="shared" si="70"/>
        <v>4.5025200000000005</v>
      </c>
      <c r="I475" s="432" t="str">
        <f t="shared" si="71"/>
        <v>m³</v>
      </c>
      <c r="J475" s="369"/>
    </row>
    <row r="476" spans="1:10" x14ac:dyDescent="0.25">
      <c r="A476" s="350" t="s">
        <v>13860</v>
      </c>
      <c r="B476" s="729"/>
      <c r="C476" s="365">
        <f t="shared" si="69"/>
        <v>1.1399999999999999</v>
      </c>
      <c r="D476" s="432">
        <v>7.58</v>
      </c>
      <c r="E476" s="376">
        <f t="shared" si="72"/>
        <v>8.6411999999999995</v>
      </c>
      <c r="F476" s="432">
        <v>0.42</v>
      </c>
      <c r="G476" s="365" t="s">
        <v>16</v>
      </c>
      <c r="H476" s="432">
        <f t="shared" si="70"/>
        <v>3.6293039999999999</v>
      </c>
      <c r="I476" s="432" t="str">
        <f t="shared" si="71"/>
        <v>m³</v>
      </c>
      <c r="J476" s="369"/>
    </row>
    <row r="477" spans="1:10" x14ac:dyDescent="0.25">
      <c r="A477" s="350" t="s">
        <v>13860</v>
      </c>
      <c r="B477" s="729"/>
      <c r="C477" s="365">
        <f t="shared" si="69"/>
        <v>1.0900000000000001</v>
      </c>
      <c r="D477" s="432">
        <v>7.58</v>
      </c>
      <c r="E477" s="376">
        <f t="shared" si="72"/>
        <v>8.2622</v>
      </c>
      <c r="F477" s="432">
        <v>0.34</v>
      </c>
      <c r="G477" s="365" t="s">
        <v>16</v>
      </c>
      <c r="H477" s="432">
        <f t="shared" si="70"/>
        <v>2.809148</v>
      </c>
      <c r="I477" s="432" t="str">
        <f t="shared" si="71"/>
        <v>m³</v>
      </c>
      <c r="J477" s="369"/>
    </row>
    <row r="478" spans="1:10" x14ac:dyDescent="0.25">
      <c r="A478" s="350" t="s">
        <v>13860</v>
      </c>
      <c r="B478" s="729"/>
      <c r="C478" s="365">
        <f t="shared" si="69"/>
        <v>1.08</v>
      </c>
      <c r="D478" s="432">
        <v>7.58</v>
      </c>
      <c r="E478" s="376">
        <f t="shared" si="72"/>
        <v>8.1864000000000008</v>
      </c>
      <c r="F478" s="432">
        <v>0.2</v>
      </c>
      <c r="G478" s="365" t="s">
        <v>16</v>
      </c>
      <c r="H478" s="432">
        <f t="shared" si="70"/>
        <v>1.6372800000000003</v>
      </c>
      <c r="I478" s="432" t="str">
        <f t="shared" si="71"/>
        <v>m³</v>
      </c>
      <c r="J478" s="369"/>
    </row>
    <row r="479" spans="1:10" x14ac:dyDescent="0.25">
      <c r="A479" s="350" t="s">
        <v>13860</v>
      </c>
      <c r="B479" s="729"/>
      <c r="C479" s="365">
        <f t="shared" si="69"/>
        <v>1.1299999999999999</v>
      </c>
      <c r="D479" s="432">
        <v>7.58</v>
      </c>
      <c r="E479" s="376">
        <f t="shared" si="72"/>
        <v>8.5653999999999986</v>
      </c>
      <c r="F479" s="432">
        <v>0.1</v>
      </c>
      <c r="G479" s="365" t="s">
        <v>16</v>
      </c>
      <c r="H479" s="432">
        <f t="shared" si="70"/>
        <v>0.85653999999999986</v>
      </c>
      <c r="I479" s="432" t="str">
        <f t="shared" si="71"/>
        <v>m³</v>
      </c>
      <c r="J479" s="369"/>
    </row>
    <row r="480" spans="1:10" x14ac:dyDescent="0.25">
      <c r="A480" s="350"/>
      <c r="B480" s="729"/>
      <c r="C480" s="365"/>
      <c r="D480" s="432"/>
      <c r="E480" s="376"/>
      <c r="F480" s="432"/>
      <c r="G480" s="365"/>
      <c r="H480" s="432"/>
      <c r="I480" s="432"/>
      <c r="J480" s="369"/>
    </row>
    <row r="481" spans="1:21" ht="15.75" thickBot="1" x14ac:dyDescent="0.3">
      <c r="A481" s="350"/>
      <c r="B481" s="352"/>
      <c r="C481" s="352"/>
      <c r="D481" s="370"/>
      <c r="E481" s="370"/>
      <c r="F481" s="370"/>
      <c r="G481" s="352"/>
      <c r="H481" s="354"/>
      <c r="I481" s="237"/>
      <c r="J481" s="369"/>
    </row>
    <row r="482" spans="1:21" ht="15.75" thickBot="1" x14ac:dyDescent="0.3">
      <c r="A482" s="46" t="s">
        <v>172</v>
      </c>
      <c r="B482" s="60" t="str">
        <f>VLOOKUP(A482,PO!$A$8:$K$433,4,FALSE)</f>
        <v>Aterro manual de valas com solo argilo-arenoso e compactação mecanizada.</v>
      </c>
      <c r="C482" s="47"/>
      <c r="D482" s="48"/>
      <c r="E482" s="47"/>
      <c r="F482" s="49"/>
      <c r="G482" s="50"/>
      <c r="H482" s="50"/>
      <c r="I482" s="50">
        <f>SUM(H485:H490)</f>
        <v>38.518396199999991</v>
      </c>
      <c r="J482" s="284" t="str">
        <f>VLOOKUP(A482,PO!$A$8:$K$433,5,FALSE)</f>
        <v>m³</v>
      </c>
    </row>
    <row r="483" spans="1:21" x14ac:dyDescent="0.25">
      <c r="A483" s="347"/>
      <c r="B483" s="205"/>
      <c r="C483" s="205"/>
      <c r="D483" s="348"/>
      <c r="E483" s="205"/>
      <c r="F483" s="237"/>
      <c r="G483" s="208"/>
      <c r="H483" s="208"/>
      <c r="I483" s="208"/>
      <c r="J483" s="349"/>
    </row>
    <row r="484" spans="1:21" s="226" customFormat="1" x14ac:dyDescent="0.25">
      <c r="A484" s="380"/>
      <c r="B484" s="433" t="s">
        <v>21</v>
      </c>
      <c r="C484" s="434" t="s">
        <v>11163</v>
      </c>
      <c r="D484" s="433" t="s">
        <v>10930</v>
      </c>
      <c r="E484" s="433" t="s">
        <v>11136</v>
      </c>
      <c r="F484" s="433" t="s">
        <v>10936</v>
      </c>
      <c r="G484" s="433"/>
      <c r="H484" s="433" t="s">
        <v>14</v>
      </c>
      <c r="I484" s="433" t="s">
        <v>15</v>
      </c>
      <c r="J484" s="435"/>
    </row>
    <row r="485" spans="1:21" s="226" customFormat="1" ht="15" customHeight="1" x14ac:dyDescent="0.25">
      <c r="A485" s="380"/>
      <c r="B485" s="436" t="s">
        <v>10978</v>
      </c>
      <c r="C485" s="381"/>
      <c r="D485" s="437">
        <v>0.1</v>
      </c>
      <c r="E485" s="437">
        <v>1.2</v>
      </c>
      <c r="F485" s="437">
        <f>527.462-378.0478-F488-F489</f>
        <v>142.15419999999997</v>
      </c>
      <c r="G485" s="391" t="s">
        <v>16</v>
      </c>
      <c r="H485" s="437">
        <f>D485*E485*F485</f>
        <v>17.058503999999996</v>
      </c>
      <c r="I485" s="438" t="str">
        <f>$J$482</f>
        <v>m³</v>
      </c>
      <c r="J485" s="385"/>
    </row>
    <row r="486" spans="1:21" s="226" customFormat="1" x14ac:dyDescent="0.25">
      <c r="A486" s="380"/>
      <c r="B486" s="436" t="s">
        <v>11128</v>
      </c>
      <c r="C486" s="381"/>
      <c r="D486" s="437">
        <v>9.5000000000000001E-2</v>
      </c>
      <c r="E486" s="437">
        <v>1.2</v>
      </c>
      <c r="F486" s="437">
        <f>654.5593-527.462</f>
        <v>127.09730000000002</v>
      </c>
      <c r="G486" s="391" t="s">
        <v>16</v>
      </c>
      <c r="H486" s="437">
        <f t="shared" ref="H486:H489" si="73">D486*E486*F486</f>
        <v>14.4890922</v>
      </c>
      <c r="I486" s="438" t="str">
        <f t="shared" ref="I486:I489" si="74">$J$482</f>
        <v>m³</v>
      </c>
      <c r="J486" s="385"/>
    </row>
    <row r="487" spans="1:21" s="226" customFormat="1" x14ac:dyDescent="0.25">
      <c r="A487" s="380"/>
      <c r="B487" s="436" t="s">
        <v>11137</v>
      </c>
      <c r="C487" s="381"/>
      <c r="D487" s="391">
        <v>0.25</v>
      </c>
      <c r="E487" s="437">
        <v>1.2</v>
      </c>
      <c r="F487" s="437">
        <v>15.4</v>
      </c>
      <c r="G487" s="391" t="s">
        <v>16</v>
      </c>
      <c r="H487" s="437">
        <f t="shared" si="73"/>
        <v>4.62</v>
      </c>
      <c r="I487" s="438" t="str">
        <f t="shared" si="74"/>
        <v>m³</v>
      </c>
      <c r="J487" s="385"/>
    </row>
    <row r="488" spans="1:21" x14ac:dyDescent="0.25">
      <c r="A488" s="350"/>
      <c r="B488" s="439" t="s">
        <v>10999</v>
      </c>
      <c r="C488" s="439"/>
      <c r="D488" s="440">
        <v>0.25</v>
      </c>
      <c r="E488" s="437">
        <v>1.2</v>
      </c>
      <c r="F488" s="391">
        <v>3.15</v>
      </c>
      <c r="G488" s="391" t="s">
        <v>16</v>
      </c>
      <c r="H488" s="437">
        <f t="shared" si="73"/>
        <v>0.94499999999999995</v>
      </c>
      <c r="I488" s="438" t="str">
        <f t="shared" si="74"/>
        <v>m³</v>
      </c>
      <c r="J488" s="441"/>
    </row>
    <row r="489" spans="1:21" ht="15" customHeight="1" x14ac:dyDescent="0.25">
      <c r="A489" s="350"/>
      <c r="B489" s="439" t="s">
        <v>11138</v>
      </c>
      <c r="C489" s="439"/>
      <c r="D489" s="440">
        <v>0.25</v>
      </c>
      <c r="E489" s="437">
        <v>1.2</v>
      </c>
      <c r="F489" s="391">
        <v>4.1100000000000003</v>
      </c>
      <c r="G489" s="391" t="s">
        <v>16</v>
      </c>
      <c r="H489" s="437">
        <f t="shared" si="73"/>
        <v>1.2330000000000001</v>
      </c>
      <c r="I489" s="438" t="str">
        <f t="shared" si="74"/>
        <v>m³</v>
      </c>
      <c r="J489" s="441"/>
    </row>
    <row r="490" spans="1:21" s="213" customFormat="1" ht="30" x14ac:dyDescent="0.25">
      <c r="A490" s="408"/>
      <c r="B490" s="442" t="s">
        <v>11162</v>
      </c>
      <c r="C490" s="366">
        <v>3</v>
      </c>
      <c r="D490" s="392">
        <v>0.3</v>
      </c>
      <c r="E490" s="392">
        <v>1.2</v>
      </c>
      <c r="F490" s="205">
        <f>0.4*0.4</f>
        <v>0.16000000000000003</v>
      </c>
      <c r="G490" s="205" t="s">
        <v>16</v>
      </c>
      <c r="H490" s="392">
        <f>C490*D490*E490*F490</f>
        <v>0.17280000000000001</v>
      </c>
      <c r="I490" s="443" t="str">
        <f>J482</f>
        <v>m³</v>
      </c>
      <c r="J490" s="444"/>
    </row>
    <row r="491" spans="1:21" ht="15.75" thickBot="1" x14ac:dyDescent="0.3">
      <c r="A491" s="350"/>
      <c r="B491" s="445"/>
      <c r="C491" s="446"/>
      <c r="D491" s="447"/>
      <c r="E491" s="447"/>
      <c r="F491" s="447"/>
      <c r="G491" s="447"/>
      <c r="H491" s="448"/>
      <c r="I491" s="449"/>
      <c r="J491" s="441"/>
    </row>
    <row r="492" spans="1:21" s="40" customFormat="1" ht="15.75" thickBot="1" x14ac:dyDescent="0.3">
      <c r="A492" s="36" t="s">
        <v>82</v>
      </c>
      <c r="B492" s="37" t="str">
        <f>VLOOKUP(A492,PO!$A$8:$K$425,4,FALSE)</f>
        <v>CANTEIRO DE OBRAS</v>
      </c>
      <c r="C492" s="38"/>
      <c r="D492" s="37"/>
      <c r="E492" s="38"/>
      <c r="F492" s="38"/>
      <c r="G492" s="38"/>
      <c r="H492" s="38"/>
      <c r="I492" s="38"/>
      <c r="J492" s="39"/>
    </row>
    <row r="493" spans="1:21" ht="16.5" customHeight="1" thickBot="1" x14ac:dyDescent="0.3">
      <c r="A493" s="344"/>
      <c r="B493" s="345"/>
      <c r="C493" s="345"/>
      <c r="D493" s="345"/>
      <c r="E493" s="345"/>
      <c r="F493" s="345"/>
      <c r="G493" s="345"/>
      <c r="H493" s="345"/>
      <c r="I493" s="345"/>
      <c r="J493" s="346"/>
    </row>
    <row r="494" spans="1:21" s="40" customFormat="1" ht="15.75" thickBot="1" x14ac:dyDescent="0.3">
      <c r="A494" s="41" t="s">
        <v>113</v>
      </c>
      <c r="B494" s="42" t="str">
        <f>VLOOKUP(A494,PO!$A$8:$K$425,4,FALSE)</f>
        <v>CONSTRUÇÃO DE CANTEIRO E PLACA DE OBRA</v>
      </c>
      <c r="C494" s="43"/>
      <c r="D494" s="43"/>
      <c r="E494" s="43"/>
      <c r="F494" s="43"/>
      <c r="G494" s="43"/>
      <c r="H494" s="43"/>
      <c r="I494" s="43"/>
      <c r="J494" s="44"/>
    </row>
    <row r="495" spans="1:21" s="40" customFormat="1" ht="15.75" thickBot="1" x14ac:dyDescent="0.3">
      <c r="A495" s="347"/>
      <c r="B495" s="205"/>
      <c r="C495" s="205"/>
      <c r="D495" s="348"/>
      <c r="E495" s="205"/>
      <c r="F495" s="237"/>
      <c r="G495" s="208"/>
      <c r="H495" s="208"/>
      <c r="I495" s="208"/>
      <c r="J495" s="349"/>
      <c r="M495" s="234" t="s">
        <v>21</v>
      </c>
      <c r="N495" s="35"/>
      <c r="O495" s="35"/>
      <c r="P495" s="234" t="s">
        <v>10921</v>
      </c>
      <c r="Q495" s="234" t="s">
        <v>10933</v>
      </c>
      <c r="R495" s="234" t="s">
        <v>10936</v>
      </c>
      <c r="S495" s="175"/>
      <c r="T495" s="220" t="s">
        <v>14</v>
      </c>
      <c r="U495" s="220" t="s">
        <v>15</v>
      </c>
    </row>
    <row r="496" spans="1:21" s="40" customFormat="1" ht="15.75" thickBot="1" x14ac:dyDescent="0.3">
      <c r="A496" s="46" t="s">
        <v>114</v>
      </c>
      <c r="B496" s="60" t="str">
        <f>VLOOKUP(A496,PO!$A$8:$K$433,4,FALSE)</f>
        <v>Fechamento de construção temporária em chapa de madeira compensada e=1,0mm, com reaproveitamento de 2x.</v>
      </c>
      <c r="C496" s="47"/>
      <c r="D496" s="48"/>
      <c r="E496" s="47"/>
      <c r="F496" s="49"/>
      <c r="G496" s="50"/>
      <c r="H496" s="50"/>
      <c r="I496" s="50">
        <f>(D501+F501)*H501</f>
        <v>136</v>
      </c>
      <c r="J496" s="284" t="str">
        <f>VLOOKUP(A496,PO!$A$8:$K$433,5,FALSE)</f>
        <v>m</v>
      </c>
      <c r="M496" s="716" t="s">
        <v>10986</v>
      </c>
      <c r="N496" s="716"/>
      <c r="O496" s="716"/>
      <c r="P496" s="209"/>
      <c r="Q496" s="209"/>
      <c r="R496" s="175">
        <v>73.39</v>
      </c>
      <c r="S496" s="209" t="s">
        <v>16</v>
      </c>
      <c r="T496" s="202">
        <f>R496</f>
        <v>73.39</v>
      </c>
      <c r="U496" s="211" t="str">
        <f>$J$882</f>
        <v>m²</v>
      </c>
    </row>
    <row r="497" spans="1:21" x14ac:dyDescent="0.25">
      <c r="A497" s="350"/>
      <c r="B497" s="352"/>
      <c r="C497" s="352"/>
      <c r="D497" s="360"/>
      <c r="E497" s="360"/>
      <c r="F497" s="352"/>
      <c r="G497" s="352"/>
      <c r="H497" s="352"/>
      <c r="I497" s="352"/>
      <c r="J497" s="369"/>
      <c r="M497" s="716" t="s">
        <v>10987</v>
      </c>
      <c r="N497" s="716"/>
      <c r="O497" s="716"/>
      <c r="P497" s="209">
        <v>3.85</v>
      </c>
      <c r="Q497" s="209">
        <v>4</v>
      </c>
      <c r="R497" s="175">
        <f>P497*Q497</f>
        <v>15.4</v>
      </c>
      <c r="S497" s="209" t="s">
        <v>16</v>
      </c>
      <c r="T497" s="202">
        <f t="shared" ref="T497:T511" si="75">R497</f>
        <v>15.4</v>
      </c>
      <c r="U497" s="211" t="str">
        <f>$J$882</f>
        <v>m²</v>
      </c>
    </row>
    <row r="498" spans="1:21" x14ac:dyDescent="0.25">
      <c r="A498" s="350"/>
      <c r="B498" s="360" t="s">
        <v>21</v>
      </c>
      <c r="C498" s="352"/>
      <c r="D498" s="360" t="s">
        <v>10921</v>
      </c>
      <c r="F498" s="360" t="s">
        <v>10933</v>
      </c>
      <c r="G498" s="370"/>
      <c r="H498" s="431" t="s">
        <v>14</v>
      </c>
      <c r="I498" s="431" t="s">
        <v>15</v>
      </c>
      <c r="J498" s="369"/>
      <c r="M498" s="716" t="s">
        <v>10988</v>
      </c>
      <c r="N498" s="716"/>
      <c r="O498" s="716"/>
      <c r="P498" s="209">
        <v>12.11</v>
      </c>
      <c r="Q498" s="209">
        <v>13.84</v>
      </c>
      <c r="R498" s="175">
        <f t="shared" ref="R498:R511" si="76">P498*Q498</f>
        <v>167.60239999999999</v>
      </c>
      <c r="S498" s="209" t="s">
        <v>16</v>
      </c>
      <c r="T498" s="202">
        <f t="shared" si="75"/>
        <v>167.60239999999999</v>
      </c>
      <c r="U498" s="211" t="str">
        <f>$J$882</f>
        <v>m²</v>
      </c>
    </row>
    <row r="499" spans="1:21" x14ac:dyDescent="0.25">
      <c r="A499" s="350" t="s">
        <v>13860</v>
      </c>
      <c r="B499" s="352"/>
      <c r="C499" s="352"/>
      <c r="D499" s="475">
        <v>23</v>
      </c>
      <c r="E499" s="352"/>
      <c r="F499" s="475">
        <v>45</v>
      </c>
      <c r="G499" s="370"/>
      <c r="H499" s="370"/>
      <c r="I499" s="370"/>
      <c r="J499" s="369"/>
      <c r="M499" s="716"/>
      <c r="N499" s="716"/>
      <c r="O499" s="716"/>
      <c r="P499" s="209"/>
      <c r="Q499" s="209"/>
      <c r="R499" s="175"/>
      <c r="S499" s="209"/>
      <c r="T499" s="202"/>
      <c r="U499" s="211"/>
    </row>
    <row r="500" spans="1:21" x14ac:dyDescent="0.25">
      <c r="A500" s="642"/>
      <c r="B500" s="370"/>
      <c r="C500" s="352"/>
      <c r="D500" s="352"/>
      <c r="E500" s="376"/>
      <c r="F500" s="376"/>
      <c r="G500" s="370"/>
      <c r="H500" s="376"/>
      <c r="I500" s="377"/>
      <c r="J500" s="369"/>
      <c r="M500" s="585"/>
      <c r="N500" s="585"/>
      <c r="O500" s="585"/>
      <c r="P500" s="209"/>
      <c r="Q500" s="209"/>
      <c r="R500" s="175"/>
      <c r="S500" s="209"/>
      <c r="T500" s="202"/>
      <c r="U500" s="211"/>
    </row>
    <row r="501" spans="1:21" x14ac:dyDescent="0.25">
      <c r="A501" s="350"/>
      <c r="B501" s="584" t="s">
        <v>13830</v>
      </c>
      <c r="C501" s="584" t="s">
        <v>16</v>
      </c>
      <c r="D501" s="406">
        <f>D499</f>
        <v>23</v>
      </c>
      <c r="E501" s="406" t="s">
        <v>13831</v>
      </c>
      <c r="F501" s="406">
        <f>F499</f>
        <v>45</v>
      </c>
      <c r="G501" s="584" t="s">
        <v>13832</v>
      </c>
      <c r="H501" s="406">
        <v>2</v>
      </c>
      <c r="I501" s="377"/>
      <c r="J501" s="369"/>
      <c r="M501" s="585"/>
      <c r="N501" s="585"/>
      <c r="O501" s="585"/>
      <c r="P501" s="209"/>
      <c r="Q501" s="209"/>
      <c r="R501" s="175"/>
      <c r="S501" s="209"/>
      <c r="T501" s="202"/>
      <c r="U501" s="211"/>
    </row>
    <row r="502" spans="1:21" ht="15.75" thickBot="1" x14ac:dyDescent="0.3">
      <c r="A502" s="350"/>
      <c r="B502" s="352"/>
      <c r="C502" s="352"/>
      <c r="D502" s="352"/>
      <c r="E502" s="352"/>
      <c r="F502" s="352"/>
      <c r="G502" s="370"/>
      <c r="H502" s="370"/>
      <c r="I502" s="370"/>
      <c r="J502" s="369"/>
      <c r="M502" s="716" t="s">
        <v>10989</v>
      </c>
      <c r="N502" s="716"/>
      <c r="O502" s="716"/>
      <c r="P502" s="209">
        <v>5.1100000000000003</v>
      </c>
      <c r="Q502" s="209">
        <v>10.39</v>
      </c>
      <c r="R502" s="175">
        <f t="shared" si="76"/>
        <v>53.092900000000007</v>
      </c>
      <c r="S502" s="209" t="s">
        <v>16</v>
      </c>
      <c r="T502" s="202">
        <f t="shared" si="75"/>
        <v>53.092900000000007</v>
      </c>
      <c r="U502" s="211" t="str">
        <f t="shared" ref="U502:U511" si="77">$J$882</f>
        <v>m²</v>
      </c>
    </row>
    <row r="503" spans="1:21" ht="15.75" thickBot="1" x14ac:dyDescent="0.3">
      <c r="A503" s="46" t="s">
        <v>115</v>
      </c>
      <c r="B503" s="60" t="str">
        <f>VLOOKUP(A503,PO!$A$8:$K$433,4,FALSE)</f>
        <v>Aluguel de dois containers em chapa de aço para escritório e depósito (L=2,20, C=6,20m, H=2,50m).</v>
      </c>
      <c r="C503" s="47"/>
      <c r="D503" s="48"/>
      <c r="E503" s="47"/>
      <c r="F503" s="49"/>
      <c r="G503" s="50"/>
      <c r="H503" s="50"/>
      <c r="I503" s="50">
        <f>H506</f>
        <v>5</v>
      </c>
      <c r="J503" s="284" t="str">
        <f>VLOOKUP(A503,PO!$A$8:$K$433,5,FALSE)</f>
        <v>mês</v>
      </c>
      <c r="M503" s="716" t="s">
        <v>10990</v>
      </c>
      <c r="N503" s="716"/>
      <c r="O503" s="716"/>
      <c r="P503" s="209">
        <v>2.29</v>
      </c>
      <c r="Q503" s="209">
        <v>5.25</v>
      </c>
      <c r="R503" s="175">
        <f t="shared" si="76"/>
        <v>12.022500000000001</v>
      </c>
      <c r="S503" s="209" t="s">
        <v>16</v>
      </c>
      <c r="T503" s="202">
        <f t="shared" si="75"/>
        <v>12.022500000000001</v>
      </c>
      <c r="U503" s="211" t="str">
        <f t="shared" si="77"/>
        <v>m²</v>
      </c>
    </row>
    <row r="504" spans="1:21" x14ac:dyDescent="0.25">
      <c r="A504" s="350"/>
      <c r="B504" s="352"/>
      <c r="C504" s="352"/>
      <c r="D504" s="360"/>
      <c r="E504" s="360"/>
      <c r="F504" s="352"/>
      <c r="G504" s="352"/>
      <c r="H504" s="352"/>
      <c r="I504" s="352"/>
      <c r="J504" s="369"/>
      <c r="M504" s="716" t="s">
        <v>10991</v>
      </c>
      <c r="N504" s="716"/>
      <c r="O504" s="716"/>
      <c r="P504" s="209">
        <v>3.87</v>
      </c>
      <c r="Q504" s="209">
        <v>8.1</v>
      </c>
      <c r="R504" s="175">
        <f t="shared" si="76"/>
        <v>31.346999999999998</v>
      </c>
      <c r="S504" s="209" t="s">
        <v>16</v>
      </c>
      <c r="T504" s="202">
        <f t="shared" si="75"/>
        <v>31.346999999999998</v>
      </c>
      <c r="U504" s="211" t="str">
        <f t="shared" si="77"/>
        <v>m²</v>
      </c>
    </row>
    <row r="505" spans="1:21" x14ac:dyDescent="0.25">
      <c r="A505" s="350"/>
      <c r="B505" s="360" t="s">
        <v>21</v>
      </c>
      <c r="C505" s="352"/>
      <c r="D505" s="352"/>
      <c r="E505" s="360"/>
      <c r="F505" s="360" t="s">
        <v>10983</v>
      </c>
      <c r="G505" s="370"/>
      <c r="H505" s="431" t="s">
        <v>14</v>
      </c>
      <c r="I505" s="431" t="s">
        <v>15</v>
      </c>
      <c r="J505" s="369"/>
      <c r="M505" s="716" t="s">
        <v>10992</v>
      </c>
      <c r="N505" s="716"/>
      <c r="O505" s="716"/>
      <c r="P505" s="209">
        <v>1.18</v>
      </c>
      <c r="Q505" s="209">
        <v>14.19</v>
      </c>
      <c r="R505" s="175">
        <f t="shared" si="76"/>
        <v>16.744199999999999</v>
      </c>
      <c r="S505" s="209" t="s">
        <v>16</v>
      </c>
      <c r="T505" s="202">
        <f t="shared" si="75"/>
        <v>16.744199999999999</v>
      </c>
      <c r="U505" s="211" t="str">
        <f t="shared" si="77"/>
        <v>m²</v>
      </c>
    </row>
    <row r="506" spans="1:21" x14ac:dyDescent="0.25">
      <c r="A506" s="350"/>
      <c r="B506" s="370" t="s">
        <v>10978</v>
      </c>
      <c r="C506" s="352"/>
      <c r="D506" s="352"/>
      <c r="E506" s="376"/>
      <c r="F506" s="376">
        <f>$H$15</f>
        <v>5</v>
      </c>
      <c r="G506" s="370" t="s">
        <v>16</v>
      </c>
      <c r="H506" s="376">
        <f>F506</f>
        <v>5</v>
      </c>
      <c r="I506" s="377" t="str">
        <f>J503</f>
        <v>mês</v>
      </c>
      <c r="J506" s="369"/>
      <c r="M506" s="716" t="s">
        <v>10993</v>
      </c>
      <c r="N506" s="716"/>
      <c r="O506" s="716"/>
      <c r="P506" s="209">
        <v>4</v>
      </c>
      <c r="Q506" s="209">
        <v>4.95</v>
      </c>
      <c r="R506" s="175">
        <f t="shared" si="76"/>
        <v>19.8</v>
      </c>
      <c r="S506" s="209" t="s">
        <v>16</v>
      </c>
      <c r="T506" s="202">
        <f t="shared" si="75"/>
        <v>19.8</v>
      </c>
      <c r="U506" s="211" t="str">
        <f t="shared" si="77"/>
        <v>m²</v>
      </c>
    </row>
    <row r="507" spans="1:21" ht="15.75" thickBot="1" x14ac:dyDescent="0.3">
      <c r="A507" s="350"/>
      <c r="B507" s="352"/>
      <c r="C507" s="352"/>
      <c r="D507" s="352"/>
      <c r="E507" s="352"/>
      <c r="F507" s="352"/>
      <c r="G507" s="352"/>
      <c r="H507" s="352"/>
      <c r="I507" s="352"/>
      <c r="J507" s="369"/>
      <c r="M507" s="716" t="s">
        <v>10994</v>
      </c>
      <c r="N507" s="716"/>
      <c r="O507" s="716"/>
      <c r="P507" s="209">
        <v>4</v>
      </c>
      <c r="Q507" s="209">
        <v>4.95</v>
      </c>
      <c r="R507" s="175">
        <f t="shared" si="76"/>
        <v>19.8</v>
      </c>
      <c r="S507" s="209" t="s">
        <v>16</v>
      </c>
      <c r="T507" s="202">
        <f t="shared" si="75"/>
        <v>19.8</v>
      </c>
      <c r="U507" s="211" t="str">
        <f t="shared" si="77"/>
        <v>m²</v>
      </c>
    </row>
    <row r="508" spans="1:21" ht="15.75" thickBot="1" x14ac:dyDescent="0.3">
      <c r="A508" s="46" t="s">
        <v>116</v>
      </c>
      <c r="B508" s="60" t="str">
        <f>VLOOKUP(A508,PO!$A$8:$K$433,4,FALSE)</f>
        <v>Placa de Obra em Chapa de aço Galvanizado (2,40m x 1,20m).</v>
      </c>
      <c r="C508" s="47"/>
      <c r="D508" s="48"/>
      <c r="E508" s="47"/>
      <c r="F508" s="49"/>
      <c r="G508" s="50"/>
      <c r="H508" s="50"/>
      <c r="I508" s="50">
        <f>H511</f>
        <v>2.88</v>
      </c>
      <c r="J508" s="284" t="str">
        <f>VLOOKUP(A508,PO!$A$8:$K$433,5,FALSE)</f>
        <v>m²</v>
      </c>
      <c r="M508" s="716" t="s">
        <v>10995</v>
      </c>
      <c r="N508" s="716"/>
      <c r="O508" s="716"/>
      <c r="P508" s="209">
        <v>4</v>
      </c>
      <c r="Q508" s="209">
        <v>4.95</v>
      </c>
      <c r="R508" s="175">
        <f t="shared" si="76"/>
        <v>19.8</v>
      </c>
      <c r="S508" s="209" t="s">
        <v>16</v>
      </c>
      <c r="T508" s="202">
        <f t="shared" si="75"/>
        <v>19.8</v>
      </c>
      <c r="U508" s="211" t="str">
        <f t="shared" si="77"/>
        <v>m²</v>
      </c>
    </row>
    <row r="509" spans="1:21" x14ac:dyDescent="0.25">
      <c r="A509" s="350"/>
      <c r="B509" s="352"/>
      <c r="C509" s="352"/>
      <c r="D509" s="360"/>
      <c r="E509" s="360"/>
      <c r="F509" s="352"/>
      <c r="G509" s="352"/>
      <c r="H509" s="352"/>
      <c r="I509" s="352"/>
      <c r="J509" s="369"/>
      <c r="M509" s="716" t="s">
        <v>10996</v>
      </c>
      <c r="N509" s="716"/>
      <c r="O509" s="716"/>
      <c r="P509" s="209">
        <v>1.22</v>
      </c>
      <c r="Q509" s="209">
        <v>2.5</v>
      </c>
      <c r="R509" s="175">
        <f t="shared" si="76"/>
        <v>3.05</v>
      </c>
      <c r="S509" s="209" t="s">
        <v>16</v>
      </c>
      <c r="T509" s="202">
        <f t="shared" si="75"/>
        <v>3.05</v>
      </c>
      <c r="U509" s="211" t="str">
        <f t="shared" si="77"/>
        <v>m²</v>
      </c>
    </row>
    <row r="510" spans="1:21" x14ac:dyDescent="0.25">
      <c r="A510" s="350"/>
      <c r="B510" s="360" t="s">
        <v>21</v>
      </c>
      <c r="C510" s="352"/>
      <c r="D510" s="352"/>
      <c r="E510" s="360" t="s">
        <v>11057</v>
      </c>
      <c r="F510" s="360" t="s">
        <v>44</v>
      </c>
      <c r="G510" s="365"/>
      <c r="H510" s="431" t="s">
        <v>14</v>
      </c>
      <c r="I510" s="431" t="s">
        <v>15</v>
      </c>
      <c r="J510" s="369"/>
      <c r="M510" s="716" t="s">
        <v>10997</v>
      </c>
      <c r="N510" s="716"/>
      <c r="O510" s="716"/>
      <c r="P510" s="209">
        <v>1.86</v>
      </c>
      <c r="Q510" s="209">
        <v>2.8</v>
      </c>
      <c r="R510" s="175">
        <f t="shared" si="76"/>
        <v>5.2080000000000002</v>
      </c>
      <c r="S510" s="209" t="s">
        <v>16</v>
      </c>
      <c r="T510" s="202">
        <f t="shared" si="75"/>
        <v>5.2080000000000002</v>
      </c>
      <c r="U510" s="211" t="str">
        <f t="shared" si="77"/>
        <v>m²</v>
      </c>
    </row>
    <row r="511" spans="1:21" ht="15" customHeight="1" x14ac:dyDescent="0.25">
      <c r="A511" s="350"/>
      <c r="B511" s="370" t="s">
        <v>11058</v>
      </c>
      <c r="C511" s="352"/>
      <c r="D511" s="352"/>
      <c r="E511" s="376">
        <v>2.4</v>
      </c>
      <c r="F511" s="376">
        <v>1.2</v>
      </c>
      <c r="G511" s="355" t="s">
        <v>16</v>
      </c>
      <c r="H511" s="354">
        <f>E511*F511</f>
        <v>2.88</v>
      </c>
      <c r="I511" s="415" t="str">
        <f>$J$508</f>
        <v>m²</v>
      </c>
      <c r="J511" s="369"/>
      <c r="M511" s="716" t="s">
        <v>10998</v>
      </c>
      <c r="N511" s="716"/>
      <c r="O511" s="716"/>
      <c r="P511" s="209">
        <v>1.86</v>
      </c>
      <c r="Q511" s="209">
        <v>2.8</v>
      </c>
      <c r="R511" s="175">
        <f t="shared" si="76"/>
        <v>5.2080000000000002</v>
      </c>
      <c r="S511" s="209" t="s">
        <v>16</v>
      </c>
      <c r="T511" s="202">
        <f t="shared" si="75"/>
        <v>5.2080000000000002</v>
      </c>
      <c r="U511" s="211" t="str">
        <f t="shared" si="77"/>
        <v>m²</v>
      </c>
    </row>
    <row r="512" spans="1:21" s="34" customFormat="1" ht="15.75" thickBot="1" x14ac:dyDescent="0.3">
      <c r="A512" s="344"/>
      <c r="B512" s="450"/>
      <c r="C512" s="450"/>
      <c r="D512" s="450"/>
      <c r="E512" s="355"/>
      <c r="F512" s="355"/>
      <c r="G512" s="365"/>
      <c r="H512" s="355"/>
      <c r="I512" s="354"/>
      <c r="J512" s="451"/>
      <c r="P512" s="45"/>
      <c r="Q512" s="45"/>
      <c r="R512" s="45"/>
      <c r="S512" s="51"/>
      <c r="T512" s="51"/>
      <c r="U512" s="235"/>
    </row>
    <row r="513" spans="1:10" s="40" customFormat="1" ht="15.75" thickBot="1" x14ac:dyDescent="0.3">
      <c r="A513" s="36" t="s">
        <v>83</v>
      </c>
      <c r="B513" s="37" t="str">
        <f>VLOOKUP(A513,PO!$A$8:$K$425,4,FALSE)</f>
        <v>INFRAESTRUTURA</v>
      </c>
      <c r="C513" s="38"/>
      <c r="D513" s="37"/>
      <c r="E513" s="38"/>
      <c r="F513" s="38"/>
      <c r="G513" s="38"/>
      <c r="H513" s="38"/>
      <c r="I513" s="38"/>
      <c r="J513" s="39"/>
    </row>
    <row r="514" spans="1:10" ht="16.5" customHeight="1" thickBot="1" x14ac:dyDescent="0.3">
      <c r="A514" s="344"/>
      <c r="B514" s="345"/>
      <c r="C514" s="345"/>
      <c r="D514" s="345"/>
      <c r="E514" s="345"/>
      <c r="F514" s="345"/>
      <c r="G514" s="345"/>
      <c r="H514" s="345"/>
      <c r="I514" s="345"/>
      <c r="J514" s="346"/>
    </row>
    <row r="515" spans="1:10" s="40" customFormat="1" ht="15.75" thickBot="1" x14ac:dyDescent="0.3">
      <c r="A515" s="41" t="s">
        <v>117</v>
      </c>
      <c r="B515" s="42" t="str">
        <f>VLOOKUP(A515,PO!$A$8:$K$425,4,FALSE)</f>
        <v>MOVIMENTAÇÃO DE TERRAS</v>
      </c>
      <c r="C515" s="43"/>
      <c r="D515" s="43"/>
      <c r="E515" s="43"/>
      <c r="F515" s="43"/>
      <c r="G515" s="43"/>
      <c r="H515" s="43"/>
      <c r="I515" s="43"/>
      <c r="J515" s="44"/>
    </row>
    <row r="516" spans="1:10" s="40" customFormat="1" ht="15.75" thickBot="1" x14ac:dyDescent="0.3">
      <c r="A516" s="347"/>
      <c r="B516" s="205"/>
      <c r="C516" s="205"/>
      <c r="D516" s="348"/>
      <c r="E516" s="205"/>
      <c r="F516" s="237"/>
      <c r="G516" s="208"/>
      <c r="H516" s="208"/>
      <c r="I516" s="208"/>
      <c r="J516" s="349"/>
    </row>
    <row r="517" spans="1:10" s="40" customFormat="1" ht="15.75" thickBot="1" x14ac:dyDescent="0.3">
      <c r="A517" s="46" t="s">
        <v>118</v>
      </c>
      <c r="B517" s="60" t="str">
        <f>VLOOKUP(A517,PO!$A$8:$K$433,4,FALSE)</f>
        <v>Escavação manual de valas até 1,5m.</v>
      </c>
      <c r="C517" s="47"/>
      <c r="D517" s="48"/>
      <c r="E517" s="47"/>
      <c r="F517" s="49"/>
      <c r="G517" s="50"/>
      <c r="H517" s="50"/>
      <c r="I517" s="50">
        <f>SUM(H520:H521)</f>
        <v>25.450000000000003</v>
      </c>
      <c r="J517" s="284" t="str">
        <f>VLOOKUP(A517,PO!$A$8:$K$433,5,FALSE)</f>
        <v>m³</v>
      </c>
    </row>
    <row r="518" spans="1:10" x14ac:dyDescent="0.25">
      <c r="A518" s="350"/>
      <c r="B518" s="352"/>
      <c r="C518" s="352"/>
      <c r="D518" s="360"/>
      <c r="E518" s="360"/>
      <c r="F518" s="352"/>
      <c r="G518" s="352"/>
      <c r="H518" s="352"/>
      <c r="I518" s="352"/>
      <c r="J518" s="369"/>
    </row>
    <row r="519" spans="1:10" x14ac:dyDescent="0.25">
      <c r="A519" s="350"/>
      <c r="B519" s="360" t="s">
        <v>11097</v>
      </c>
      <c r="C519" s="360" t="s">
        <v>10921</v>
      </c>
      <c r="D519" s="360" t="s">
        <v>10930</v>
      </c>
      <c r="E519" s="360" t="s">
        <v>10933</v>
      </c>
      <c r="F519" s="360" t="s">
        <v>10927</v>
      </c>
      <c r="G519" s="352"/>
      <c r="H519" s="363" t="s">
        <v>14</v>
      </c>
      <c r="I519" s="363" t="s">
        <v>15</v>
      </c>
      <c r="J519" s="452"/>
    </row>
    <row r="520" spans="1:10" ht="15" customHeight="1" x14ac:dyDescent="0.25">
      <c r="A520" s="417"/>
      <c r="B520" s="453" t="s">
        <v>11707</v>
      </c>
      <c r="C520" s="453">
        <v>0.95</v>
      </c>
      <c r="D520" s="453">
        <v>1.5</v>
      </c>
      <c r="E520" s="222">
        <v>0.95</v>
      </c>
      <c r="F520" s="222">
        <v>18</v>
      </c>
      <c r="G520" s="427" t="s">
        <v>16</v>
      </c>
      <c r="H520" s="367">
        <f>ROUND(C520*D520*E520*F520,2)</f>
        <v>24.37</v>
      </c>
      <c r="I520" s="222" t="str">
        <f>$J$517</f>
        <v>m³</v>
      </c>
      <c r="J520" s="410"/>
    </row>
    <row r="521" spans="1:10" ht="15" customHeight="1" x14ac:dyDescent="0.25">
      <c r="A521" s="417"/>
      <c r="B521" s="453" t="s">
        <v>11708</v>
      </c>
      <c r="C521" s="453">
        <v>0.85</v>
      </c>
      <c r="D521" s="453">
        <v>1.5</v>
      </c>
      <c r="E521" s="222">
        <v>0.85</v>
      </c>
      <c r="F521" s="222">
        <v>1</v>
      </c>
      <c r="G521" s="427" t="s">
        <v>16</v>
      </c>
      <c r="H521" s="367">
        <f>ROUND(C521*D521*E521*F521,2)</f>
        <v>1.08</v>
      </c>
      <c r="I521" s="222" t="str">
        <f>$J$517</f>
        <v>m³</v>
      </c>
      <c r="J521" s="410"/>
    </row>
    <row r="522" spans="1:10" ht="15" customHeight="1" thickBot="1" x14ac:dyDescent="0.3">
      <c r="A522" s="417"/>
      <c r="B522" s="454"/>
      <c r="C522" s="453"/>
      <c r="D522" s="453"/>
      <c r="E522" s="222"/>
      <c r="F522" s="222"/>
      <c r="G522" s="427"/>
      <c r="H522" s="367"/>
      <c r="I522" s="222"/>
      <c r="J522" s="410"/>
    </row>
    <row r="523" spans="1:10" s="40" customFormat="1" ht="15.75" thickBot="1" x14ac:dyDescent="0.3">
      <c r="A523" s="46" t="s">
        <v>121</v>
      </c>
      <c r="B523" s="60" t="str">
        <f>VLOOKUP(A523,PO!$A$8:$K$433,4,FALSE)</f>
        <v>Regularização de fundo de vala com soquete</v>
      </c>
      <c r="C523" s="47"/>
      <c r="D523" s="48"/>
      <c r="E523" s="47"/>
      <c r="F523" s="49"/>
      <c r="G523" s="50"/>
      <c r="H523" s="50"/>
      <c r="I523" s="50">
        <f>SUM(H526:H527)</f>
        <v>16.97</v>
      </c>
      <c r="J523" s="284" t="str">
        <f>VLOOKUP(A523,PO!$A$8:$K$433,5,FALSE)</f>
        <v>m²</v>
      </c>
    </row>
    <row r="524" spans="1:10" x14ac:dyDescent="0.25">
      <c r="A524" s="350"/>
      <c r="B524" s="352"/>
      <c r="C524" s="352"/>
      <c r="D524" s="360"/>
      <c r="E524" s="360"/>
      <c r="F524" s="352"/>
      <c r="G524" s="352"/>
      <c r="H524" s="352"/>
      <c r="I524" s="352"/>
      <c r="J524" s="369"/>
    </row>
    <row r="525" spans="1:10" x14ac:dyDescent="0.25">
      <c r="A525" s="350"/>
      <c r="B525" s="360" t="s">
        <v>11097</v>
      </c>
      <c r="C525" s="352"/>
      <c r="D525" s="360" t="s">
        <v>10921</v>
      </c>
      <c r="E525" s="360" t="s">
        <v>10933</v>
      </c>
      <c r="F525" s="360" t="s">
        <v>10927</v>
      </c>
      <c r="G525" s="352"/>
      <c r="H525" s="363" t="s">
        <v>14</v>
      </c>
      <c r="I525" s="363" t="s">
        <v>15</v>
      </c>
      <c r="J525" s="452"/>
    </row>
    <row r="526" spans="1:10" ht="15" customHeight="1" x14ac:dyDescent="0.25">
      <c r="A526" s="417"/>
      <c r="B526" s="453" t="s">
        <v>11720</v>
      </c>
      <c r="C526" s="352"/>
      <c r="D526" s="453">
        <v>0.95</v>
      </c>
      <c r="E526" s="222">
        <v>0.95</v>
      </c>
      <c r="F526" s="222">
        <v>18</v>
      </c>
      <c r="G526" s="427" t="s">
        <v>16</v>
      </c>
      <c r="H526" s="367">
        <f>ROUND(D526*E526*F526,2)</f>
        <v>16.25</v>
      </c>
      <c r="I526" s="222" t="str">
        <f>$J$517</f>
        <v>m³</v>
      </c>
      <c r="J526" s="410"/>
    </row>
    <row r="527" spans="1:10" ht="15" customHeight="1" x14ac:dyDescent="0.25">
      <c r="A527" s="417"/>
      <c r="B527" s="453" t="s">
        <v>11721</v>
      </c>
      <c r="C527" s="352"/>
      <c r="D527" s="453">
        <v>0.85</v>
      </c>
      <c r="E527" s="222">
        <v>0.85</v>
      </c>
      <c r="F527" s="222">
        <v>1</v>
      </c>
      <c r="G527" s="427" t="s">
        <v>16</v>
      </c>
      <c r="H527" s="367">
        <f>ROUND(D527*E527*F527,2)</f>
        <v>0.72</v>
      </c>
      <c r="I527" s="222" t="str">
        <f>$J$517</f>
        <v>m³</v>
      </c>
      <c r="J527" s="410"/>
    </row>
    <row r="528" spans="1:10" ht="15" customHeight="1" thickBot="1" x14ac:dyDescent="0.3">
      <c r="A528" s="417"/>
      <c r="B528" s="454"/>
      <c r="C528" s="453"/>
      <c r="D528" s="453"/>
      <c r="E528" s="222"/>
      <c r="F528" s="222"/>
      <c r="G528" s="427"/>
      <c r="H528" s="367"/>
      <c r="I528" s="222"/>
      <c r="J528" s="410"/>
    </row>
    <row r="529" spans="1:10" s="40" customFormat="1" ht="15.75" thickBot="1" x14ac:dyDescent="0.3">
      <c r="A529" s="46" t="s">
        <v>122</v>
      </c>
      <c r="B529" s="60" t="str">
        <f>VLOOKUP(A529,PO!$A$8:$K$433,4,FALSE)</f>
        <v>Reaterro de valas com compactação manual.</v>
      </c>
      <c r="C529" s="47"/>
      <c r="D529" s="48"/>
      <c r="E529" s="47"/>
      <c r="F529" s="49"/>
      <c r="G529" s="50"/>
      <c r="H529" s="50"/>
      <c r="I529" s="50">
        <f>H537</f>
        <v>2.33</v>
      </c>
      <c r="J529" s="284" t="str">
        <f>VLOOKUP(A529,PO!$A$8:$K$433,5,FALSE)</f>
        <v>m³</v>
      </c>
    </row>
    <row r="530" spans="1:10" x14ac:dyDescent="0.25">
      <c r="A530" s="350"/>
      <c r="B530" s="352"/>
      <c r="C530" s="352"/>
      <c r="D530" s="360"/>
      <c r="E530" s="360"/>
      <c r="F530" s="352"/>
      <c r="G530" s="352"/>
      <c r="H530" s="352"/>
      <c r="I530" s="352"/>
      <c r="J530" s="369"/>
    </row>
    <row r="531" spans="1:10" x14ac:dyDescent="0.25">
      <c r="A531" s="350"/>
      <c r="B531" s="360" t="s">
        <v>11097</v>
      </c>
      <c r="C531" s="352"/>
      <c r="D531" s="360"/>
      <c r="E531" s="360"/>
      <c r="F531" s="360" t="s">
        <v>11118</v>
      </c>
      <c r="G531" s="352"/>
      <c r="H531" s="363" t="s">
        <v>14</v>
      </c>
      <c r="I531" s="363" t="s">
        <v>15</v>
      </c>
      <c r="J531" s="452"/>
    </row>
    <row r="532" spans="1:10" ht="15" customHeight="1" x14ac:dyDescent="0.25">
      <c r="A532" s="417"/>
      <c r="B532" s="428" t="s">
        <v>11719</v>
      </c>
      <c r="C532" s="352"/>
      <c r="D532" s="453"/>
      <c r="E532" s="222"/>
      <c r="F532" s="222">
        <f>I517</f>
        <v>25.450000000000003</v>
      </c>
      <c r="G532" s="427" t="s">
        <v>16</v>
      </c>
      <c r="H532" s="222">
        <f>F532</f>
        <v>25.450000000000003</v>
      </c>
      <c r="I532" s="222" t="str">
        <f>$J$517</f>
        <v>m³</v>
      </c>
      <c r="J532" s="410"/>
    </row>
    <row r="533" spans="1:10" ht="15" customHeight="1" x14ac:dyDescent="0.25">
      <c r="A533" s="417"/>
      <c r="B533" s="453"/>
      <c r="C533" s="352"/>
      <c r="D533" s="453"/>
      <c r="E533" s="222"/>
      <c r="F533" s="222"/>
      <c r="G533" s="427"/>
      <c r="H533" s="222"/>
      <c r="I533" s="222"/>
      <c r="J533" s="410"/>
    </row>
    <row r="534" spans="1:10" ht="15" customHeight="1" x14ac:dyDescent="0.25">
      <c r="A534" s="417"/>
      <c r="B534" s="352" t="s">
        <v>11710</v>
      </c>
      <c r="C534" s="453"/>
      <c r="D534" s="453"/>
      <c r="E534" s="222"/>
      <c r="F534" s="222">
        <f>I623</f>
        <v>7.9</v>
      </c>
      <c r="G534" s="427" t="s">
        <v>16</v>
      </c>
      <c r="H534" s="222">
        <f t="shared" ref="H534:H535" si="78">F534</f>
        <v>7.9</v>
      </c>
      <c r="I534" s="222"/>
      <c r="J534" s="410"/>
    </row>
    <row r="535" spans="1:10" ht="15" customHeight="1" x14ac:dyDescent="0.25">
      <c r="A535" s="417"/>
      <c r="B535" s="352" t="s">
        <v>11711</v>
      </c>
      <c r="C535" s="453"/>
      <c r="D535" s="453"/>
      <c r="E535" s="222"/>
      <c r="F535" s="222">
        <f>I631</f>
        <v>15.22</v>
      </c>
      <c r="G535" s="427" t="s">
        <v>16</v>
      </c>
      <c r="H535" s="222">
        <f t="shared" si="78"/>
        <v>15.22</v>
      </c>
      <c r="I535" s="222"/>
      <c r="J535" s="410"/>
    </row>
    <row r="536" spans="1:10" ht="15" customHeight="1" x14ac:dyDescent="0.25">
      <c r="A536" s="417"/>
      <c r="B536" s="454"/>
      <c r="C536" s="453"/>
      <c r="D536" s="453"/>
      <c r="E536" s="222"/>
      <c r="F536" s="222"/>
      <c r="G536" s="427"/>
      <c r="H536" s="367"/>
      <c r="I536" s="222"/>
      <c r="J536" s="410"/>
    </row>
    <row r="537" spans="1:10" ht="15" customHeight="1" x14ac:dyDescent="0.25">
      <c r="A537" s="417"/>
      <c r="B537" s="359" t="s">
        <v>11712</v>
      </c>
      <c r="C537" s="453"/>
      <c r="D537" s="453"/>
      <c r="E537" s="222"/>
      <c r="F537" s="222"/>
      <c r="G537" s="427" t="s">
        <v>16</v>
      </c>
      <c r="H537" s="210">
        <f>ROUND(H532-H534-H535,2)</f>
        <v>2.33</v>
      </c>
      <c r="I537" s="210"/>
      <c r="J537" s="410"/>
    </row>
    <row r="538" spans="1:10" ht="15" customHeight="1" thickBot="1" x14ac:dyDescent="0.3">
      <c r="A538" s="417"/>
      <c r="B538" s="454"/>
      <c r="C538" s="453"/>
      <c r="D538" s="453"/>
      <c r="E538" s="222"/>
      <c r="F538" s="222"/>
      <c r="G538" s="427"/>
      <c r="H538" s="367"/>
      <c r="I538" s="222"/>
      <c r="J538" s="410"/>
    </row>
    <row r="539" spans="1:10" s="40" customFormat="1" ht="15.75" thickBot="1" x14ac:dyDescent="0.3">
      <c r="A539" s="46" t="s">
        <v>123</v>
      </c>
      <c r="B539" s="60" t="str">
        <f>VLOOKUP(A539,PO!$A$8:$K$433,4,FALSE)</f>
        <v>Escavação manual de valas até 1,5m.</v>
      </c>
      <c r="C539" s="47"/>
      <c r="D539" s="48"/>
      <c r="E539" s="47"/>
      <c r="F539" s="49"/>
      <c r="G539" s="50"/>
      <c r="H539" s="50"/>
      <c r="I539" s="50">
        <f>H553</f>
        <v>10.429874999999999</v>
      </c>
      <c r="J539" s="284" t="str">
        <f>VLOOKUP(A539,PO!$A$8:$K$433,5,FALSE)</f>
        <v>m³</v>
      </c>
    </row>
    <row r="540" spans="1:10" x14ac:dyDescent="0.25">
      <c r="A540" s="350"/>
      <c r="B540" s="352"/>
      <c r="C540" s="352"/>
      <c r="D540" s="360"/>
      <c r="E540" s="360"/>
      <c r="F540" s="352"/>
      <c r="G540" s="352"/>
      <c r="H540" s="352"/>
      <c r="I540" s="352"/>
      <c r="J540" s="369"/>
    </row>
    <row r="541" spans="1:10" x14ac:dyDescent="0.25">
      <c r="A541" s="739" t="s">
        <v>11093</v>
      </c>
      <c r="B541" s="739"/>
      <c r="C541" s="352"/>
      <c r="D541" s="360"/>
      <c r="E541" s="360"/>
      <c r="F541" s="360"/>
      <c r="G541" s="352"/>
      <c r="H541" s="363"/>
      <c r="I541" s="363"/>
      <c r="J541" s="452"/>
    </row>
    <row r="542" spans="1:10" ht="15" customHeight="1" x14ac:dyDescent="0.25">
      <c r="A542" s="740" t="s">
        <v>11713</v>
      </c>
      <c r="B542" s="740"/>
      <c r="C542" s="352"/>
      <c r="D542" s="453"/>
      <c r="E542" s="453"/>
      <c r="F542" s="367"/>
      <c r="G542" s="427"/>
      <c r="H542" s="222"/>
      <c r="I542" s="222"/>
      <c r="J542" s="410"/>
    </row>
    <row r="543" spans="1:10" ht="15" customHeight="1" x14ac:dyDescent="0.25">
      <c r="A543" s="417"/>
      <c r="B543" s="453"/>
      <c r="C543" s="352"/>
      <c r="D543" s="453"/>
      <c r="E543" s="453"/>
      <c r="F543" s="367"/>
      <c r="G543" s="427"/>
      <c r="H543" s="222"/>
      <c r="I543" s="222"/>
      <c r="J543" s="410"/>
    </row>
    <row r="544" spans="1:10" ht="33.75" customHeight="1" x14ac:dyDescent="0.25">
      <c r="A544" s="234"/>
      <c r="B544" s="647" t="s">
        <v>10921</v>
      </c>
      <c r="C544" s="647" t="s">
        <v>10930</v>
      </c>
      <c r="D544" s="654" t="s">
        <v>10933</v>
      </c>
      <c r="E544" s="653" t="s">
        <v>13842</v>
      </c>
      <c r="F544" s="653" t="s">
        <v>13843</v>
      </c>
      <c r="H544" s="647" t="s">
        <v>14</v>
      </c>
      <c r="I544" s="647" t="s">
        <v>15</v>
      </c>
      <c r="J544" s="410"/>
    </row>
    <row r="545" spans="1:10" ht="15" customHeight="1" x14ac:dyDescent="0.25">
      <c r="A545" s="648" t="s">
        <v>13844</v>
      </c>
      <c r="B545" s="648">
        <v>0.25</v>
      </c>
      <c r="C545" s="648">
        <v>0.45</v>
      </c>
      <c r="D545" s="209">
        <v>5.35</v>
      </c>
      <c r="E545" s="202">
        <f>0.4+0.4</f>
        <v>0.8</v>
      </c>
      <c r="F545" s="199">
        <f>D545-E545</f>
        <v>4.55</v>
      </c>
      <c r="G545" s="649" t="s">
        <v>16</v>
      </c>
      <c r="H545" s="202">
        <f>F545*C545*B545</f>
        <v>0.51187499999999997</v>
      </c>
      <c r="I545" s="202" t="s">
        <v>41</v>
      </c>
      <c r="J545" s="410"/>
    </row>
    <row r="546" spans="1:10" ht="15" customHeight="1" x14ac:dyDescent="0.25">
      <c r="A546" s="648" t="s">
        <v>13845</v>
      </c>
      <c r="B546" s="648">
        <v>0.25</v>
      </c>
      <c r="C546" s="648">
        <v>0.45</v>
      </c>
      <c r="D546" s="209">
        <v>5.35</v>
      </c>
      <c r="E546" s="202">
        <f>0.4+0.4</f>
        <v>0.8</v>
      </c>
      <c r="F546" s="199">
        <f t="shared" ref="F546:F552" si="79">D546-E546</f>
        <v>4.55</v>
      </c>
      <c r="G546" s="649" t="s">
        <v>16</v>
      </c>
      <c r="H546" s="202">
        <f t="shared" ref="H546:H552" si="80">F546*C546*B546</f>
        <v>0.51187499999999997</v>
      </c>
      <c r="I546" s="202" t="s">
        <v>41</v>
      </c>
      <c r="J546" s="410"/>
    </row>
    <row r="547" spans="1:10" ht="15" customHeight="1" x14ac:dyDescent="0.25">
      <c r="A547" s="648" t="s">
        <v>13846</v>
      </c>
      <c r="B547" s="648">
        <v>0.25</v>
      </c>
      <c r="C547" s="648">
        <v>0.45</v>
      </c>
      <c r="D547" s="202">
        <v>5.7</v>
      </c>
      <c r="E547" s="202">
        <f>0.4+0.3</f>
        <v>0.7</v>
      </c>
      <c r="F547" s="199">
        <f t="shared" si="79"/>
        <v>5</v>
      </c>
      <c r="G547" s="649" t="s">
        <v>16</v>
      </c>
      <c r="H547" s="202">
        <f t="shared" si="80"/>
        <v>0.5625</v>
      </c>
      <c r="I547" s="202" t="s">
        <v>41</v>
      </c>
      <c r="J547" s="410"/>
    </row>
    <row r="548" spans="1:10" ht="15" customHeight="1" x14ac:dyDescent="0.25">
      <c r="A548" s="648" t="s">
        <v>13847</v>
      </c>
      <c r="B548" s="648">
        <v>0.25</v>
      </c>
      <c r="C548" s="648">
        <v>0.45</v>
      </c>
      <c r="D548" s="202">
        <f>5.38+3.7</f>
        <v>9.08</v>
      </c>
      <c r="E548" s="202">
        <f>0.4+0.4+0.4</f>
        <v>1.2000000000000002</v>
      </c>
      <c r="F548" s="199">
        <f t="shared" si="79"/>
        <v>7.88</v>
      </c>
      <c r="G548" s="649" t="s">
        <v>16</v>
      </c>
      <c r="H548" s="202">
        <f t="shared" si="80"/>
        <v>0.88649999999999995</v>
      </c>
      <c r="I548" s="202" t="s">
        <v>41</v>
      </c>
      <c r="J548" s="410"/>
    </row>
    <row r="549" spans="1:10" ht="15" customHeight="1" x14ac:dyDescent="0.25">
      <c r="A549" s="648" t="s">
        <v>13848</v>
      </c>
      <c r="B549" s="648">
        <v>0.25</v>
      </c>
      <c r="C549" s="648">
        <v>0.45</v>
      </c>
      <c r="D549" s="202">
        <f>5.582+5.432+5.432+5.454+5.56</f>
        <v>27.459999999999997</v>
      </c>
      <c r="E549" s="202">
        <f>0.4+0.4+0.4+0.4+0.4+0.4</f>
        <v>2.4</v>
      </c>
      <c r="F549" s="199">
        <f t="shared" si="79"/>
        <v>25.06</v>
      </c>
      <c r="G549" s="649" t="s">
        <v>16</v>
      </c>
      <c r="H549" s="202">
        <f t="shared" si="80"/>
        <v>2.8192499999999998</v>
      </c>
      <c r="I549" s="202" t="s">
        <v>41</v>
      </c>
      <c r="J549" s="410"/>
    </row>
    <row r="550" spans="1:10" ht="15" customHeight="1" x14ac:dyDescent="0.25">
      <c r="A550" s="648" t="s">
        <v>13849</v>
      </c>
      <c r="B550" s="648">
        <v>0.25</v>
      </c>
      <c r="C550" s="648">
        <v>0.45</v>
      </c>
      <c r="D550" s="202">
        <f>5.45+3.5+5.38</f>
        <v>14.329999999999998</v>
      </c>
      <c r="E550" s="202">
        <f>0.4+0.4+0.4+0.4</f>
        <v>1.6</v>
      </c>
      <c r="F550" s="199">
        <f t="shared" si="79"/>
        <v>12.729999999999999</v>
      </c>
      <c r="G550" s="649" t="s">
        <v>16</v>
      </c>
      <c r="H550" s="202">
        <f t="shared" si="80"/>
        <v>1.4321249999999999</v>
      </c>
      <c r="I550" s="202" t="s">
        <v>41</v>
      </c>
      <c r="J550" s="410"/>
    </row>
    <row r="551" spans="1:10" ht="15" customHeight="1" x14ac:dyDescent="0.25">
      <c r="A551" s="648" t="s">
        <v>13850</v>
      </c>
      <c r="B551" s="648">
        <v>0.25</v>
      </c>
      <c r="C551" s="648">
        <v>0.45</v>
      </c>
      <c r="D551" s="202">
        <f>5.38+3.7</f>
        <v>9.08</v>
      </c>
      <c r="E551" s="202">
        <f>0.4+0.4+0.4</f>
        <v>1.2000000000000002</v>
      </c>
      <c r="F551" s="199">
        <f t="shared" si="79"/>
        <v>7.88</v>
      </c>
      <c r="G551" s="649" t="s">
        <v>16</v>
      </c>
      <c r="H551" s="202">
        <f t="shared" si="80"/>
        <v>0.88649999999999995</v>
      </c>
      <c r="I551" s="202" t="s">
        <v>41</v>
      </c>
      <c r="J551" s="410"/>
    </row>
    <row r="552" spans="1:10" ht="15" customHeight="1" x14ac:dyDescent="0.25">
      <c r="A552" s="648" t="s">
        <v>13851</v>
      </c>
      <c r="B552" s="648">
        <v>0.25</v>
      </c>
      <c r="C552" s="648">
        <v>0.45</v>
      </c>
      <c r="D552" s="202">
        <f>5.56+5.454+5.432+5.432+5.582</f>
        <v>27.46</v>
      </c>
      <c r="E552" s="202">
        <f>0.4+0.4+0.4+0.4+0.4+0.4</f>
        <v>2.4</v>
      </c>
      <c r="F552" s="199">
        <f t="shared" si="79"/>
        <v>25.060000000000002</v>
      </c>
      <c r="G552" s="649" t="s">
        <v>16</v>
      </c>
      <c r="H552" s="202">
        <f t="shared" si="80"/>
        <v>2.8192500000000003</v>
      </c>
      <c r="I552" s="202" t="s">
        <v>41</v>
      </c>
      <c r="J552" s="410"/>
    </row>
    <row r="553" spans="1:10" ht="15" customHeight="1" x14ac:dyDescent="0.25">
      <c r="A553" s="648"/>
      <c r="B553" s="648"/>
      <c r="C553" s="650" t="s">
        <v>14</v>
      </c>
      <c r="D553" s="651">
        <f>SUM(D545:D552)</f>
        <v>103.81</v>
      </c>
      <c r="E553" s="651">
        <f>SUM(E545:E552)</f>
        <v>11.1</v>
      </c>
      <c r="F553" s="652">
        <f>SUM(F545:F552)</f>
        <v>92.71</v>
      </c>
      <c r="G553" s="651" t="s">
        <v>13852</v>
      </c>
      <c r="H553" s="651">
        <f>SUM(H545:H552)</f>
        <v>10.429874999999999</v>
      </c>
      <c r="I553" s="651" t="s">
        <v>41</v>
      </c>
      <c r="J553" s="410"/>
    </row>
    <row r="554" spans="1:10" ht="15" customHeight="1" thickBot="1" x14ac:dyDescent="0.3">
      <c r="A554" s="417"/>
      <c r="B554" s="453"/>
      <c r="C554" s="453"/>
      <c r="D554" s="453"/>
      <c r="E554" s="222"/>
      <c r="F554" s="222"/>
      <c r="G554" s="427"/>
      <c r="H554" s="367"/>
      <c r="I554" s="222"/>
      <c r="J554" s="410"/>
    </row>
    <row r="555" spans="1:10" s="40" customFormat="1" ht="15.75" thickBot="1" x14ac:dyDescent="0.3">
      <c r="A555" s="46" t="s">
        <v>124</v>
      </c>
      <c r="B555" s="60" t="str">
        <f>VLOOKUP(A555,PO!$A$8:$K$433,4,FALSE)</f>
        <v>Regularização de fundo de vala com soquete</v>
      </c>
      <c r="C555" s="47"/>
      <c r="D555" s="48"/>
      <c r="E555" s="47"/>
      <c r="F555" s="49"/>
      <c r="G555" s="50"/>
      <c r="H555" s="50"/>
      <c r="I555" s="50">
        <f>SUM(H558:H559)</f>
        <v>18.54</v>
      </c>
      <c r="J555" s="284" t="str">
        <f>VLOOKUP(A555,PO!$A$8:$K$433,5,FALSE)</f>
        <v>m²</v>
      </c>
    </row>
    <row r="556" spans="1:10" x14ac:dyDescent="0.25">
      <c r="A556" s="350"/>
      <c r="B556" s="352"/>
      <c r="C556" s="352"/>
      <c r="D556" s="360"/>
      <c r="E556" s="360"/>
      <c r="F556" s="352"/>
      <c r="G556" s="352"/>
      <c r="H556" s="352"/>
      <c r="I556" s="352"/>
      <c r="J556" s="369"/>
    </row>
    <row r="557" spans="1:10" x14ac:dyDescent="0.25">
      <c r="A557" s="350"/>
      <c r="B557" s="360" t="s">
        <v>11093</v>
      </c>
      <c r="C557" s="352"/>
      <c r="D557" s="360" t="s">
        <v>10921</v>
      </c>
      <c r="E557" s="360" t="s">
        <v>10933</v>
      </c>
      <c r="F557" s="360"/>
      <c r="G557" s="352"/>
      <c r="H557" s="363" t="s">
        <v>14</v>
      </c>
      <c r="I557" s="363" t="s">
        <v>15</v>
      </c>
      <c r="J557" s="452"/>
    </row>
    <row r="558" spans="1:10" ht="15" customHeight="1" x14ac:dyDescent="0.25">
      <c r="A558" s="417"/>
      <c r="B558" s="453" t="s">
        <v>11713</v>
      </c>
      <c r="C558" s="352"/>
      <c r="D558" s="453">
        <v>0.2</v>
      </c>
      <c r="E558" s="222">
        <f>F553</f>
        <v>92.71</v>
      </c>
      <c r="F558" s="222"/>
      <c r="G558" s="427" t="s">
        <v>16</v>
      </c>
      <c r="H558" s="367">
        <f>ROUND(D558*E558,2)</f>
        <v>18.54</v>
      </c>
      <c r="I558" s="222" t="str">
        <f>$J$555</f>
        <v>m²</v>
      </c>
      <c r="J558" s="410"/>
    </row>
    <row r="559" spans="1:10" ht="15" customHeight="1" thickBot="1" x14ac:dyDescent="0.3">
      <c r="A559" s="417"/>
      <c r="B559" s="454"/>
      <c r="C559" s="453"/>
      <c r="D559" s="453"/>
      <c r="E559" s="222"/>
      <c r="F559" s="222"/>
      <c r="G559" s="427"/>
      <c r="H559" s="367"/>
      <c r="I559" s="222"/>
      <c r="J559" s="410"/>
    </row>
    <row r="560" spans="1:10" s="40" customFormat="1" ht="15.75" thickBot="1" x14ac:dyDescent="0.3">
      <c r="A560" s="46" t="s">
        <v>125</v>
      </c>
      <c r="B560" s="60" t="str">
        <f>VLOOKUP(A560,PO!$A$8:$K$433,4,FALSE)</f>
        <v>Reaterro de valas com compactação manual.</v>
      </c>
      <c r="C560" s="47"/>
      <c r="D560" s="48"/>
      <c r="E560" s="47"/>
      <c r="F560" s="49"/>
      <c r="G560" s="50"/>
      <c r="H560" s="50"/>
      <c r="I560" s="50">
        <f>H567</f>
        <v>3.01</v>
      </c>
      <c r="J560" s="284" t="str">
        <f>VLOOKUP(A560,PO!$A$8:$K$433,5,FALSE)</f>
        <v>m³</v>
      </c>
    </row>
    <row r="561" spans="1:21" x14ac:dyDescent="0.25">
      <c r="A561" s="350"/>
      <c r="B561" s="352"/>
      <c r="C561" s="352"/>
      <c r="D561" s="360"/>
      <c r="E561" s="360"/>
      <c r="F561" s="352"/>
      <c r="G561" s="352"/>
      <c r="H561" s="352"/>
      <c r="I561" s="352"/>
      <c r="J561" s="369"/>
    </row>
    <row r="562" spans="1:21" x14ac:dyDescent="0.25">
      <c r="A562" s="350"/>
      <c r="B562" s="360" t="s">
        <v>10886</v>
      </c>
      <c r="C562" s="352"/>
      <c r="D562" s="360"/>
      <c r="E562" s="360"/>
      <c r="F562" s="360" t="s">
        <v>11118</v>
      </c>
      <c r="G562" s="352"/>
      <c r="H562" s="363" t="s">
        <v>14</v>
      </c>
      <c r="I562" s="363" t="s">
        <v>15</v>
      </c>
      <c r="J562" s="452"/>
    </row>
    <row r="563" spans="1:21" ht="15" customHeight="1" x14ac:dyDescent="0.25">
      <c r="A563" s="417"/>
      <c r="B563" s="453" t="s">
        <v>11709</v>
      </c>
      <c r="C563" s="352"/>
      <c r="D563" s="453"/>
      <c r="E563" s="222"/>
      <c r="F563" s="222">
        <f>I539</f>
        <v>10.429874999999999</v>
      </c>
      <c r="G563" s="427" t="s">
        <v>16</v>
      </c>
      <c r="H563" s="222">
        <f>F563</f>
        <v>10.429874999999999</v>
      </c>
      <c r="I563" s="222" t="str">
        <f>J560</f>
        <v>m³</v>
      </c>
      <c r="J563" s="410"/>
    </row>
    <row r="564" spans="1:21" ht="15" customHeight="1" x14ac:dyDescent="0.25">
      <c r="A564" s="417"/>
      <c r="B564" s="454"/>
      <c r="C564" s="453"/>
      <c r="D564" s="453"/>
      <c r="E564" s="222"/>
      <c r="F564" s="222"/>
      <c r="G564" s="427"/>
      <c r="H564" s="367"/>
      <c r="I564" s="222"/>
      <c r="J564" s="410"/>
    </row>
    <row r="565" spans="1:21" ht="15" customHeight="1" x14ac:dyDescent="0.25">
      <c r="A565" s="417"/>
      <c r="B565" s="454" t="s">
        <v>11714</v>
      </c>
      <c r="C565" s="453"/>
      <c r="D565" s="453"/>
      <c r="E565" s="222"/>
      <c r="F565" s="222">
        <f>I642</f>
        <v>7.42</v>
      </c>
      <c r="G565" s="427" t="s">
        <v>16</v>
      </c>
      <c r="H565" s="222">
        <f>F565</f>
        <v>7.42</v>
      </c>
      <c r="I565" s="222" t="str">
        <f>J560</f>
        <v>m³</v>
      </c>
      <c r="J565" s="410"/>
    </row>
    <row r="566" spans="1:21" ht="15" customHeight="1" x14ac:dyDescent="0.25">
      <c r="A566" s="417"/>
      <c r="B566" s="454"/>
      <c r="C566" s="453"/>
      <c r="D566" s="453"/>
      <c r="E566" s="222"/>
      <c r="F566" s="222"/>
      <c r="G566" s="427"/>
      <c r="H566" s="367"/>
      <c r="I566" s="222"/>
      <c r="J566" s="410"/>
    </row>
    <row r="567" spans="1:21" s="198" customFormat="1" ht="15" customHeight="1" x14ac:dyDescent="0.2">
      <c r="A567" s="358"/>
      <c r="B567" s="359" t="s">
        <v>11712</v>
      </c>
      <c r="C567" s="455"/>
      <c r="D567" s="455"/>
      <c r="E567" s="210"/>
      <c r="F567" s="210"/>
      <c r="G567" s="456" t="s">
        <v>16</v>
      </c>
      <c r="H567" s="210">
        <f>ROUND(H563-H565,2)</f>
        <v>3.01</v>
      </c>
      <c r="I567" s="210" t="str">
        <f>J560</f>
        <v>m³</v>
      </c>
      <c r="J567" s="457"/>
    </row>
    <row r="568" spans="1:21" ht="15" customHeight="1" thickBot="1" x14ac:dyDescent="0.3">
      <c r="A568" s="417"/>
      <c r="B568" s="454"/>
      <c r="C568" s="453"/>
      <c r="D568" s="453"/>
      <c r="E568" s="222"/>
      <c r="F568" s="222"/>
      <c r="G568" s="427"/>
      <c r="H568" s="367"/>
      <c r="I568" s="222"/>
      <c r="J568" s="410"/>
    </row>
    <row r="569" spans="1:21" s="40" customFormat="1" ht="15.75" thickBot="1" x14ac:dyDescent="0.3">
      <c r="A569" s="41" t="s">
        <v>11725</v>
      </c>
      <c r="B569" s="42" t="str">
        <f>VLOOKUP(A569,PO!$A$8:$K$425,4,FALSE)</f>
        <v>FORMAS E CIMBRAMENTO</v>
      </c>
      <c r="C569" s="43"/>
      <c r="D569" s="43"/>
      <c r="E569" s="43"/>
      <c r="F569" s="43"/>
      <c r="G569" s="43"/>
      <c r="H569" s="43"/>
      <c r="I569" s="43"/>
      <c r="J569" s="44"/>
    </row>
    <row r="570" spans="1:21" s="34" customFormat="1" ht="15.75" thickBot="1" x14ac:dyDescent="0.3">
      <c r="A570" s="344"/>
      <c r="B570" s="450"/>
      <c r="C570" s="450"/>
      <c r="D570" s="450"/>
      <c r="E570" s="355"/>
      <c r="F570" s="355"/>
      <c r="G570" s="365"/>
      <c r="H570" s="355"/>
      <c r="I570" s="354"/>
      <c r="J570" s="451"/>
      <c r="P570" s="45"/>
      <c r="Q570" s="45"/>
      <c r="R570" s="45"/>
      <c r="S570" s="51"/>
      <c r="T570" s="51"/>
      <c r="U570" s="235"/>
    </row>
    <row r="571" spans="1:21" s="40" customFormat="1" ht="15.75" thickBot="1" x14ac:dyDescent="0.3">
      <c r="A571" s="46" t="s">
        <v>11726</v>
      </c>
      <c r="B571" s="60" t="str">
        <f>VLOOKUP(A571,PO!$A$8:$K$433,4,FALSE)</f>
        <v>Fabricação, Montagem e Desmontagem de Forma Sapatas, em Madeira Serrada, E=25 MM, 4 Utilização.</v>
      </c>
      <c r="C571" s="47"/>
      <c r="D571" s="48"/>
      <c r="E571" s="47"/>
      <c r="F571" s="49"/>
      <c r="G571" s="50"/>
      <c r="H571" s="50"/>
      <c r="I571" s="50">
        <f>SUM(H574:H575)</f>
        <v>39.299999999999997</v>
      </c>
      <c r="J571" s="284" t="str">
        <f>VLOOKUP(A571,PO!$A$8:$K$433,5,FALSE)</f>
        <v>m²</v>
      </c>
    </row>
    <row r="572" spans="1:21" s="34" customFormat="1" x14ac:dyDescent="0.25">
      <c r="A572" s="344"/>
      <c r="B572" s="450"/>
      <c r="C572" s="450"/>
      <c r="D572" s="450"/>
      <c r="E572" s="355"/>
      <c r="F572" s="355"/>
      <c r="G572" s="365"/>
      <c r="H572" s="355"/>
      <c r="I572" s="354"/>
      <c r="J572" s="451"/>
      <c r="P572" s="45"/>
      <c r="Q572" s="45"/>
      <c r="R572" s="45"/>
      <c r="S572" s="51"/>
      <c r="T572" s="51"/>
      <c r="U572" s="235"/>
    </row>
    <row r="573" spans="1:21" s="34" customFormat="1" x14ac:dyDescent="0.25">
      <c r="A573" s="344"/>
      <c r="B573" s="360" t="s">
        <v>10886</v>
      </c>
      <c r="C573" s="352"/>
      <c r="D573" s="360" t="s">
        <v>11724</v>
      </c>
      <c r="E573" s="360" t="s">
        <v>10933</v>
      </c>
      <c r="F573" s="360" t="s">
        <v>10936</v>
      </c>
      <c r="G573" s="352"/>
      <c r="H573" s="363" t="s">
        <v>14</v>
      </c>
      <c r="I573" s="363" t="s">
        <v>15</v>
      </c>
      <c r="J573" s="451"/>
      <c r="P573" s="45"/>
      <c r="Q573" s="45"/>
      <c r="R573" s="45"/>
      <c r="S573" s="51"/>
      <c r="T573" s="51"/>
      <c r="U573" s="235"/>
    </row>
    <row r="574" spans="1:21" s="34" customFormat="1" x14ac:dyDescent="0.25">
      <c r="A574" s="344"/>
      <c r="B574" s="356" t="s">
        <v>11716</v>
      </c>
      <c r="C574" s="450"/>
      <c r="D574" s="458">
        <v>1.4</v>
      </c>
      <c r="E574" s="354">
        <v>27</v>
      </c>
      <c r="F574" s="355">
        <f>ROUND(D574*E574,2)</f>
        <v>37.799999999999997</v>
      </c>
      <c r="G574" s="365" t="s">
        <v>16</v>
      </c>
      <c r="H574" s="355">
        <f>F574</f>
        <v>37.799999999999997</v>
      </c>
      <c r="I574" s="354" t="str">
        <f>J571</f>
        <v>m²</v>
      </c>
      <c r="J574" s="451"/>
      <c r="P574" s="45"/>
      <c r="Q574" s="45"/>
      <c r="R574" s="45"/>
      <c r="S574" s="51"/>
      <c r="T574" s="51"/>
      <c r="U574" s="235"/>
    </row>
    <row r="575" spans="1:21" s="34" customFormat="1" x14ac:dyDescent="0.25">
      <c r="A575" s="344"/>
      <c r="B575" s="356" t="s">
        <v>11717</v>
      </c>
      <c r="C575" s="450"/>
      <c r="D575" s="458">
        <v>1</v>
      </c>
      <c r="E575" s="354">
        <v>1.5</v>
      </c>
      <c r="F575" s="355">
        <f>ROUND(D575*E575,2)</f>
        <v>1.5</v>
      </c>
      <c r="G575" s="365" t="s">
        <v>16</v>
      </c>
      <c r="H575" s="355">
        <f>F575</f>
        <v>1.5</v>
      </c>
      <c r="I575" s="354" t="str">
        <f>J571</f>
        <v>m²</v>
      </c>
      <c r="J575" s="451"/>
      <c r="P575" s="45"/>
      <c r="Q575" s="45"/>
      <c r="R575" s="45"/>
      <c r="S575" s="51"/>
      <c r="T575" s="51"/>
      <c r="U575" s="235"/>
    </row>
    <row r="576" spans="1:21" s="34" customFormat="1" x14ac:dyDescent="0.25">
      <c r="A576" s="344"/>
      <c r="B576" s="376" t="s">
        <v>11722</v>
      </c>
      <c r="C576" s="450"/>
      <c r="D576" s="458"/>
      <c r="E576" s="354"/>
      <c r="F576" s="355"/>
      <c r="G576" s="365"/>
      <c r="H576" s="355"/>
      <c r="I576" s="354"/>
      <c r="J576" s="451"/>
      <c r="P576" s="45"/>
      <c r="Q576" s="45"/>
      <c r="R576" s="45"/>
      <c r="S576" s="51"/>
      <c r="T576" s="51"/>
      <c r="U576" s="235"/>
    </row>
    <row r="577" spans="1:21" s="34" customFormat="1" ht="15.75" thickBot="1" x14ac:dyDescent="0.3">
      <c r="A577" s="344"/>
      <c r="B577" s="450"/>
      <c r="C577" s="450"/>
      <c r="D577" s="450"/>
      <c r="E577" s="355"/>
      <c r="F577" s="355"/>
      <c r="G577" s="365"/>
      <c r="H577" s="355"/>
      <c r="I577" s="354"/>
      <c r="J577" s="451"/>
      <c r="P577" s="45"/>
      <c r="Q577" s="45"/>
      <c r="R577" s="45"/>
      <c r="S577" s="51"/>
      <c r="T577" s="51"/>
      <c r="U577" s="235"/>
    </row>
    <row r="578" spans="1:21" s="40" customFormat="1" ht="15.75" thickBot="1" x14ac:dyDescent="0.3">
      <c r="A578" s="46" t="s">
        <v>11727</v>
      </c>
      <c r="B578" s="60" t="str">
        <f>VLOOKUP(A578,PO!$A$8:$K$433,4,FALSE)</f>
        <v>Fabricação, Montagem e Desmontagem de Forma Vigas Baldrame, em Madeira Serrada, E=25 MM, 4 Utilização.</v>
      </c>
      <c r="C578" s="47"/>
      <c r="D578" s="48"/>
      <c r="E578" s="47"/>
      <c r="F578" s="49"/>
      <c r="G578" s="50"/>
      <c r="H578" s="50"/>
      <c r="I578" s="50">
        <f>SUM(H581)</f>
        <v>120.79</v>
      </c>
      <c r="J578" s="284" t="str">
        <f>VLOOKUP(A578,PO!$A$8:$K$433,5,FALSE)</f>
        <v>m²</v>
      </c>
    </row>
    <row r="579" spans="1:21" s="34" customFormat="1" x14ac:dyDescent="0.25">
      <c r="A579" s="344"/>
      <c r="B579" s="450"/>
      <c r="C579" s="450"/>
      <c r="D579" s="450"/>
      <c r="E579" s="355"/>
      <c r="F579" s="355"/>
      <c r="G579" s="365"/>
      <c r="H579" s="355"/>
      <c r="I579" s="354"/>
      <c r="J579" s="451"/>
      <c r="P579" s="45"/>
      <c r="Q579" s="45"/>
      <c r="R579" s="45"/>
      <c r="S579" s="51"/>
      <c r="T579" s="51"/>
      <c r="U579" s="235"/>
    </row>
    <row r="580" spans="1:21" s="34" customFormat="1" x14ac:dyDescent="0.25">
      <c r="A580" s="344"/>
      <c r="B580" s="360" t="s">
        <v>10886</v>
      </c>
      <c r="C580" s="352"/>
      <c r="D580" s="360" t="s">
        <v>11724</v>
      </c>
      <c r="E580" s="360" t="s">
        <v>10933</v>
      </c>
      <c r="F580" s="360" t="s">
        <v>10936</v>
      </c>
      <c r="G580" s="352"/>
      <c r="H580" s="363" t="s">
        <v>14</v>
      </c>
      <c r="I580" s="363" t="s">
        <v>15</v>
      </c>
      <c r="J580" s="451"/>
      <c r="P580" s="45"/>
      <c r="Q580" s="45"/>
      <c r="R580" s="45"/>
      <c r="S580" s="51"/>
      <c r="T580" s="51"/>
      <c r="U580" s="235"/>
    </row>
    <row r="581" spans="1:21" s="34" customFormat="1" x14ac:dyDescent="0.25">
      <c r="A581" s="344"/>
      <c r="B581" s="365" t="s">
        <v>11718</v>
      </c>
      <c r="C581" s="450"/>
      <c r="D581" s="458">
        <v>1.2</v>
      </c>
      <c r="E581" s="354">
        <v>100.66</v>
      </c>
      <c r="F581" s="355">
        <f>ROUND(D581*E581,2)</f>
        <v>120.79</v>
      </c>
      <c r="G581" s="365" t="s">
        <v>16</v>
      </c>
      <c r="H581" s="355">
        <f>F581</f>
        <v>120.79</v>
      </c>
      <c r="I581" s="354" t="str">
        <f>J578</f>
        <v>m²</v>
      </c>
      <c r="J581" s="451"/>
      <c r="P581" s="45"/>
      <c r="Q581" s="45"/>
      <c r="R581" s="45"/>
      <c r="S581" s="51"/>
      <c r="T581" s="51"/>
      <c r="U581" s="235"/>
    </row>
    <row r="582" spans="1:21" s="34" customFormat="1" x14ac:dyDescent="0.25">
      <c r="A582" s="344"/>
      <c r="B582" s="376" t="s">
        <v>11722</v>
      </c>
      <c r="C582" s="450"/>
      <c r="D582" s="450"/>
      <c r="E582" s="355"/>
      <c r="F582" s="355"/>
      <c r="G582" s="365"/>
      <c r="H582" s="355"/>
      <c r="I582" s="354"/>
      <c r="J582" s="451"/>
      <c r="P582" s="45"/>
      <c r="Q582" s="45"/>
      <c r="R582" s="45"/>
      <c r="S582" s="51"/>
      <c r="T582" s="51"/>
      <c r="U582" s="235"/>
    </row>
    <row r="583" spans="1:21" s="34" customFormat="1" ht="15.75" thickBot="1" x14ac:dyDescent="0.3">
      <c r="A583" s="344"/>
      <c r="B583" s="450"/>
      <c r="C583" s="450"/>
      <c r="D583" s="450"/>
      <c r="E583" s="355"/>
      <c r="F583" s="355"/>
      <c r="G583" s="365"/>
      <c r="H583" s="355"/>
      <c r="I583" s="354"/>
      <c r="J583" s="451"/>
      <c r="P583" s="45"/>
      <c r="Q583" s="45"/>
      <c r="R583" s="45"/>
      <c r="S583" s="51"/>
      <c r="T583" s="51"/>
      <c r="U583" s="235"/>
    </row>
    <row r="584" spans="1:21" s="40" customFormat="1" ht="15.75" thickBot="1" x14ac:dyDescent="0.3">
      <c r="A584" s="41" t="s">
        <v>11728</v>
      </c>
      <c r="B584" s="42" t="str">
        <f>VLOOKUP(A584,PO!$A$8:$K$425,4,FALSE)</f>
        <v>ARMADURAS</v>
      </c>
      <c r="C584" s="43"/>
      <c r="D584" s="43"/>
      <c r="E584" s="43"/>
      <c r="F584" s="43"/>
      <c r="G584" s="43"/>
      <c r="H584" s="43"/>
      <c r="I584" s="43"/>
      <c r="J584" s="44"/>
    </row>
    <row r="585" spans="1:21" s="34" customFormat="1" ht="15.75" thickBot="1" x14ac:dyDescent="0.3">
      <c r="A585" s="344"/>
      <c r="B585" s="450"/>
      <c r="C585" s="450"/>
      <c r="D585" s="450"/>
      <c r="E585" s="355"/>
      <c r="F585" s="355"/>
      <c r="G585" s="365"/>
      <c r="H585" s="355"/>
      <c r="I585" s="354"/>
      <c r="J585" s="451"/>
      <c r="P585" s="45"/>
      <c r="Q585" s="45"/>
      <c r="R585" s="45"/>
      <c r="S585" s="51"/>
      <c r="T585" s="51"/>
      <c r="U585" s="235"/>
    </row>
    <row r="586" spans="1:21" s="40" customFormat="1" ht="15.75" thickBot="1" x14ac:dyDescent="0.3">
      <c r="A586" s="46" t="s">
        <v>11729</v>
      </c>
      <c r="B586" s="60" t="str">
        <f>VLOOKUP(A586,PO!$A$8:$K$433,4,FALSE)</f>
        <v>Armação de Estruturas de Concreto Armado, Vigas, Pilares, Lajes e Fundações Profundas, Utilizando Aço AÇO CA-50 de 6,3 mm - Montagem e fornecimento</v>
      </c>
      <c r="C586" s="47"/>
      <c r="D586" s="48"/>
      <c r="E586" s="47"/>
      <c r="F586" s="49"/>
      <c r="G586" s="50"/>
      <c r="H586" s="50"/>
      <c r="I586" s="50">
        <f>SUM(H590:H591)</f>
        <v>104.72999999999999</v>
      </c>
      <c r="J586" s="284" t="str">
        <f>VLOOKUP(A586,PO!$A$8:$K$433,5,FALSE)</f>
        <v>kg</v>
      </c>
    </row>
    <row r="587" spans="1:21" s="34" customFormat="1" x14ac:dyDescent="0.25">
      <c r="A587" s="344"/>
      <c r="B587" s="450"/>
      <c r="C587" s="450"/>
      <c r="D587" s="450"/>
      <c r="E587" s="355"/>
      <c r="F587" s="355"/>
      <c r="G587" s="365"/>
      <c r="H587" s="355"/>
      <c r="I587" s="354"/>
      <c r="J587" s="451"/>
      <c r="P587" s="45"/>
      <c r="Q587" s="45"/>
      <c r="R587" s="45"/>
      <c r="S587" s="51"/>
      <c r="T587" s="51"/>
      <c r="U587" s="235"/>
    </row>
    <row r="588" spans="1:21" s="34" customFormat="1" x14ac:dyDescent="0.25">
      <c r="A588" s="344"/>
      <c r="B588" s="360" t="s">
        <v>10886</v>
      </c>
      <c r="C588" s="360"/>
      <c r="D588" s="360" t="s">
        <v>11094</v>
      </c>
      <c r="E588" s="360"/>
      <c r="F588" s="360"/>
      <c r="G588" s="352"/>
      <c r="H588" s="363" t="s">
        <v>14</v>
      </c>
      <c r="I588" s="363" t="s">
        <v>15</v>
      </c>
      <c r="J588" s="451"/>
      <c r="P588" s="45"/>
      <c r="Q588" s="45"/>
      <c r="R588" s="45"/>
      <c r="S588" s="51"/>
      <c r="T588" s="51"/>
      <c r="U588" s="235"/>
    </row>
    <row r="589" spans="1:21" s="34" customFormat="1" x14ac:dyDescent="0.25">
      <c r="A589" s="344"/>
      <c r="B589" s="667"/>
      <c r="C589" s="667"/>
      <c r="D589" s="667"/>
      <c r="E589" s="667"/>
      <c r="F589" s="667"/>
      <c r="G589" s="352"/>
      <c r="H589" s="363"/>
      <c r="I589" s="363"/>
      <c r="J589" s="451"/>
      <c r="P589" s="45"/>
      <c r="Q589" s="45"/>
      <c r="R589" s="45"/>
      <c r="S589" s="51"/>
      <c r="T589" s="51"/>
      <c r="U589" s="235"/>
    </row>
    <row r="590" spans="1:21" s="34" customFormat="1" x14ac:dyDescent="0.25">
      <c r="A590" s="344"/>
      <c r="B590" s="370" t="s">
        <v>11095</v>
      </c>
      <c r="C590" s="450"/>
      <c r="D590" s="202">
        <f>18.6/1.1</f>
        <v>16.90909090909091</v>
      </c>
      <c r="E590" s="355"/>
      <c r="F590" s="355"/>
      <c r="G590" s="355" t="s">
        <v>16</v>
      </c>
      <c r="H590" s="222">
        <f>ROUND(D590,2)</f>
        <v>16.91</v>
      </c>
      <c r="I590" s="354" t="s">
        <v>11068</v>
      </c>
      <c r="J590" s="451"/>
      <c r="P590" s="45"/>
      <c r="Q590" s="45"/>
      <c r="R590" s="45"/>
      <c r="S590" s="51"/>
      <c r="T590" s="51"/>
      <c r="U590" s="235"/>
    </row>
    <row r="591" spans="1:21" s="34" customFormat="1" ht="51" customHeight="1" x14ac:dyDescent="0.25">
      <c r="A591" s="742" t="s">
        <v>13872</v>
      </c>
      <c r="B591" s="730"/>
      <c r="C591" s="730"/>
      <c r="D591" s="202">
        <f>96.6/1.1</f>
        <v>87.818181818181813</v>
      </c>
      <c r="E591" s="667"/>
      <c r="F591" s="667"/>
      <c r="G591" s="355" t="s">
        <v>16</v>
      </c>
      <c r="H591" s="367">
        <f>ROUND(D591,2)</f>
        <v>87.82</v>
      </c>
      <c r="I591" s="354" t="str">
        <f>J586</f>
        <v>kg</v>
      </c>
      <c r="J591" s="451"/>
      <c r="P591" s="45"/>
      <c r="Q591" s="45"/>
      <c r="R591" s="45"/>
      <c r="S591" s="51"/>
      <c r="T591" s="51"/>
      <c r="U591" s="235"/>
    </row>
    <row r="592" spans="1:21" s="34" customFormat="1" x14ac:dyDescent="0.25">
      <c r="A592" s="344"/>
      <c r="B592" s="461" t="s">
        <v>11733</v>
      </c>
      <c r="C592" s="450"/>
      <c r="D592" s="450"/>
      <c r="E592" s="355"/>
      <c r="F592" s="355"/>
      <c r="G592" s="365"/>
      <c r="H592" s="355"/>
      <c r="I592" s="354"/>
      <c r="J592" s="451"/>
      <c r="P592" s="45"/>
      <c r="Q592" s="45"/>
      <c r="R592" s="45"/>
      <c r="S592" s="51"/>
      <c r="T592" s="51"/>
      <c r="U592" s="235"/>
    </row>
    <row r="593" spans="1:21" s="34" customFormat="1" ht="15.75" thickBot="1" x14ac:dyDescent="0.3">
      <c r="A593" s="344"/>
      <c r="B593" s="461"/>
      <c r="C593" s="450"/>
      <c r="D593" s="450"/>
      <c r="E593" s="355"/>
      <c r="F593" s="355"/>
      <c r="G593" s="365"/>
      <c r="H593" s="355"/>
      <c r="I593" s="354"/>
      <c r="J593" s="451"/>
      <c r="P593" s="45"/>
      <c r="Q593" s="45"/>
      <c r="R593" s="45"/>
      <c r="S593" s="51"/>
      <c r="T593" s="51"/>
      <c r="U593" s="235"/>
    </row>
    <row r="594" spans="1:21" s="40" customFormat="1" ht="15.75" thickBot="1" x14ac:dyDescent="0.3">
      <c r="A594" s="46" t="s">
        <v>11730</v>
      </c>
      <c r="B594" s="60" t="str">
        <f>VLOOKUP(A594,PO!$A$8:$K$433,4,FALSE)</f>
        <v>Armação de Estruturas de Concreto Armado, Vigas, Pilares, Lajes e Fundações Profundas, Utilizando Aço AÇO CA-50 de 10,0 mm - Montagem e fornecimento</v>
      </c>
      <c r="C594" s="47"/>
      <c r="D594" s="48"/>
      <c r="E594" s="47"/>
      <c r="F594" s="49"/>
      <c r="G594" s="50"/>
      <c r="H594" s="50"/>
      <c r="I594" s="50">
        <f>SUM(H598:H598)</f>
        <v>119.18</v>
      </c>
      <c r="J594" s="284" t="str">
        <f>VLOOKUP(A594,PO!$A$8:$K$433,5,FALSE)</f>
        <v>kg</v>
      </c>
    </row>
    <row r="595" spans="1:21" s="34" customFormat="1" x14ac:dyDescent="0.25">
      <c r="A595" s="344"/>
      <c r="B595" s="450"/>
      <c r="C595" s="450"/>
      <c r="D595" s="450"/>
      <c r="E595" s="355"/>
      <c r="F595" s="355"/>
      <c r="G595" s="365"/>
      <c r="H595" s="355"/>
      <c r="I595" s="354"/>
      <c r="J595" s="451"/>
      <c r="P595" s="45"/>
      <c r="Q595" s="45"/>
      <c r="R595" s="45"/>
      <c r="S595" s="51"/>
      <c r="T595" s="51"/>
      <c r="U595" s="235"/>
    </row>
    <row r="596" spans="1:21" s="34" customFormat="1" x14ac:dyDescent="0.25">
      <c r="A596" s="344"/>
      <c r="B596" s="360" t="s">
        <v>10886</v>
      </c>
      <c r="C596" s="360"/>
      <c r="D596" s="360" t="s">
        <v>11094</v>
      </c>
      <c r="E596" s="360"/>
      <c r="F596" s="360"/>
      <c r="G596" s="352"/>
      <c r="H596" s="363" t="s">
        <v>14</v>
      </c>
      <c r="I596" s="363" t="s">
        <v>15</v>
      </c>
      <c r="J596" s="451"/>
      <c r="P596" s="45"/>
      <c r="Q596" s="45"/>
      <c r="R596" s="45"/>
      <c r="S596" s="51"/>
      <c r="T596" s="51"/>
      <c r="U596" s="235"/>
    </row>
    <row r="597" spans="1:21" s="34" customFormat="1" x14ac:dyDescent="0.25">
      <c r="A597" s="344"/>
      <c r="B597" s="667"/>
      <c r="C597" s="667"/>
      <c r="D597" s="667"/>
      <c r="E597" s="667"/>
      <c r="F597" s="667"/>
      <c r="G597" s="352"/>
      <c r="H597" s="363"/>
      <c r="I597" s="363"/>
      <c r="J597" s="451"/>
      <c r="P597" s="45"/>
      <c r="Q597" s="45"/>
      <c r="R597" s="45"/>
      <c r="S597" s="51"/>
      <c r="T597" s="51"/>
      <c r="U597" s="235"/>
    </row>
    <row r="598" spans="1:21" s="34" customFormat="1" x14ac:dyDescent="0.25">
      <c r="A598" s="344"/>
      <c r="B598" s="370" t="s">
        <v>11095</v>
      </c>
      <c r="C598" s="672"/>
      <c r="D598" s="202">
        <f>131.1/1.1</f>
        <v>119.18181818181817</v>
      </c>
      <c r="E598" s="355"/>
      <c r="F598" s="355"/>
      <c r="G598" s="355" t="s">
        <v>16</v>
      </c>
      <c r="H598" s="222">
        <f>ROUND(D598,2)</f>
        <v>119.18</v>
      </c>
      <c r="I598" s="354" t="s">
        <v>11068</v>
      </c>
      <c r="J598" s="451"/>
      <c r="P598" s="45"/>
      <c r="Q598" s="45"/>
      <c r="R598" s="45"/>
      <c r="S598" s="51"/>
      <c r="T598" s="51"/>
      <c r="U598" s="235"/>
    </row>
    <row r="599" spans="1:21" s="34" customFormat="1" x14ac:dyDescent="0.25">
      <c r="A599" s="344"/>
      <c r="B599" s="461" t="s">
        <v>11733</v>
      </c>
      <c r="C599" s="450"/>
      <c r="D599" s="450"/>
      <c r="E599" s="355"/>
      <c r="F599" s="355"/>
      <c r="G599" s="365"/>
      <c r="H599" s="355"/>
      <c r="I599" s="354"/>
      <c r="J599" s="451"/>
      <c r="P599" s="45"/>
      <c r="Q599" s="45"/>
      <c r="R599" s="45"/>
      <c r="S599" s="51"/>
      <c r="T599" s="51"/>
      <c r="U599" s="235"/>
    </row>
    <row r="600" spans="1:21" s="34" customFormat="1" ht="15.75" thickBot="1" x14ac:dyDescent="0.3">
      <c r="A600" s="344"/>
      <c r="B600" s="461"/>
      <c r="C600" s="450"/>
      <c r="D600" s="450"/>
      <c r="E600" s="355"/>
      <c r="F600" s="355"/>
      <c r="G600" s="365"/>
      <c r="H600" s="355"/>
      <c r="I600" s="354"/>
      <c r="J600" s="451"/>
      <c r="P600" s="45"/>
      <c r="Q600" s="45"/>
      <c r="R600" s="45"/>
      <c r="S600" s="51"/>
      <c r="T600" s="51"/>
      <c r="U600" s="235"/>
    </row>
    <row r="601" spans="1:21" s="40" customFormat="1" ht="15.75" thickBot="1" x14ac:dyDescent="0.3">
      <c r="A601" s="46" t="s">
        <v>11731</v>
      </c>
      <c r="B601" s="60" t="str">
        <f>VLOOKUP(A601,PO!$A$8:$K$433,4,FALSE)</f>
        <v>Armação de Estruturas de Concreto Armado, Vigas, Pilares, Lajes e Fundações Profundas, Utilizando Aço AÇO CA-50 de 12,5 mm - Montagem e fornecimento</v>
      </c>
      <c r="C601" s="47"/>
      <c r="D601" s="48"/>
      <c r="E601" s="47"/>
      <c r="F601" s="49"/>
      <c r="G601" s="50"/>
      <c r="H601" s="50"/>
      <c r="I601" s="50">
        <f>SUM(H605:H606)</f>
        <v>400.46</v>
      </c>
      <c r="J601" s="284" t="str">
        <f>VLOOKUP(A601,PO!$A$8:$K$433,5,FALSE)</f>
        <v>kg</v>
      </c>
    </row>
    <row r="602" spans="1:21" s="34" customFormat="1" x14ac:dyDescent="0.25">
      <c r="A602" s="344"/>
      <c r="B602" s="450"/>
      <c r="C602" s="450"/>
      <c r="D602" s="450"/>
      <c r="E602" s="355"/>
      <c r="F602" s="355"/>
      <c r="G602" s="365"/>
      <c r="H602" s="355"/>
      <c r="I602" s="354"/>
      <c r="J602" s="451"/>
      <c r="P602" s="45"/>
      <c r="Q602" s="45"/>
      <c r="R602" s="45"/>
      <c r="S602" s="51"/>
      <c r="T602" s="51"/>
      <c r="U602" s="235"/>
    </row>
    <row r="603" spans="1:21" s="34" customFormat="1" x14ac:dyDescent="0.25">
      <c r="A603" s="344"/>
      <c r="B603" s="360" t="s">
        <v>10886</v>
      </c>
      <c r="C603" s="360"/>
      <c r="D603" s="360" t="s">
        <v>11094</v>
      </c>
      <c r="E603" s="360"/>
      <c r="F603" s="360"/>
      <c r="G603" s="352"/>
      <c r="H603" s="363" t="s">
        <v>14</v>
      </c>
      <c r="I603" s="363" t="s">
        <v>15</v>
      </c>
      <c r="J603" s="451"/>
      <c r="P603" s="45"/>
      <c r="Q603" s="45"/>
      <c r="R603" s="45"/>
      <c r="S603" s="51"/>
      <c r="T603" s="51"/>
      <c r="U603" s="235"/>
    </row>
    <row r="604" spans="1:21" s="34" customFormat="1" x14ac:dyDescent="0.25">
      <c r="A604" s="344"/>
      <c r="B604" s="667"/>
      <c r="C604" s="667"/>
      <c r="D604" s="667"/>
      <c r="E604" s="667"/>
      <c r="F604" s="667"/>
      <c r="G604" s="352"/>
      <c r="H604" s="363"/>
      <c r="I604" s="363"/>
      <c r="J604" s="451"/>
      <c r="P604" s="45"/>
      <c r="Q604" s="45"/>
      <c r="R604" s="45"/>
      <c r="S604" s="51"/>
      <c r="T604" s="51"/>
      <c r="U604" s="235"/>
    </row>
    <row r="605" spans="1:21" s="34" customFormat="1" x14ac:dyDescent="0.25">
      <c r="A605" s="344"/>
      <c r="B605" s="370" t="s">
        <v>13873</v>
      </c>
      <c r="C605" s="672"/>
      <c r="D605" s="202">
        <f>119.5/1.1</f>
        <v>108.63636363636363</v>
      </c>
      <c r="E605" s="355"/>
      <c r="F605" s="355"/>
      <c r="G605" s="355" t="s">
        <v>16</v>
      </c>
      <c r="H605" s="222">
        <f>ROUND(D605,2)</f>
        <v>108.64</v>
      </c>
      <c r="I605" s="354" t="s">
        <v>11068</v>
      </c>
      <c r="J605" s="451"/>
      <c r="P605" s="45"/>
      <c r="Q605" s="45"/>
      <c r="R605" s="45"/>
      <c r="S605" s="51"/>
      <c r="T605" s="51"/>
      <c r="U605" s="235"/>
    </row>
    <row r="606" spans="1:21" s="34" customFormat="1" ht="47.45" customHeight="1" x14ac:dyDescent="0.25">
      <c r="A606" s="742" t="s">
        <v>13874</v>
      </c>
      <c r="B606" s="730"/>
      <c r="C606" s="730"/>
      <c r="D606" s="202">
        <f>321/1.1</f>
        <v>291.81818181818181</v>
      </c>
      <c r="E606" s="667"/>
      <c r="F606" s="667"/>
      <c r="G606" s="355" t="s">
        <v>16</v>
      </c>
      <c r="H606" s="367">
        <f>ROUND(D606,2)</f>
        <v>291.82</v>
      </c>
      <c r="I606" s="354" t="str">
        <f>J601</f>
        <v>kg</v>
      </c>
      <c r="J606" s="451"/>
      <c r="P606" s="45"/>
      <c r="Q606" s="45"/>
      <c r="R606" s="45"/>
      <c r="S606" s="51"/>
      <c r="T606" s="51"/>
      <c r="U606" s="235"/>
    </row>
    <row r="607" spans="1:21" s="34" customFormat="1" x14ac:dyDescent="0.25">
      <c r="A607" s="344"/>
      <c r="B607" s="461" t="s">
        <v>11733</v>
      </c>
      <c r="C607" s="450"/>
      <c r="D607" s="450"/>
      <c r="E607" s="355"/>
      <c r="F607" s="355"/>
      <c r="G607" s="365"/>
      <c r="H607" s="355"/>
      <c r="I607" s="354"/>
      <c r="J607" s="451"/>
      <c r="P607" s="45"/>
      <c r="Q607" s="45"/>
      <c r="R607" s="45"/>
      <c r="S607" s="51"/>
      <c r="T607" s="51"/>
      <c r="U607" s="235"/>
    </row>
    <row r="608" spans="1:21" s="34" customFormat="1" ht="15.75" thickBot="1" x14ac:dyDescent="0.3">
      <c r="A608" s="344"/>
      <c r="B608" s="461"/>
      <c r="C608" s="450"/>
      <c r="D608" s="450"/>
      <c r="E608" s="355"/>
      <c r="F608" s="355"/>
      <c r="G608" s="365"/>
      <c r="H608" s="355"/>
      <c r="I608" s="354"/>
      <c r="J608" s="451"/>
      <c r="P608" s="45"/>
      <c r="Q608" s="45"/>
      <c r="R608" s="45"/>
      <c r="S608" s="51"/>
      <c r="T608" s="51"/>
      <c r="U608" s="235"/>
    </row>
    <row r="609" spans="1:21" s="40" customFormat="1" ht="15.75" thickBot="1" x14ac:dyDescent="0.3">
      <c r="A609" s="46" t="s">
        <v>11732</v>
      </c>
      <c r="B609" s="60" t="str">
        <f>VLOOKUP(A609,PO!$A$8:$K$433,4,FALSE)</f>
        <v>Armação de Estruturas de Concreto Armado, Vigas, Pilares, Lajes e Fundações Profundas, Utilizando Aço AÇO CA-60 de 5,0 mm - Montagem e fornecimento</v>
      </c>
      <c r="C609" s="47"/>
      <c r="D609" s="48"/>
      <c r="E609" s="47"/>
      <c r="F609" s="49"/>
      <c r="G609" s="50"/>
      <c r="H609" s="50"/>
      <c r="I609" s="50">
        <f>SUM(H612)</f>
        <v>94.55</v>
      </c>
      <c r="J609" s="284" t="str">
        <f>VLOOKUP(A609,PO!$A$8:$K$433,5,FALSE)</f>
        <v>kg</v>
      </c>
    </row>
    <row r="610" spans="1:21" s="34" customFormat="1" x14ac:dyDescent="0.25">
      <c r="A610" s="344"/>
      <c r="B610" s="450"/>
      <c r="C610" s="450"/>
      <c r="D610" s="450"/>
      <c r="E610" s="355"/>
      <c r="F610" s="355"/>
      <c r="G610" s="365"/>
      <c r="H610" s="355"/>
      <c r="I610" s="354"/>
      <c r="J610" s="451"/>
      <c r="P610" s="45"/>
      <c r="Q610" s="45"/>
      <c r="R610" s="45"/>
      <c r="S610" s="51"/>
      <c r="T610" s="51"/>
      <c r="U610" s="235"/>
    </row>
    <row r="611" spans="1:21" s="34" customFormat="1" x14ac:dyDescent="0.25">
      <c r="A611" s="344"/>
      <c r="B611" s="360" t="s">
        <v>10886</v>
      </c>
      <c r="C611" s="360"/>
      <c r="D611" s="360" t="s">
        <v>11094</v>
      </c>
      <c r="E611" s="360"/>
      <c r="F611" s="360"/>
      <c r="G611" s="352"/>
      <c r="H611" s="363" t="s">
        <v>14</v>
      </c>
      <c r="I611" s="363" t="s">
        <v>15</v>
      </c>
      <c r="J611" s="451"/>
      <c r="P611" s="45"/>
      <c r="Q611" s="45"/>
      <c r="R611" s="45"/>
      <c r="S611" s="51"/>
      <c r="T611" s="51"/>
      <c r="U611" s="235"/>
    </row>
    <row r="612" spans="1:21" s="34" customFormat="1" x14ac:dyDescent="0.25">
      <c r="A612" s="344"/>
      <c r="B612" s="370" t="s">
        <v>11734</v>
      </c>
      <c r="C612" s="360"/>
      <c r="D612" s="199">
        <v>94.55</v>
      </c>
      <c r="E612" s="370"/>
      <c r="F612" s="370"/>
      <c r="G612" s="370" t="s">
        <v>16</v>
      </c>
      <c r="H612" s="222">
        <f>ROUND(D612,2)</f>
        <v>94.55</v>
      </c>
      <c r="I612" s="368" t="str">
        <f>J609</f>
        <v>kg</v>
      </c>
      <c r="J612" s="451"/>
      <c r="P612" s="45"/>
      <c r="Q612" s="45"/>
      <c r="R612" s="45"/>
      <c r="S612" s="51"/>
      <c r="T612" s="51"/>
      <c r="U612" s="235"/>
    </row>
    <row r="613" spans="1:21" s="34" customFormat="1" x14ac:dyDescent="0.25">
      <c r="A613" s="344"/>
      <c r="B613" s="461" t="s">
        <v>11735</v>
      </c>
      <c r="C613" s="360"/>
      <c r="D613" s="370"/>
      <c r="E613" s="370"/>
      <c r="F613" s="370"/>
      <c r="G613" s="352"/>
      <c r="H613" s="367"/>
      <c r="I613" s="367"/>
      <c r="J613" s="451"/>
      <c r="P613" s="45"/>
      <c r="Q613" s="45"/>
      <c r="R613" s="45"/>
      <c r="S613" s="51"/>
      <c r="T613" s="51"/>
      <c r="U613" s="235"/>
    </row>
    <row r="614" spans="1:21" s="34" customFormat="1" ht="15.75" thickBot="1" x14ac:dyDescent="0.3">
      <c r="A614" s="344"/>
      <c r="B614" s="450"/>
      <c r="C614" s="450"/>
      <c r="D614" s="450"/>
      <c r="E614" s="355"/>
      <c r="F614" s="355"/>
      <c r="G614" s="365"/>
      <c r="H614" s="355"/>
      <c r="I614" s="354"/>
      <c r="J614" s="451"/>
      <c r="P614" s="45"/>
      <c r="Q614" s="45"/>
      <c r="R614" s="45"/>
      <c r="S614" s="51"/>
      <c r="T614" s="51"/>
      <c r="U614" s="235"/>
    </row>
    <row r="615" spans="1:21" s="40" customFormat="1" ht="15.75" thickBot="1" x14ac:dyDescent="0.3">
      <c r="A615" s="46" t="s">
        <v>11763</v>
      </c>
      <c r="B615" s="60" t="str">
        <f>VLOOKUP(A615,PO!$A$8:$K$433,4,FALSE)</f>
        <v>Armação de Estruturas de Concreto Armado, Vigas, Pilares, Lajes e Fundações Profundas, Utilizando Aço AÇO CA-50 de 10,0 mm - Montagem e fornecimento</v>
      </c>
      <c r="C615" s="47"/>
      <c r="D615" s="48"/>
      <c r="E615" s="47"/>
      <c r="F615" s="49"/>
      <c r="G615" s="50"/>
      <c r="H615" s="50"/>
      <c r="I615" s="50">
        <f>SUM(H618:H619)</f>
        <v>292.73</v>
      </c>
      <c r="J615" s="284" t="str">
        <f>VLOOKUP(A615,PO!$A$8:$K$433,5,FALSE)</f>
        <v>kg</v>
      </c>
    </row>
    <row r="616" spans="1:21" s="34" customFormat="1" x14ac:dyDescent="0.25">
      <c r="A616" s="344"/>
      <c r="B616" s="450"/>
      <c r="C616" s="450"/>
      <c r="D616" s="450"/>
      <c r="E616" s="355"/>
      <c r="F616" s="355"/>
      <c r="G616" s="365"/>
      <c r="H616" s="355"/>
      <c r="I616" s="354"/>
      <c r="J616" s="451"/>
      <c r="P616" s="45"/>
      <c r="Q616" s="45"/>
      <c r="R616" s="45"/>
      <c r="S616" s="51"/>
      <c r="T616" s="51"/>
      <c r="U616" s="235"/>
    </row>
    <row r="617" spans="1:21" s="34" customFormat="1" x14ac:dyDescent="0.25">
      <c r="A617" s="344"/>
      <c r="B617" s="360" t="s">
        <v>10886</v>
      </c>
      <c r="C617" s="360"/>
      <c r="D617" s="360" t="s">
        <v>11094</v>
      </c>
      <c r="E617" s="360"/>
      <c r="F617" s="360"/>
      <c r="G617" s="352"/>
      <c r="H617" s="363" t="s">
        <v>14</v>
      </c>
      <c r="I617" s="363" t="s">
        <v>15</v>
      </c>
      <c r="J617" s="451"/>
      <c r="P617" s="45"/>
      <c r="Q617" s="45"/>
      <c r="R617" s="45"/>
      <c r="S617" s="51"/>
      <c r="T617" s="51"/>
      <c r="U617" s="235"/>
    </row>
    <row r="618" spans="1:21" s="34" customFormat="1" x14ac:dyDescent="0.25">
      <c r="A618" s="344"/>
      <c r="B618" s="370" t="s">
        <v>11734</v>
      </c>
      <c r="C618" s="360"/>
      <c r="D618" s="376">
        <f>322/1.1</f>
        <v>292.72727272727269</v>
      </c>
      <c r="E618" s="370"/>
      <c r="F618" s="370"/>
      <c r="G618" s="370" t="s">
        <v>16</v>
      </c>
      <c r="H618" s="222">
        <f>ROUND(D618,2)</f>
        <v>292.73</v>
      </c>
      <c r="I618" s="368" t="str">
        <f>J615</f>
        <v>kg</v>
      </c>
      <c r="J618" s="451"/>
      <c r="P618" s="45"/>
      <c r="Q618" s="45"/>
      <c r="R618" s="45"/>
      <c r="S618" s="51"/>
      <c r="T618" s="51"/>
      <c r="U618" s="235"/>
    </row>
    <row r="619" spans="1:21" s="34" customFormat="1" x14ac:dyDescent="0.25">
      <c r="A619" s="344"/>
      <c r="B619" s="461" t="s">
        <v>11735</v>
      </c>
      <c r="C619" s="360"/>
      <c r="D619" s="370"/>
      <c r="E619" s="370"/>
      <c r="F619" s="370"/>
      <c r="G619" s="352"/>
      <c r="H619" s="367"/>
      <c r="I619" s="367"/>
      <c r="J619" s="451"/>
      <c r="P619" s="45"/>
      <c r="Q619" s="45"/>
      <c r="R619" s="45"/>
      <c r="S619" s="51"/>
      <c r="T619" s="51"/>
      <c r="U619" s="235"/>
    </row>
    <row r="620" spans="1:21" s="34" customFormat="1" ht="15.75" thickBot="1" x14ac:dyDescent="0.3">
      <c r="A620" s="344"/>
      <c r="B620" s="461"/>
      <c r="C620" s="450"/>
      <c r="D620" s="450"/>
      <c r="E620" s="355"/>
      <c r="F620" s="355"/>
      <c r="G620" s="365"/>
      <c r="H620" s="355"/>
      <c r="I620" s="354"/>
      <c r="J620" s="451"/>
      <c r="P620" s="45"/>
      <c r="Q620" s="45"/>
      <c r="R620" s="45"/>
      <c r="S620" s="51"/>
      <c r="T620" s="51"/>
      <c r="U620" s="235"/>
    </row>
    <row r="621" spans="1:21" s="40" customFormat="1" ht="15.75" thickBot="1" x14ac:dyDescent="0.3">
      <c r="A621" s="41" t="s">
        <v>11736</v>
      </c>
      <c r="B621" s="42" t="str">
        <f>VLOOKUP(A621,PO!$A$8:$K$425,4,FALSE)</f>
        <v>CONCRETO</v>
      </c>
      <c r="C621" s="43"/>
      <c r="D621" s="43"/>
      <c r="E621" s="43"/>
      <c r="F621" s="43"/>
      <c r="G621" s="43"/>
      <c r="H621" s="43"/>
      <c r="I621" s="43"/>
      <c r="J621" s="44"/>
    </row>
    <row r="622" spans="1:21" s="34" customFormat="1" ht="15.75" thickBot="1" x14ac:dyDescent="0.3">
      <c r="A622" s="344"/>
      <c r="B622" s="450"/>
      <c r="C622" s="450"/>
      <c r="D622" s="450"/>
      <c r="E622" s="355"/>
      <c r="F622" s="355"/>
      <c r="G622" s="365"/>
      <c r="H622" s="355"/>
      <c r="I622" s="354"/>
      <c r="J622" s="451"/>
      <c r="P622" s="45"/>
      <c r="Q622" s="45"/>
      <c r="R622" s="45"/>
      <c r="S622" s="51"/>
      <c r="T622" s="51"/>
      <c r="U622" s="235"/>
    </row>
    <row r="623" spans="1:21" s="40" customFormat="1" ht="15.75" thickBot="1" x14ac:dyDescent="0.3">
      <c r="A623" s="46" t="s">
        <v>11737</v>
      </c>
      <c r="B623" s="60" t="str">
        <f>VLOOKUP(A623,PO!$A$8:$K$433,4,FALSE)</f>
        <v xml:space="preserve">Concreto Fck = 25 MPA, Traço 1:2,3:2,7, Preparo Mecânico com Betoneira 400 L </v>
      </c>
      <c r="C623" s="47"/>
      <c r="D623" s="48"/>
      <c r="E623" s="47"/>
      <c r="F623" s="49"/>
      <c r="G623" s="50"/>
      <c r="H623" s="50"/>
      <c r="I623" s="50">
        <f>SUM(H627:H628)</f>
        <v>7.9</v>
      </c>
      <c r="J623" s="284" t="str">
        <f>VLOOKUP(A623,PO!$A$8:$K$433,5,FALSE)</f>
        <v>m³</v>
      </c>
    </row>
    <row r="624" spans="1:21" s="34" customFormat="1" x14ac:dyDescent="0.25">
      <c r="A624" s="344"/>
      <c r="B624" s="450"/>
      <c r="C624" s="450"/>
      <c r="D624" s="450"/>
      <c r="E624" s="355"/>
      <c r="F624" s="355"/>
      <c r="G624" s="365"/>
      <c r="H624" s="355"/>
      <c r="I624" s="354"/>
      <c r="J624" s="451"/>
      <c r="P624" s="45"/>
      <c r="Q624" s="45"/>
      <c r="R624" s="45"/>
      <c r="S624" s="51"/>
      <c r="T624" s="51"/>
      <c r="U624" s="235"/>
    </row>
    <row r="625" spans="1:21" s="34" customFormat="1" x14ac:dyDescent="0.25">
      <c r="A625" s="344"/>
      <c r="B625" s="360" t="s">
        <v>10886</v>
      </c>
      <c r="C625" s="360"/>
      <c r="D625" s="345"/>
      <c r="E625" s="360" t="s">
        <v>11118</v>
      </c>
      <c r="F625" s="360"/>
      <c r="G625" s="352"/>
      <c r="H625" s="363" t="s">
        <v>14</v>
      </c>
      <c r="I625" s="363" t="s">
        <v>15</v>
      </c>
      <c r="J625" s="451"/>
      <c r="P625" s="45"/>
      <c r="Q625" s="45"/>
      <c r="R625" s="45"/>
      <c r="S625" s="51"/>
      <c r="T625" s="51"/>
      <c r="U625" s="235"/>
    </row>
    <row r="626" spans="1:21" s="34" customFormat="1" x14ac:dyDescent="0.25">
      <c r="A626" s="344"/>
      <c r="B626" s="370" t="s">
        <v>11095</v>
      </c>
      <c r="C626" s="450"/>
      <c r="D626" s="345"/>
      <c r="E626" s="450"/>
      <c r="F626" s="355"/>
      <c r="G626" s="365"/>
      <c r="H626" s="355"/>
      <c r="I626" s="354"/>
      <c r="J626" s="451"/>
      <c r="P626" s="45"/>
      <c r="Q626" s="45"/>
      <c r="R626" s="45"/>
      <c r="S626" s="51"/>
      <c r="T626" s="51"/>
      <c r="U626" s="235"/>
    </row>
    <row r="627" spans="1:21" s="34" customFormat="1" ht="42.6" customHeight="1" x14ac:dyDescent="0.25">
      <c r="A627" s="742" t="s">
        <v>11764</v>
      </c>
      <c r="B627" s="730"/>
      <c r="C627" s="730"/>
      <c r="D627" s="345"/>
      <c r="E627" s="367">
        <v>7.62</v>
      </c>
      <c r="F627" s="360"/>
      <c r="G627" s="355" t="s">
        <v>16</v>
      </c>
      <c r="H627" s="367">
        <f>ROUND(E627,2)</f>
        <v>7.62</v>
      </c>
      <c r="I627" s="354" t="str">
        <f>J623</f>
        <v>m³</v>
      </c>
      <c r="J627" s="451"/>
      <c r="P627" s="45"/>
      <c r="Q627" s="45"/>
      <c r="R627" s="45"/>
      <c r="S627" s="51"/>
      <c r="T627" s="51"/>
      <c r="U627" s="235"/>
    </row>
    <row r="628" spans="1:21" s="34" customFormat="1" ht="31.5" customHeight="1" x14ac:dyDescent="0.25">
      <c r="A628" s="459"/>
      <c r="B628" s="460" t="s">
        <v>11765</v>
      </c>
      <c r="C628" s="460"/>
      <c r="D628" s="345"/>
      <c r="E628" s="367">
        <v>0.28000000000000003</v>
      </c>
      <c r="F628" s="360"/>
      <c r="G628" s="355" t="s">
        <v>16</v>
      </c>
      <c r="H628" s="367">
        <f>ROUND(E628,2)</f>
        <v>0.28000000000000003</v>
      </c>
      <c r="I628" s="222" t="str">
        <f>I627</f>
        <v>m³</v>
      </c>
      <c r="J628" s="451"/>
      <c r="P628" s="45"/>
      <c r="Q628" s="45"/>
      <c r="R628" s="45"/>
      <c r="S628" s="51"/>
      <c r="T628" s="51"/>
      <c r="U628" s="235"/>
    </row>
    <row r="629" spans="1:21" s="34" customFormat="1" x14ac:dyDescent="0.25">
      <c r="A629" s="344"/>
      <c r="B629" s="461" t="s">
        <v>11733</v>
      </c>
      <c r="C629" s="450"/>
      <c r="D629" s="450"/>
      <c r="E629" s="355"/>
      <c r="F629" s="355"/>
      <c r="G629" s="365"/>
      <c r="H629" s="355"/>
      <c r="I629" s="354"/>
      <c r="J629" s="451"/>
      <c r="P629" s="45"/>
      <c r="Q629" s="45"/>
      <c r="R629" s="45"/>
      <c r="S629" s="51"/>
      <c r="T629" s="51"/>
      <c r="U629" s="235"/>
    </row>
    <row r="630" spans="1:21" s="34" customFormat="1" ht="15.75" thickBot="1" x14ac:dyDescent="0.3">
      <c r="A630" s="344"/>
      <c r="B630" s="450"/>
      <c r="C630" s="450"/>
      <c r="D630" s="450"/>
      <c r="E630" s="355"/>
      <c r="F630" s="355"/>
      <c r="G630" s="365"/>
      <c r="H630" s="355"/>
      <c r="I630" s="354"/>
      <c r="J630" s="451"/>
      <c r="P630" s="45"/>
      <c r="Q630" s="45"/>
      <c r="R630" s="45"/>
      <c r="S630" s="51"/>
      <c r="T630" s="51"/>
      <c r="U630" s="235"/>
    </row>
    <row r="631" spans="1:21" s="40" customFormat="1" ht="15.75" thickBot="1" x14ac:dyDescent="0.3">
      <c r="A631" s="46" t="s">
        <v>11738</v>
      </c>
      <c r="B631" s="60" t="str">
        <f>VLOOKUP(A631,PO!$A$8:$K$433,4,FALSE)</f>
        <v xml:space="preserve">Lastro de concreto magro, aplicado em blocos de coroamento ou sapatas, espessura de 5 cm. </v>
      </c>
      <c r="C631" s="47"/>
      <c r="D631" s="48"/>
      <c r="E631" s="47"/>
      <c r="F631" s="49"/>
      <c r="G631" s="50"/>
      <c r="H631" s="50"/>
      <c r="I631" s="50">
        <f>SUM(H634:H635)</f>
        <v>15.22</v>
      </c>
      <c r="J631" s="284" t="str">
        <f>VLOOKUP(A631,PO!$A$8:$K$433,5,FALSE)</f>
        <v>m²</v>
      </c>
    </row>
    <row r="632" spans="1:21" s="34" customFormat="1" x14ac:dyDescent="0.25">
      <c r="A632" s="344"/>
      <c r="B632" s="450"/>
      <c r="C632" s="450"/>
      <c r="D632" s="450"/>
      <c r="E632" s="355"/>
      <c r="F632" s="355"/>
      <c r="G632" s="365"/>
      <c r="H632" s="355"/>
      <c r="I632" s="354"/>
      <c r="J632" s="451"/>
      <c r="P632" s="45"/>
      <c r="Q632" s="45"/>
      <c r="R632" s="45"/>
      <c r="S632" s="51"/>
      <c r="T632" s="51"/>
      <c r="U632" s="235"/>
    </row>
    <row r="633" spans="1:21" x14ac:dyDescent="0.25">
      <c r="A633" s="350"/>
      <c r="B633" s="360" t="s">
        <v>11097</v>
      </c>
      <c r="C633" s="360" t="s">
        <v>10921</v>
      </c>
      <c r="D633" s="360" t="s">
        <v>10930</v>
      </c>
      <c r="E633" s="360"/>
      <c r="F633" s="360" t="s">
        <v>10927</v>
      </c>
      <c r="G633" s="352"/>
      <c r="H633" s="363" t="s">
        <v>14</v>
      </c>
      <c r="I633" s="363" t="s">
        <v>15</v>
      </c>
      <c r="J633" s="452"/>
    </row>
    <row r="634" spans="1:21" ht="15" customHeight="1" x14ac:dyDescent="0.25">
      <c r="A634" s="417"/>
      <c r="B634" s="453" t="s">
        <v>11707</v>
      </c>
      <c r="C634" s="453">
        <v>0.9</v>
      </c>
      <c r="D634" s="453">
        <v>0.9</v>
      </c>
      <c r="E634" s="222" t="s">
        <v>13832</v>
      </c>
      <c r="F634" s="222">
        <v>18</v>
      </c>
      <c r="G634" s="427" t="s">
        <v>16</v>
      </c>
      <c r="H634" s="209">
        <f>ROUND(C634*D634*F634,2)</f>
        <v>14.58</v>
      </c>
      <c r="I634" s="222" t="s">
        <v>164</v>
      </c>
      <c r="J634" s="410"/>
    </row>
    <row r="635" spans="1:21" ht="15" customHeight="1" x14ac:dyDescent="0.25">
      <c r="A635" s="417"/>
      <c r="B635" s="453" t="s">
        <v>11708</v>
      </c>
      <c r="C635" s="453">
        <v>0.8</v>
      </c>
      <c r="D635" s="453">
        <v>0.8</v>
      </c>
      <c r="E635" s="222" t="s">
        <v>13832</v>
      </c>
      <c r="F635" s="222">
        <v>1</v>
      </c>
      <c r="G635" s="427" t="s">
        <v>16</v>
      </c>
      <c r="H635" s="209">
        <f>ROUND(C635*D635*F635,2)</f>
        <v>0.64</v>
      </c>
      <c r="I635" s="222" t="s">
        <v>164</v>
      </c>
      <c r="J635" s="410"/>
    </row>
    <row r="636" spans="1:21" s="34" customFormat="1" ht="15.75" thickBot="1" x14ac:dyDescent="0.3">
      <c r="A636" s="344"/>
      <c r="B636" s="450"/>
      <c r="C636" s="450"/>
      <c r="D636" s="450"/>
      <c r="E636" s="355"/>
      <c r="F636" s="355"/>
      <c r="G636" s="365"/>
      <c r="H636" s="355"/>
      <c r="I636" s="354"/>
      <c r="J636" s="451"/>
      <c r="P636" s="45"/>
      <c r="Q636" s="45"/>
      <c r="R636" s="45"/>
      <c r="S636" s="51"/>
      <c r="T636" s="51"/>
      <c r="U636" s="235"/>
    </row>
    <row r="637" spans="1:21" s="40" customFormat="1" ht="15.75" thickBot="1" x14ac:dyDescent="0.3">
      <c r="A637" s="46" t="s">
        <v>11739</v>
      </c>
      <c r="B637" s="60" t="str">
        <f>VLOOKUP(A637,PO!$A$8:$K$433,4,FALSE)</f>
        <v>Lançamento com Uso de Baldes, Andesamento e Acabamento de Concreto em Estrturas</v>
      </c>
      <c r="C637" s="47"/>
      <c r="D637" s="48"/>
      <c r="E637" s="47"/>
      <c r="F637" s="49"/>
      <c r="G637" s="50"/>
      <c r="H637" s="50"/>
      <c r="I637" s="50">
        <f>SUM(H640:H640)</f>
        <v>7.9</v>
      </c>
      <c r="J637" s="284" t="str">
        <f>VLOOKUP(A637,PO!$A$8:$K$433,5,FALSE)</f>
        <v>m³</v>
      </c>
    </row>
    <row r="638" spans="1:21" s="34" customFormat="1" x14ac:dyDescent="0.25">
      <c r="A638" s="344"/>
      <c r="B638" s="450"/>
      <c r="C638" s="450"/>
      <c r="D638" s="450"/>
      <c r="E638" s="355"/>
      <c r="F638" s="355"/>
      <c r="G638" s="365"/>
      <c r="H638" s="355"/>
      <c r="I638" s="354"/>
      <c r="J638" s="451"/>
      <c r="P638" s="45"/>
      <c r="Q638" s="45"/>
      <c r="R638" s="45"/>
      <c r="S638" s="51"/>
      <c r="T638" s="51"/>
      <c r="U638" s="235"/>
    </row>
    <row r="639" spans="1:21" s="34" customFormat="1" x14ac:dyDescent="0.25">
      <c r="A639" s="344"/>
      <c r="B639" s="360" t="s">
        <v>10886</v>
      </c>
      <c r="C639" s="352"/>
      <c r="D639" s="360" t="s">
        <v>11118</v>
      </c>
      <c r="E639" s="360"/>
      <c r="F639" s="360"/>
      <c r="G639" s="352"/>
      <c r="H639" s="363" t="s">
        <v>14</v>
      </c>
      <c r="I639" s="363" t="s">
        <v>15</v>
      </c>
      <c r="J639" s="451"/>
      <c r="P639" s="45"/>
      <c r="Q639" s="45"/>
      <c r="R639" s="45"/>
      <c r="S639" s="51"/>
      <c r="T639" s="51"/>
      <c r="U639" s="235"/>
    </row>
    <row r="640" spans="1:21" s="34" customFormat="1" x14ac:dyDescent="0.25">
      <c r="A640" s="344"/>
      <c r="B640" s="428" t="s">
        <v>11095</v>
      </c>
      <c r="C640" s="428"/>
      <c r="D640" s="376">
        <f>I623</f>
        <v>7.9</v>
      </c>
      <c r="E640" s="352"/>
      <c r="F640" s="376"/>
      <c r="G640" s="370" t="s">
        <v>16</v>
      </c>
      <c r="H640" s="376">
        <f>D640</f>
        <v>7.9</v>
      </c>
      <c r="I640" s="377" t="str">
        <f>J637</f>
        <v>m³</v>
      </c>
      <c r="J640" s="451"/>
      <c r="P640" s="45"/>
      <c r="Q640" s="45"/>
      <c r="R640" s="45"/>
      <c r="S640" s="51"/>
      <c r="T640" s="51"/>
      <c r="U640" s="235"/>
    </row>
    <row r="641" spans="1:21" s="34" customFormat="1" ht="15.75" thickBot="1" x14ac:dyDescent="0.3">
      <c r="A641" s="344"/>
      <c r="B641" s="714"/>
      <c r="C641" s="714"/>
      <c r="D641" s="714"/>
      <c r="E641" s="355"/>
      <c r="F641" s="355"/>
      <c r="G641" s="365"/>
      <c r="H641" s="355"/>
      <c r="I641" s="354"/>
      <c r="J641" s="451"/>
    </row>
    <row r="642" spans="1:21" s="40" customFormat="1" ht="15.75" thickBot="1" x14ac:dyDescent="0.3">
      <c r="A642" s="46" t="s">
        <v>11740</v>
      </c>
      <c r="B642" s="60" t="str">
        <f>VLOOKUP(A642,PO!$A$8:$K$433,4,FALSE)</f>
        <v>Concreto Fck = 25 MPA, Traço 1:2,3:2,7, Preparo Mecânico com Betoneira 400 L - Vigas Baldrames</v>
      </c>
      <c r="C642" s="47"/>
      <c r="D642" s="48"/>
      <c r="E642" s="47"/>
      <c r="F642" s="49"/>
      <c r="G642" s="50"/>
      <c r="H642" s="50"/>
      <c r="I642" s="50">
        <f>H645</f>
        <v>7.42</v>
      </c>
      <c r="J642" s="284" t="str">
        <f>VLOOKUP(A642,PO!$A$8:$K$433,5,FALSE)</f>
        <v>m³</v>
      </c>
    </row>
    <row r="643" spans="1:21" s="34" customFormat="1" x14ac:dyDescent="0.25">
      <c r="A643" s="344"/>
      <c r="B643" s="450"/>
      <c r="C643" s="450"/>
      <c r="D643" s="450"/>
      <c r="E643" s="355"/>
      <c r="F643" s="355"/>
      <c r="G643" s="365"/>
      <c r="H643" s="355"/>
      <c r="I643" s="354"/>
      <c r="J643" s="451"/>
      <c r="P643" s="45"/>
      <c r="Q643" s="45"/>
      <c r="R643" s="45"/>
      <c r="S643" s="51"/>
      <c r="T643" s="51"/>
      <c r="U643" s="235"/>
    </row>
    <row r="644" spans="1:21" x14ac:dyDescent="0.25">
      <c r="A644" s="350"/>
      <c r="B644" s="360" t="s">
        <v>11093</v>
      </c>
      <c r="C644" s="352"/>
      <c r="D644" s="360" t="s">
        <v>10921</v>
      </c>
      <c r="E644" s="360" t="s">
        <v>10930</v>
      </c>
      <c r="F644" s="360" t="s">
        <v>10933</v>
      </c>
      <c r="G644" s="352"/>
      <c r="H644" s="363" t="s">
        <v>14</v>
      </c>
      <c r="I644" s="363" t="s">
        <v>15</v>
      </c>
      <c r="J644" s="452"/>
    </row>
    <row r="645" spans="1:21" ht="15" customHeight="1" x14ac:dyDescent="0.25">
      <c r="A645" s="417"/>
      <c r="B645" s="453" t="s">
        <v>11713</v>
      </c>
      <c r="C645" s="352"/>
      <c r="D645" s="453">
        <v>0.2</v>
      </c>
      <c r="E645" s="453">
        <v>0.4</v>
      </c>
      <c r="F645" s="367">
        <v>92.71</v>
      </c>
      <c r="G645" s="427" t="s">
        <v>16</v>
      </c>
      <c r="H645" s="222">
        <f>ROUND(D645*E645*F645,2)</f>
        <v>7.42</v>
      </c>
      <c r="I645" s="222" t="str">
        <f>$J$539</f>
        <v>m³</v>
      </c>
      <c r="J645" s="410"/>
    </row>
    <row r="646" spans="1:21" s="34" customFormat="1" x14ac:dyDescent="0.25">
      <c r="A646" s="344"/>
      <c r="B646" s="461" t="s">
        <v>11767</v>
      </c>
      <c r="C646" s="450"/>
      <c r="D646" s="450"/>
      <c r="E646" s="355"/>
      <c r="F646" s="355"/>
      <c r="G646" s="365"/>
      <c r="H646" s="355"/>
      <c r="I646" s="354"/>
      <c r="J646" s="451"/>
      <c r="P646" s="45"/>
      <c r="Q646" s="45"/>
      <c r="R646" s="45"/>
      <c r="S646" s="51"/>
      <c r="T646" s="51"/>
      <c r="U646" s="235"/>
    </row>
    <row r="647" spans="1:21" s="34" customFormat="1" ht="15.75" thickBot="1" x14ac:dyDescent="0.3">
      <c r="A647" s="344"/>
      <c r="B647" s="450"/>
      <c r="C647" s="450"/>
      <c r="D647" s="450"/>
      <c r="E647" s="355"/>
      <c r="F647" s="355"/>
      <c r="G647" s="365"/>
      <c r="H647" s="355"/>
      <c r="I647" s="354"/>
      <c r="J647" s="451"/>
      <c r="P647" s="45"/>
      <c r="Q647" s="45"/>
      <c r="R647" s="45"/>
      <c r="S647" s="51"/>
      <c r="T647" s="51"/>
      <c r="U647" s="235"/>
    </row>
    <row r="648" spans="1:21" s="40" customFormat="1" ht="15.75" thickBot="1" x14ac:dyDescent="0.3">
      <c r="A648" s="46" t="s">
        <v>11741</v>
      </c>
      <c r="B648" s="60" t="str">
        <f>VLOOKUP(A648,PO!$A$8:$K$433,4,FALSE)</f>
        <v>Lançamento com Uso de Baldes, Andesamento e Acabamento de Concreto em Estrturas</v>
      </c>
      <c r="C648" s="47"/>
      <c r="D648" s="48"/>
      <c r="E648" s="47"/>
      <c r="F648" s="49"/>
      <c r="G648" s="50"/>
      <c r="H648" s="50"/>
      <c r="I648" s="50">
        <f>SUM(H651:H652)</f>
        <v>7.42</v>
      </c>
      <c r="J648" s="284" t="str">
        <f>VLOOKUP(A648,PO!$A$8:$K$433,5,FALSE)</f>
        <v>m³</v>
      </c>
    </row>
    <row r="649" spans="1:21" s="34" customFormat="1" x14ac:dyDescent="0.25">
      <c r="A649" s="344"/>
      <c r="B649" s="450"/>
      <c r="C649" s="450"/>
      <c r="D649" s="450"/>
      <c r="E649" s="355"/>
      <c r="F649" s="355"/>
      <c r="G649" s="365"/>
      <c r="H649" s="355"/>
      <c r="I649" s="354"/>
      <c r="J649" s="451"/>
      <c r="P649" s="45"/>
      <c r="Q649" s="45"/>
      <c r="R649" s="45"/>
      <c r="S649" s="51"/>
      <c r="T649" s="51"/>
      <c r="U649" s="235"/>
    </row>
    <row r="650" spans="1:21" x14ac:dyDescent="0.25">
      <c r="A650" s="350"/>
      <c r="B650" s="360" t="s">
        <v>11093</v>
      </c>
      <c r="C650" s="352"/>
      <c r="D650" s="360" t="s">
        <v>10921</v>
      </c>
      <c r="E650" s="360" t="s">
        <v>10930</v>
      </c>
      <c r="F650" s="360" t="s">
        <v>10933</v>
      </c>
      <c r="G650" s="352"/>
      <c r="H650" s="363" t="s">
        <v>14</v>
      </c>
      <c r="I650" s="363" t="s">
        <v>15</v>
      </c>
      <c r="J650" s="452"/>
    </row>
    <row r="651" spans="1:21" ht="15" customHeight="1" x14ac:dyDescent="0.25">
      <c r="A651" s="417"/>
      <c r="B651" s="453" t="s">
        <v>11713</v>
      </c>
      <c r="C651" s="352"/>
      <c r="D651" s="453">
        <v>0.2</v>
      </c>
      <c r="E651" s="453">
        <v>0.4</v>
      </c>
      <c r="F651" s="367">
        <f>F645</f>
        <v>92.71</v>
      </c>
      <c r="G651" s="427" t="s">
        <v>16</v>
      </c>
      <c r="H651" s="222">
        <f>ROUND(D651*E651*F651,2)</f>
        <v>7.42</v>
      </c>
      <c r="I651" s="222" t="str">
        <f>$J$539</f>
        <v>m³</v>
      </c>
      <c r="J651" s="410"/>
    </row>
    <row r="652" spans="1:21" s="34" customFormat="1" x14ac:dyDescent="0.25">
      <c r="A652" s="344"/>
      <c r="B652" s="461" t="s">
        <v>11767</v>
      </c>
      <c r="C652" s="450"/>
      <c r="D652" s="450"/>
      <c r="E652" s="355"/>
      <c r="F652" s="355"/>
      <c r="G652" s="365"/>
      <c r="H652" s="355"/>
      <c r="I652" s="354"/>
      <c r="J652" s="451"/>
      <c r="P652" s="45"/>
      <c r="Q652" s="45"/>
      <c r="R652" s="45"/>
      <c r="S652" s="51"/>
      <c r="T652" s="51"/>
      <c r="U652" s="235"/>
    </row>
    <row r="653" spans="1:21" s="34" customFormat="1" ht="15.75" thickBot="1" x14ac:dyDescent="0.3">
      <c r="A653" s="344"/>
      <c r="B653" s="450"/>
      <c r="C653" s="450"/>
      <c r="D653" s="450"/>
      <c r="E653" s="355"/>
      <c r="F653" s="355"/>
      <c r="G653" s="365"/>
      <c r="H653" s="355"/>
      <c r="I653" s="354"/>
      <c r="J653" s="451"/>
      <c r="P653" s="45"/>
      <c r="Q653" s="45"/>
      <c r="R653" s="45"/>
      <c r="S653" s="51"/>
      <c r="T653" s="51"/>
      <c r="U653" s="235"/>
    </row>
    <row r="654" spans="1:21" s="40" customFormat="1" ht="15.75" thickBot="1" x14ac:dyDescent="0.3">
      <c r="A654" s="46" t="s">
        <v>11742</v>
      </c>
      <c r="B654" s="60" t="str">
        <f>VLOOKUP(A654,PO!$A$8:$K$433,4,FALSE)</f>
        <v>Impermeabilização de estruturas enterradas, com tinta asfáltica, duas demãos</v>
      </c>
      <c r="C654" s="47"/>
      <c r="D654" s="48"/>
      <c r="E654" s="47"/>
      <c r="F654" s="49"/>
      <c r="G654" s="50"/>
      <c r="H654" s="50"/>
      <c r="I654" s="50">
        <f>SUM(H657:H658)</f>
        <v>18.54</v>
      </c>
      <c r="J654" s="284" t="str">
        <f>VLOOKUP(A654,PO!$A$8:$K$433,5,FALSE)</f>
        <v>m²</v>
      </c>
    </row>
    <row r="655" spans="1:21" s="34" customFormat="1" x14ac:dyDescent="0.25">
      <c r="A655" s="344"/>
      <c r="B655" s="450"/>
      <c r="C655" s="450"/>
      <c r="D655" s="450"/>
      <c r="E655" s="355"/>
      <c r="F655" s="355"/>
      <c r="G655" s="365"/>
      <c r="H655" s="355"/>
      <c r="I655" s="354"/>
      <c r="J655" s="451"/>
      <c r="P655" s="45"/>
      <c r="Q655" s="45"/>
      <c r="R655" s="45"/>
      <c r="S655" s="51"/>
      <c r="T655" s="51"/>
      <c r="U655" s="235"/>
    </row>
    <row r="656" spans="1:21" s="34" customFormat="1" x14ac:dyDescent="0.25">
      <c r="A656" s="344"/>
      <c r="B656" s="360" t="s">
        <v>10886</v>
      </c>
      <c r="C656" s="352"/>
      <c r="D656" s="360" t="s">
        <v>10921</v>
      </c>
      <c r="E656" s="360" t="s">
        <v>10933</v>
      </c>
      <c r="F656" s="360" t="s">
        <v>10936</v>
      </c>
      <c r="G656" s="352"/>
      <c r="H656" s="363" t="s">
        <v>14</v>
      </c>
      <c r="I656" s="363" t="s">
        <v>15</v>
      </c>
      <c r="J656" s="451"/>
      <c r="P656" s="45"/>
      <c r="Q656" s="45"/>
      <c r="R656" s="45"/>
      <c r="S656" s="51"/>
      <c r="T656" s="51"/>
      <c r="U656" s="235"/>
    </row>
    <row r="657" spans="1:21" s="34" customFormat="1" x14ac:dyDescent="0.25">
      <c r="A657" s="344"/>
      <c r="B657" s="365" t="s">
        <v>11718</v>
      </c>
      <c r="C657" s="450"/>
      <c r="D657" s="458">
        <v>0.2</v>
      </c>
      <c r="E657" s="354">
        <f>F645</f>
        <v>92.71</v>
      </c>
      <c r="F657" s="355">
        <f>ROUND(D657*E657,2)</f>
        <v>18.54</v>
      </c>
      <c r="G657" s="365" t="s">
        <v>16</v>
      </c>
      <c r="H657" s="355">
        <f>F657</f>
        <v>18.54</v>
      </c>
      <c r="I657" s="354" t="str">
        <f>J654</f>
        <v>m²</v>
      </c>
      <c r="J657" s="451"/>
      <c r="P657" s="45"/>
      <c r="Q657" s="45"/>
      <c r="R657" s="45"/>
      <c r="S657" s="51"/>
      <c r="T657" s="51"/>
      <c r="U657" s="235"/>
    </row>
    <row r="658" spans="1:21" s="34" customFormat="1" x14ac:dyDescent="0.25">
      <c r="A658" s="344"/>
      <c r="B658" s="376" t="s">
        <v>11722</v>
      </c>
      <c r="C658" s="450"/>
      <c r="D658" s="450"/>
      <c r="E658" s="355"/>
      <c r="F658" s="355"/>
      <c r="G658" s="365"/>
      <c r="H658" s="355"/>
      <c r="I658" s="354"/>
      <c r="J658" s="451"/>
      <c r="P658" s="45"/>
      <c r="Q658" s="45"/>
      <c r="R658" s="45"/>
      <c r="S658" s="51"/>
      <c r="T658" s="51"/>
      <c r="U658" s="235"/>
    </row>
    <row r="659" spans="1:21" s="34" customFormat="1" ht="15.75" thickBot="1" x14ac:dyDescent="0.3">
      <c r="A659" s="344"/>
      <c r="B659" s="714"/>
      <c r="C659" s="714"/>
      <c r="D659" s="714"/>
      <c r="E659" s="355"/>
      <c r="F659" s="355"/>
      <c r="G659" s="365"/>
      <c r="H659" s="355"/>
      <c r="I659" s="354"/>
      <c r="J659" s="451"/>
    </row>
    <row r="660" spans="1:21" s="40" customFormat="1" ht="15.75" thickBot="1" x14ac:dyDescent="0.3">
      <c r="A660" s="36" t="s">
        <v>84</v>
      </c>
      <c r="B660" s="37" t="str">
        <f>VLOOKUP(A660,PO!$A$8:$K$425,4,FALSE)</f>
        <v>SUPERESTRUTURA</v>
      </c>
      <c r="C660" s="38"/>
      <c r="D660" s="37"/>
      <c r="E660" s="38"/>
      <c r="F660" s="38"/>
      <c r="G660" s="38"/>
      <c r="H660" s="38"/>
      <c r="I660" s="38"/>
      <c r="J660" s="39"/>
    </row>
    <row r="661" spans="1:21" ht="16.5" customHeight="1" thickBot="1" x14ac:dyDescent="0.3">
      <c r="A661" s="344"/>
      <c r="B661" s="345"/>
      <c r="C661" s="345"/>
      <c r="D661" s="345"/>
      <c r="E661" s="345"/>
      <c r="F661" s="345"/>
      <c r="G661" s="345"/>
      <c r="H661" s="345"/>
      <c r="I661" s="345"/>
      <c r="J661" s="346"/>
    </row>
    <row r="662" spans="1:21" s="40" customFormat="1" ht="15.75" thickBot="1" x14ac:dyDescent="0.3">
      <c r="A662" s="41" t="s">
        <v>11743</v>
      </c>
      <c r="B662" s="42" t="str">
        <f>VLOOKUP(A662,PO!$A$8:$K$425,4,FALSE)</f>
        <v>ESTRUTURA METÁLICA</v>
      </c>
      <c r="C662" s="43"/>
      <c r="D662" s="43"/>
      <c r="E662" s="43"/>
      <c r="F662" s="43"/>
      <c r="G662" s="43"/>
      <c r="H662" s="43"/>
      <c r="I662" s="43"/>
      <c r="J662" s="44"/>
    </row>
    <row r="663" spans="1:21" s="40" customFormat="1" ht="15.75" thickBot="1" x14ac:dyDescent="0.3">
      <c r="A663" s="347"/>
      <c r="B663" s="205"/>
      <c r="C663" s="205"/>
      <c r="D663" s="348"/>
      <c r="E663" s="205"/>
      <c r="F663" s="237"/>
      <c r="G663" s="208"/>
      <c r="H663" s="208"/>
      <c r="I663" s="208"/>
      <c r="J663" s="349"/>
    </row>
    <row r="664" spans="1:21" s="40" customFormat="1" ht="15.75" thickBot="1" x14ac:dyDescent="0.3">
      <c r="A664" s="46" t="s">
        <v>11744</v>
      </c>
      <c r="B664" s="60" t="str">
        <f>VLOOKUP(A664,PO!$A$8:$K$433,4,FALSE)</f>
        <v>Viga em aço estrutural em Perfil "C".</v>
      </c>
      <c r="C664" s="47"/>
      <c r="D664" s="48"/>
      <c r="E664" s="47"/>
      <c r="F664" s="49"/>
      <c r="G664" s="50"/>
      <c r="H664" s="50"/>
      <c r="I664" s="50">
        <f>SUM(H667:H668)</f>
        <v>2706.54</v>
      </c>
      <c r="J664" s="284" t="str">
        <f>VLOOKUP(A664,PO!$A$8:$K$433,5,FALSE)</f>
        <v>kg</v>
      </c>
    </row>
    <row r="665" spans="1:21" x14ac:dyDescent="0.25">
      <c r="A665" s="350"/>
      <c r="B665" s="352"/>
      <c r="C665" s="352"/>
      <c r="D665" s="360"/>
      <c r="E665" s="360"/>
      <c r="F665" s="352"/>
      <c r="G665" s="352"/>
      <c r="H665" s="352"/>
      <c r="I665" s="352"/>
      <c r="J665" s="369"/>
    </row>
    <row r="666" spans="1:21" x14ac:dyDescent="0.25">
      <c r="A666" s="358" t="s">
        <v>11781</v>
      </c>
      <c r="B666" s="360" t="s">
        <v>10886</v>
      </c>
      <c r="C666" s="352"/>
      <c r="D666" s="360"/>
      <c r="E666" s="360"/>
      <c r="F666" s="360" t="s">
        <v>11784</v>
      </c>
      <c r="G666" s="352"/>
      <c r="H666" s="363" t="s">
        <v>14</v>
      </c>
      <c r="I666" s="363" t="s">
        <v>15</v>
      </c>
      <c r="J666" s="452"/>
    </row>
    <row r="667" spans="1:21" ht="39" customHeight="1" x14ac:dyDescent="0.25">
      <c r="A667" s="462">
        <v>5</v>
      </c>
      <c r="B667" s="460" t="s">
        <v>11782</v>
      </c>
      <c r="C667" s="352"/>
      <c r="D667" s="453"/>
      <c r="E667" s="222"/>
      <c r="F667" s="222">
        <v>481.88</v>
      </c>
      <c r="G667" s="427" t="s">
        <v>16</v>
      </c>
      <c r="H667" s="222">
        <f>ROUND(F667,2)</f>
        <v>481.88</v>
      </c>
      <c r="I667" s="222" t="str">
        <f>$J$517</f>
        <v>m³</v>
      </c>
      <c r="J667" s="410"/>
    </row>
    <row r="668" spans="1:21" ht="39" customHeight="1" x14ac:dyDescent="0.25">
      <c r="A668" s="462">
        <v>6</v>
      </c>
      <c r="B668" s="460" t="s">
        <v>11783</v>
      </c>
      <c r="C668" s="352"/>
      <c r="D668" s="453"/>
      <c r="E668" s="222"/>
      <c r="F668" s="222">
        <v>2224.66</v>
      </c>
      <c r="G668" s="427" t="s">
        <v>16</v>
      </c>
      <c r="H668" s="222">
        <f>ROUND(F668,2)</f>
        <v>2224.66</v>
      </c>
      <c r="I668" s="222" t="str">
        <f>$J$517</f>
        <v>m³</v>
      </c>
      <c r="J668" s="410"/>
      <c r="N668" s="291"/>
    </row>
    <row r="669" spans="1:21" ht="15" customHeight="1" x14ac:dyDescent="0.25">
      <c r="A669" s="417"/>
      <c r="B669" s="453"/>
      <c r="C669" s="453"/>
      <c r="D669" s="453"/>
      <c r="E669" s="222"/>
      <c r="F669" s="222"/>
      <c r="G669" s="427"/>
      <c r="H669" s="367"/>
      <c r="I669" s="222"/>
      <c r="J669" s="410"/>
    </row>
    <row r="670" spans="1:21" ht="15" customHeight="1" x14ac:dyDescent="0.25">
      <c r="A670" s="417"/>
      <c r="B670" s="376" t="s">
        <v>11789</v>
      </c>
      <c r="C670" s="453"/>
      <c r="D670" s="453"/>
      <c r="E670" s="222"/>
      <c r="F670" s="222"/>
      <c r="G670" s="427"/>
      <c r="H670" s="367"/>
      <c r="I670" s="222"/>
      <c r="J670" s="410"/>
    </row>
    <row r="671" spans="1:21" ht="15" customHeight="1" thickBot="1" x14ac:dyDescent="0.3">
      <c r="A671" s="417"/>
      <c r="B671" s="453"/>
      <c r="C671" s="453"/>
      <c r="D671" s="453"/>
      <c r="E671" s="222"/>
      <c r="F671" s="222"/>
      <c r="G671" s="427"/>
      <c r="H671" s="367"/>
      <c r="I671" s="222"/>
      <c r="J671" s="410"/>
    </row>
    <row r="672" spans="1:21" s="40" customFormat="1" ht="15.75" thickBot="1" x14ac:dyDescent="0.3">
      <c r="A672" s="46" t="s">
        <v>11745</v>
      </c>
      <c r="B672" s="60" t="str">
        <f>VLOOKUP(A672,PO!$A$8:$K$433,4,FALSE)</f>
        <v>Pilar em aço estrutural em Perfil "C".</v>
      </c>
      <c r="C672" s="47"/>
      <c r="D672" s="48"/>
      <c r="E672" s="47"/>
      <c r="F672" s="49"/>
      <c r="G672" s="50"/>
      <c r="H672" s="50"/>
      <c r="I672" s="50">
        <f>SUM(H675:H678)</f>
        <v>3788.44</v>
      </c>
      <c r="J672" s="284" t="str">
        <f>VLOOKUP(A672,PO!$A$8:$K$433,5,FALSE)</f>
        <v>kg</v>
      </c>
    </row>
    <row r="673" spans="1:14" x14ac:dyDescent="0.25">
      <c r="A673" s="350"/>
      <c r="B673" s="352"/>
      <c r="C673" s="352"/>
      <c r="D673" s="667"/>
      <c r="E673" s="667"/>
      <c r="F673" s="352"/>
      <c r="G673" s="352"/>
      <c r="H673" s="352"/>
      <c r="I673" s="352"/>
      <c r="J673" s="369"/>
    </row>
    <row r="674" spans="1:14" x14ac:dyDescent="0.25">
      <c r="A674" s="666" t="s">
        <v>11781</v>
      </c>
      <c r="B674" s="667" t="s">
        <v>10886</v>
      </c>
      <c r="C674" s="352"/>
      <c r="D674" s="667"/>
      <c r="E674" s="667"/>
      <c r="F674" s="667" t="s">
        <v>11784</v>
      </c>
      <c r="G674" s="352"/>
      <c r="H674" s="363" t="s">
        <v>14</v>
      </c>
      <c r="I674" s="363" t="s">
        <v>15</v>
      </c>
      <c r="J674" s="452"/>
      <c r="N674" s="285"/>
    </row>
    <row r="675" spans="1:14" ht="39" customHeight="1" x14ac:dyDescent="0.25">
      <c r="A675" s="462">
        <v>4</v>
      </c>
      <c r="B675" s="671" t="s">
        <v>11785</v>
      </c>
      <c r="C675" s="352"/>
      <c r="D675" s="668"/>
      <c r="E675" s="222"/>
      <c r="F675" s="222">
        <v>3606.23</v>
      </c>
      <c r="G675" s="463" t="s">
        <v>16</v>
      </c>
      <c r="H675" s="222">
        <f>ROUND(F675,2)</f>
        <v>3606.23</v>
      </c>
      <c r="I675" s="222" t="str">
        <f>$J$681</f>
        <v>kg</v>
      </c>
      <c r="J675" s="410"/>
    </row>
    <row r="676" spans="1:14" ht="39" customHeight="1" x14ac:dyDescent="0.25">
      <c r="A676" s="462">
        <v>8</v>
      </c>
      <c r="B676" s="671" t="s">
        <v>11786</v>
      </c>
      <c r="C676" s="352"/>
      <c r="D676" s="668"/>
      <c r="E676" s="222"/>
      <c r="F676" s="222">
        <v>34.94</v>
      </c>
      <c r="G676" s="463" t="s">
        <v>16</v>
      </c>
      <c r="H676" s="222">
        <f>ROUND(F676,2)</f>
        <v>34.94</v>
      </c>
      <c r="I676" s="222" t="str">
        <f>$J$681</f>
        <v>kg</v>
      </c>
      <c r="J676" s="410"/>
    </row>
    <row r="677" spans="1:14" ht="39" customHeight="1" x14ac:dyDescent="0.25">
      <c r="A677" s="462">
        <v>10</v>
      </c>
      <c r="B677" s="671" t="s">
        <v>11787</v>
      </c>
      <c r="C677" s="352"/>
      <c r="D677" s="668"/>
      <c r="E677" s="222"/>
      <c r="F677" s="222">
        <v>120.87</v>
      </c>
      <c r="G677" s="463" t="s">
        <v>16</v>
      </c>
      <c r="H677" s="222">
        <f>ROUND(F677,2)</f>
        <v>120.87</v>
      </c>
      <c r="I677" s="222" t="str">
        <f>$J$681</f>
        <v>kg</v>
      </c>
      <c r="J677" s="410"/>
    </row>
    <row r="678" spans="1:14" ht="39" customHeight="1" x14ac:dyDescent="0.25">
      <c r="A678" s="462">
        <v>11</v>
      </c>
      <c r="B678" s="671" t="s">
        <v>11788</v>
      </c>
      <c r="C678" s="352"/>
      <c r="D678" s="668"/>
      <c r="E678" s="222"/>
      <c r="F678" s="222">
        <v>26.4</v>
      </c>
      <c r="G678" s="463" t="s">
        <v>16</v>
      </c>
      <c r="H678" s="222">
        <f>ROUND(F678,2)</f>
        <v>26.4</v>
      </c>
      <c r="I678" s="222" t="str">
        <f>$J$681</f>
        <v>kg</v>
      </c>
      <c r="J678" s="410"/>
    </row>
    <row r="679" spans="1:14" ht="15" customHeight="1" x14ac:dyDescent="0.25">
      <c r="A679" s="417"/>
      <c r="B679" s="376" t="s">
        <v>11789</v>
      </c>
      <c r="C679" s="352"/>
      <c r="D679" s="668"/>
      <c r="E679" s="222"/>
      <c r="F679" s="222"/>
      <c r="G679" s="427"/>
      <c r="H679" s="367"/>
      <c r="I679" s="222"/>
      <c r="J679" s="410"/>
    </row>
    <row r="680" spans="1:14" ht="15" customHeight="1" thickBot="1" x14ac:dyDescent="0.3">
      <c r="A680" s="417"/>
      <c r="B680" s="670"/>
      <c r="C680" s="668"/>
      <c r="D680" s="668"/>
      <c r="E680" s="222"/>
      <c r="F680" s="222"/>
      <c r="G680" s="427"/>
      <c r="H680" s="367"/>
      <c r="I680" s="222"/>
      <c r="J680" s="410"/>
    </row>
    <row r="681" spans="1:14" s="40" customFormat="1" ht="15.75" thickBot="1" x14ac:dyDescent="0.3">
      <c r="A681" s="46" t="s">
        <v>11746</v>
      </c>
      <c r="B681" s="60" t="str">
        <f>VLOOKUP(A681,PO!$A$8:$K$433,4,FALSE)</f>
        <v>Placa base para ancoragem de pilares em aço A-36.</v>
      </c>
      <c r="C681" s="47"/>
      <c r="D681" s="48"/>
      <c r="E681" s="47"/>
      <c r="F681" s="49"/>
      <c r="G681" s="50"/>
      <c r="H681" s="50"/>
      <c r="I681" s="50">
        <f>SUM(H684:H685)</f>
        <v>252.97</v>
      </c>
      <c r="J681" s="284" t="str">
        <f>VLOOKUP(A681,PO!$A$8:$K$433,5,FALSE)</f>
        <v>kg</v>
      </c>
    </row>
    <row r="682" spans="1:14" x14ac:dyDescent="0.25">
      <c r="A682" s="350"/>
      <c r="B682" s="352"/>
      <c r="C682" s="352"/>
      <c r="D682" s="360"/>
      <c r="E682" s="360"/>
      <c r="F682" s="352"/>
      <c r="G682" s="352"/>
      <c r="H682" s="352"/>
      <c r="I682" s="352"/>
      <c r="J682" s="369"/>
    </row>
    <row r="683" spans="1:14" x14ac:dyDescent="0.25">
      <c r="A683" s="358"/>
      <c r="B683" s="360" t="s">
        <v>10886</v>
      </c>
      <c r="C683" s="352"/>
      <c r="D683" s="360"/>
      <c r="E683" s="360"/>
      <c r="F683" s="360" t="s">
        <v>11784</v>
      </c>
      <c r="G683" s="352"/>
      <c r="H683" s="363" t="s">
        <v>14</v>
      </c>
      <c r="I683" s="363" t="s">
        <v>15</v>
      </c>
      <c r="J683" s="452"/>
      <c r="N683" s="285"/>
    </row>
    <row r="684" spans="1:14" ht="39" customHeight="1" x14ac:dyDescent="0.25">
      <c r="A684" s="462"/>
      <c r="B684" s="460" t="s">
        <v>13879</v>
      </c>
      <c r="C684" s="352"/>
      <c r="D684" s="453"/>
      <c r="E684" s="222"/>
      <c r="F684" s="222">
        <v>2.2000000000000002</v>
      </c>
      <c r="G684" s="463" t="s">
        <v>16</v>
      </c>
      <c r="H684" s="222">
        <f>ROUND(F684,2)</f>
        <v>2.2000000000000002</v>
      </c>
      <c r="I684" s="222" t="str">
        <f>$J$681</f>
        <v>kg</v>
      </c>
      <c r="J684" s="410"/>
    </row>
    <row r="685" spans="1:14" ht="39" customHeight="1" x14ac:dyDescent="0.25">
      <c r="A685" s="462"/>
      <c r="B685" s="671" t="s">
        <v>13880</v>
      </c>
      <c r="C685" s="352"/>
      <c r="D685" s="453"/>
      <c r="E685" s="222"/>
      <c r="F685" s="222">
        <v>250.77</v>
      </c>
      <c r="G685" s="463" t="s">
        <v>16</v>
      </c>
      <c r="H685" s="222">
        <f>ROUND(F685,2)</f>
        <v>250.77</v>
      </c>
      <c r="I685" s="222" t="str">
        <f>$J$681</f>
        <v>kg</v>
      </c>
      <c r="J685" s="410"/>
    </row>
    <row r="686" spans="1:14" ht="15" customHeight="1" x14ac:dyDescent="0.25">
      <c r="A686" s="417"/>
      <c r="B686" s="376" t="s">
        <v>13878</v>
      </c>
      <c r="C686" s="352"/>
      <c r="D686" s="453"/>
      <c r="E686" s="222"/>
      <c r="F686" s="222"/>
      <c r="G686" s="427"/>
      <c r="H686" s="367"/>
      <c r="I686" s="222"/>
      <c r="J686" s="410"/>
    </row>
    <row r="687" spans="1:14" ht="15" customHeight="1" thickBot="1" x14ac:dyDescent="0.3">
      <c r="A687" s="417"/>
      <c r="B687" s="454"/>
      <c r="C687" s="453"/>
      <c r="D687" s="453"/>
      <c r="E687" s="222"/>
      <c r="F687" s="222"/>
      <c r="G687" s="427"/>
      <c r="H687" s="367"/>
      <c r="I687" s="222"/>
      <c r="J687" s="410"/>
    </row>
    <row r="688" spans="1:14" s="40" customFormat="1" ht="15.75" thickBot="1" x14ac:dyDescent="0.3">
      <c r="A688" s="46" t="s">
        <v>13877</v>
      </c>
      <c r="B688" s="60" t="str">
        <f>VLOOKUP(A688,PO!$A$8:$K$433,4,FALSE)</f>
        <v>Fundo anticorrosivo a base de oxido de ferro (zarcão), duas demãos - Fornecimento e pintura</v>
      </c>
      <c r="C688" s="47"/>
      <c r="D688" s="48"/>
      <c r="E688" s="47"/>
      <c r="F688" s="49"/>
      <c r="G688" s="50"/>
      <c r="H688" s="50"/>
      <c r="I688" s="50">
        <f>SUM(H691:H696)</f>
        <v>255.71</v>
      </c>
      <c r="J688" s="284" t="str">
        <f>VLOOKUP(A688,PO!$A$8:$K$433,5,FALSE)</f>
        <v>m²</v>
      </c>
    </row>
    <row r="689" spans="1:10" x14ac:dyDescent="0.25">
      <c r="A689" s="350"/>
      <c r="B689" s="352"/>
      <c r="C689" s="352"/>
      <c r="D689" s="360"/>
      <c r="E689" s="360"/>
      <c r="F689" s="352"/>
      <c r="G689" s="352"/>
      <c r="H689" s="352"/>
      <c r="I689" s="352"/>
      <c r="J689" s="369"/>
    </row>
    <row r="690" spans="1:10" x14ac:dyDescent="0.25">
      <c r="A690" s="358" t="s">
        <v>11781</v>
      </c>
      <c r="B690" s="360" t="s">
        <v>10886</v>
      </c>
      <c r="C690" s="360"/>
      <c r="D690" s="360"/>
      <c r="E690" s="360"/>
      <c r="F690" s="360" t="s">
        <v>10936</v>
      </c>
      <c r="G690" s="352"/>
      <c r="H690" s="363" t="s">
        <v>14</v>
      </c>
      <c r="I690" s="363" t="s">
        <v>15</v>
      </c>
      <c r="J690" s="452"/>
    </row>
    <row r="691" spans="1:10" ht="39" customHeight="1" x14ac:dyDescent="0.25">
      <c r="A691" s="462">
        <v>4</v>
      </c>
      <c r="B691" s="460" t="s">
        <v>11785</v>
      </c>
      <c r="C691" s="352"/>
      <c r="D691" s="464"/>
      <c r="E691" s="464"/>
      <c r="F691" s="464">
        <v>129.018</v>
      </c>
      <c r="G691" s="463" t="s">
        <v>16</v>
      </c>
      <c r="H691" s="222">
        <f>ROUND(F691,2)</f>
        <v>129.02000000000001</v>
      </c>
      <c r="I691" s="222" t="str">
        <f>$J$688</f>
        <v>m²</v>
      </c>
      <c r="J691" s="410"/>
    </row>
    <row r="692" spans="1:10" ht="39" customHeight="1" x14ac:dyDescent="0.25">
      <c r="A692" s="462">
        <v>5</v>
      </c>
      <c r="B692" s="460" t="s">
        <v>11782</v>
      </c>
      <c r="C692" s="352"/>
      <c r="D692" s="464"/>
      <c r="E692" s="464"/>
      <c r="F692" s="464">
        <v>29.433</v>
      </c>
      <c r="G692" s="463" t="s">
        <v>16</v>
      </c>
      <c r="H692" s="222">
        <f t="shared" ref="H692:H696" si="81">ROUND(F692,2)</f>
        <v>29.43</v>
      </c>
      <c r="I692" s="222" t="str">
        <f t="shared" ref="I692:I696" si="82">$J$688</f>
        <v>m²</v>
      </c>
      <c r="J692" s="410"/>
    </row>
    <row r="693" spans="1:10" ht="39" customHeight="1" x14ac:dyDescent="0.25">
      <c r="A693" s="462">
        <v>6</v>
      </c>
      <c r="B693" s="460" t="s">
        <v>11783</v>
      </c>
      <c r="C693" s="352"/>
      <c r="D693" s="464"/>
      <c r="E693" s="464"/>
      <c r="F693" s="464">
        <v>87.35</v>
      </c>
      <c r="G693" s="463" t="s">
        <v>16</v>
      </c>
      <c r="H693" s="222">
        <f t="shared" si="81"/>
        <v>87.35</v>
      </c>
      <c r="I693" s="222" t="str">
        <f t="shared" si="82"/>
        <v>m²</v>
      </c>
      <c r="J693" s="410"/>
    </row>
    <row r="694" spans="1:10" ht="39" customHeight="1" x14ac:dyDescent="0.25">
      <c r="A694" s="462">
        <v>8</v>
      </c>
      <c r="B694" s="460" t="s">
        <v>11786</v>
      </c>
      <c r="C694" s="352"/>
      <c r="D694" s="464"/>
      <c r="E694" s="464"/>
      <c r="F694" s="464">
        <v>1.5629999999999999</v>
      </c>
      <c r="G694" s="463" t="s">
        <v>16</v>
      </c>
      <c r="H694" s="222">
        <f t="shared" si="81"/>
        <v>1.56</v>
      </c>
      <c r="I694" s="222" t="str">
        <f t="shared" si="82"/>
        <v>m²</v>
      </c>
      <c r="J694" s="410"/>
    </row>
    <row r="695" spans="1:10" ht="39" customHeight="1" x14ac:dyDescent="0.25">
      <c r="A695" s="462">
        <v>10</v>
      </c>
      <c r="B695" s="460" t="s">
        <v>11787</v>
      </c>
      <c r="C695" s="352"/>
      <c r="D695" s="464"/>
      <c r="E695" s="464"/>
      <c r="F695" s="464">
        <v>5.3719999999999999</v>
      </c>
      <c r="G695" s="463" t="s">
        <v>16</v>
      </c>
      <c r="H695" s="222">
        <f t="shared" si="81"/>
        <v>5.37</v>
      </c>
      <c r="I695" s="222" t="str">
        <f t="shared" si="82"/>
        <v>m²</v>
      </c>
      <c r="J695" s="410"/>
    </row>
    <row r="696" spans="1:10" ht="39" customHeight="1" x14ac:dyDescent="0.25">
      <c r="A696" s="462">
        <v>11</v>
      </c>
      <c r="B696" s="460" t="s">
        <v>11788</v>
      </c>
      <c r="C696" s="352"/>
      <c r="D696" s="464"/>
      <c r="E696" s="464"/>
      <c r="F696" s="464">
        <v>2.9780000000000002</v>
      </c>
      <c r="G696" s="463" t="s">
        <v>16</v>
      </c>
      <c r="H696" s="222">
        <f t="shared" si="81"/>
        <v>2.98</v>
      </c>
      <c r="I696" s="222" t="str">
        <f t="shared" si="82"/>
        <v>m²</v>
      </c>
      <c r="J696" s="410"/>
    </row>
    <row r="697" spans="1:10" ht="15" customHeight="1" x14ac:dyDescent="0.25">
      <c r="A697" s="417"/>
      <c r="B697" s="376" t="s">
        <v>11789</v>
      </c>
      <c r="C697" s="453"/>
      <c r="D697" s="453"/>
      <c r="E697" s="222"/>
      <c r="F697" s="222"/>
      <c r="G697" s="427"/>
      <c r="H697" s="367"/>
      <c r="I697" s="222"/>
      <c r="J697" s="410"/>
    </row>
    <row r="698" spans="1:10" ht="15" customHeight="1" x14ac:dyDescent="0.25">
      <c r="A698" s="417"/>
      <c r="B698" s="453"/>
      <c r="C698" s="453"/>
      <c r="D698" s="453"/>
      <c r="E698" s="222"/>
      <c r="F698" s="222"/>
      <c r="G698" s="427"/>
      <c r="H698" s="367"/>
      <c r="I698" s="222"/>
      <c r="J698" s="410"/>
    </row>
    <row r="699" spans="1:10" ht="15" customHeight="1" thickBot="1" x14ac:dyDescent="0.3">
      <c r="A699" s="417"/>
      <c r="B699" s="454"/>
      <c r="C699" s="453"/>
      <c r="D699" s="453"/>
      <c r="E699" s="222"/>
      <c r="F699" s="222"/>
      <c r="G699" s="427"/>
      <c r="H699" s="367"/>
      <c r="I699" s="222"/>
      <c r="J699" s="410"/>
    </row>
    <row r="700" spans="1:10" s="40" customFormat="1" ht="15.75" thickBot="1" x14ac:dyDescent="0.3">
      <c r="A700" s="36" t="s">
        <v>85</v>
      </c>
      <c r="B700" s="37" t="str">
        <f>VLOOKUP(A700,PO!$A$8:$K$425,4,FALSE)</f>
        <v xml:space="preserve">PAREDES E DIVISÓRIAS </v>
      </c>
      <c r="C700" s="38"/>
      <c r="D700" s="37"/>
      <c r="E700" s="38"/>
      <c r="F700" s="38"/>
      <c r="G700" s="38"/>
      <c r="H700" s="38"/>
      <c r="I700" s="38"/>
      <c r="J700" s="39"/>
    </row>
    <row r="701" spans="1:10" ht="16.5" customHeight="1" thickBot="1" x14ac:dyDescent="0.3">
      <c r="A701" s="344"/>
      <c r="B701" s="345"/>
      <c r="C701" s="345"/>
      <c r="D701" s="345"/>
      <c r="E701" s="345"/>
      <c r="F701" s="345"/>
      <c r="G701" s="345"/>
      <c r="H701" s="345"/>
      <c r="I701" s="345"/>
      <c r="J701" s="346"/>
    </row>
    <row r="702" spans="1:10" s="40" customFormat="1" ht="15.75" thickBot="1" x14ac:dyDescent="0.3">
      <c r="A702" s="41" t="s">
        <v>60</v>
      </c>
      <c r="B702" s="42" t="str">
        <f>VLOOKUP(A702,PO!$A$8:$K$425,4,FALSE)</f>
        <v>ALVENARIA DE TIJOLOS CERÂMICOS</v>
      </c>
      <c r="C702" s="43"/>
      <c r="D702" s="43"/>
      <c r="E702" s="43"/>
      <c r="F702" s="43"/>
      <c r="G702" s="43"/>
      <c r="H702" s="43"/>
      <c r="I702" s="43"/>
      <c r="J702" s="44"/>
    </row>
    <row r="703" spans="1:10" s="40" customFormat="1" ht="15.75" thickBot="1" x14ac:dyDescent="0.3">
      <c r="A703" s="347"/>
      <c r="B703" s="205"/>
      <c r="C703" s="205"/>
      <c r="D703" s="348"/>
      <c r="E703" s="205"/>
      <c r="F703" s="237"/>
      <c r="G703" s="208"/>
      <c r="H703" s="208"/>
      <c r="I703" s="208"/>
      <c r="J703" s="349"/>
    </row>
    <row r="704" spans="1:10" s="40" customFormat="1" ht="15.75" thickBot="1" x14ac:dyDescent="0.3">
      <c r="A704" s="46" t="s">
        <v>127</v>
      </c>
      <c r="B704" s="60" t="str">
        <f>VLOOKUP(A704,PO!$A$8:$K$433,4,FALSE)</f>
        <v>Alvenaria de Vedação de Blocos Ceramicos Furados na Horizontal 9X19X19CM (E = 9cm) de paredes com area Liquida Maior que 6 m² com Vãos e Argamassa de Assentamento com Preparo em Betoneira</v>
      </c>
      <c r="C704" s="47"/>
      <c r="D704" s="48"/>
      <c r="E704" s="47"/>
      <c r="F704" s="49"/>
      <c r="G704" s="50"/>
      <c r="H704" s="50"/>
      <c r="I704" s="50">
        <f>I751</f>
        <v>691.03100000000018</v>
      </c>
      <c r="J704" s="284" t="str">
        <f>VLOOKUP(A704,PO!$A$8:$K$433,5,FALSE)</f>
        <v>m²</v>
      </c>
    </row>
    <row r="705" spans="1:10" x14ac:dyDescent="0.25">
      <c r="A705" s="350"/>
      <c r="B705" s="352"/>
      <c r="C705" s="352"/>
      <c r="D705" s="360"/>
      <c r="E705" s="360"/>
      <c r="F705" s="352"/>
      <c r="G705" s="352"/>
      <c r="H705" s="352"/>
      <c r="I705" s="352"/>
      <c r="J705" s="369"/>
    </row>
    <row r="706" spans="1:10" x14ac:dyDescent="0.25">
      <c r="A706" s="358" t="s">
        <v>10886</v>
      </c>
      <c r="B706" s="360" t="s">
        <v>21</v>
      </c>
      <c r="C706" s="352"/>
      <c r="D706" s="352"/>
      <c r="E706" s="360" t="s">
        <v>10933</v>
      </c>
      <c r="F706" s="360" t="s">
        <v>10930</v>
      </c>
      <c r="G706" s="360" t="s">
        <v>10927</v>
      </c>
      <c r="H706" s="370"/>
      <c r="I706" s="431" t="s">
        <v>14</v>
      </c>
      <c r="J706" s="452" t="s">
        <v>15</v>
      </c>
    </row>
    <row r="707" spans="1:10" ht="15" customHeight="1" x14ac:dyDescent="0.25">
      <c r="A707" s="417" t="s">
        <v>10924</v>
      </c>
      <c r="B707" s="714" t="s">
        <v>10993</v>
      </c>
      <c r="C707" s="714"/>
      <c r="D707" s="714"/>
      <c r="E707" s="354">
        <v>0.8</v>
      </c>
      <c r="F707" s="354">
        <v>2.1</v>
      </c>
      <c r="G707" s="675">
        <v>1</v>
      </c>
      <c r="H707" s="355" t="s">
        <v>16</v>
      </c>
      <c r="I707" s="354">
        <f>E707*F707*G707</f>
        <v>1.6800000000000002</v>
      </c>
      <c r="J707" s="410" t="str">
        <f>$J$704</f>
        <v>m²</v>
      </c>
    </row>
    <row r="708" spans="1:10" ht="15" customHeight="1" x14ac:dyDescent="0.25">
      <c r="A708" s="417" t="s">
        <v>10916</v>
      </c>
      <c r="B708" s="714" t="s">
        <v>10993</v>
      </c>
      <c r="C708" s="714"/>
      <c r="D708" s="714"/>
      <c r="E708" s="354">
        <v>1.28</v>
      </c>
      <c r="F708" s="354">
        <v>1.6</v>
      </c>
      <c r="G708" s="675">
        <v>2</v>
      </c>
      <c r="H708" s="355" t="s">
        <v>16</v>
      </c>
      <c r="I708" s="354">
        <f t="shared" ref="I708:I717" si="83">E708*F708*G708</f>
        <v>4.0960000000000001</v>
      </c>
      <c r="J708" s="410" t="str">
        <f t="shared" ref="J708:J727" si="84">$J$704</f>
        <v>m²</v>
      </c>
    </row>
    <row r="709" spans="1:10" x14ac:dyDescent="0.25">
      <c r="A709" s="417" t="s">
        <v>10924</v>
      </c>
      <c r="B709" s="714" t="s">
        <v>10995</v>
      </c>
      <c r="C709" s="714"/>
      <c r="D709" s="714"/>
      <c r="E709" s="354">
        <v>0.8</v>
      </c>
      <c r="F709" s="354">
        <v>2.1</v>
      </c>
      <c r="G709" s="675">
        <v>1</v>
      </c>
      <c r="H709" s="355" t="s">
        <v>16</v>
      </c>
      <c r="I709" s="354">
        <f t="shared" si="83"/>
        <v>1.6800000000000002</v>
      </c>
      <c r="J709" s="410" t="str">
        <f t="shared" si="84"/>
        <v>m²</v>
      </c>
    </row>
    <row r="710" spans="1:10" x14ac:dyDescent="0.25">
      <c r="A710" s="417"/>
      <c r="B710" s="713" t="s">
        <v>10991</v>
      </c>
      <c r="C710" s="713"/>
      <c r="D710" s="672"/>
      <c r="E710" s="354">
        <f>4.09</f>
        <v>4.09</v>
      </c>
      <c r="F710" s="354">
        <v>3</v>
      </c>
      <c r="G710" s="675">
        <v>1</v>
      </c>
      <c r="H710" s="355" t="s">
        <v>16</v>
      </c>
      <c r="I710" s="354">
        <f>E710*F710*G710</f>
        <v>12.27</v>
      </c>
      <c r="J710" s="410" t="str">
        <f t="shared" si="84"/>
        <v>m²</v>
      </c>
    </row>
    <row r="711" spans="1:10" x14ac:dyDescent="0.25">
      <c r="A711" s="417" t="s">
        <v>10924</v>
      </c>
      <c r="B711" s="713" t="s">
        <v>10991</v>
      </c>
      <c r="C711" s="713"/>
      <c r="D711" s="672"/>
      <c r="E711" s="354">
        <v>0.8</v>
      </c>
      <c r="F711" s="354">
        <v>2.1</v>
      </c>
      <c r="G711" s="675">
        <v>1</v>
      </c>
      <c r="H711" s="355" t="s">
        <v>16</v>
      </c>
      <c r="I711" s="354">
        <f t="shared" si="83"/>
        <v>1.6800000000000002</v>
      </c>
      <c r="J711" s="410" t="str">
        <f t="shared" si="84"/>
        <v>m²</v>
      </c>
    </row>
    <row r="712" spans="1:10" x14ac:dyDescent="0.25">
      <c r="A712" s="417" t="s">
        <v>10916</v>
      </c>
      <c r="B712" s="713" t="s">
        <v>10991</v>
      </c>
      <c r="C712" s="713"/>
      <c r="D712" s="672"/>
      <c r="E712" s="354">
        <f>0.73+0.77</f>
        <v>1.5</v>
      </c>
      <c r="F712" s="354">
        <v>1.6</v>
      </c>
      <c r="G712" s="675">
        <v>1</v>
      </c>
      <c r="H712" s="355" t="s">
        <v>16</v>
      </c>
      <c r="I712" s="354">
        <f t="shared" si="83"/>
        <v>2.4000000000000004</v>
      </c>
      <c r="J712" s="410" t="str">
        <f t="shared" si="84"/>
        <v>m²</v>
      </c>
    </row>
    <row r="713" spans="1:10" ht="34.5" customHeight="1" x14ac:dyDescent="0.25">
      <c r="A713" s="417"/>
      <c r="B713" s="713" t="s">
        <v>10990</v>
      </c>
      <c r="C713" s="713"/>
      <c r="D713" s="713"/>
      <c r="E713" s="354">
        <f>(2.29)*2+5.45</f>
        <v>10.030000000000001</v>
      </c>
      <c r="F713" s="354">
        <v>3</v>
      </c>
      <c r="G713" s="676">
        <v>1</v>
      </c>
      <c r="H713" s="355" t="s">
        <v>16</v>
      </c>
      <c r="I713" s="354">
        <f>E713*F713*G713</f>
        <v>30.090000000000003</v>
      </c>
      <c r="J713" s="410" t="str">
        <f t="shared" si="84"/>
        <v>m²</v>
      </c>
    </row>
    <row r="714" spans="1:10" x14ac:dyDescent="0.25">
      <c r="A714" s="417"/>
      <c r="B714" s="672" t="s">
        <v>10996</v>
      </c>
      <c r="C714" s="672"/>
      <c r="D714" s="672"/>
      <c r="E714" s="354">
        <v>3.7</v>
      </c>
      <c r="F714" s="354">
        <v>3</v>
      </c>
      <c r="G714" s="676">
        <v>1</v>
      </c>
      <c r="H714" s="355" t="s">
        <v>16</v>
      </c>
      <c r="I714" s="354">
        <f>E714*F714*G714</f>
        <v>11.100000000000001</v>
      </c>
      <c r="J714" s="410" t="str">
        <f t="shared" si="84"/>
        <v>m²</v>
      </c>
    </row>
    <row r="715" spans="1:10" x14ac:dyDescent="0.25">
      <c r="A715" s="417" t="s">
        <v>10929</v>
      </c>
      <c r="B715" s="714" t="s">
        <v>10997</v>
      </c>
      <c r="C715" s="714"/>
      <c r="D715" s="714"/>
      <c r="E715" s="354">
        <v>0.7</v>
      </c>
      <c r="F715" s="354">
        <v>1.05</v>
      </c>
      <c r="G715" s="676">
        <v>3</v>
      </c>
      <c r="H715" s="355" t="s">
        <v>16</v>
      </c>
      <c r="I715" s="354">
        <f t="shared" si="83"/>
        <v>2.2050000000000001</v>
      </c>
      <c r="J715" s="410" t="str">
        <f t="shared" si="84"/>
        <v>m²</v>
      </c>
    </row>
    <row r="716" spans="1:10" x14ac:dyDescent="0.25">
      <c r="A716" s="417"/>
      <c r="B716" s="714" t="s">
        <v>10998</v>
      </c>
      <c r="C716" s="714"/>
      <c r="D716" s="714"/>
      <c r="E716" s="354">
        <f>0.32+1.2+2.8</f>
        <v>4.32</v>
      </c>
      <c r="F716" s="354">
        <v>3</v>
      </c>
      <c r="G716" s="676">
        <v>1</v>
      </c>
      <c r="H716" s="355" t="s">
        <v>16</v>
      </c>
      <c r="I716" s="354">
        <f>E716*F716*G716</f>
        <v>12.96</v>
      </c>
      <c r="J716" s="410" t="str">
        <f t="shared" si="84"/>
        <v>m²</v>
      </c>
    </row>
    <row r="717" spans="1:10" ht="30" customHeight="1" x14ac:dyDescent="0.25">
      <c r="A717" s="409" t="s">
        <v>10925</v>
      </c>
      <c r="B717" s="713" t="s">
        <v>10989</v>
      </c>
      <c r="C717" s="713"/>
      <c r="D717" s="713"/>
      <c r="E717" s="354">
        <v>0.6</v>
      </c>
      <c r="F717" s="354">
        <v>2.1</v>
      </c>
      <c r="G717" s="676">
        <v>1</v>
      </c>
      <c r="H717" s="355" t="s">
        <v>16</v>
      </c>
      <c r="I717" s="354">
        <f t="shared" si="83"/>
        <v>1.26</v>
      </c>
      <c r="J717" s="410" t="str">
        <f t="shared" si="84"/>
        <v>m²</v>
      </c>
    </row>
    <row r="718" spans="1:10" ht="28.5" customHeight="1" x14ac:dyDescent="0.25">
      <c r="A718" s="417" t="s">
        <v>10924</v>
      </c>
      <c r="B718" s="713" t="s">
        <v>10989</v>
      </c>
      <c r="C718" s="713"/>
      <c r="D718" s="713"/>
      <c r="E718" s="354">
        <v>0.8</v>
      </c>
      <c r="F718" s="354">
        <v>2.1</v>
      </c>
      <c r="G718" s="676">
        <v>1</v>
      </c>
      <c r="H718" s="355" t="s">
        <v>16</v>
      </c>
      <c r="I718" s="354">
        <f t="shared" ref="I718:I725" si="85">E718*F718*G718</f>
        <v>1.6800000000000002</v>
      </c>
      <c r="J718" s="410" t="str">
        <f t="shared" si="84"/>
        <v>m²</v>
      </c>
    </row>
    <row r="719" spans="1:10" s="218" customFormat="1" ht="28.5" customHeight="1" x14ac:dyDescent="0.25">
      <c r="A719" s="418"/>
      <c r="B719" s="713" t="s">
        <v>10989</v>
      </c>
      <c r="C719" s="713"/>
      <c r="D719" s="713"/>
      <c r="E719" s="354">
        <f>10.69+10.69+5.11</f>
        <v>26.49</v>
      </c>
      <c r="F719" s="354">
        <v>7.5</v>
      </c>
      <c r="G719" s="676">
        <v>1</v>
      </c>
      <c r="H719" s="355" t="s">
        <v>16</v>
      </c>
      <c r="I719" s="354">
        <f t="shared" si="85"/>
        <v>198.67499999999998</v>
      </c>
      <c r="J719" s="466" t="str">
        <f t="shared" si="84"/>
        <v>m²</v>
      </c>
    </row>
    <row r="720" spans="1:10" ht="30" customHeight="1" x14ac:dyDescent="0.25">
      <c r="A720" s="417"/>
      <c r="B720" s="713" t="s">
        <v>10989</v>
      </c>
      <c r="C720" s="713"/>
      <c r="D720" s="713"/>
      <c r="E720" s="354">
        <v>5.1100000000000003</v>
      </c>
      <c r="F720" s="354">
        <f>7.5-3</f>
        <v>4.5</v>
      </c>
      <c r="G720" s="676">
        <v>1</v>
      </c>
      <c r="H720" s="355" t="s">
        <v>16</v>
      </c>
      <c r="I720" s="354">
        <f t="shared" si="85"/>
        <v>22.995000000000001</v>
      </c>
      <c r="J720" s="410" t="str">
        <f t="shared" si="84"/>
        <v>m²</v>
      </c>
    </row>
    <row r="721" spans="1:10" ht="29.25" customHeight="1" x14ac:dyDescent="0.25">
      <c r="A721" s="417"/>
      <c r="B721" s="710" t="s">
        <v>11003</v>
      </c>
      <c r="C721" s="710"/>
      <c r="D721" s="710"/>
      <c r="E721" s="222">
        <f>2.79+2.79+5.41</f>
        <v>10.99</v>
      </c>
      <c r="F721" s="222">
        <v>7.5</v>
      </c>
      <c r="G721" s="463">
        <v>1</v>
      </c>
      <c r="H721" s="367" t="s">
        <v>16</v>
      </c>
      <c r="I721" s="222">
        <f t="shared" si="85"/>
        <v>82.424999999999997</v>
      </c>
      <c r="J721" s="410" t="str">
        <f t="shared" si="84"/>
        <v>m²</v>
      </c>
    </row>
    <row r="722" spans="1:10" x14ac:dyDescent="0.25">
      <c r="A722" s="417"/>
      <c r="B722" s="710" t="s">
        <v>10988</v>
      </c>
      <c r="C722" s="710"/>
      <c r="D722" s="710"/>
      <c r="E722" s="222">
        <f>15.8+15.8</f>
        <v>31.6</v>
      </c>
      <c r="F722" s="222">
        <v>7.5</v>
      </c>
      <c r="G722" s="463">
        <v>1</v>
      </c>
      <c r="H722" s="367" t="s">
        <v>16</v>
      </c>
      <c r="I722" s="222">
        <f t="shared" si="85"/>
        <v>237</v>
      </c>
      <c r="J722" s="410" t="str">
        <f t="shared" si="84"/>
        <v>m²</v>
      </c>
    </row>
    <row r="723" spans="1:10" x14ac:dyDescent="0.25">
      <c r="A723" s="417"/>
      <c r="B723" s="710" t="s">
        <v>10986</v>
      </c>
      <c r="C723" s="710"/>
      <c r="D723" s="710"/>
      <c r="E723" s="222">
        <f>12.41+5.8+5.8</f>
        <v>24.01</v>
      </c>
      <c r="F723" s="222">
        <v>7.5</v>
      </c>
      <c r="G723" s="463">
        <v>1</v>
      </c>
      <c r="H723" s="367" t="s">
        <v>16</v>
      </c>
      <c r="I723" s="222">
        <f t="shared" si="85"/>
        <v>180.07500000000002</v>
      </c>
      <c r="J723" s="410" t="str">
        <f t="shared" si="84"/>
        <v>m²</v>
      </c>
    </row>
    <row r="724" spans="1:10" x14ac:dyDescent="0.25">
      <c r="A724" s="417"/>
      <c r="B724" s="710" t="s">
        <v>10987</v>
      </c>
      <c r="C724" s="710"/>
      <c r="D724" s="710"/>
      <c r="E724" s="222">
        <f>3.85+4.3+1.75</f>
        <v>9.9</v>
      </c>
      <c r="F724" s="222">
        <v>2.8</v>
      </c>
      <c r="G724" s="463">
        <v>1</v>
      </c>
      <c r="H724" s="367" t="s">
        <v>16</v>
      </c>
      <c r="I724" s="222">
        <f t="shared" si="85"/>
        <v>27.72</v>
      </c>
      <c r="J724" s="410" t="str">
        <f t="shared" si="84"/>
        <v>m²</v>
      </c>
    </row>
    <row r="725" spans="1:10" x14ac:dyDescent="0.25">
      <c r="A725" s="417"/>
      <c r="B725" s="714" t="s">
        <v>10999</v>
      </c>
      <c r="C725" s="714"/>
      <c r="D725" s="714"/>
      <c r="E725" s="222">
        <f>2.4+1.5</f>
        <v>3.9</v>
      </c>
      <c r="F725" s="222">
        <v>7.2</v>
      </c>
      <c r="G725" s="463">
        <v>1</v>
      </c>
      <c r="H725" s="367" t="s">
        <v>16</v>
      </c>
      <c r="I725" s="222">
        <f t="shared" si="85"/>
        <v>28.08</v>
      </c>
      <c r="J725" s="410" t="str">
        <f t="shared" si="84"/>
        <v>m²</v>
      </c>
    </row>
    <row r="726" spans="1:10" x14ac:dyDescent="0.25">
      <c r="A726" s="417"/>
      <c r="B726" s="450"/>
      <c r="C726" s="450"/>
      <c r="D726" s="450"/>
      <c r="E726" s="367"/>
      <c r="F726" s="367"/>
      <c r="G726" s="376"/>
      <c r="H726" s="367"/>
      <c r="I726" s="222"/>
      <c r="J726" s="410"/>
    </row>
    <row r="727" spans="1:10" x14ac:dyDescent="0.25">
      <c r="A727" s="417"/>
      <c r="B727" s="450"/>
      <c r="C727" s="450"/>
      <c r="D727" s="450"/>
      <c r="E727" s="367"/>
      <c r="F727" s="367"/>
      <c r="G727" s="406" t="s">
        <v>10935</v>
      </c>
      <c r="H727" s="363" t="s">
        <v>16</v>
      </c>
      <c r="I727" s="210">
        <f>SUM(I707:I726)</f>
        <v>860.07100000000014</v>
      </c>
      <c r="J727" s="457" t="str">
        <f t="shared" si="84"/>
        <v>m²</v>
      </c>
    </row>
    <row r="728" spans="1:10" x14ac:dyDescent="0.25">
      <c r="A728" s="417"/>
      <c r="B728" s="454"/>
      <c r="C728" s="454"/>
      <c r="D728" s="454"/>
      <c r="E728" s="367"/>
      <c r="F728" s="367"/>
      <c r="G728" s="376"/>
      <c r="H728" s="367"/>
      <c r="I728" s="222"/>
      <c r="J728" s="410"/>
    </row>
    <row r="729" spans="1:10" x14ac:dyDescent="0.25">
      <c r="A729" s="717" t="s">
        <v>13870</v>
      </c>
      <c r="B729" s="718"/>
      <c r="C729" s="718"/>
      <c r="D729" s="718"/>
      <c r="E729" s="718"/>
      <c r="F729" s="718"/>
      <c r="G729" s="718"/>
      <c r="H729" s="718"/>
      <c r="I729" s="718"/>
      <c r="J729" s="719"/>
    </row>
    <row r="730" spans="1:10" x14ac:dyDescent="0.25">
      <c r="A730" s="358" t="s">
        <v>10886</v>
      </c>
      <c r="B730" s="360" t="s">
        <v>21</v>
      </c>
      <c r="C730" s="352"/>
      <c r="D730" s="352"/>
      <c r="E730" s="360" t="s">
        <v>10933</v>
      </c>
      <c r="F730" s="360" t="s">
        <v>10930</v>
      </c>
      <c r="G730" s="360" t="s">
        <v>10927</v>
      </c>
      <c r="H730" s="367"/>
      <c r="I730" s="222"/>
      <c r="J730" s="410"/>
    </row>
    <row r="731" spans="1:10" x14ac:dyDescent="0.25">
      <c r="A731" s="409" t="s">
        <v>11010</v>
      </c>
      <c r="B731" s="712" t="s">
        <v>10990</v>
      </c>
      <c r="C731" s="712"/>
      <c r="D731" s="712"/>
      <c r="E731" s="376">
        <v>2.9</v>
      </c>
      <c r="F731" s="376">
        <v>2.8</v>
      </c>
      <c r="G731" s="427">
        <v>1</v>
      </c>
      <c r="H731" s="367" t="s">
        <v>16</v>
      </c>
      <c r="I731" s="222">
        <f>E731*F731*G731</f>
        <v>8.1199999999999992</v>
      </c>
      <c r="J731" s="410" t="str">
        <f>$J$704</f>
        <v>m²</v>
      </c>
    </row>
    <row r="732" spans="1:10" x14ac:dyDescent="0.25">
      <c r="A732" s="409" t="s">
        <v>11012</v>
      </c>
      <c r="B732" s="710" t="s">
        <v>10996</v>
      </c>
      <c r="C732" s="710"/>
      <c r="D732" s="710"/>
      <c r="E732" s="222">
        <v>0.8</v>
      </c>
      <c r="F732" s="222">
        <v>2.1</v>
      </c>
      <c r="G732" s="427">
        <v>1</v>
      </c>
      <c r="H732" s="367" t="s">
        <v>16</v>
      </c>
      <c r="I732" s="222">
        <f t="shared" ref="I732:I743" si="86">E732*F732*G732</f>
        <v>1.6800000000000002</v>
      </c>
      <c r="J732" s="410" t="str">
        <f t="shared" ref="J732:J745" si="87">$J$704</f>
        <v>m²</v>
      </c>
    </row>
    <row r="733" spans="1:10" x14ac:dyDescent="0.25">
      <c r="A733" s="409" t="s">
        <v>10950</v>
      </c>
      <c r="B733" s="710" t="s">
        <v>10989</v>
      </c>
      <c r="C733" s="710"/>
      <c r="D733" s="710"/>
      <c r="E733" s="222">
        <v>1.5</v>
      </c>
      <c r="F733" s="222">
        <v>2.5</v>
      </c>
      <c r="G733" s="463">
        <v>1</v>
      </c>
      <c r="H733" s="367" t="s">
        <v>16</v>
      </c>
      <c r="I733" s="222">
        <f t="shared" si="86"/>
        <v>3.75</v>
      </c>
      <c r="J733" s="410" t="str">
        <f t="shared" si="87"/>
        <v>m²</v>
      </c>
    </row>
    <row r="734" spans="1:10" x14ac:dyDescent="0.25">
      <c r="A734" s="409" t="s">
        <v>11013</v>
      </c>
      <c r="B734" s="710" t="s">
        <v>10990</v>
      </c>
      <c r="C734" s="710"/>
      <c r="D734" s="710"/>
      <c r="E734" s="222">
        <v>1.2</v>
      </c>
      <c r="F734" s="222">
        <v>2.5</v>
      </c>
      <c r="G734" s="463">
        <v>1</v>
      </c>
      <c r="H734" s="367" t="s">
        <v>16</v>
      </c>
      <c r="I734" s="222">
        <f t="shared" si="86"/>
        <v>3</v>
      </c>
      <c r="J734" s="410" t="str">
        <f t="shared" si="87"/>
        <v>m²</v>
      </c>
    </row>
    <row r="735" spans="1:10" x14ac:dyDescent="0.25">
      <c r="A735" s="409" t="s">
        <v>10950</v>
      </c>
      <c r="B735" s="712" t="s">
        <v>11003</v>
      </c>
      <c r="C735" s="712"/>
      <c r="D735" s="712"/>
      <c r="E735" s="222">
        <v>1.5</v>
      </c>
      <c r="F735" s="222">
        <v>2.5</v>
      </c>
      <c r="G735" s="427">
        <v>1</v>
      </c>
      <c r="H735" s="367" t="s">
        <v>16</v>
      </c>
      <c r="I735" s="222">
        <f t="shared" si="86"/>
        <v>3.75</v>
      </c>
      <c r="J735" s="410" t="str">
        <f t="shared" si="87"/>
        <v>m²</v>
      </c>
    </row>
    <row r="736" spans="1:10" x14ac:dyDescent="0.25">
      <c r="A736" s="409" t="s">
        <v>11008</v>
      </c>
      <c r="B736" s="712" t="s">
        <v>11003</v>
      </c>
      <c r="C736" s="712"/>
      <c r="D736" s="712"/>
      <c r="E736" s="222">
        <v>2.9</v>
      </c>
      <c r="F736" s="222">
        <v>4.5</v>
      </c>
      <c r="G736" s="463">
        <v>1</v>
      </c>
      <c r="H736" s="367" t="s">
        <v>16</v>
      </c>
      <c r="I736" s="222">
        <f t="shared" si="86"/>
        <v>13.049999999999999</v>
      </c>
      <c r="J736" s="410" t="str">
        <f t="shared" si="87"/>
        <v>m²</v>
      </c>
    </row>
    <row r="737" spans="1:10" x14ac:dyDescent="0.25">
      <c r="A737" s="417" t="s">
        <v>11008</v>
      </c>
      <c r="B737" s="710" t="s">
        <v>10986</v>
      </c>
      <c r="C737" s="710"/>
      <c r="D737" s="710"/>
      <c r="E737" s="376">
        <v>2.9</v>
      </c>
      <c r="F737" s="376">
        <v>4.5</v>
      </c>
      <c r="G737" s="427">
        <v>2</v>
      </c>
      <c r="H737" s="367" t="s">
        <v>16</v>
      </c>
      <c r="I737" s="222">
        <f t="shared" si="86"/>
        <v>26.099999999999998</v>
      </c>
      <c r="J737" s="410" t="str">
        <f t="shared" si="87"/>
        <v>m²</v>
      </c>
    </row>
    <row r="738" spans="1:10" x14ac:dyDescent="0.25">
      <c r="A738" s="409" t="s">
        <v>11013</v>
      </c>
      <c r="B738" s="712" t="s">
        <v>10987</v>
      </c>
      <c r="C738" s="712"/>
      <c r="D738" s="712"/>
      <c r="E738" s="222">
        <v>1.2</v>
      </c>
      <c r="F738" s="222">
        <v>2.5</v>
      </c>
      <c r="G738" s="463">
        <v>1</v>
      </c>
      <c r="H738" s="367" t="s">
        <v>16</v>
      </c>
      <c r="I738" s="222">
        <f t="shared" si="86"/>
        <v>3</v>
      </c>
      <c r="J738" s="410" t="str">
        <f t="shared" si="87"/>
        <v>m²</v>
      </c>
    </row>
    <row r="739" spans="1:10" x14ac:dyDescent="0.25">
      <c r="A739" s="417" t="s">
        <v>10938</v>
      </c>
      <c r="B739" s="467" t="s">
        <v>10999</v>
      </c>
      <c r="C739" s="467"/>
      <c r="D739" s="352"/>
      <c r="E739" s="376">
        <v>1.2</v>
      </c>
      <c r="F739" s="376">
        <v>0.4</v>
      </c>
      <c r="G739" s="427">
        <v>1</v>
      </c>
      <c r="H739" s="367" t="s">
        <v>16</v>
      </c>
      <c r="I739" s="222">
        <f t="shared" si="86"/>
        <v>0.48</v>
      </c>
      <c r="J739" s="410" t="str">
        <f t="shared" si="87"/>
        <v>m²</v>
      </c>
    </row>
    <row r="740" spans="1:10" x14ac:dyDescent="0.25">
      <c r="A740" s="417" t="s">
        <v>11030</v>
      </c>
      <c r="B740" s="467" t="s">
        <v>10987</v>
      </c>
      <c r="C740" s="467"/>
      <c r="D740" s="352"/>
      <c r="E740" s="222">
        <v>3.85</v>
      </c>
      <c r="F740" s="222">
        <v>2.6</v>
      </c>
      <c r="G740" s="427">
        <v>1</v>
      </c>
      <c r="H740" s="367" t="s">
        <v>16</v>
      </c>
      <c r="I740" s="222">
        <f t="shared" si="86"/>
        <v>10.01</v>
      </c>
      <c r="J740" s="410" t="str">
        <f t="shared" si="87"/>
        <v>m²</v>
      </c>
    </row>
    <row r="741" spans="1:10" x14ac:dyDescent="0.25">
      <c r="A741" s="417" t="s">
        <v>11031</v>
      </c>
      <c r="B741" s="467" t="s">
        <v>10987</v>
      </c>
      <c r="C741" s="467"/>
      <c r="D741" s="352"/>
      <c r="E741" s="222">
        <v>3.7</v>
      </c>
      <c r="F741" s="222">
        <v>1.6</v>
      </c>
      <c r="G741" s="427">
        <v>1</v>
      </c>
      <c r="H741" s="367" t="s">
        <v>16</v>
      </c>
      <c r="I741" s="222">
        <f t="shared" si="86"/>
        <v>5.9200000000000008</v>
      </c>
      <c r="J741" s="410" t="str">
        <f t="shared" si="87"/>
        <v>m²</v>
      </c>
    </row>
    <row r="742" spans="1:10" x14ac:dyDescent="0.25">
      <c r="A742" s="417" t="s">
        <v>11018</v>
      </c>
      <c r="B742" s="467" t="s">
        <v>10987</v>
      </c>
      <c r="C742" s="467"/>
      <c r="D742" s="467"/>
      <c r="E742" s="376">
        <v>0.9</v>
      </c>
      <c r="F742" s="376">
        <v>2.1</v>
      </c>
      <c r="G742" s="427">
        <v>1</v>
      </c>
      <c r="H742" s="367" t="s">
        <v>16</v>
      </c>
      <c r="I742" s="222">
        <f t="shared" si="86"/>
        <v>1.8900000000000001</v>
      </c>
      <c r="J742" s="410" t="str">
        <f t="shared" si="87"/>
        <v>m²</v>
      </c>
    </row>
    <row r="743" spans="1:10" x14ac:dyDescent="0.25">
      <c r="A743" s="409" t="s">
        <v>11007</v>
      </c>
      <c r="B743" s="710" t="s">
        <v>10999</v>
      </c>
      <c r="C743" s="710"/>
      <c r="D743" s="710"/>
      <c r="E743" s="222">
        <v>0.9</v>
      </c>
      <c r="F743" s="222">
        <v>2.1</v>
      </c>
      <c r="G743" s="427">
        <v>1</v>
      </c>
      <c r="H743" s="367" t="s">
        <v>16</v>
      </c>
      <c r="I743" s="222">
        <f t="shared" si="86"/>
        <v>1.8900000000000001</v>
      </c>
      <c r="J743" s="410" t="str">
        <f t="shared" si="87"/>
        <v>m²</v>
      </c>
    </row>
    <row r="744" spans="1:10" x14ac:dyDescent="0.25">
      <c r="A744" s="350"/>
      <c r="B744" s="454"/>
      <c r="C744" s="454"/>
      <c r="D744" s="454"/>
      <c r="E744" s="352"/>
      <c r="F744" s="352"/>
      <c r="G744" s="376"/>
      <c r="H744" s="367"/>
      <c r="I744" s="222"/>
      <c r="J744" s="410"/>
    </row>
    <row r="745" spans="1:10" x14ac:dyDescent="0.25">
      <c r="A745" s="350"/>
      <c r="B745" s="454"/>
      <c r="C745" s="454"/>
      <c r="D745" s="454"/>
      <c r="E745" s="367"/>
      <c r="F745" s="367"/>
      <c r="G745" s="406" t="s">
        <v>10935</v>
      </c>
      <c r="H745" s="363" t="s">
        <v>16</v>
      </c>
      <c r="I745" s="210">
        <f>SUM(I731:I744)</f>
        <v>82.639999999999986</v>
      </c>
      <c r="J745" s="457" t="str">
        <f t="shared" si="87"/>
        <v>m²</v>
      </c>
    </row>
    <row r="746" spans="1:10" x14ac:dyDescent="0.25">
      <c r="A746" s="350"/>
      <c r="B746" s="454"/>
      <c r="C746" s="454"/>
      <c r="D746" s="454"/>
      <c r="E746" s="367"/>
      <c r="F746" s="367"/>
      <c r="G746" s="376"/>
      <c r="H746" s="367"/>
      <c r="I746" s="222"/>
      <c r="J746" s="410"/>
    </row>
    <row r="747" spans="1:10" x14ac:dyDescent="0.25">
      <c r="A747" s="717" t="s">
        <v>11139</v>
      </c>
      <c r="B747" s="718"/>
      <c r="C747" s="718"/>
      <c r="D747" s="718"/>
      <c r="E747" s="718"/>
      <c r="F747" s="718"/>
      <c r="G747" s="718"/>
      <c r="H747" s="718"/>
      <c r="I747" s="718"/>
      <c r="J747" s="719"/>
    </row>
    <row r="748" spans="1:10" x14ac:dyDescent="0.25">
      <c r="A748" s="350"/>
      <c r="B748" s="468" t="s">
        <v>10886</v>
      </c>
      <c r="C748" s="454"/>
      <c r="D748" s="454"/>
      <c r="E748" s="363" t="s">
        <v>10927</v>
      </c>
      <c r="F748" s="360" t="s">
        <v>10930</v>
      </c>
      <c r="G748" s="406" t="s">
        <v>11141</v>
      </c>
      <c r="H748" s="367"/>
      <c r="I748" s="222"/>
      <c r="J748" s="410"/>
    </row>
    <row r="749" spans="1:10" x14ac:dyDescent="0.25">
      <c r="A749" s="350"/>
      <c r="B749" s="454" t="s">
        <v>11140</v>
      </c>
      <c r="C749" s="454"/>
      <c r="D749" s="454"/>
      <c r="E749" s="355">
        <v>20</v>
      </c>
      <c r="F749" s="222">
        <v>3</v>
      </c>
      <c r="G749" s="376">
        <f>(12*0.02)+(12*0.1)</f>
        <v>1.4400000000000002</v>
      </c>
      <c r="H749" s="367" t="s">
        <v>16</v>
      </c>
      <c r="I749" s="354">
        <f>F749*G749*E749</f>
        <v>86.4</v>
      </c>
      <c r="J749" s="410" t="str">
        <f>$J$704</f>
        <v>m²</v>
      </c>
    </row>
    <row r="750" spans="1:10" x14ac:dyDescent="0.25">
      <c r="A750" s="350"/>
      <c r="B750" s="454"/>
      <c r="C750" s="454"/>
      <c r="D750" s="454"/>
      <c r="E750" s="367"/>
      <c r="F750" s="367"/>
      <c r="G750" s="376"/>
      <c r="H750" s="367"/>
      <c r="I750" s="222"/>
      <c r="J750" s="410"/>
    </row>
    <row r="751" spans="1:10" s="198" customFormat="1" ht="14.25" x14ac:dyDescent="0.2">
      <c r="A751" s="362"/>
      <c r="B751" s="711" t="s">
        <v>11061</v>
      </c>
      <c r="C751" s="711"/>
      <c r="D751" s="711"/>
      <c r="E751" s="711"/>
      <c r="F751" s="711"/>
      <c r="G751" s="406"/>
      <c r="H751" s="363" t="s">
        <v>16</v>
      </c>
      <c r="I751" s="210">
        <f>I727-I745-I749</f>
        <v>691.03100000000018</v>
      </c>
      <c r="J751" s="457" t="str">
        <f>$J$704</f>
        <v>m²</v>
      </c>
    </row>
    <row r="752" spans="1:10" ht="15.75" thickBot="1" x14ac:dyDescent="0.3">
      <c r="A752" s="350"/>
      <c r="B752" s="454"/>
      <c r="C752" s="454"/>
      <c r="D752" s="454"/>
      <c r="E752" s="367"/>
      <c r="F752" s="367"/>
      <c r="G752" s="376"/>
      <c r="H752" s="367"/>
      <c r="I752" s="222"/>
      <c r="J752" s="410"/>
    </row>
    <row r="753" spans="1:10" s="40" customFormat="1" ht="15.75" thickBot="1" x14ac:dyDescent="0.3">
      <c r="A753" s="46" t="s">
        <v>128</v>
      </c>
      <c r="B753" s="60" t="str">
        <f>VLOOKUP(A753,PO!$A$8:$K$433,4,FALSE)</f>
        <v>Tela de aço soldada galvanizada/zincada para alvenaria, fio d = *1,20 a 1,70* mm, malha 15 x 15 mm, (c x l) *50 x 6* cm</v>
      </c>
      <c r="C753" s="47"/>
      <c r="D753" s="48"/>
      <c r="E753" s="47"/>
      <c r="F753" s="49"/>
      <c r="G753" s="50"/>
      <c r="H753" s="50"/>
      <c r="I753" s="50">
        <f>SUM(H756:H768)</f>
        <v>59.70000000000001</v>
      </c>
      <c r="J753" s="284" t="str">
        <f>VLOOKUP(A753,PO!$A$8:$K$433,5,FALSE)</f>
        <v>m</v>
      </c>
    </row>
    <row r="754" spans="1:10" x14ac:dyDescent="0.25">
      <c r="A754" s="350"/>
      <c r="B754" s="454"/>
      <c r="C754" s="454"/>
      <c r="D754" s="454"/>
      <c r="E754" s="367"/>
      <c r="F754" s="367"/>
      <c r="G754" s="376"/>
      <c r="H754" s="367"/>
      <c r="I754" s="222"/>
      <c r="J754" s="410"/>
    </row>
    <row r="755" spans="1:10" x14ac:dyDescent="0.25">
      <c r="A755" s="358" t="s">
        <v>10886</v>
      </c>
      <c r="B755" s="360" t="s">
        <v>21</v>
      </c>
      <c r="C755" s="352"/>
      <c r="D755" s="352"/>
      <c r="E755" s="360" t="s">
        <v>10930</v>
      </c>
      <c r="F755" s="360" t="s">
        <v>10962</v>
      </c>
      <c r="G755" s="370"/>
      <c r="H755" s="431" t="s">
        <v>14</v>
      </c>
      <c r="I755" s="431" t="s">
        <v>15</v>
      </c>
      <c r="J755" s="369"/>
    </row>
    <row r="756" spans="1:10" ht="15" customHeight="1" x14ac:dyDescent="0.25">
      <c r="A756" s="417" t="s">
        <v>10924</v>
      </c>
      <c r="B756" s="710" t="s">
        <v>10993</v>
      </c>
      <c r="C756" s="710"/>
      <c r="D756" s="710"/>
      <c r="E756" s="222">
        <v>2.1</v>
      </c>
      <c r="F756" s="427">
        <v>2</v>
      </c>
      <c r="G756" s="367" t="s">
        <v>16</v>
      </c>
      <c r="H756" s="222">
        <f>E756*F756</f>
        <v>4.2</v>
      </c>
      <c r="I756" s="368" t="str">
        <f>$J$753</f>
        <v>m</v>
      </c>
      <c r="J756" s="369"/>
    </row>
    <row r="757" spans="1:10" ht="15" customHeight="1" x14ac:dyDescent="0.25">
      <c r="A757" s="417" t="s">
        <v>10916</v>
      </c>
      <c r="B757" s="710" t="s">
        <v>10993</v>
      </c>
      <c r="C757" s="710"/>
      <c r="D757" s="710"/>
      <c r="E757" s="222">
        <v>1.6</v>
      </c>
      <c r="F757" s="427">
        <v>2</v>
      </c>
      <c r="G757" s="367" t="s">
        <v>16</v>
      </c>
      <c r="H757" s="222">
        <f t="shared" ref="H757:H768" si="88">E757*F757</f>
        <v>3.2</v>
      </c>
      <c r="I757" s="368" t="str">
        <f t="shared" ref="I757:I768" si="89">$J$753</f>
        <v>m</v>
      </c>
      <c r="J757" s="369"/>
    </row>
    <row r="758" spans="1:10" x14ac:dyDescent="0.25">
      <c r="A758" s="417" t="s">
        <v>10924</v>
      </c>
      <c r="B758" s="710" t="s">
        <v>10995</v>
      </c>
      <c r="C758" s="710"/>
      <c r="D758" s="710"/>
      <c r="E758" s="222">
        <v>2.1</v>
      </c>
      <c r="F758" s="427">
        <v>2</v>
      </c>
      <c r="G758" s="367" t="s">
        <v>16</v>
      </c>
      <c r="H758" s="222">
        <f t="shared" si="88"/>
        <v>4.2</v>
      </c>
      <c r="I758" s="368" t="str">
        <f t="shared" si="89"/>
        <v>m</v>
      </c>
      <c r="J758" s="369"/>
    </row>
    <row r="759" spans="1:10" x14ac:dyDescent="0.25">
      <c r="A759" s="417"/>
      <c r="B759" s="712" t="s">
        <v>10991</v>
      </c>
      <c r="C759" s="712"/>
      <c r="D759" s="454"/>
      <c r="E759" s="222">
        <v>3</v>
      </c>
      <c r="F759" s="427">
        <v>2</v>
      </c>
      <c r="G759" s="367" t="s">
        <v>16</v>
      </c>
      <c r="H759" s="222">
        <f t="shared" si="88"/>
        <v>6</v>
      </c>
      <c r="I759" s="368" t="str">
        <f t="shared" si="89"/>
        <v>m</v>
      </c>
      <c r="J759" s="369"/>
    </row>
    <row r="760" spans="1:10" x14ac:dyDescent="0.25">
      <c r="A760" s="417" t="s">
        <v>10924</v>
      </c>
      <c r="B760" s="712" t="s">
        <v>10991</v>
      </c>
      <c r="C760" s="712"/>
      <c r="D760" s="454"/>
      <c r="E760" s="222">
        <v>2.1</v>
      </c>
      <c r="F760" s="427">
        <v>2</v>
      </c>
      <c r="G760" s="367" t="s">
        <v>16</v>
      </c>
      <c r="H760" s="222">
        <f t="shared" si="88"/>
        <v>4.2</v>
      </c>
      <c r="I760" s="368" t="str">
        <f t="shared" si="89"/>
        <v>m</v>
      </c>
      <c r="J760" s="369"/>
    </row>
    <row r="761" spans="1:10" x14ac:dyDescent="0.25">
      <c r="A761" s="417" t="s">
        <v>10916</v>
      </c>
      <c r="B761" s="712" t="s">
        <v>10991</v>
      </c>
      <c r="C761" s="712"/>
      <c r="D761" s="454"/>
      <c r="E761" s="222">
        <v>1.6</v>
      </c>
      <c r="F761" s="427">
        <v>4</v>
      </c>
      <c r="G761" s="367" t="s">
        <v>16</v>
      </c>
      <c r="H761" s="222">
        <f t="shared" si="88"/>
        <v>6.4</v>
      </c>
      <c r="I761" s="368" t="str">
        <f t="shared" si="89"/>
        <v>m</v>
      </c>
      <c r="J761" s="369"/>
    </row>
    <row r="762" spans="1:10" s="40" customFormat="1" ht="48.75" customHeight="1" x14ac:dyDescent="0.25">
      <c r="A762" s="409"/>
      <c r="B762" s="712" t="s">
        <v>10990</v>
      </c>
      <c r="C762" s="712"/>
      <c r="D762" s="469"/>
      <c r="E762" s="222">
        <v>3</v>
      </c>
      <c r="F762" s="463">
        <v>1</v>
      </c>
      <c r="G762" s="367" t="s">
        <v>16</v>
      </c>
      <c r="H762" s="222">
        <f t="shared" si="88"/>
        <v>3</v>
      </c>
      <c r="I762" s="368" t="str">
        <f t="shared" si="89"/>
        <v>m</v>
      </c>
      <c r="J762" s="470"/>
    </row>
    <row r="763" spans="1:10" x14ac:dyDescent="0.25">
      <c r="A763" s="417"/>
      <c r="B763" s="454" t="s">
        <v>10996</v>
      </c>
      <c r="C763" s="454"/>
      <c r="D763" s="454"/>
      <c r="E763" s="222">
        <v>3</v>
      </c>
      <c r="F763" s="427">
        <v>1</v>
      </c>
      <c r="G763" s="367" t="s">
        <v>16</v>
      </c>
      <c r="H763" s="222">
        <f t="shared" si="88"/>
        <v>3</v>
      </c>
      <c r="I763" s="368" t="str">
        <f t="shared" si="89"/>
        <v>m</v>
      </c>
      <c r="J763" s="369"/>
    </row>
    <row r="764" spans="1:10" x14ac:dyDescent="0.25">
      <c r="A764" s="417" t="s">
        <v>10929</v>
      </c>
      <c r="B764" s="710" t="s">
        <v>10997</v>
      </c>
      <c r="C764" s="710"/>
      <c r="D764" s="710"/>
      <c r="E764" s="222">
        <v>1.05</v>
      </c>
      <c r="F764" s="427">
        <v>2</v>
      </c>
      <c r="G764" s="367" t="s">
        <v>16</v>
      </c>
      <c r="H764" s="222">
        <f t="shared" si="88"/>
        <v>2.1</v>
      </c>
      <c r="I764" s="368" t="str">
        <f t="shared" si="89"/>
        <v>m</v>
      </c>
      <c r="J764" s="369"/>
    </row>
    <row r="765" spans="1:10" x14ac:dyDescent="0.25">
      <c r="A765" s="417"/>
      <c r="B765" s="710" t="s">
        <v>10998</v>
      </c>
      <c r="C765" s="710"/>
      <c r="D765" s="710"/>
      <c r="E765" s="222">
        <v>3</v>
      </c>
      <c r="F765" s="427">
        <v>2</v>
      </c>
      <c r="G765" s="367" t="s">
        <v>16</v>
      </c>
      <c r="H765" s="222">
        <f t="shared" si="88"/>
        <v>6</v>
      </c>
      <c r="I765" s="368" t="str">
        <f t="shared" si="89"/>
        <v>m</v>
      </c>
      <c r="J765" s="369"/>
    </row>
    <row r="766" spans="1:10" ht="30" customHeight="1" x14ac:dyDescent="0.25">
      <c r="A766" s="409"/>
      <c r="B766" s="710" t="s">
        <v>10989</v>
      </c>
      <c r="C766" s="710"/>
      <c r="D766" s="710"/>
      <c r="E766" s="222">
        <f>7.5-3</f>
        <v>4.5</v>
      </c>
      <c r="F766" s="463">
        <v>2</v>
      </c>
      <c r="G766" s="367" t="s">
        <v>16</v>
      </c>
      <c r="H766" s="222">
        <f t="shared" si="88"/>
        <v>9</v>
      </c>
      <c r="I766" s="368" t="str">
        <f t="shared" si="89"/>
        <v>m</v>
      </c>
      <c r="J766" s="369"/>
    </row>
    <row r="767" spans="1:10" ht="28.5" customHeight="1" x14ac:dyDescent="0.25">
      <c r="A767" s="409" t="s">
        <v>10925</v>
      </c>
      <c r="B767" s="710" t="s">
        <v>10989</v>
      </c>
      <c r="C767" s="710"/>
      <c r="D767" s="710"/>
      <c r="E767" s="222">
        <v>2.1</v>
      </c>
      <c r="F767" s="463">
        <v>2</v>
      </c>
      <c r="G767" s="367" t="s">
        <v>16</v>
      </c>
      <c r="H767" s="222">
        <f>E767*F767</f>
        <v>4.2</v>
      </c>
      <c r="I767" s="368" t="str">
        <f t="shared" si="89"/>
        <v>m</v>
      </c>
      <c r="J767" s="369"/>
    </row>
    <row r="768" spans="1:10" ht="28.5" customHeight="1" x14ac:dyDescent="0.25">
      <c r="A768" s="417" t="s">
        <v>10924</v>
      </c>
      <c r="B768" s="710" t="s">
        <v>10989</v>
      </c>
      <c r="C768" s="710"/>
      <c r="D768" s="710"/>
      <c r="E768" s="222">
        <v>2.1</v>
      </c>
      <c r="F768" s="463">
        <v>2</v>
      </c>
      <c r="G768" s="367" t="s">
        <v>16</v>
      </c>
      <c r="H768" s="222">
        <f t="shared" si="88"/>
        <v>4.2</v>
      </c>
      <c r="I768" s="368" t="str">
        <f t="shared" si="89"/>
        <v>m</v>
      </c>
      <c r="J768" s="369"/>
    </row>
    <row r="769" spans="1:10" ht="15.75" thickBot="1" x14ac:dyDescent="0.3">
      <c r="A769" s="417"/>
      <c r="B769" s="710"/>
      <c r="C769" s="710"/>
      <c r="D769" s="710"/>
      <c r="E769" s="222"/>
      <c r="F769" s="222"/>
      <c r="G769" s="427"/>
      <c r="H769" s="367"/>
      <c r="I769" s="222"/>
      <c r="J769" s="410"/>
    </row>
    <row r="770" spans="1:10" s="40" customFormat="1" ht="15.75" thickBot="1" x14ac:dyDescent="0.3">
      <c r="A770" s="46" t="s">
        <v>129</v>
      </c>
      <c r="B770" s="60" t="str">
        <f>VLOOKUP(A770,PO!$A$8:$K$433,4,FALSE)</f>
        <v>Ferro cabelo (travamento pilar metálico x alvenaria) D=4.2mmx0.88m</v>
      </c>
      <c r="C770" s="47"/>
      <c r="D770" s="48"/>
      <c r="E770" s="47"/>
      <c r="F770" s="49"/>
      <c r="G770" s="50"/>
      <c r="H770" s="50"/>
      <c r="I770" s="50">
        <f>SUM(H773)</f>
        <v>240</v>
      </c>
      <c r="J770" s="284" t="str">
        <f>VLOOKUP(A770,PO!$A$8:$K$433,5,FALSE)</f>
        <v>und</v>
      </c>
    </row>
    <row r="771" spans="1:10" x14ac:dyDescent="0.25">
      <c r="A771" s="350"/>
      <c r="B771" s="454"/>
      <c r="C771" s="454"/>
      <c r="D771" s="454"/>
      <c r="E771" s="367"/>
      <c r="F771" s="367"/>
      <c r="G771" s="376"/>
      <c r="H771" s="367"/>
      <c r="I771" s="222"/>
      <c r="J771" s="410"/>
    </row>
    <row r="772" spans="1:10" ht="29.25" x14ac:dyDescent="0.25">
      <c r="A772" s="358"/>
      <c r="B772" s="363" t="s">
        <v>21</v>
      </c>
      <c r="C772" s="352"/>
      <c r="D772" s="455" t="s">
        <v>11143</v>
      </c>
      <c r="E772" s="363" t="s">
        <v>11142</v>
      </c>
      <c r="F772" s="363" t="s">
        <v>10962</v>
      </c>
      <c r="G772" s="370"/>
      <c r="H772" s="351" t="s">
        <v>14</v>
      </c>
      <c r="I772" s="351" t="s">
        <v>15</v>
      </c>
      <c r="J772" s="369"/>
    </row>
    <row r="773" spans="1:10" x14ac:dyDescent="0.25">
      <c r="A773" s="417"/>
      <c r="B773" s="370" t="s">
        <v>11092</v>
      </c>
      <c r="C773" s="352"/>
      <c r="D773" s="370">
        <f>ROUNDUP((2.8/0.6),0)</f>
        <v>5</v>
      </c>
      <c r="E773" s="370">
        <v>24</v>
      </c>
      <c r="F773" s="370">
        <v>2</v>
      </c>
      <c r="G773" s="370" t="s">
        <v>16</v>
      </c>
      <c r="H773" s="365">
        <f>ROUND(D773*E773*F773,2)</f>
        <v>240</v>
      </c>
      <c r="I773" s="471" t="str">
        <f>$J$770</f>
        <v>und</v>
      </c>
      <c r="J773" s="369"/>
    </row>
    <row r="774" spans="1:10" ht="15.75" thickBot="1" x14ac:dyDescent="0.3">
      <c r="A774" s="358"/>
      <c r="B774" s="360"/>
      <c r="C774" s="352"/>
      <c r="D774" s="352"/>
      <c r="E774" s="360"/>
      <c r="F774" s="360"/>
      <c r="G774" s="370"/>
      <c r="H774" s="431"/>
      <c r="I774" s="431"/>
      <c r="J774" s="369"/>
    </row>
    <row r="775" spans="1:10" s="40" customFormat="1" ht="15.75" thickBot="1" x14ac:dyDescent="0.3">
      <c r="A775" s="41" t="s">
        <v>62</v>
      </c>
      <c r="B775" s="42" t="str">
        <f>VLOOKUP(A775,PO!$A$8:$K$425,4,FALSE)</f>
        <v>DIVISÓRIAS DE GRANITO</v>
      </c>
      <c r="C775" s="43"/>
      <c r="D775" s="43"/>
      <c r="E775" s="43"/>
      <c r="F775" s="43"/>
      <c r="G775" s="43"/>
      <c r="H775" s="43"/>
      <c r="I775" s="43"/>
      <c r="J775" s="44"/>
    </row>
    <row r="776" spans="1:10" s="40" customFormat="1" ht="15.75" thickBot="1" x14ac:dyDescent="0.3">
      <c r="A776" s="347"/>
      <c r="B776" s="205"/>
      <c r="C776" s="205"/>
      <c r="D776" s="348"/>
      <c r="E776" s="205"/>
      <c r="F776" s="237"/>
      <c r="G776" s="208"/>
      <c r="H776" s="208"/>
      <c r="I776" s="208"/>
      <c r="J776" s="349"/>
    </row>
    <row r="777" spans="1:10" s="40" customFormat="1" ht="15.75" thickBot="1" x14ac:dyDescent="0.3">
      <c r="A777" s="46" t="s">
        <v>11752</v>
      </c>
      <c r="B777" s="60" t="str">
        <f>VLOOKUP(A777,PO!$A$8:$K$433,4,FALSE)</f>
        <v>Divisória Em Granito Branco Polido, Esp = 3cm, Assentado Com Argamassa Traço 1:4, Arremate Em Cimento Branco, Exclusive Ferragens - Fornecimento e instalação</v>
      </c>
      <c r="C777" s="47"/>
      <c r="D777" s="48"/>
      <c r="E777" s="47"/>
      <c r="F777" s="49"/>
      <c r="G777" s="50"/>
      <c r="H777" s="50"/>
      <c r="I777" s="50">
        <f>SUM(H780:H781)</f>
        <v>5.2160000000000011</v>
      </c>
      <c r="J777" s="284" t="str">
        <f>VLOOKUP(A777,PO!$A$8:$K$433,5,FALSE)</f>
        <v>m²</v>
      </c>
    </row>
    <row r="778" spans="1:10" x14ac:dyDescent="0.25">
      <c r="A778" s="350"/>
      <c r="B778" s="352"/>
      <c r="C778" s="352"/>
      <c r="D778" s="360"/>
      <c r="E778" s="360"/>
      <c r="F778" s="352"/>
      <c r="G778" s="352"/>
      <c r="H778" s="352"/>
      <c r="I778" s="352"/>
      <c r="J778" s="369"/>
    </row>
    <row r="779" spans="1:10" x14ac:dyDescent="0.25">
      <c r="A779" s="358"/>
      <c r="B779" s="360" t="s">
        <v>21</v>
      </c>
      <c r="C779" s="352"/>
      <c r="D779" s="352"/>
      <c r="E779" s="360" t="s">
        <v>10933</v>
      </c>
      <c r="F779" s="360" t="s">
        <v>10930</v>
      </c>
      <c r="G779" s="370"/>
      <c r="H779" s="431" t="s">
        <v>14</v>
      </c>
      <c r="I779" s="431" t="s">
        <v>15</v>
      </c>
      <c r="J779" s="369"/>
    </row>
    <row r="780" spans="1:10" ht="15" customHeight="1" x14ac:dyDescent="0.25">
      <c r="A780" s="417"/>
      <c r="B780" s="472" t="s">
        <v>10997</v>
      </c>
      <c r="C780" s="472"/>
      <c r="D780" s="352"/>
      <c r="E780" s="222">
        <f>1.37+0.08+0.13+0.05</f>
        <v>1.6300000000000001</v>
      </c>
      <c r="F780" s="222">
        <v>1.6</v>
      </c>
      <c r="G780" s="367" t="s">
        <v>16</v>
      </c>
      <c r="H780" s="222">
        <f>E780*F780</f>
        <v>2.6080000000000005</v>
      </c>
      <c r="I780" s="368" t="str">
        <f>$J$777</f>
        <v>m²</v>
      </c>
      <c r="J780" s="369"/>
    </row>
    <row r="781" spans="1:10" s="34" customFormat="1" x14ac:dyDescent="0.25">
      <c r="A781" s="344"/>
      <c r="B781" s="467" t="s">
        <v>10998</v>
      </c>
      <c r="C781" s="467"/>
      <c r="D781" s="345"/>
      <c r="E781" s="222">
        <f>1.37+0.08+0.13+0.05</f>
        <v>1.6300000000000001</v>
      </c>
      <c r="F781" s="222">
        <v>1.6</v>
      </c>
      <c r="G781" s="367" t="s">
        <v>16</v>
      </c>
      <c r="H781" s="222">
        <f>E781*F781</f>
        <v>2.6080000000000005</v>
      </c>
      <c r="I781" s="368" t="str">
        <f>$J$777</f>
        <v>m²</v>
      </c>
      <c r="J781" s="346"/>
    </row>
    <row r="782" spans="1:10" s="34" customFormat="1" ht="15.75" thickBot="1" x14ac:dyDescent="0.3">
      <c r="A782" s="344"/>
      <c r="B782" s="450"/>
      <c r="C782" s="450"/>
      <c r="D782" s="450"/>
      <c r="E782" s="355"/>
      <c r="F782" s="355"/>
      <c r="G782" s="365"/>
      <c r="H782" s="355"/>
      <c r="I782" s="354"/>
      <c r="J782" s="451"/>
    </row>
    <row r="783" spans="1:10" s="40" customFormat="1" ht="15.75" thickBot="1" x14ac:dyDescent="0.3">
      <c r="A783" s="36" t="s">
        <v>86</v>
      </c>
      <c r="B783" s="37" t="str">
        <f>VLOOKUP(A783,PO!$A$8:$K$425,4,FALSE)</f>
        <v>COBERTURA</v>
      </c>
      <c r="C783" s="38"/>
      <c r="D783" s="37"/>
      <c r="E783" s="38"/>
      <c r="F783" s="38"/>
      <c r="G783" s="38"/>
      <c r="H783" s="38"/>
      <c r="I783" s="38"/>
      <c r="J783" s="39"/>
    </row>
    <row r="784" spans="1:10" ht="16.5" customHeight="1" thickBot="1" x14ac:dyDescent="0.3">
      <c r="A784" s="344"/>
      <c r="B784" s="345"/>
      <c r="C784" s="345"/>
      <c r="D784" s="345"/>
      <c r="E784" s="345"/>
      <c r="F784" s="345"/>
      <c r="G784" s="345"/>
      <c r="H784" s="345"/>
      <c r="I784" s="345"/>
      <c r="J784" s="346"/>
    </row>
    <row r="785" spans="1:10" s="40" customFormat="1" ht="15.75" thickBot="1" x14ac:dyDescent="0.3">
      <c r="A785" s="41" t="s">
        <v>131</v>
      </c>
      <c r="B785" s="42" t="str">
        <f>VLOOKUP(A785,PO!$A$8:$K$425,4,FALSE)</f>
        <v>ESTRUTURA METÁLICA</v>
      </c>
      <c r="C785" s="43"/>
      <c r="D785" s="43"/>
      <c r="E785" s="43"/>
      <c r="F785" s="43"/>
      <c r="G785" s="43"/>
      <c r="H785" s="43"/>
      <c r="I785" s="43"/>
      <c r="J785" s="44"/>
    </row>
    <row r="786" spans="1:10" s="40" customFormat="1" ht="15.75" thickBot="1" x14ac:dyDescent="0.3">
      <c r="A786" s="347"/>
      <c r="B786" s="205"/>
      <c r="C786" s="205"/>
      <c r="D786" s="348"/>
      <c r="E786" s="205"/>
      <c r="F786" s="237"/>
      <c r="G786" s="208"/>
      <c r="H786" s="208"/>
      <c r="I786" s="208"/>
      <c r="J786" s="349"/>
    </row>
    <row r="787" spans="1:10" s="40" customFormat="1" ht="15.75" thickBot="1" x14ac:dyDescent="0.3">
      <c r="A787" s="46" t="s">
        <v>132</v>
      </c>
      <c r="B787" s="60" t="str">
        <f>VLOOKUP(A787,PO!$A$8:$K$433,4,FALSE)</f>
        <v xml:space="preserve">Fabricação e Instalação de Tesoura Inteira em Aço, para vãos maiores de 16 m, Para Telha Ondulada de Fibrocimento, Metálica, Plástica ou Termoacústica, Incluso Içamento. </v>
      </c>
      <c r="C787" s="47"/>
      <c r="D787" s="48"/>
      <c r="E787" s="47"/>
      <c r="F787" s="49"/>
      <c r="G787" s="50"/>
      <c r="H787" s="50"/>
      <c r="I787" s="50">
        <f>H790</f>
        <v>3187.73</v>
      </c>
      <c r="J787" s="284" t="str">
        <f>VLOOKUP(A787,PO!$A$8:$K$433,5,FALSE)</f>
        <v>kg</v>
      </c>
    </row>
    <row r="788" spans="1:10" x14ac:dyDescent="0.25">
      <c r="A788" s="350"/>
      <c r="B788" s="352"/>
      <c r="C788" s="352"/>
      <c r="D788" s="360"/>
      <c r="E788" s="360"/>
      <c r="F788" s="352"/>
      <c r="G788" s="352"/>
      <c r="H788" s="352"/>
      <c r="I788" s="352"/>
      <c r="J788" s="369"/>
    </row>
    <row r="789" spans="1:10" x14ac:dyDescent="0.25">
      <c r="A789" s="358"/>
      <c r="B789" s="360" t="s">
        <v>21</v>
      </c>
      <c r="C789" s="352"/>
      <c r="D789" s="352"/>
      <c r="E789" s="360"/>
      <c r="F789" s="360" t="s">
        <v>11784</v>
      </c>
      <c r="G789" s="370"/>
      <c r="H789" s="431" t="s">
        <v>14</v>
      </c>
      <c r="I789" s="431" t="s">
        <v>15</v>
      </c>
      <c r="J789" s="452"/>
    </row>
    <row r="790" spans="1:10" x14ac:dyDescent="0.25">
      <c r="A790" s="358"/>
      <c r="B790" s="370" t="s">
        <v>11800</v>
      </c>
      <c r="C790" s="352"/>
      <c r="D790" s="352"/>
      <c r="E790" s="360"/>
      <c r="F790" s="370">
        <f>3187.73</f>
        <v>3187.73</v>
      </c>
      <c r="G790" s="367" t="s">
        <v>16</v>
      </c>
      <c r="H790" s="222">
        <f>ROUND(F790,2)</f>
        <v>3187.73</v>
      </c>
      <c r="I790" s="368" t="str">
        <f>$J$777</f>
        <v>m²</v>
      </c>
      <c r="J790" s="452"/>
    </row>
    <row r="791" spans="1:10" x14ac:dyDescent="0.25">
      <c r="A791" s="358"/>
      <c r="B791" s="370"/>
      <c r="C791" s="352"/>
      <c r="D791" s="352"/>
      <c r="E791" s="360"/>
      <c r="F791" s="370"/>
      <c r="G791" s="367"/>
      <c r="H791" s="222"/>
      <c r="I791" s="368"/>
      <c r="J791" s="452"/>
    </row>
    <row r="792" spans="1:10" x14ac:dyDescent="0.25">
      <c r="A792" s="358"/>
      <c r="B792" s="376" t="s">
        <v>11789</v>
      </c>
      <c r="C792" s="352"/>
      <c r="D792" s="352"/>
      <c r="E792" s="360"/>
      <c r="F792" s="360"/>
      <c r="G792" s="370"/>
      <c r="H792" s="431"/>
      <c r="I792" s="431"/>
      <c r="J792" s="452"/>
    </row>
    <row r="793" spans="1:10" ht="15.75" thickBot="1" x14ac:dyDescent="0.3">
      <c r="A793" s="358"/>
      <c r="B793" s="360"/>
      <c r="C793" s="352"/>
      <c r="D793" s="352"/>
      <c r="E793" s="360"/>
      <c r="F793" s="360"/>
      <c r="G793" s="370"/>
      <c r="H793" s="431"/>
      <c r="I793" s="431"/>
      <c r="J793" s="452"/>
    </row>
    <row r="794" spans="1:10" s="40" customFormat="1" ht="15.75" thickBot="1" x14ac:dyDescent="0.3">
      <c r="A794" s="46" t="s">
        <v>11062</v>
      </c>
      <c r="B794" s="60" t="s">
        <v>11104</v>
      </c>
      <c r="C794" s="47"/>
      <c r="D794" s="48"/>
      <c r="E794" s="47"/>
      <c r="F794" s="49"/>
      <c r="G794" s="50"/>
      <c r="H794" s="50"/>
      <c r="I794" s="50">
        <f>SUM(H797:H799)</f>
        <v>629.02</v>
      </c>
      <c r="J794" s="284" t="s">
        <v>164</v>
      </c>
    </row>
    <row r="795" spans="1:10" x14ac:dyDescent="0.25">
      <c r="A795" s="350"/>
      <c r="B795" s="352"/>
      <c r="C795" s="352"/>
      <c r="D795" s="352"/>
      <c r="E795" s="352"/>
      <c r="F795" s="370"/>
      <c r="G795" s="352"/>
      <c r="H795" s="352"/>
      <c r="I795" s="352"/>
      <c r="J795" s="369"/>
    </row>
    <row r="796" spans="1:10" x14ac:dyDescent="0.25">
      <c r="A796" s="358"/>
      <c r="B796" s="360" t="s">
        <v>21</v>
      </c>
      <c r="C796" s="352"/>
      <c r="D796" s="360" t="s">
        <v>10933</v>
      </c>
      <c r="E796" s="360" t="s">
        <v>10921</v>
      </c>
      <c r="F796" s="360" t="s">
        <v>10936</v>
      </c>
      <c r="G796" s="370"/>
      <c r="H796" s="431" t="s">
        <v>14</v>
      </c>
      <c r="I796" s="431" t="s">
        <v>15</v>
      </c>
      <c r="J796" s="452"/>
    </row>
    <row r="797" spans="1:10" s="34" customFormat="1" x14ac:dyDescent="0.25">
      <c r="A797" s="344"/>
      <c r="B797" s="440" t="s">
        <v>11747</v>
      </c>
      <c r="C797" s="450"/>
      <c r="D797" s="458">
        <v>30.5</v>
      </c>
      <c r="E797" s="354">
        <v>15.13</v>
      </c>
      <c r="F797" s="354">
        <f>ROUND(D797*E797,2)</f>
        <v>461.47</v>
      </c>
      <c r="G797" s="222" t="s">
        <v>16</v>
      </c>
      <c r="H797" s="222">
        <f>F797</f>
        <v>461.47</v>
      </c>
      <c r="I797" s="368" t="str">
        <f>$J$777</f>
        <v>m²</v>
      </c>
      <c r="J797" s="451"/>
    </row>
    <row r="798" spans="1:10" s="34" customFormat="1" x14ac:dyDescent="0.25">
      <c r="A798" s="344"/>
      <c r="B798" s="440" t="s">
        <v>11748</v>
      </c>
      <c r="C798" s="450"/>
      <c r="D798" s="458">
        <v>18.13</v>
      </c>
      <c r="E798" s="354">
        <v>5.6</v>
      </c>
      <c r="F798" s="354">
        <f>ROUND(D798*E798,2)</f>
        <v>101.53</v>
      </c>
      <c r="G798" s="222" t="s">
        <v>16</v>
      </c>
      <c r="H798" s="222">
        <f t="shared" ref="H798:H799" si="90">F798</f>
        <v>101.53</v>
      </c>
      <c r="I798" s="368" t="str">
        <f>$J$777</f>
        <v>m²</v>
      </c>
      <c r="J798" s="451"/>
    </row>
    <row r="799" spans="1:10" s="34" customFormat="1" x14ac:dyDescent="0.25">
      <c r="A799" s="344"/>
      <c r="B799" s="440" t="s">
        <v>11749</v>
      </c>
      <c r="C799" s="450"/>
      <c r="D799" s="458">
        <v>12.82</v>
      </c>
      <c r="E799" s="354">
        <v>5.15</v>
      </c>
      <c r="F799" s="354">
        <f>ROUND(D799*E799,2)</f>
        <v>66.02</v>
      </c>
      <c r="G799" s="222" t="s">
        <v>16</v>
      </c>
      <c r="H799" s="222">
        <f t="shared" si="90"/>
        <v>66.02</v>
      </c>
      <c r="I799" s="368" t="str">
        <f t="shared" ref="I799" si="91">$J$777</f>
        <v>m²</v>
      </c>
      <c r="J799" s="451"/>
    </row>
    <row r="800" spans="1:10" x14ac:dyDescent="0.25">
      <c r="A800" s="350"/>
      <c r="B800" s="428"/>
      <c r="C800" s="352"/>
      <c r="D800" s="376"/>
      <c r="E800" s="376"/>
      <c r="F800" s="352"/>
      <c r="G800" s="370"/>
      <c r="H800" s="376"/>
      <c r="I800" s="377"/>
      <c r="J800" s="369"/>
    </row>
    <row r="801" spans="1:12" ht="15.75" thickBot="1" x14ac:dyDescent="0.3">
      <c r="A801" s="350"/>
      <c r="B801" s="428"/>
      <c r="C801" s="352"/>
      <c r="D801" s="376"/>
      <c r="E801" s="376"/>
      <c r="F801" s="370"/>
      <c r="G801" s="370"/>
      <c r="H801" s="376"/>
      <c r="I801" s="377"/>
      <c r="J801" s="369"/>
    </row>
    <row r="802" spans="1:12" s="40" customFormat="1" ht="15.75" thickBot="1" x14ac:dyDescent="0.3">
      <c r="A802" s="46" t="s">
        <v>11064</v>
      </c>
      <c r="B802" s="60" t="s">
        <v>11105</v>
      </c>
      <c r="C802" s="47"/>
      <c r="D802" s="48"/>
      <c r="E802" s="47"/>
      <c r="F802" s="49"/>
      <c r="G802" s="50"/>
      <c r="H802" s="50"/>
      <c r="I802" s="50">
        <f>SUM(H805:H806)</f>
        <v>594.37</v>
      </c>
      <c r="J802" s="284" t="s">
        <v>164</v>
      </c>
    </row>
    <row r="803" spans="1:12" x14ac:dyDescent="0.25">
      <c r="A803" s="350"/>
      <c r="B803" s="352"/>
      <c r="C803" s="352"/>
      <c r="D803" s="352"/>
      <c r="E803" s="352"/>
      <c r="F803" s="370"/>
      <c r="G803" s="352"/>
      <c r="H803" s="352"/>
      <c r="I803" s="352"/>
      <c r="J803" s="369"/>
    </row>
    <row r="804" spans="1:12" x14ac:dyDescent="0.25">
      <c r="A804" s="358"/>
      <c r="B804" s="360" t="s">
        <v>21</v>
      </c>
      <c r="C804" s="352"/>
      <c r="D804" s="352"/>
      <c r="E804" s="360"/>
      <c r="F804" s="360" t="s">
        <v>10936</v>
      </c>
      <c r="G804" s="370"/>
      <c r="H804" s="431" t="s">
        <v>14</v>
      </c>
      <c r="I804" s="431" t="s">
        <v>15</v>
      </c>
      <c r="J804" s="452"/>
    </row>
    <row r="805" spans="1:12" x14ac:dyDescent="0.25">
      <c r="A805" s="358"/>
      <c r="B805" s="370" t="s">
        <v>11800</v>
      </c>
      <c r="C805" s="352"/>
      <c r="D805" s="352"/>
      <c r="E805" s="360"/>
      <c r="F805" s="376">
        <f>3.083+78.319+60.849+1.149+0.597+33.015+12.89+12.479+37.427+38.836+0.14+7.659+237.884+70.042</f>
        <v>594.36899999999991</v>
      </c>
      <c r="G805" s="367" t="s">
        <v>16</v>
      </c>
      <c r="H805" s="222">
        <f>ROUND(F805,2)</f>
        <v>594.37</v>
      </c>
      <c r="I805" s="368" t="str">
        <f>$J$777</f>
        <v>m²</v>
      </c>
      <c r="J805" s="452"/>
      <c r="L805" s="291"/>
    </row>
    <row r="806" spans="1:12" x14ac:dyDescent="0.25">
      <c r="A806" s="358"/>
      <c r="B806" s="370"/>
      <c r="C806" s="352"/>
      <c r="D806" s="352"/>
      <c r="E806" s="360"/>
      <c r="F806" s="370"/>
      <c r="G806" s="367"/>
      <c r="H806" s="222"/>
      <c r="I806" s="368"/>
      <c r="J806" s="452"/>
    </row>
    <row r="807" spans="1:12" x14ac:dyDescent="0.25">
      <c r="A807" s="358"/>
      <c r="B807" s="376" t="s">
        <v>11789</v>
      </c>
      <c r="C807" s="352"/>
      <c r="D807" s="352"/>
      <c r="E807" s="360"/>
      <c r="F807" s="360"/>
      <c r="G807" s="370"/>
      <c r="H807" s="431"/>
      <c r="I807" s="431"/>
      <c r="J807" s="452"/>
    </row>
    <row r="808" spans="1:12" ht="15.75" thickBot="1" x14ac:dyDescent="0.3">
      <c r="A808" s="358"/>
      <c r="B808" s="360"/>
      <c r="C808" s="352"/>
      <c r="D808" s="352"/>
      <c r="E808" s="360"/>
      <c r="F808" s="360"/>
      <c r="G808" s="370"/>
      <c r="H808" s="431"/>
      <c r="I808" s="431"/>
      <c r="J808" s="452"/>
    </row>
    <row r="809" spans="1:12" s="40" customFormat="1" ht="15.75" thickBot="1" x14ac:dyDescent="0.3">
      <c r="A809" s="41" t="s">
        <v>11070</v>
      </c>
      <c r="B809" s="42" t="str">
        <f>VLOOKUP(A809,PO!$A$8:$K$425,4,FALSE)</f>
        <v>TELHAMENTO</v>
      </c>
      <c r="C809" s="43"/>
      <c r="D809" s="43"/>
      <c r="E809" s="43"/>
      <c r="F809" s="43"/>
      <c r="G809" s="43"/>
      <c r="H809" s="43"/>
      <c r="I809" s="43"/>
      <c r="J809" s="44"/>
    </row>
    <row r="810" spans="1:12" s="40" customFormat="1" ht="15.75" thickBot="1" x14ac:dyDescent="0.3">
      <c r="A810" s="347"/>
      <c r="B810" s="205"/>
      <c r="C810" s="205"/>
      <c r="D810" s="348"/>
      <c r="E810" s="205"/>
      <c r="F810" s="237"/>
      <c r="G810" s="208"/>
      <c r="H810" s="208"/>
      <c r="I810" s="208"/>
      <c r="J810" s="349"/>
    </row>
    <row r="811" spans="1:12" s="40" customFormat="1" ht="15.75" thickBot="1" x14ac:dyDescent="0.3">
      <c r="A811" s="46" t="s">
        <v>11071</v>
      </c>
      <c r="B811" s="60" t="str">
        <f>VLOOKUP(A811,PO!$A$8:$K$433,4,FALSE)</f>
        <v>Telhamento com Telha Metálica Termoacústica e=30mm, com áte 2 Águas Incluso Içamento - Fornecimento e instalação</v>
      </c>
      <c r="C811" s="47"/>
      <c r="D811" s="48"/>
      <c r="E811" s="47"/>
      <c r="F811" s="49"/>
      <c r="G811" s="50"/>
      <c r="H811" s="50"/>
      <c r="I811" s="50">
        <f>SUM(H814:H816)</f>
        <v>629.02</v>
      </c>
      <c r="J811" s="284" t="str">
        <f>VLOOKUP(A811,PO!$A$8:$K$433,5,FALSE)</f>
        <v>m²</v>
      </c>
      <c r="L811" s="285"/>
    </row>
    <row r="812" spans="1:12" x14ac:dyDescent="0.25">
      <c r="A812" s="350"/>
      <c r="B812" s="352"/>
      <c r="C812" s="352"/>
      <c r="D812" s="360"/>
      <c r="E812" s="360"/>
      <c r="F812" s="352"/>
      <c r="G812" s="352"/>
      <c r="H812" s="352"/>
      <c r="I812" s="352"/>
      <c r="J812" s="369"/>
    </row>
    <row r="813" spans="1:12" x14ac:dyDescent="0.25">
      <c r="A813" s="358"/>
      <c r="B813" s="360" t="s">
        <v>21</v>
      </c>
      <c r="C813" s="352"/>
      <c r="D813" s="360" t="s">
        <v>10933</v>
      </c>
      <c r="E813" s="360" t="s">
        <v>10921</v>
      </c>
      <c r="F813" s="360" t="s">
        <v>10936</v>
      </c>
      <c r="G813" s="370"/>
      <c r="H813" s="431" t="s">
        <v>14</v>
      </c>
      <c r="I813" s="431" t="s">
        <v>15</v>
      </c>
      <c r="J813" s="452"/>
    </row>
    <row r="814" spans="1:12" s="34" customFormat="1" x14ac:dyDescent="0.25">
      <c r="A814" s="344"/>
      <c r="B814" s="440" t="s">
        <v>11747</v>
      </c>
      <c r="C814" s="450"/>
      <c r="D814" s="458">
        <v>30.5</v>
      </c>
      <c r="E814" s="354">
        <v>15.13</v>
      </c>
      <c r="F814" s="354">
        <f>ROUND(D814*E814,2)</f>
        <v>461.47</v>
      </c>
      <c r="G814" s="222" t="s">
        <v>16</v>
      </c>
      <c r="H814" s="222">
        <f>F814</f>
        <v>461.47</v>
      </c>
      <c r="I814" s="368" t="str">
        <f>$J$777</f>
        <v>m²</v>
      </c>
      <c r="J814" s="451"/>
    </row>
    <row r="815" spans="1:12" s="34" customFormat="1" x14ac:dyDescent="0.25">
      <c r="A815" s="344"/>
      <c r="B815" s="440" t="s">
        <v>11748</v>
      </c>
      <c r="C815" s="450"/>
      <c r="D815" s="458">
        <v>18.13</v>
      </c>
      <c r="E815" s="354">
        <v>5.6</v>
      </c>
      <c r="F815" s="354">
        <f>ROUND(D815*E815,2)</f>
        <v>101.53</v>
      </c>
      <c r="G815" s="222" t="s">
        <v>16</v>
      </c>
      <c r="H815" s="222">
        <f t="shared" ref="H815:H816" si="92">F815</f>
        <v>101.53</v>
      </c>
      <c r="I815" s="368" t="str">
        <f>$J$777</f>
        <v>m²</v>
      </c>
      <c r="J815" s="451"/>
    </row>
    <row r="816" spans="1:12" s="34" customFormat="1" x14ac:dyDescent="0.25">
      <c r="A816" s="344"/>
      <c r="B816" s="440" t="s">
        <v>11749</v>
      </c>
      <c r="C816" s="450"/>
      <c r="D816" s="458">
        <v>12.82</v>
      </c>
      <c r="E816" s="354">
        <v>5.15</v>
      </c>
      <c r="F816" s="354">
        <f>ROUND(D816*E816,2)</f>
        <v>66.02</v>
      </c>
      <c r="G816" s="222" t="s">
        <v>16</v>
      </c>
      <c r="H816" s="222">
        <f t="shared" si="92"/>
        <v>66.02</v>
      </c>
      <c r="I816" s="368" t="str">
        <f>$J$777</f>
        <v>m²</v>
      </c>
      <c r="J816" s="451"/>
    </row>
    <row r="817" spans="1:10" s="34" customFormat="1" ht="15.75" thickBot="1" x14ac:dyDescent="0.3">
      <c r="A817" s="344"/>
      <c r="B817" s="440"/>
      <c r="C817" s="450"/>
      <c r="D817" s="458"/>
      <c r="E817" s="354"/>
      <c r="F817" s="354"/>
      <c r="G817" s="222"/>
      <c r="H817" s="222"/>
      <c r="I817" s="368"/>
      <c r="J817" s="451"/>
    </row>
    <row r="818" spans="1:10" s="40" customFormat="1" ht="15.75" thickBot="1" x14ac:dyDescent="0.3">
      <c r="A818" s="46" t="s">
        <v>11750</v>
      </c>
      <c r="B818" s="60" t="str">
        <f>VLOOKUP(A818,PO!$A$8:$K$433,4,FALSE)</f>
        <v xml:space="preserve">Cumeeira de alumínio termoacústica, perfil trapezoidal - Fornecimento e instalação </v>
      </c>
      <c r="C818" s="47"/>
      <c r="D818" s="48"/>
      <c r="E818" s="47"/>
      <c r="F818" s="49"/>
      <c r="G818" s="50"/>
      <c r="H818" s="50"/>
      <c r="I818" s="50">
        <f>H821</f>
        <v>18.45</v>
      </c>
      <c r="J818" s="284" t="s">
        <v>47</v>
      </c>
    </row>
    <row r="819" spans="1:10" x14ac:dyDescent="0.25">
      <c r="A819" s="350"/>
      <c r="B819" s="352"/>
      <c r="C819" s="352"/>
      <c r="D819" s="352"/>
      <c r="E819" s="352"/>
      <c r="F819" s="370"/>
      <c r="G819" s="352"/>
      <c r="H819" s="352"/>
      <c r="I819" s="352"/>
      <c r="J819" s="369"/>
    </row>
    <row r="820" spans="1:10" x14ac:dyDescent="0.25">
      <c r="A820" s="350"/>
      <c r="B820" s="360" t="s">
        <v>10886</v>
      </c>
      <c r="C820" s="352"/>
      <c r="D820" s="360" t="s">
        <v>10933</v>
      </c>
      <c r="E820" s="360"/>
      <c r="F820" s="360"/>
      <c r="G820" s="352"/>
      <c r="H820" s="363" t="s">
        <v>14</v>
      </c>
      <c r="I820" s="363" t="s">
        <v>15</v>
      </c>
      <c r="J820" s="369"/>
    </row>
    <row r="821" spans="1:10" x14ac:dyDescent="0.25">
      <c r="A821" s="350"/>
      <c r="B821" s="370" t="s">
        <v>11751</v>
      </c>
      <c r="C821" s="352"/>
      <c r="D821" s="376">
        <v>18.45</v>
      </c>
      <c r="E821" s="352"/>
      <c r="F821" s="370"/>
      <c r="G821" s="222" t="s">
        <v>16</v>
      </c>
      <c r="H821" s="376">
        <f>D821</f>
        <v>18.45</v>
      </c>
      <c r="I821" s="377" t="str">
        <f>J818</f>
        <v>m</v>
      </c>
      <c r="J821" s="369"/>
    </row>
    <row r="822" spans="1:10" x14ac:dyDescent="0.25">
      <c r="A822" s="350"/>
      <c r="B822" s="352"/>
      <c r="C822" s="352"/>
      <c r="D822" s="352"/>
      <c r="E822" s="352"/>
      <c r="F822" s="370"/>
      <c r="G822" s="352"/>
      <c r="H822" s="352"/>
      <c r="I822" s="352"/>
      <c r="J822" s="369"/>
    </row>
    <row r="823" spans="1:10" s="34" customFormat="1" ht="15.75" thickBot="1" x14ac:dyDescent="0.3">
      <c r="A823" s="344"/>
      <c r="B823" s="450"/>
      <c r="C823" s="450"/>
      <c r="D823" s="450"/>
      <c r="E823" s="355"/>
      <c r="F823" s="355"/>
      <c r="G823" s="367"/>
      <c r="H823" s="222"/>
      <c r="I823" s="368"/>
      <c r="J823" s="451"/>
    </row>
    <row r="824" spans="1:10" s="40" customFormat="1" ht="15.75" thickBot="1" x14ac:dyDescent="0.3">
      <c r="A824" s="41" t="s">
        <v>11753</v>
      </c>
      <c r="B824" s="42" t="str">
        <f>VLOOKUP(A824,PO!$A$8:$K$425,4,FALSE)</f>
        <v>CALHA E RUFO METÁLICO</v>
      </c>
      <c r="C824" s="43"/>
      <c r="D824" s="43"/>
      <c r="E824" s="43"/>
      <c r="F824" s="43"/>
      <c r="G824" s="43"/>
      <c r="H824" s="43"/>
      <c r="I824" s="43"/>
      <c r="J824" s="44"/>
    </row>
    <row r="825" spans="1:10" s="40" customFormat="1" ht="15.75" thickBot="1" x14ac:dyDescent="0.3">
      <c r="A825" s="347"/>
      <c r="B825" s="205"/>
      <c r="C825" s="205"/>
      <c r="D825" s="348"/>
      <c r="E825" s="205"/>
      <c r="F825" s="237"/>
      <c r="G825" s="208"/>
      <c r="H825" s="208"/>
      <c r="I825" s="208"/>
      <c r="J825" s="349"/>
    </row>
    <row r="826" spans="1:10" s="40" customFormat="1" ht="15.75" thickBot="1" x14ac:dyDescent="0.3">
      <c r="A826" s="46" t="s">
        <v>11754</v>
      </c>
      <c r="B826" s="60" t="str">
        <f>VLOOKUP(A826,PO!$A$8:$K$433,4,FALSE)</f>
        <v>Calha em chapa de aço galvanizado número 24, desenvolvimento de 50 cm,incluso transporte vertical - Fornecimento e instalação</v>
      </c>
      <c r="C826" s="47"/>
      <c r="D826" s="48"/>
      <c r="E826" s="47"/>
      <c r="F826" s="49"/>
      <c r="G826" s="50"/>
      <c r="H826" s="50"/>
      <c r="I826" s="50">
        <f>H829</f>
        <v>53.54</v>
      </c>
      <c r="J826" s="284" t="str">
        <f>VLOOKUP(A826,PO!$A$8:$K$433,5,FALSE)</f>
        <v>m</v>
      </c>
    </row>
    <row r="827" spans="1:10" x14ac:dyDescent="0.25">
      <c r="A827" s="350"/>
      <c r="B827" s="352"/>
      <c r="C827" s="352"/>
      <c r="D827" s="360"/>
      <c r="E827" s="360"/>
      <c r="F827" s="352"/>
      <c r="G827" s="352"/>
      <c r="H827" s="352"/>
      <c r="I827" s="352"/>
      <c r="J827" s="369"/>
    </row>
    <row r="828" spans="1:10" x14ac:dyDescent="0.25">
      <c r="A828" s="358"/>
      <c r="B828" s="360" t="s">
        <v>21</v>
      </c>
      <c r="C828" s="352"/>
      <c r="D828" s="352"/>
      <c r="E828" s="360" t="s">
        <v>10933</v>
      </c>
      <c r="F828" s="360"/>
      <c r="G828" s="370"/>
      <c r="H828" s="431" t="s">
        <v>14</v>
      </c>
      <c r="I828" s="431" t="s">
        <v>15</v>
      </c>
      <c r="J828" s="452"/>
    </row>
    <row r="829" spans="1:10" s="34" customFormat="1" x14ac:dyDescent="0.25">
      <c r="A829" s="344"/>
      <c r="B829" s="370" t="s">
        <v>11800</v>
      </c>
      <c r="C829" s="450"/>
      <c r="D829" s="450"/>
      <c r="E829" s="355">
        <f>26.77*2</f>
        <v>53.54</v>
      </c>
      <c r="F829" s="355"/>
      <c r="G829" s="367" t="s">
        <v>16</v>
      </c>
      <c r="H829" s="222">
        <f>ROUND(E829,2)</f>
        <v>53.54</v>
      </c>
      <c r="I829" s="368" t="str">
        <f>$J$826</f>
        <v>m</v>
      </c>
      <c r="J829" s="451"/>
    </row>
    <row r="830" spans="1:10" s="34" customFormat="1" ht="15.75" thickBot="1" x14ac:dyDescent="0.3">
      <c r="A830" s="344"/>
      <c r="B830" s="450"/>
      <c r="C830" s="450"/>
      <c r="D830" s="450"/>
      <c r="E830" s="355"/>
      <c r="F830" s="355"/>
      <c r="G830" s="367"/>
      <c r="H830" s="222"/>
      <c r="I830" s="368"/>
      <c r="J830" s="451"/>
    </row>
    <row r="831" spans="1:10" s="40" customFormat="1" ht="36" customHeight="1" thickBot="1" x14ac:dyDescent="0.3">
      <c r="A831" s="46" t="s">
        <v>11755</v>
      </c>
      <c r="B831" s="741" t="str">
        <f>VLOOKUP(A831,PO!$A$8:$K$433,4,FALSE)</f>
        <v>Rufo externo/interno em chapa de aço galvanizado número 26, corte de 33 cm, incluso içamento. Af_07/2019</v>
      </c>
      <c r="C831" s="741"/>
      <c r="D831" s="741"/>
      <c r="E831" s="741"/>
      <c r="F831" s="741"/>
      <c r="G831" s="741"/>
      <c r="H831" s="741"/>
      <c r="I831" s="50">
        <f>H834</f>
        <v>63.52</v>
      </c>
      <c r="J831" s="284" t="str">
        <f>VLOOKUP(A831,PO!$A$8:$K$433,5,FALSE)</f>
        <v>m</v>
      </c>
    </row>
    <row r="832" spans="1:10" x14ac:dyDescent="0.25">
      <c r="A832" s="350"/>
      <c r="B832" s="352"/>
      <c r="C832" s="352"/>
      <c r="D832" s="360"/>
      <c r="E832" s="360"/>
      <c r="F832" s="352"/>
      <c r="G832" s="352"/>
      <c r="H832" s="352"/>
      <c r="I832" s="352"/>
      <c r="J832" s="369"/>
    </row>
    <row r="833" spans="1:10" x14ac:dyDescent="0.25">
      <c r="A833" s="358"/>
      <c r="B833" s="360" t="s">
        <v>21</v>
      </c>
      <c r="C833" s="352"/>
      <c r="D833" s="352"/>
      <c r="E833" s="360" t="s">
        <v>10933</v>
      </c>
      <c r="F833" s="360"/>
      <c r="G833" s="370"/>
      <c r="H833" s="431" t="s">
        <v>14</v>
      </c>
      <c r="I833" s="431" t="s">
        <v>15</v>
      </c>
      <c r="J833" s="452"/>
    </row>
    <row r="834" spans="1:10" s="34" customFormat="1" x14ac:dyDescent="0.25">
      <c r="A834" s="344"/>
      <c r="B834" s="370" t="s">
        <v>11800</v>
      </c>
      <c r="C834" s="450"/>
      <c r="D834" s="450"/>
      <c r="E834" s="355">
        <f>12.42+3.86+5.35+26.96+14.93</f>
        <v>63.52</v>
      </c>
      <c r="F834" s="355"/>
      <c r="G834" s="367" t="s">
        <v>16</v>
      </c>
      <c r="H834" s="222">
        <f>ROUND(E834,2)</f>
        <v>63.52</v>
      </c>
      <c r="I834" s="368" t="str">
        <f>$J$831</f>
        <v>m</v>
      </c>
      <c r="J834" s="451"/>
    </row>
    <row r="835" spans="1:10" s="34" customFormat="1" ht="15.75" thickBot="1" x14ac:dyDescent="0.3">
      <c r="A835" s="344"/>
      <c r="B835" s="450"/>
      <c r="C835" s="450"/>
      <c r="D835" s="450"/>
      <c r="E835" s="355"/>
      <c r="F835" s="355"/>
      <c r="G835" s="367"/>
      <c r="H835" s="222"/>
      <c r="I835" s="368"/>
      <c r="J835" s="451"/>
    </row>
    <row r="836" spans="1:10" s="40" customFormat="1" ht="15.75" thickBot="1" x14ac:dyDescent="0.3">
      <c r="A836" s="41" t="s">
        <v>11756</v>
      </c>
      <c r="B836" s="42" t="str">
        <f>VLOOKUP(A836,PO!$A$8:$K$425,4,FALSE)</f>
        <v>FORRO EM GESSO</v>
      </c>
      <c r="C836" s="43"/>
      <c r="D836" s="43"/>
      <c r="E836" s="43"/>
      <c r="F836" s="43"/>
      <c r="G836" s="43"/>
      <c r="H836" s="43"/>
      <c r="I836" s="43"/>
      <c r="J836" s="44"/>
    </row>
    <row r="837" spans="1:10" s="40" customFormat="1" ht="15.75" thickBot="1" x14ac:dyDescent="0.3">
      <c r="A837" s="347"/>
      <c r="B837" s="205"/>
      <c r="C837" s="205"/>
      <c r="D837" s="348"/>
      <c r="E837" s="205"/>
      <c r="F837" s="237"/>
      <c r="G837" s="208"/>
      <c r="H837" s="208"/>
      <c r="I837" s="208"/>
      <c r="J837" s="349"/>
    </row>
    <row r="838" spans="1:10" s="40" customFormat="1" ht="15.75" thickBot="1" x14ac:dyDescent="0.3">
      <c r="A838" s="46" t="s">
        <v>11757</v>
      </c>
      <c r="B838" s="60" t="str">
        <f>VLOOKUP(A838,PO!$A$8:$K$433,4,FALSE)</f>
        <v xml:space="preserve">Forro em Drywall, para ambientes comerciais, inclusive estrutura de fixação.  </v>
      </c>
      <c r="C838" s="47"/>
      <c r="D838" s="48"/>
      <c r="E838" s="47"/>
      <c r="F838" s="49"/>
      <c r="G838" s="50"/>
      <c r="H838" s="50"/>
      <c r="I838" s="50">
        <f>SUM(I841:I856)</f>
        <v>466.55150000000003</v>
      </c>
      <c r="J838" s="284" t="str">
        <f>VLOOKUP(A838,PO!$A$8:$K$433,5,FALSE)</f>
        <v>m²</v>
      </c>
    </row>
    <row r="839" spans="1:10" x14ac:dyDescent="0.25">
      <c r="A839" s="350"/>
      <c r="B839" s="352"/>
      <c r="C839" s="352"/>
      <c r="D839" s="360"/>
      <c r="E839" s="360"/>
      <c r="F839" s="352"/>
      <c r="G839" s="352"/>
      <c r="H839" s="352"/>
      <c r="I839" s="352"/>
      <c r="J839" s="369"/>
    </row>
    <row r="840" spans="1:10" x14ac:dyDescent="0.25">
      <c r="A840" s="358"/>
      <c r="B840" s="360" t="s">
        <v>21</v>
      </c>
      <c r="C840" s="352"/>
      <c r="D840" s="352"/>
      <c r="E840" s="360" t="s">
        <v>10921</v>
      </c>
      <c r="F840" s="360" t="s">
        <v>10933</v>
      </c>
      <c r="G840" s="360" t="s">
        <v>10936</v>
      </c>
      <c r="H840" s="352"/>
      <c r="I840" s="431" t="s">
        <v>14</v>
      </c>
      <c r="J840" s="452" t="s">
        <v>15</v>
      </c>
    </row>
    <row r="841" spans="1:10" s="34" customFormat="1" x14ac:dyDescent="0.25">
      <c r="A841" s="344"/>
      <c r="B841" s="428" t="s">
        <v>11088</v>
      </c>
      <c r="C841" s="352"/>
      <c r="D841" s="352"/>
      <c r="E841" s="376">
        <f>$E$918</f>
        <v>4</v>
      </c>
      <c r="F841" s="376">
        <f>$F$918</f>
        <v>3.85</v>
      </c>
      <c r="G841" s="376">
        <f>E841*F841</f>
        <v>15.4</v>
      </c>
      <c r="H841" s="365" t="s">
        <v>16</v>
      </c>
      <c r="I841" s="222">
        <f>G841</f>
        <v>15.4</v>
      </c>
      <c r="J841" s="410" t="str">
        <f>$J$838</f>
        <v>m²</v>
      </c>
    </row>
    <row r="842" spans="1:10" s="34" customFormat="1" x14ac:dyDescent="0.25">
      <c r="A842" s="344"/>
      <c r="B842" s="710" t="s">
        <v>10986</v>
      </c>
      <c r="C842" s="710"/>
      <c r="D842" s="710"/>
      <c r="E842" s="367" t="s">
        <v>10937</v>
      </c>
      <c r="F842" s="367" t="s">
        <v>10937</v>
      </c>
      <c r="G842" s="222">
        <f>$G$917</f>
        <v>49.66</v>
      </c>
      <c r="H842" s="365" t="s">
        <v>16</v>
      </c>
      <c r="I842" s="222">
        <f t="shared" ref="I842:I856" si="93">G842</f>
        <v>49.66</v>
      </c>
      <c r="J842" s="410" t="str">
        <f t="shared" ref="J842:J856" si="94">$J$838</f>
        <v>m²</v>
      </c>
    </row>
    <row r="843" spans="1:10" s="34" customFormat="1" x14ac:dyDescent="0.25">
      <c r="A843" s="344"/>
      <c r="B843" s="710" t="s">
        <v>10988</v>
      </c>
      <c r="C843" s="710"/>
      <c r="D843" s="352"/>
      <c r="E843" s="222">
        <f>$E$920</f>
        <v>12.11</v>
      </c>
      <c r="F843" s="222">
        <f>$F$920</f>
        <v>15.8</v>
      </c>
      <c r="G843" s="222">
        <f t="shared" ref="G843:G854" si="95">E843*F843</f>
        <v>191.33799999999999</v>
      </c>
      <c r="H843" s="365" t="s">
        <v>16</v>
      </c>
      <c r="I843" s="222">
        <f t="shared" si="93"/>
        <v>191.33799999999999</v>
      </c>
      <c r="J843" s="410" t="str">
        <f t="shared" si="94"/>
        <v>m²</v>
      </c>
    </row>
    <row r="844" spans="1:10" s="34" customFormat="1" x14ac:dyDescent="0.25">
      <c r="A844" s="344"/>
      <c r="B844" s="710" t="s">
        <v>11003</v>
      </c>
      <c r="C844" s="710"/>
      <c r="D844" s="710"/>
      <c r="E844" s="222">
        <f>$E$922</f>
        <v>2.79</v>
      </c>
      <c r="F844" s="222">
        <f>$F$922</f>
        <v>5.1100000000000003</v>
      </c>
      <c r="G844" s="376">
        <f>E844*F844</f>
        <v>14.256900000000002</v>
      </c>
      <c r="H844" s="365" t="s">
        <v>16</v>
      </c>
      <c r="I844" s="222">
        <f t="shared" si="93"/>
        <v>14.256900000000002</v>
      </c>
      <c r="J844" s="410" t="str">
        <f t="shared" si="94"/>
        <v>m²</v>
      </c>
    </row>
    <row r="845" spans="1:10" s="34" customFormat="1" x14ac:dyDescent="0.25">
      <c r="A845" s="344"/>
      <c r="B845" s="710" t="s">
        <v>10989</v>
      </c>
      <c r="C845" s="710"/>
      <c r="D845" s="710"/>
      <c r="E845" s="222">
        <f>$E$921</f>
        <v>5.1100000000000003</v>
      </c>
      <c r="F845" s="222">
        <f>$F$921</f>
        <v>10.39</v>
      </c>
      <c r="G845" s="376">
        <f t="shared" si="95"/>
        <v>53.092900000000007</v>
      </c>
      <c r="H845" s="365" t="s">
        <v>16</v>
      </c>
      <c r="I845" s="222">
        <f t="shared" si="93"/>
        <v>53.092900000000007</v>
      </c>
      <c r="J845" s="410" t="str">
        <f t="shared" si="94"/>
        <v>m²</v>
      </c>
    </row>
    <row r="846" spans="1:10" s="34" customFormat="1" x14ac:dyDescent="0.25">
      <c r="A846" s="344"/>
      <c r="B846" s="710" t="s">
        <v>10990</v>
      </c>
      <c r="C846" s="710"/>
      <c r="D846" s="710"/>
      <c r="E846" s="222">
        <f>$E$923</f>
        <v>2.29</v>
      </c>
      <c r="F846" s="222">
        <f>$F$923</f>
        <v>5.25</v>
      </c>
      <c r="G846" s="376">
        <f t="shared" si="95"/>
        <v>12.022500000000001</v>
      </c>
      <c r="H846" s="365" t="s">
        <v>16</v>
      </c>
      <c r="I846" s="222">
        <f t="shared" si="93"/>
        <v>12.022500000000001</v>
      </c>
      <c r="J846" s="410" t="str">
        <f t="shared" si="94"/>
        <v>m²</v>
      </c>
    </row>
    <row r="847" spans="1:10" s="34" customFormat="1" x14ac:dyDescent="0.25">
      <c r="A847" s="344"/>
      <c r="B847" s="710" t="s">
        <v>10991</v>
      </c>
      <c r="C847" s="710"/>
      <c r="D847" s="710"/>
      <c r="E847" s="222">
        <f>$E$924</f>
        <v>3.87</v>
      </c>
      <c r="F847" s="222">
        <f>$F$924</f>
        <v>8.1</v>
      </c>
      <c r="G847" s="376">
        <f t="shared" si="95"/>
        <v>31.346999999999998</v>
      </c>
      <c r="H847" s="365" t="s">
        <v>16</v>
      </c>
      <c r="I847" s="222">
        <f t="shared" si="93"/>
        <v>31.346999999999998</v>
      </c>
      <c r="J847" s="410" t="str">
        <f t="shared" si="94"/>
        <v>m²</v>
      </c>
    </row>
    <row r="848" spans="1:10" s="34" customFormat="1" x14ac:dyDescent="0.25">
      <c r="A848" s="344"/>
      <c r="B848" s="710" t="s">
        <v>10992</v>
      </c>
      <c r="C848" s="710"/>
      <c r="D848" s="710"/>
      <c r="E848" s="222">
        <f>$E$926</f>
        <v>1.18</v>
      </c>
      <c r="F848" s="222">
        <f>$F$926</f>
        <v>13.99</v>
      </c>
      <c r="G848" s="376">
        <f t="shared" si="95"/>
        <v>16.508199999999999</v>
      </c>
      <c r="H848" s="365" t="s">
        <v>16</v>
      </c>
      <c r="I848" s="222">
        <f t="shared" si="93"/>
        <v>16.508199999999999</v>
      </c>
      <c r="J848" s="410" t="str">
        <f t="shared" si="94"/>
        <v>m²</v>
      </c>
    </row>
    <row r="849" spans="1:10" s="34" customFormat="1" x14ac:dyDescent="0.25">
      <c r="A849" s="344"/>
      <c r="B849" s="710" t="s">
        <v>10993</v>
      </c>
      <c r="C849" s="710"/>
      <c r="D849" s="710"/>
      <c r="E849" s="222">
        <f>$E$931</f>
        <v>4</v>
      </c>
      <c r="F849" s="222">
        <f>$F$931</f>
        <v>4.95</v>
      </c>
      <c r="G849" s="376">
        <f t="shared" si="95"/>
        <v>19.8</v>
      </c>
      <c r="H849" s="365" t="s">
        <v>16</v>
      </c>
      <c r="I849" s="222">
        <f t="shared" si="93"/>
        <v>19.8</v>
      </c>
      <c r="J849" s="410" t="str">
        <f t="shared" si="94"/>
        <v>m²</v>
      </c>
    </row>
    <row r="850" spans="1:10" s="34" customFormat="1" x14ac:dyDescent="0.25">
      <c r="A850" s="344"/>
      <c r="B850" s="710" t="s">
        <v>10994</v>
      </c>
      <c r="C850" s="710"/>
      <c r="D850" s="710"/>
      <c r="E850" s="222">
        <f>$E$932</f>
        <v>4</v>
      </c>
      <c r="F850" s="222">
        <f>$F$932</f>
        <v>4.95</v>
      </c>
      <c r="G850" s="376">
        <f t="shared" si="95"/>
        <v>19.8</v>
      </c>
      <c r="H850" s="365" t="s">
        <v>16</v>
      </c>
      <c r="I850" s="222">
        <f t="shared" si="93"/>
        <v>19.8</v>
      </c>
      <c r="J850" s="410" t="str">
        <f t="shared" si="94"/>
        <v>m²</v>
      </c>
    </row>
    <row r="851" spans="1:10" s="34" customFormat="1" x14ac:dyDescent="0.25">
      <c r="A851" s="344"/>
      <c r="B851" s="710" t="s">
        <v>10995</v>
      </c>
      <c r="C851" s="710"/>
      <c r="D851" s="710"/>
      <c r="E851" s="222">
        <f>$E$933</f>
        <v>4</v>
      </c>
      <c r="F851" s="222">
        <f>$F$933</f>
        <v>4.95</v>
      </c>
      <c r="G851" s="376">
        <f t="shared" si="95"/>
        <v>19.8</v>
      </c>
      <c r="H851" s="365" t="s">
        <v>16</v>
      </c>
      <c r="I851" s="222">
        <f t="shared" si="93"/>
        <v>19.8</v>
      </c>
      <c r="J851" s="410" t="str">
        <f t="shared" si="94"/>
        <v>m²</v>
      </c>
    </row>
    <row r="852" spans="1:10" s="34" customFormat="1" x14ac:dyDescent="0.25">
      <c r="A852" s="344"/>
      <c r="B852" s="710" t="s">
        <v>10996</v>
      </c>
      <c r="C852" s="710"/>
      <c r="D852" s="710"/>
      <c r="E852" s="222">
        <f>$E$927</f>
        <v>1.22</v>
      </c>
      <c r="F852" s="222">
        <f>$F$927</f>
        <v>2.5</v>
      </c>
      <c r="G852" s="376">
        <f t="shared" si="95"/>
        <v>3.05</v>
      </c>
      <c r="H852" s="365" t="s">
        <v>16</v>
      </c>
      <c r="I852" s="222">
        <f t="shared" si="93"/>
        <v>3.05</v>
      </c>
      <c r="J852" s="410" t="str">
        <f t="shared" si="94"/>
        <v>m²</v>
      </c>
    </row>
    <row r="853" spans="1:10" s="34" customFormat="1" x14ac:dyDescent="0.25">
      <c r="A853" s="344"/>
      <c r="B853" s="710" t="s">
        <v>10997</v>
      </c>
      <c r="C853" s="710"/>
      <c r="D853" s="710"/>
      <c r="E853" s="222">
        <f>$E$928</f>
        <v>1.86</v>
      </c>
      <c r="F853" s="222">
        <f>$F$928</f>
        <v>2.8</v>
      </c>
      <c r="G853" s="376">
        <f t="shared" si="95"/>
        <v>5.2080000000000002</v>
      </c>
      <c r="H853" s="365" t="s">
        <v>16</v>
      </c>
      <c r="I853" s="222">
        <f t="shared" si="93"/>
        <v>5.2080000000000002</v>
      </c>
      <c r="J853" s="410" t="str">
        <f t="shared" si="94"/>
        <v>m²</v>
      </c>
    </row>
    <row r="854" spans="1:10" s="34" customFormat="1" x14ac:dyDescent="0.25">
      <c r="A854" s="344"/>
      <c r="B854" s="710" t="s">
        <v>10998</v>
      </c>
      <c r="C854" s="710"/>
      <c r="D854" s="710"/>
      <c r="E854" s="222">
        <f>$E$929</f>
        <v>1.86</v>
      </c>
      <c r="F854" s="222">
        <f>$F$929</f>
        <v>2.8</v>
      </c>
      <c r="G854" s="376">
        <f t="shared" si="95"/>
        <v>5.2080000000000002</v>
      </c>
      <c r="H854" s="365" t="s">
        <v>16</v>
      </c>
      <c r="I854" s="222">
        <f t="shared" si="93"/>
        <v>5.2080000000000002</v>
      </c>
      <c r="J854" s="410" t="str">
        <f t="shared" si="94"/>
        <v>m²</v>
      </c>
    </row>
    <row r="855" spans="1:10" s="34" customFormat="1" x14ac:dyDescent="0.25">
      <c r="A855" s="344"/>
      <c r="B855" s="352" t="s">
        <v>11004</v>
      </c>
      <c r="C855" s="352"/>
      <c r="D855" s="352"/>
      <c r="E855" s="222">
        <f>E776</f>
        <v>0</v>
      </c>
      <c r="F855" s="222">
        <f>F776</f>
        <v>0</v>
      </c>
      <c r="G855" s="222">
        <f>$G$930</f>
        <v>6.91</v>
      </c>
      <c r="H855" s="365" t="s">
        <v>16</v>
      </c>
      <c r="I855" s="222">
        <f t="shared" si="93"/>
        <v>6.91</v>
      </c>
      <c r="J855" s="410" t="str">
        <f t="shared" si="94"/>
        <v>m²</v>
      </c>
    </row>
    <row r="856" spans="1:10" s="34" customFormat="1" x14ac:dyDescent="0.25">
      <c r="A856" s="344"/>
      <c r="B856" s="467" t="s">
        <v>10999</v>
      </c>
      <c r="C856" s="467"/>
      <c r="D856" s="345"/>
      <c r="E856" s="367">
        <v>1.5</v>
      </c>
      <c r="F856" s="367">
        <v>2.1</v>
      </c>
      <c r="G856" s="370">
        <f t="shared" ref="G856" si="96">E856*F856</f>
        <v>3.1500000000000004</v>
      </c>
      <c r="H856" s="365" t="s">
        <v>16</v>
      </c>
      <c r="I856" s="222">
        <f t="shared" si="93"/>
        <v>3.1500000000000004</v>
      </c>
      <c r="J856" s="410" t="str">
        <f t="shared" si="94"/>
        <v>m²</v>
      </c>
    </row>
    <row r="857" spans="1:10" s="34" customFormat="1" ht="15.75" thickBot="1" x14ac:dyDescent="0.3">
      <c r="A857" s="344"/>
      <c r="B857" s="450"/>
      <c r="C857" s="450"/>
      <c r="D857" s="450"/>
      <c r="E857" s="355"/>
      <c r="F857" s="355"/>
      <c r="G857" s="367"/>
      <c r="H857" s="222"/>
      <c r="I857" s="368"/>
      <c r="J857" s="451"/>
    </row>
    <row r="858" spans="1:10" s="40" customFormat="1" ht="15.75" thickBot="1" x14ac:dyDescent="0.3">
      <c r="A858" s="46" t="s">
        <v>11758</v>
      </c>
      <c r="B858" s="60" t="str">
        <f>VLOOKUP(A858,PO!$A$8:$K$433,4,FALSE)</f>
        <v>Acabamentos para forro (moldura em drywall, com largura de 15 cm).</v>
      </c>
      <c r="C858" s="47"/>
      <c r="D858" s="48"/>
      <c r="E858" s="47"/>
      <c r="F858" s="49"/>
      <c r="G858" s="50"/>
      <c r="H858" s="50"/>
      <c r="I858" s="50">
        <f>SUM(I861:I876)</f>
        <v>319.29999999999995</v>
      </c>
      <c r="J858" s="284" t="str">
        <f>VLOOKUP(A858,PO!$A$8:$K$433,5,FALSE)</f>
        <v>m</v>
      </c>
    </row>
    <row r="859" spans="1:10" x14ac:dyDescent="0.25">
      <c r="A859" s="350"/>
      <c r="B859" s="352"/>
      <c r="C859" s="352"/>
      <c r="D859" s="360"/>
      <c r="E859" s="360"/>
      <c r="F859" s="352"/>
      <c r="G859" s="352"/>
      <c r="H859" s="352"/>
      <c r="I859" s="352"/>
      <c r="J859" s="369"/>
    </row>
    <row r="860" spans="1:10" x14ac:dyDescent="0.25">
      <c r="A860" s="358"/>
      <c r="B860" s="360" t="s">
        <v>21</v>
      </c>
      <c r="C860" s="352"/>
      <c r="D860" s="352"/>
      <c r="E860" s="360" t="s">
        <v>10921</v>
      </c>
      <c r="F860" s="360" t="s">
        <v>10933</v>
      </c>
      <c r="G860" s="360" t="s">
        <v>10960</v>
      </c>
      <c r="H860" s="352"/>
      <c r="I860" s="431" t="s">
        <v>14</v>
      </c>
      <c r="J860" s="452" t="s">
        <v>15</v>
      </c>
    </row>
    <row r="861" spans="1:10" s="34" customFormat="1" x14ac:dyDescent="0.25">
      <c r="A861" s="344"/>
      <c r="B861" s="428" t="s">
        <v>11088</v>
      </c>
      <c r="C861" s="352"/>
      <c r="D861" s="352"/>
      <c r="E861" s="376">
        <f>$E$918</f>
        <v>4</v>
      </c>
      <c r="F861" s="376">
        <f>$F$918</f>
        <v>3.85</v>
      </c>
      <c r="G861" s="376">
        <f>(E861+F861)*2</f>
        <v>15.7</v>
      </c>
      <c r="H861" s="365" t="s">
        <v>16</v>
      </c>
      <c r="I861" s="222">
        <f>G861</f>
        <v>15.7</v>
      </c>
      <c r="J861" s="410" t="str">
        <f>$J$838</f>
        <v>m²</v>
      </c>
    </row>
    <row r="862" spans="1:10" s="34" customFormat="1" x14ac:dyDescent="0.25">
      <c r="A862" s="344"/>
      <c r="B862" s="710" t="s">
        <v>10986</v>
      </c>
      <c r="C862" s="710"/>
      <c r="D862" s="710"/>
      <c r="E862" s="367" t="s">
        <v>10937</v>
      </c>
      <c r="F862" s="367" t="s">
        <v>10937</v>
      </c>
      <c r="G862" s="222">
        <v>31.32</v>
      </c>
      <c r="H862" s="365" t="s">
        <v>16</v>
      </c>
      <c r="I862" s="222">
        <f t="shared" ref="I862:I876" si="97">G862</f>
        <v>31.32</v>
      </c>
      <c r="J862" s="410" t="str">
        <f t="shared" ref="J862:J876" si="98">$J$838</f>
        <v>m²</v>
      </c>
    </row>
    <row r="863" spans="1:10" s="34" customFormat="1" x14ac:dyDescent="0.25">
      <c r="A863" s="344"/>
      <c r="B863" s="710" t="s">
        <v>10988</v>
      </c>
      <c r="C863" s="710"/>
      <c r="D863" s="352"/>
      <c r="E863" s="222">
        <f>$E$920</f>
        <v>12.11</v>
      </c>
      <c r="F863" s="222">
        <f>$F$920</f>
        <v>15.8</v>
      </c>
      <c r="G863" s="222">
        <f>(E863+F863)*2</f>
        <v>55.82</v>
      </c>
      <c r="H863" s="365" t="s">
        <v>16</v>
      </c>
      <c r="I863" s="222">
        <f t="shared" si="97"/>
        <v>55.82</v>
      </c>
      <c r="J863" s="410" t="str">
        <f t="shared" si="98"/>
        <v>m²</v>
      </c>
    </row>
    <row r="864" spans="1:10" s="34" customFormat="1" x14ac:dyDescent="0.25">
      <c r="A864" s="344"/>
      <c r="B864" s="710" t="s">
        <v>11003</v>
      </c>
      <c r="C864" s="710"/>
      <c r="D864" s="710"/>
      <c r="E864" s="222">
        <f>$E$922</f>
        <v>2.79</v>
      </c>
      <c r="F864" s="222">
        <f>$F$922</f>
        <v>5.1100000000000003</v>
      </c>
      <c r="G864" s="222">
        <f t="shared" ref="G864:G874" si="99">(E864+F864)*2</f>
        <v>15.8</v>
      </c>
      <c r="H864" s="365" t="s">
        <v>16</v>
      </c>
      <c r="I864" s="222">
        <f t="shared" si="97"/>
        <v>15.8</v>
      </c>
      <c r="J864" s="410" t="str">
        <f t="shared" si="98"/>
        <v>m²</v>
      </c>
    </row>
    <row r="865" spans="1:10" s="34" customFormat="1" x14ac:dyDescent="0.25">
      <c r="A865" s="344"/>
      <c r="B865" s="710" t="s">
        <v>10989</v>
      </c>
      <c r="C865" s="710"/>
      <c r="D865" s="710"/>
      <c r="E865" s="222">
        <f>$E$921</f>
        <v>5.1100000000000003</v>
      </c>
      <c r="F865" s="222">
        <f>$F$921</f>
        <v>10.39</v>
      </c>
      <c r="G865" s="222">
        <f t="shared" si="99"/>
        <v>31</v>
      </c>
      <c r="H865" s="365" t="s">
        <v>16</v>
      </c>
      <c r="I865" s="222">
        <f t="shared" si="97"/>
        <v>31</v>
      </c>
      <c r="J865" s="410" t="str">
        <f t="shared" si="98"/>
        <v>m²</v>
      </c>
    </row>
    <row r="866" spans="1:10" s="34" customFormat="1" x14ac:dyDescent="0.25">
      <c r="A866" s="344"/>
      <c r="B866" s="710" t="s">
        <v>10990</v>
      </c>
      <c r="C866" s="710"/>
      <c r="D866" s="710"/>
      <c r="E866" s="222">
        <f>$E$923</f>
        <v>2.29</v>
      </c>
      <c r="F866" s="222">
        <f>$F$923</f>
        <v>5.25</v>
      </c>
      <c r="G866" s="222">
        <f t="shared" si="99"/>
        <v>15.08</v>
      </c>
      <c r="H866" s="365" t="s">
        <v>16</v>
      </c>
      <c r="I866" s="222">
        <f t="shared" si="97"/>
        <v>15.08</v>
      </c>
      <c r="J866" s="410" t="str">
        <f t="shared" si="98"/>
        <v>m²</v>
      </c>
    </row>
    <row r="867" spans="1:10" s="34" customFormat="1" x14ac:dyDescent="0.25">
      <c r="A867" s="344"/>
      <c r="B867" s="710" t="s">
        <v>10991</v>
      </c>
      <c r="C867" s="710"/>
      <c r="D867" s="710"/>
      <c r="E867" s="222">
        <f>$E$924</f>
        <v>3.87</v>
      </c>
      <c r="F867" s="222">
        <f>$F$924</f>
        <v>8.1</v>
      </c>
      <c r="G867" s="222">
        <f t="shared" si="99"/>
        <v>23.939999999999998</v>
      </c>
      <c r="H867" s="365" t="s">
        <v>16</v>
      </c>
      <c r="I867" s="222">
        <f t="shared" si="97"/>
        <v>23.939999999999998</v>
      </c>
      <c r="J867" s="410" t="str">
        <f t="shared" si="98"/>
        <v>m²</v>
      </c>
    </row>
    <row r="868" spans="1:10" s="34" customFormat="1" x14ac:dyDescent="0.25">
      <c r="A868" s="344"/>
      <c r="B868" s="710" t="s">
        <v>10992</v>
      </c>
      <c r="C868" s="710"/>
      <c r="D868" s="710"/>
      <c r="E868" s="222">
        <f>$E$926</f>
        <v>1.18</v>
      </c>
      <c r="F868" s="222">
        <f>$F$926</f>
        <v>13.99</v>
      </c>
      <c r="G868" s="222">
        <f t="shared" si="99"/>
        <v>30.34</v>
      </c>
      <c r="H868" s="365" t="s">
        <v>16</v>
      </c>
      <c r="I868" s="222">
        <f t="shared" si="97"/>
        <v>30.34</v>
      </c>
      <c r="J868" s="410" t="str">
        <f t="shared" si="98"/>
        <v>m²</v>
      </c>
    </row>
    <row r="869" spans="1:10" s="34" customFormat="1" x14ac:dyDescent="0.25">
      <c r="A869" s="344"/>
      <c r="B869" s="710" t="s">
        <v>10993</v>
      </c>
      <c r="C869" s="710"/>
      <c r="D869" s="710"/>
      <c r="E869" s="222">
        <f>$E$931</f>
        <v>4</v>
      </c>
      <c r="F869" s="222">
        <f>$F$931</f>
        <v>4.95</v>
      </c>
      <c r="G869" s="222">
        <f t="shared" si="99"/>
        <v>17.899999999999999</v>
      </c>
      <c r="H869" s="365" t="s">
        <v>16</v>
      </c>
      <c r="I869" s="222">
        <f t="shared" si="97"/>
        <v>17.899999999999999</v>
      </c>
      <c r="J869" s="410" t="str">
        <f t="shared" si="98"/>
        <v>m²</v>
      </c>
    </row>
    <row r="870" spans="1:10" s="34" customFormat="1" x14ac:dyDescent="0.25">
      <c r="A870" s="344"/>
      <c r="B870" s="710" t="s">
        <v>10994</v>
      </c>
      <c r="C870" s="710"/>
      <c r="D870" s="710"/>
      <c r="E870" s="222">
        <f>$E$932</f>
        <v>4</v>
      </c>
      <c r="F870" s="222">
        <f>$F$932</f>
        <v>4.95</v>
      </c>
      <c r="G870" s="222">
        <f t="shared" si="99"/>
        <v>17.899999999999999</v>
      </c>
      <c r="H870" s="365" t="s">
        <v>16</v>
      </c>
      <c r="I870" s="222">
        <f t="shared" si="97"/>
        <v>17.899999999999999</v>
      </c>
      <c r="J870" s="410" t="str">
        <f t="shared" si="98"/>
        <v>m²</v>
      </c>
    </row>
    <row r="871" spans="1:10" s="34" customFormat="1" x14ac:dyDescent="0.25">
      <c r="A871" s="344"/>
      <c r="B871" s="710" t="s">
        <v>10995</v>
      </c>
      <c r="C871" s="710"/>
      <c r="D871" s="710"/>
      <c r="E871" s="222">
        <f>$E$933</f>
        <v>4</v>
      </c>
      <c r="F871" s="222">
        <f>$F$933</f>
        <v>4.95</v>
      </c>
      <c r="G871" s="222">
        <f t="shared" si="99"/>
        <v>17.899999999999999</v>
      </c>
      <c r="H871" s="365" t="s">
        <v>16</v>
      </c>
      <c r="I871" s="222">
        <f t="shared" si="97"/>
        <v>17.899999999999999</v>
      </c>
      <c r="J871" s="410" t="str">
        <f t="shared" si="98"/>
        <v>m²</v>
      </c>
    </row>
    <row r="872" spans="1:10" s="34" customFormat="1" x14ac:dyDescent="0.25">
      <c r="A872" s="344"/>
      <c r="B872" s="710" t="s">
        <v>10996</v>
      </c>
      <c r="C872" s="710"/>
      <c r="D872" s="710"/>
      <c r="E872" s="222">
        <f>$E$927</f>
        <v>1.22</v>
      </c>
      <c r="F872" s="222">
        <f>$F$927</f>
        <v>2.5</v>
      </c>
      <c r="G872" s="222">
        <f t="shared" si="99"/>
        <v>7.4399999999999995</v>
      </c>
      <c r="H872" s="365" t="s">
        <v>16</v>
      </c>
      <c r="I872" s="222">
        <f>G872</f>
        <v>7.4399999999999995</v>
      </c>
      <c r="J872" s="410" t="str">
        <f t="shared" si="98"/>
        <v>m²</v>
      </c>
    </row>
    <row r="873" spans="1:10" s="34" customFormat="1" x14ac:dyDescent="0.25">
      <c r="A873" s="344"/>
      <c r="B873" s="710" t="s">
        <v>10997</v>
      </c>
      <c r="C873" s="710"/>
      <c r="D873" s="710"/>
      <c r="E873" s="222">
        <f>$E$928</f>
        <v>1.86</v>
      </c>
      <c r="F873" s="222">
        <f>$F$928</f>
        <v>2.8</v>
      </c>
      <c r="G873" s="222">
        <f t="shared" si="99"/>
        <v>9.32</v>
      </c>
      <c r="H873" s="365" t="s">
        <v>16</v>
      </c>
      <c r="I873" s="222">
        <f t="shared" si="97"/>
        <v>9.32</v>
      </c>
      <c r="J873" s="410" t="str">
        <f t="shared" si="98"/>
        <v>m²</v>
      </c>
    </row>
    <row r="874" spans="1:10" s="34" customFormat="1" x14ac:dyDescent="0.25">
      <c r="A874" s="344"/>
      <c r="B874" s="710" t="s">
        <v>10998</v>
      </c>
      <c r="C874" s="710"/>
      <c r="D874" s="710"/>
      <c r="E874" s="222">
        <f>$E$929</f>
        <v>1.86</v>
      </c>
      <c r="F874" s="222">
        <f>$F$929</f>
        <v>2.8</v>
      </c>
      <c r="G874" s="222">
        <f t="shared" si="99"/>
        <v>9.32</v>
      </c>
      <c r="H874" s="365" t="s">
        <v>16</v>
      </c>
      <c r="I874" s="222">
        <f t="shared" si="97"/>
        <v>9.32</v>
      </c>
      <c r="J874" s="410" t="str">
        <f t="shared" si="98"/>
        <v>m²</v>
      </c>
    </row>
    <row r="875" spans="1:10" s="34" customFormat="1" x14ac:dyDescent="0.25">
      <c r="A875" s="344"/>
      <c r="B875" s="352" t="s">
        <v>11004</v>
      </c>
      <c r="C875" s="352"/>
      <c r="D875" s="352"/>
      <c r="E875" s="222" t="s">
        <v>10937</v>
      </c>
      <c r="F875" s="222" t="s">
        <v>10937</v>
      </c>
      <c r="G875" s="222">
        <v>13.32</v>
      </c>
      <c r="H875" s="365" t="s">
        <v>16</v>
      </c>
      <c r="I875" s="222">
        <f t="shared" si="97"/>
        <v>13.32</v>
      </c>
      <c r="J875" s="410" t="str">
        <f t="shared" si="98"/>
        <v>m²</v>
      </c>
    </row>
    <row r="876" spans="1:10" s="34" customFormat="1" x14ac:dyDescent="0.25">
      <c r="A876" s="344"/>
      <c r="B876" s="467" t="s">
        <v>10999</v>
      </c>
      <c r="C876" s="467"/>
      <c r="D876" s="345"/>
      <c r="E876" s="367">
        <v>1.5</v>
      </c>
      <c r="F876" s="367">
        <v>2.1</v>
      </c>
      <c r="G876" s="376">
        <f>(E876+F876)*2</f>
        <v>7.2</v>
      </c>
      <c r="H876" s="365" t="s">
        <v>16</v>
      </c>
      <c r="I876" s="222">
        <f t="shared" si="97"/>
        <v>7.2</v>
      </c>
      <c r="J876" s="410" t="str">
        <f t="shared" si="98"/>
        <v>m²</v>
      </c>
    </row>
    <row r="877" spans="1:10" s="34" customFormat="1" ht="15.75" thickBot="1" x14ac:dyDescent="0.3">
      <c r="A877" s="344"/>
      <c r="B877" s="450"/>
      <c r="C877" s="450"/>
      <c r="D877" s="450"/>
      <c r="E877" s="355"/>
      <c r="F877" s="355"/>
      <c r="G877" s="367"/>
      <c r="H877" s="222"/>
      <c r="I877" s="368"/>
      <c r="J877" s="451"/>
    </row>
    <row r="878" spans="1:10" s="40" customFormat="1" ht="15.75" thickBot="1" x14ac:dyDescent="0.3">
      <c r="A878" s="36" t="s">
        <v>87</v>
      </c>
      <c r="B878" s="37" t="str">
        <f>VLOOKUP(A878,PO!$A$8:$K$425,4,FALSE)</f>
        <v>PISO</v>
      </c>
      <c r="C878" s="38"/>
      <c r="D878" s="37"/>
      <c r="E878" s="38"/>
      <c r="F878" s="38"/>
      <c r="G878" s="38"/>
      <c r="H878" s="38"/>
      <c r="I878" s="38"/>
      <c r="J878" s="39"/>
    </row>
    <row r="879" spans="1:10" ht="16.5" customHeight="1" thickBot="1" x14ac:dyDescent="0.3">
      <c r="A879" s="344"/>
      <c r="B879" s="345"/>
      <c r="C879" s="345"/>
      <c r="D879" s="345"/>
      <c r="E879" s="345"/>
      <c r="F879" s="345"/>
      <c r="G879" s="345"/>
      <c r="H879" s="345"/>
      <c r="I879" s="345"/>
      <c r="J879" s="346"/>
    </row>
    <row r="880" spans="1:10" s="40" customFormat="1" ht="15.75" thickBot="1" x14ac:dyDescent="0.3">
      <c r="A880" s="41" t="s">
        <v>135</v>
      </c>
      <c r="B880" s="42" t="str">
        <f>VLOOKUP(A880,PO!$A$8:$K$425,4,FALSE)</f>
        <v>REGULARIZAÇÃO</v>
      </c>
      <c r="C880" s="43"/>
      <c r="D880" s="43"/>
      <c r="E880" s="43"/>
      <c r="F880" s="43"/>
      <c r="G880" s="43"/>
      <c r="H880" s="43"/>
      <c r="I880" s="43"/>
      <c r="J880" s="44"/>
    </row>
    <row r="881" spans="1:10" s="40" customFormat="1" ht="15.75" thickBot="1" x14ac:dyDescent="0.3">
      <c r="A881" s="347"/>
      <c r="B881" s="205"/>
      <c r="C881" s="205"/>
      <c r="D881" s="348"/>
      <c r="E881" s="205"/>
      <c r="F881" s="237"/>
      <c r="G881" s="208"/>
      <c r="H881" s="208"/>
      <c r="I881" s="208"/>
      <c r="J881" s="349"/>
    </row>
    <row r="882" spans="1:10" s="40" customFormat="1" ht="15.75" thickBot="1" x14ac:dyDescent="0.3">
      <c r="A882" s="46" t="s">
        <v>136</v>
      </c>
      <c r="B882" s="60" t="str">
        <f>VLOOKUP(A882,PO!$A$8:$K$433,4,FALSE)</f>
        <v xml:space="preserve">Lastro de concreto magro, aplicado em pisos ou radiers, espessura de 5 cm. </v>
      </c>
      <c r="C882" s="47"/>
      <c r="D882" s="48"/>
      <c r="E882" s="47"/>
      <c r="F882" s="49"/>
      <c r="G882" s="50"/>
      <c r="H882" s="50"/>
      <c r="I882" s="50">
        <f>I912</f>
        <v>470.04950000000014</v>
      </c>
      <c r="J882" s="284" t="str">
        <f>VLOOKUP(A882,PO!$A$8:$K$433,5,FALSE)</f>
        <v>m²</v>
      </c>
    </row>
    <row r="883" spans="1:10" x14ac:dyDescent="0.25">
      <c r="A883" s="350"/>
      <c r="B883" s="352"/>
      <c r="C883" s="352"/>
      <c r="D883" s="360"/>
      <c r="E883" s="360"/>
      <c r="F883" s="352"/>
      <c r="G883" s="352"/>
      <c r="H883" s="352"/>
      <c r="I883" s="352"/>
      <c r="J883" s="369"/>
    </row>
    <row r="884" spans="1:10" x14ac:dyDescent="0.25">
      <c r="A884" s="350"/>
      <c r="B884" s="360" t="s">
        <v>21</v>
      </c>
      <c r="C884" s="352"/>
      <c r="D884" s="352"/>
      <c r="E884" s="360" t="s">
        <v>10921</v>
      </c>
      <c r="F884" s="360" t="s">
        <v>10933</v>
      </c>
      <c r="G884" s="360" t="s">
        <v>10936</v>
      </c>
      <c r="H884" s="370"/>
      <c r="I884" s="431" t="s">
        <v>14</v>
      </c>
      <c r="J884" s="452" t="s">
        <v>15</v>
      </c>
    </row>
    <row r="885" spans="1:10" x14ac:dyDescent="0.25">
      <c r="A885" s="350"/>
      <c r="B885" s="710" t="s">
        <v>10986</v>
      </c>
      <c r="C885" s="710"/>
      <c r="D885" s="710"/>
      <c r="E885" s="367" t="s">
        <v>10937</v>
      </c>
      <c r="F885" s="367" t="s">
        <v>10937</v>
      </c>
      <c r="G885" s="376">
        <v>49.66</v>
      </c>
      <c r="H885" s="367" t="s">
        <v>16</v>
      </c>
      <c r="I885" s="222">
        <f>G885</f>
        <v>49.66</v>
      </c>
      <c r="J885" s="410" t="str">
        <f t="shared" ref="J885:J901" si="100">$J$882</f>
        <v>m²</v>
      </c>
    </row>
    <row r="886" spans="1:10" s="218" customFormat="1" x14ac:dyDescent="0.25">
      <c r="A886" s="403"/>
      <c r="B886" s="731" t="s">
        <v>10987</v>
      </c>
      <c r="C886" s="731"/>
      <c r="D886" s="731"/>
      <c r="E886" s="374">
        <v>4</v>
      </c>
      <c r="F886" s="374">
        <v>3.85</v>
      </c>
      <c r="G886" s="419">
        <f>(E886+F886)*2</f>
        <v>15.7</v>
      </c>
      <c r="H886" s="465" t="s">
        <v>16</v>
      </c>
      <c r="I886" s="374">
        <f t="shared" ref="I886:I901" si="101">G886</f>
        <v>15.7</v>
      </c>
      <c r="J886" s="466" t="str">
        <f t="shared" si="100"/>
        <v>m²</v>
      </c>
    </row>
    <row r="887" spans="1:10" x14ac:dyDescent="0.25">
      <c r="A887" s="417"/>
      <c r="B887" s="710" t="s">
        <v>10999</v>
      </c>
      <c r="C887" s="710"/>
      <c r="D887" s="710"/>
      <c r="E887" s="222">
        <v>1.5</v>
      </c>
      <c r="F887" s="222">
        <v>2.1</v>
      </c>
      <c r="G887" s="376">
        <f>E887*F887</f>
        <v>3.1500000000000004</v>
      </c>
      <c r="H887" s="367" t="s">
        <v>16</v>
      </c>
      <c r="I887" s="222">
        <f t="shared" si="101"/>
        <v>3.1500000000000004</v>
      </c>
      <c r="J887" s="410" t="str">
        <f t="shared" si="100"/>
        <v>m²</v>
      </c>
    </row>
    <row r="888" spans="1:10" x14ac:dyDescent="0.25">
      <c r="A888" s="417"/>
      <c r="B888" s="710" t="s">
        <v>10988</v>
      </c>
      <c r="C888" s="710"/>
      <c r="D888" s="710"/>
      <c r="E888" s="222">
        <v>12.11</v>
      </c>
      <c r="F888" s="222">
        <v>15.8</v>
      </c>
      <c r="G888" s="376">
        <f>E888*F888</f>
        <v>191.33799999999999</v>
      </c>
      <c r="H888" s="367" t="s">
        <v>16</v>
      </c>
      <c r="I888" s="222">
        <f t="shared" si="101"/>
        <v>191.33799999999999</v>
      </c>
      <c r="J888" s="410" t="str">
        <f t="shared" si="100"/>
        <v>m²</v>
      </c>
    </row>
    <row r="889" spans="1:10" ht="30" customHeight="1" x14ac:dyDescent="0.25">
      <c r="A889" s="417"/>
      <c r="B889" s="710" t="s">
        <v>10989</v>
      </c>
      <c r="C889" s="710"/>
      <c r="D889" s="710"/>
      <c r="E889" s="222">
        <v>5.1100000000000003</v>
      </c>
      <c r="F889" s="222">
        <v>10.39</v>
      </c>
      <c r="G889" s="376">
        <f t="shared" ref="G889:G897" si="102">E889*F889</f>
        <v>53.092900000000007</v>
      </c>
      <c r="H889" s="367" t="s">
        <v>16</v>
      </c>
      <c r="I889" s="222">
        <f t="shared" si="101"/>
        <v>53.092900000000007</v>
      </c>
      <c r="J889" s="410" t="str">
        <f t="shared" si="100"/>
        <v>m²</v>
      </c>
    </row>
    <row r="890" spans="1:10" ht="28.5" customHeight="1" x14ac:dyDescent="0.25">
      <c r="A890" s="417"/>
      <c r="B890" s="710" t="s">
        <v>11003</v>
      </c>
      <c r="C890" s="710"/>
      <c r="D890" s="710"/>
      <c r="E890" s="222">
        <v>2.79</v>
      </c>
      <c r="F890" s="222">
        <v>5.1100000000000003</v>
      </c>
      <c r="G890" s="376">
        <f t="shared" si="102"/>
        <v>14.256900000000002</v>
      </c>
      <c r="H890" s="367" t="s">
        <v>16</v>
      </c>
      <c r="I890" s="222">
        <f t="shared" si="101"/>
        <v>14.256900000000002</v>
      </c>
      <c r="J890" s="410" t="str">
        <f t="shared" si="100"/>
        <v>m²</v>
      </c>
    </row>
    <row r="891" spans="1:10" ht="30.75" customHeight="1" x14ac:dyDescent="0.25">
      <c r="A891" s="417"/>
      <c r="B891" s="710" t="s">
        <v>10990</v>
      </c>
      <c r="C891" s="710"/>
      <c r="D891" s="710"/>
      <c r="E891" s="222">
        <v>2.29</v>
      </c>
      <c r="F891" s="222">
        <v>5.25</v>
      </c>
      <c r="G891" s="376">
        <f t="shared" si="102"/>
        <v>12.022500000000001</v>
      </c>
      <c r="H891" s="367" t="s">
        <v>16</v>
      </c>
      <c r="I891" s="222">
        <f t="shared" si="101"/>
        <v>12.022500000000001</v>
      </c>
      <c r="J891" s="410" t="str">
        <f t="shared" si="100"/>
        <v>m²</v>
      </c>
    </row>
    <row r="892" spans="1:10" x14ac:dyDescent="0.25">
      <c r="A892" s="417"/>
      <c r="B892" s="710" t="s">
        <v>10991</v>
      </c>
      <c r="C892" s="710"/>
      <c r="D892" s="710"/>
      <c r="E892" s="222">
        <v>3.87</v>
      </c>
      <c r="F892" s="222">
        <v>8.1</v>
      </c>
      <c r="G892" s="376">
        <f t="shared" si="102"/>
        <v>31.346999999999998</v>
      </c>
      <c r="H892" s="367" t="s">
        <v>16</v>
      </c>
      <c r="I892" s="222">
        <f t="shared" si="101"/>
        <v>31.346999999999998</v>
      </c>
      <c r="J892" s="410" t="str">
        <f t="shared" si="100"/>
        <v>m²</v>
      </c>
    </row>
    <row r="893" spans="1:10" x14ac:dyDescent="0.25">
      <c r="A893" s="417"/>
      <c r="B893" s="710" t="s">
        <v>11011</v>
      </c>
      <c r="C893" s="710"/>
      <c r="D893" s="710"/>
      <c r="E893" s="222">
        <v>0.2</v>
      </c>
      <c r="F893" s="222">
        <v>4.29</v>
      </c>
      <c r="G893" s="376">
        <f t="shared" si="102"/>
        <v>0.8580000000000001</v>
      </c>
      <c r="H893" s="367" t="s">
        <v>16</v>
      </c>
      <c r="I893" s="222">
        <f t="shared" si="101"/>
        <v>0.8580000000000001</v>
      </c>
      <c r="J893" s="410" t="str">
        <f t="shared" si="100"/>
        <v>m²</v>
      </c>
    </row>
    <row r="894" spans="1:10" x14ac:dyDescent="0.25">
      <c r="A894" s="417"/>
      <c r="B894" s="710" t="s">
        <v>10992</v>
      </c>
      <c r="C894" s="710"/>
      <c r="D894" s="710"/>
      <c r="E894" s="222">
        <v>1.18</v>
      </c>
      <c r="F894" s="222">
        <v>13.99</v>
      </c>
      <c r="G894" s="376">
        <f t="shared" si="102"/>
        <v>16.508199999999999</v>
      </c>
      <c r="H894" s="367" t="s">
        <v>16</v>
      </c>
      <c r="I894" s="222">
        <f t="shared" si="101"/>
        <v>16.508199999999999</v>
      </c>
      <c r="J894" s="410" t="str">
        <f t="shared" si="100"/>
        <v>m²</v>
      </c>
    </row>
    <row r="895" spans="1:10" x14ac:dyDescent="0.25">
      <c r="A895" s="417"/>
      <c r="B895" s="710" t="s">
        <v>10996</v>
      </c>
      <c r="C895" s="710"/>
      <c r="D895" s="710"/>
      <c r="E895" s="222">
        <v>1.22</v>
      </c>
      <c r="F895" s="222">
        <v>2.5</v>
      </c>
      <c r="G895" s="376">
        <f t="shared" si="102"/>
        <v>3.05</v>
      </c>
      <c r="H895" s="367" t="s">
        <v>16</v>
      </c>
      <c r="I895" s="222">
        <f t="shared" si="101"/>
        <v>3.05</v>
      </c>
      <c r="J895" s="410" t="str">
        <f t="shared" si="100"/>
        <v>m²</v>
      </c>
    </row>
    <row r="896" spans="1:10" x14ac:dyDescent="0.25">
      <c r="A896" s="417"/>
      <c r="B896" s="710" t="s">
        <v>10997</v>
      </c>
      <c r="C896" s="710"/>
      <c r="D896" s="710"/>
      <c r="E896" s="222">
        <v>1.86</v>
      </c>
      <c r="F896" s="222">
        <v>2.8</v>
      </c>
      <c r="G896" s="376">
        <f t="shared" si="102"/>
        <v>5.2080000000000002</v>
      </c>
      <c r="H896" s="367" t="s">
        <v>16</v>
      </c>
      <c r="I896" s="222">
        <f t="shared" si="101"/>
        <v>5.2080000000000002</v>
      </c>
      <c r="J896" s="410" t="str">
        <f t="shared" si="100"/>
        <v>m²</v>
      </c>
    </row>
    <row r="897" spans="1:10" x14ac:dyDescent="0.25">
      <c r="A897" s="417"/>
      <c r="B897" s="710" t="s">
        <v>10998</v>
      </c>
      <c r="C897" s="710"/>
      <c r="D897" s="710"/>
      <c r="E897" s="222">
        <v>1.86</v>
      </c>
      <c r="F897" s="222">
        <v>2.8</v>
      </c>
      <c r="G897" s="376">
        <f t="shared" si="102"/>
        <v>5.2080000000000002</v>
      </c>
      <c r="H897" s="367" t="s">
        <v>16</v>
      </c>
      <c r="I897" s="222">
        <f t="shared" si="101"/>
        <v>5.2080000000000002</v>
      </c>
      <c r="J897" s="410" t="str">
        <f t="shared" si="100"/>
        <v>m²</v>
      </c>
    </row>
    <row r="898" spans="1:10" x14ac:dyDescent="0.25">
      <c r="A898" s="417"/>
      <c r="B898" s="352" t="s">
        <v>11004</v>
      </c>
      <c r="C898" s="352"/>
      <c r="D898" s="352"/>
      <c r="E898" s="367" t="s">
        <v>10937</v>
      </c>
      <c r="F898" s="367" t="s">
        <v>10937</v>
      </c>
      <c r="G898" s="222">
        <v>6.91</v>
      </c>
      <c r="H898" s="367" t="s">
        <v>16</v>
      </c>
      <c r="I898" s="222">
        <f t="shared" si="101"/>
        <v>6.91</v>
      </c>
      <c r="J898" s="410" t="str">
        <f t="shared" si="100"/>
        <v>m²</v>
      </c>
    </row>
    <row r="899" spans="1:10" x14ac:dyDescent="0.25">
      <c r="A899" s="417"/>
      <c r="B899" s="710" t="s">
        <v>10993</v>
      </c>
      <c r="C899" s="710"/>
      <c r="D899" s="710"/>
      <c r="E899" s="367">
        <v>4</v>
      </c>
      <c r="F899" s="367">
        <v>4.95</v>
      </c>
      <c r="G899" s="370">
        <f>E899*F899</f>
        <v>19.8</v>
      </c>
      <c r="H899" s="367" t="s">
        <v>16</v>
      </c>
      <c r="I899" s="222">
        <f t="shared" si="101"/>
        <v>19.8</v>
      </c>
      <c r="J899" s="410" t="str">
        <f t="shared" si="100"/>
        <v>m²</v>
      </c>
    </row>
    <row r="900" spans="1:10" x14ac:dyDescent="0.25">
      <c r="A900" s="417"/>
      <c r="B900" s="710" t="s">
        <v>10994</v>
      </c>
      <c r="C900" s="710"/>
      <c r="D900" s="710"/>
      <c r="E900" s="367">
        <v>4</v>
      </c>
      <c r="F900" s="367">
        <v>4.95</v>
      </c>
      <c r="G900" s="370">
        <f>E900*F900</f>
        <v>19.8</v>
      </c>
      <c r="H900" s="367" t="s">
        <v>16</v>
      </c>
      <c r="I900" s="222">
        <f t="shared" si="101"/>
        <v>19.8</v>
      </c>
      <c r="J900" s="410" t="str">
        <f t="shared" si="100"/>
        <v>m²</v>
      </c>
    </row>
    <row r="901" spans="1:10" x14ac:dyDescent="0.25">
      <c r="A901" s="417"/>
      <c r="B901" s="710" t="s">
        <v>10995</v>
      </c>
      <c r="C901" s="710"/>
      <c r="D901" s="710"/>
      <c r="E901" s="367">
        <v>4</v>
      </c>
      <c r="F901" s="367">
        <v>4.95</v>
      </c>
      <c r="G901" s="370">
        <f>E901*F901</f>
        <v>19.8</v>
      </c>
      <c r="H901" s="367" t="s">
        <v>16</v>
      </c>
      <c r="I901" s="222">
        <f t="shared" si="101"/>
        <v>19.8</v>
      </c>
      <c r="J901" s="410" t="str">
        <f t="shared" si="100"/>
        <v>m²</v>
      </c>
    </row>
    <row r="902" spans="1:10" x14ac:dyDescent="0.25">
      <c r="A902" s="417"/>
      <c r="B902" s="454"/>
      <c r="C902" s="454"/>
      <c r="D902" s="454"/>
      <c r="E902" s="367"/>
      <c r="F902" s="367"/>
      <c r="G902" s="370"/>
      <c r="H902" s="367"/>
      <c r="I902" s="222"/>
      <c r="J902" s="410"/>
    </row>
    <row r="903" spans="1:10" x14ac:dyDescent="0.25">
      <c r="A903" s="417"/>
      <c r="B903" s="455" t="s">
        <v>11009</v>
      </c>
      <c r="C903" s="454"/>
      <c r="D903" s="454"/>
      <c r="E903" s="359" t="s">
        <v>10932</v>
      </c>
      <c r="F903" s="360" t="s">
        <v>10933</v>
      </c>
      <c r="G903" s="360" t="s">
        <v>10927</v>
      </c>
      <c r="H903" s="367"/>
      <c r="I903" s="222"/>
      <c r="J903" s="410"/>
    </row>
    <row r="904" spans="1:10" x14ac:dyDescent="0.25">
      <c r="A904" s="350"/>
      <c r="B904" s="428" t="s">
        <v>11007</v>
      </c>
      <c r="C904" s="467"/>
      <c r="D904" s="467"/>
      <c r="E904" s="367">
        <v>0.15</v>
      </c>
      <c r="F904" s="370">
        <v>0.9</v>
      </c>
      <c r="G904" s="370">
        <v>1</v>
      </c>
      <c r="H904" s="367" t="s">
        <v>16</v>
      </c>
      <c r="I904" s="222">
        <f>E904*F904*G904</f>
        <v>0.13500000000000001</v>
      </c>
      <c r="J904" s="410" t="str">
        <f t="shared" ref="J904:J910" si="103">$J$882</f>
        <v>m²</v>
      </c>
    </row>
    <row r="905" spans="1:10" x14ac:dyDescent="0.25">
      <c r="A905" s="350"/>
      <c r="B905" s="428" t="s">
        <v>11008</v>
      </c>
      <c r="C905" s="454"/>
      <c r="D905" s="454"/>
      <c r="E905" s="367">
        <v>0.15</v>
      </c>
      <c r="F905" s="367">
        <v>2.9</v>
      </c>
      <c r="G905" s="370">
        <v>1</v>
      </c>
      <c r="H905" s="367" t="s">
        <v>16</v>
      </c>
      <c r="I905" s="222">
        <f t="shared" ref="I905:I910" si="104">E905*F905*G905</f>
        <v>0.435</v>
      </c>
      <c r="J905" s="410" t="str">
        <f t="shared" si="103"/>
        <v>m²</v>
      </c>
    </row>
    <row r="906" spans="1:10" x14ac:dyDescent="0.25">
      <c r="A906" s="417"/>
      <c r="B906" s="428" t="s">
        <v>11010</v>
      </c>
      <c r="C906" s="467"/>
      <c r="D906" s="467"/>
      <c r="E906" s="367">
        <v>0.15</v>
      </c>
      <c r="F906" s="367">
        <v>2.9</v>
      </c>
      <c r="G906" s="370">
        <v>1</v>
      </c>
      <c r="H906" s="367" t="s">
        <v>16</v>
      </c>
      <c r="I906" s="222">
        <f t="shared" si="104"/>
        <v>0.435</v>
      </c>
      <c r="J906" s="410" t="str">
        <f t="shared" si="103"/>
        <v>m²</v>
      </c>
    </row>
    <row r="907" spans="1:10" x14ac:dyDescent="0.25">
      <c r="A907" s="417"/>
      <c r="B907" s="454" t="s">
        <v>11012</v>
      </c>
      <c r="C907" s="454"/>
      <c r="D907" s="454"/>
      <c r="E907" s="367">
        <v>0.15</v>
      </c>
      <c r="F907" s="367">
        <v>0.8</v>
      </c>
      <c r="G907" s="370">
        <v>3</v>
      </c>
      <c r="H907" s="367" t="s">
        <v>16</v>
      </c>
      <c r="I907" s="222">
        <f t="shared" si="104"/>
        <v>0.36</v>
      </c>
      <c r="J907" s="410" t="str">
        <f t="shared" si="103"/>
        <v>m²</v>
      </c>
    </row>
    <row r="908" spans="1:10" x14ac:dyDescent="0.25">
      <c r="A908" s="417"/>
      <c r="B908" s="454" t="s">
        <v>11013</v>
      </c>
      <c r="C908" s="454"/>
      <c r="D908" s="454"/>
      <c r="E908" s="367">
        <v>0.15</v>
      </c>
      <c r="F908" s="367">
        <v>1.2</v>
      </c>
      <c r="G908" s="370">
        <v>1</v>
      </c>
      <c r="H908" s="367" t="s">
        <v>16</v>
      </c>
      <c r="I908" s="222">
        <f t="shared" si="104"/>
        <v>0.18</v>
      </c>
      <c r="J908" s="410" t="str">
        <f t="shared" si="103"/>
        <v>m²</v>
      </c>
    </row>
    <row r="909" spans="1:10" x14ac:dyDescent="0.25">
      <c r="A909" s="417"/>
      <c r="B909" s="454" t="s">
        <v>10950</v>
      </c>
      <c r="C909" s="454"/>
      <c r="D909" s="454"/>
      <c r="E909" s="367">
        <v>0.15</v>
      </c>
      <c r="F909" s="367">
        <v>1.5</v>
      </c>
      <c r="G909" s="370">
        <v>3</v>
      </c>
      <c r="H909" s="367" t="s">
        <v>16</v>
      </c>
      <c r="I909" s="222">
        <f t="shared" si="104"/>
        <v>0.67499999999999993</v>
      </c>
      <c r="J909" s="410" t="str">
        <f t="shared" si="103"/>
        <v>m²</v>
      </c>
    </row>
    <row r="910" spans="1:10" x14ac:dyDescent="0.25">
      <c r="A910" s="417"/>
      <c r="B910" s="710" t="s">
        <v>10924</v>
      </c>
      <c r="C910" s="710"/>
      <c r="D910" s="710"/>
      <c r="E910" s="222">
        <v>0.15</v>
      </c>
      <c r="F910" s="222">
        <v>0.8</v>
      </c>
      <c r="G910" s="370">
        <v>1</v>
      </c>
      <c r="H910" s="367" t="s">
        <v>16</v>
      </c>
      <c r="I910" s="222">
        <f t="shared" si="104"/>
        <v>0.12</v>
      </c>
      <c r="J910" s="410" t="str">
        <f t="shared" si="103"/>
        <v>m²</v>
      </c>
    </row>
    <row r="911" spans="1:10" x14ac:dyDescent="0.25">
      <c r="A911" s="417"/>
      <c r="B911" s="454"/>
      <c r="C911" s="454"/>
      <c r="D911" s="454"/>
      <c r="E911" s="367"/>
      <c r="F911" s="367"/>
      <c r="G911" s="370"/>
      <c r="H911" s="367"/>
      <c r="I911" s="222"/>
      <c r="J911" s="410"/>
    </row>
    <row r="912" spans="1:10" s="198" customFormat="1" ht="14.25" x14ac:dyDescent="0.2">
      <c r="A912" s="358"/>
      <c r="B912" s="711" t="s">
        <v>13882</v>
      </c>
      <c r="C912" s="711"/>
      <c r="D912" s="711"/>
      <c r="E912" s="711"/>
      <c r="F912" s="711"/>
      <c r="G912" s="711"/>
      <c r="H912" s="363" t="s">
        <v>16</v>
      </c>
      <c r="I912" s="210">
        <f>SUM(I885:I911)</f>
        <v>470.04950000000014</v>
      </c>
      <c r="J912" s="457" t="str">
        <f>$J$882</f>
        <v>m²</v>
      </c>
    </row>
    <row r="913" spans="1:10" ht="15.75" thickBot="1" x14ac:dyDescent="0.3">
      <c r="A913" s="417"/>
      <c r="B913" s="454"/>
      <c r="C913" s="454"/>
      <c r="D913" s="454"/>
      <c r="E913" s="367"/>
      <c r="F913" s="367"/>
      <c r="G913" s="370"/>
      <c r="H913" s="367"/>
      <c r="I913" s="222"/>
      <c r="J913" s="410"/>
    </row>
    <row r="914" spans="1:10" s="40" customFormat="1" ht="15.75" thickBot="1" x14ac:dyDescent="0.3">
      <c r="A914" s="46" t="s">
        <v>137</v>
      </c>
      <c r="B914" s="60" t="str">
        <f>VLOOKUP(A914,PO!$A$8:$K$433,4,FALSE)</f>
        <v>Contrapiso em argamassa traço 1:4 (cimento e areia), preparo mecânico com betoneira, aplicado em áreas secas, aderido, espessura 3cm.</v>
      </c>
      <c r="C914" s="47"/>
      <c r="D914" s="48"/>
      <c r="E914" s="47"/>
      <c r="F914" s="49"/>
      <c r="G914" s="50"/>
      <c r="H914" s="50"/>
      <c r="I914" s="50">
        <f>I944</f>
        <v>470.04950000000014</v>
      </c>
      <c r="J914" s="284" t="str">
        <f>VLOOKUP(A914,PO!$A$8:$K$433,5,FALSE)</f>
        <v>m²</v>
      </c>
    </row>
    <row r="915" spans="1:10" s="40" customFormat="1" x14ac:dyDescent="0.25">
      <c r="A915" s="347"/>
      <c r="B915" s="204"/>
      <c r="C915" s="205"/>
      <c r="D915" s="206"/>
      <c r="E915" s="205"/>
      <c r="F915" s="237"/>
      <c r="G915" s="208"/>
      <c r="H915" s="208"/>
      <c r="I915" s="208"/>
      <c r="J915" s="473"/>
    </row>
    <row r="916" spans="1:10" s="40" customFormat="1" x14ac:dyDescent="0.25">
      <c r="A916" s="350"/>
      <c r="B916" s="360" t="s">
        <v>21</v>
      </c>
      <c r="C916" s="352"/>
      <c r="D916" s="352"/>
      <c r="E916" s="360" t="s">
        <v>10921</v>
      </c>
      <c r="F916" s="360" t="s">
        <v>10933</v>
      </c>
      <c r="G916" s="360" t="s">
        <v>10936</v>
      </c>
      <c r="H916" s="370"/>
      <c r="I916" s="431" t="s">
        <v>14</v>
      </c>
      <c r="J916" s="452" t="s">
        <v>15</v>
      </c>
    </row>
    <row r="917" spans="1:10" s="40" customFormat="1" ht="15" customHeight="1" x14ac:dyDescent="0.25">
      <c r="A917" s="350"/>
      <c r="B917" s="710" t="s">
        <v>10986</v>
      </c>
      <c r="C917" s="710"/>
      <c r="D917" s="710"/>
      <c r="E917" s="367" t="s">
        <v>10937</v>
      </c>
      <c r="F917" s="367" t="s">
        <v>10937</v>
      </c>
      <c r="G917" s="376">
        <v>49.66</v>
      </c>
      <c r="H917" s="367" t="s">
        <v>16</v>
      </c>
      <c r="I917" s="222">
        <f>G917</f>
        <v>49.66</v>
      </c>
      <c r="J917" s="410" t="str">
        <f>$J$882</f>
        <v>m²</v>
      </c>
    </row>
    <row r="918" spans="1:10" s="250" customFormat="1" x14ac:dyDescent="0.25">
      <c r="A918" s="403"/>
      <c r="B918" s="731" t="s">
        <v>10987</v>
      </c>
      <c r="C918" s="731"/>
      <c r="D918" s="731"/>
      <c r="E918" s="374">
        <v>4</v>
      </c>
      <c r="F918" s="374">
        <v>3.85</v>
      </c>
      <c r="G918" s="419">
        <f>(E918+F918)*2</f>
        <v>15.7</v>
      </c>
      <c r="H918" s="465" t="s">
        <v>16</v>
      </c>
      <c r="I918" s="374">
        <f t="shared" ref="I918:I933" si="105">G918</f>
        <v>15.7</v>
      </c>
      <c r="J918" s="466" t="str">
        <f t="shared" ref="J918:J933" si="106">$J$882</f>
        <v>m²</v>
      </c>
    </row>
    <row r="919" spans="1:10" s="40" customFormat="1" x14ac:dyDescent="0.25">
      <c r="A919" s="417"/>
      <c r="B919" s="710" t="s">
        <v>10999</v>
      </c>
      <c r="C919" s="710"/>
      <c r="D919" s="710"/>
      <c r="E919" s="222">
        <v>1.5</v>
      </c>
      <c r="F919" s="222">
        <v>2.1</v>
      </c>
      <c r="G919" s="376">
        <f>E919*F919</f>
        <v>3.1500000000000004</v>
      </c>
      <c r="H919" s="367" t="s">
        <v>16</v>
      </c>
      <c r="I919" s="222">
        <f t="shared" si="105"/>
        <v>3.1500000000000004</v>
      </c>
      <c r="J919" s="410" t="str">
        <f t="shared" si="106"/>
        <v>m²</v>
      </c>
    </row>
    <row r="920" spans="1:10" s="40" customFormat="1" ht="15" customHeight="1" x14ac:dyDescent="0.25">
      <c r="A920" s="417"/>
      <c r="B920" s="710" t="s">
        <v>10988</v>
      </c>
      <c r="C920" s="710"/>
      <c r="D920" s="710"/>
      <c r="E920" s="222">
        <v>12.11</v>
      </c>
      <c r="F920" s="222">
        <v>15.8</v>
      </c>
      <c r="G920" s="376">
        <f>E920*F920</f>
        <v>191.33799999999999</v>
      </c>
      <c r="H920" s="367" t="s">
        <v>16</v>
      </c>
      <c r="I920" s="222">
        <f t="shared" si="105"/>
        <v>191.33799999999999</v>
      </c>
      <c r="J920" s="410" t="str">
        <f t="shared" si="106"/>
        <v>m²</v>
      </c>
    </row>
    <row r="921" spans="1:10" s="40" customFormat="1" ht="15" customHeight="1" x14ac:dyDescent="0.25">
      <c r="A921" s="417"/>
      <c r="B921" s="710" t="s">
        <v>10989</v>
      </c>
      <c r="C921" s="710"/>
      <c r="D921" s="710"/>
      <c r="E921" s="222">
        <v>5.1100000000000003</v>
      </c>
      <c r="F921" s="222">
        <v>10.39</v>
      </c>
      <c r="G921" s="376">
        <f t="shared" ref="G921:G929" si="107">E921*F921</f>
        <v>53.092900000000007</v>
      </c>
      <c r="H921" s="367" t="s">
        <v>16</v>
      </c>
      <c r="I921" s="222">
        <f t="shared" si="105"/>
        <v>53.092900000000007</v>
      </c>
      <c r="J921" s="410" t="str">
        <f t="shared" si="106"/>
        <v>m²</v>
      </c>
    </row>
    <row r="922" spans="1:10" s="40" customFormat="1" ht="15" customHeight="1" x14ac:dyDescent="0.25">
      <c r="A922" s="417"/>
      <c r="B922" s="710" t="s">
        <v>11003</v>
      </c>
      <c r="C922" s="710"/>
      <c r="D922" s="710"/>
      <c r="E922" s="222">
        <v>2.79</v>
      </c>
      <c r="F922" s="222">
        <v>5.1100000000000003</v>
      </c>
      <c r="G922" s="376">
        <f t="shared" si="107"/>
        <v>14.256900000000002</v>
      </c>
      <c r="H922" s="367" t="s">
        <v>16</v>
      </c>
      <c r="I922" s="222">
        <f t="shared" si="105"/>
        <v>14.256900000000002</v>
      </c>
      <c r="J922" s="410" t="str">
        <f t="shared" si="106"/>
        <v>m²</v>
      </c>
    </row>
    <row r="923" spans="1:10" s="40" customFormat="1" ht="15" customHeight="1" x14ac:dyDescent="0.25">
      <c r="A923" s="417"/>
      <c r="B923" s="710" t="s">
        <v>10990</v>
      </c>
      <c r="C923" s="710"/>
      <c r="D923" s="710"/>
      <c r="E923" s="222">
        <v>2.29</v>
      </c>
      <c r="F923" s="222">
        <v>5.25</v>
      </c>
      <c r="G923" s="376">
        <f t="shared" si="107"/>
        <v>12.022500000000001</v>
      </c>
      <c r="H923" s="367" t="s">
        <v>16</v>
      </c>
      <c r="I923" s="222">
        <f t="shared" si="105"/>
        <v>12.022500000000001</v>
      </c>
      <c r="J923" s="410" t="str">
        <f t="shared" si="106"/>
        <v>m²</v>
      </c>
    </row>
    <row r="924" spans="1:10" s="40" customFormat="1" ht="15" customHeight="1" x14ac:dyDescent="0.25">
      <c r="A924" s="417"/>
      <c r="B924" s="710" t="s">
        <v>10991</v>
      </c>
      <c r="C924" s="710"/>
      <c r="D924" s="710"/>
      <c r="E924" s="222">
        <v>3.87</v>
      </c>
      <c r="F924" s="222">
        <v>8.1</v>
      </c>
      <c r="G924" s="376">
        <f t="shared" si="107"/>
        <v>31.346999999999998</v>
      </c>
      <c r="H924" s="367" t="s">
        <v>16</v>
      </c>
      <c r="I924" s="222">
        <f t="shared" si="105"/>
        <v>31.346999999999998</v>
      </c>
      <c r="J924" s="410" t="str">
        <f t="shared" si="106"/>
        <v>m²</v>
      </c>
    </row>
    <row r="925" spans="1:10" s="40" customFormat="1" ht="15" customHeight="1" x14ac:dyDescent="0.25">
      <c r="A925" s="417"/>
      <c r="B925" s="710" t="s">
        <v>11011</v>
      </c>
      <c r="C925" s="710"/>
      <c r="D925" s="710"/>
      <c r="E925" s="222">
        <v>0.2</v>
      </c>
      <c r="F925" s="222">
        <v>4.29</v>
      </c>
      <c r="G925" s="376">
        <f t="shared" si="107"/>
        <v>0.8580000000000001</v>
      </c>
      <c r="H925" s="367" t="s">
        <v>16</v>
      </c>
      <c r="I925" s="222">
        <f t="shared" si="105"/>
        <v>0.8580000000000001</v>
      </c>
      <c r="J925" s="410" t="str">
        <f t="shared" si="106"/>
        <v>m²</v>
      </c>
    </row>
    <row r="926" spans="1:10" s="40" customFormat="1" ht="15" customHeight="1" x14ac:dyDescent="0.25">
      <c r="A926" s="417"/>
      <c r="B926" s="710" t="s">
        <v>10992</v>
      </c>
      <c r="C926" s="710"/>
      <c r="D926" s="710"/>
      <c r="E926" s="222">
        <v>1.18</v>
      </c>
      <c r="F926" s="222">
        <v>13.99</v>
      </c>
      <c r="G926" s="376">
        <f t="shared" si="107"/>
        <v>16.508199999999999</v>
      </c>
      <c r="H926" s="367" t="s">
        <v>16</v>
      </c>
      <c r="I926" s="222">
        <f t="shared" si="105"/>
        <v>16.508199999999999</v>
      </c>
      <c r="J926" s="410" t="str">
        <f t="shared" si="106"/>
        <v>m²</v>
      </c>
    </row>
    <row r="927" spans="1:10" s="40" customFormat="1" x14ac:dyDescent="0.25">
      <c r="A927" s="417"/>
      <c r="B927" s="710" t="s">
        <v>10996</v>
      </c>
      <c r="C927" s="710"/>
      <c r="D927" s="710"/>
      <c r="E927" s="222">
        <v>1.22</v>
      </c>
      <c r="F927" s="222">
        <v>2.5</v>
      </c>
      <c r="G927" s="376">
        <f t="shared" si="107"/>
        <v>3.05</v>
      </c>
      <c r="H927" s="367" t="s">
        <v>16</v>
      </c>
      <c r="I927" s="222">
        <f t="shared" si="105"/>
        <v>3.05</v>
      </c>
      <c r="J927" s="410" t="str">
        <f t="shared" si="106"/>
        <v>m²</v>
      </c>
    </row>
    <row r="928" spans="1:10" s="40" customFormat="1" x14ac:dyDescent="0.25">
      <c r="A928" s="417"/>
      <c r="B928" s="710" t="s">
        <v>10997</v>
      </c>
      <c r="C928" s="710"/>
      <c r="D928" s="710"/>
      <c r="E928" s="222">
        <v>1.86</v>
      </c>
      <c r="F928" s="222">
        <v>2.8</v>
      </c>
      <c r="G928" s="376">
        <f t="shared" si="107"/>
        <v>5.2080000000000002</v>
      </c>
      <c r="H928" s="367" t="s">
        <v>16</v>
      </c>
      <c r="I928" s="222">
        <f t="shared" si="105"/>
        <v>5.2080000000000002</v>
      </c>
      <c r="J928" s="410" t="str">
        <f t="shared" si="106"/>
        <v>m²</v>
      </c>
    </row>
    <row r="929" spans="1:10" s="40" customFormat="1" x14ac:dyDescent="0.25">
      <c r="A929" s="417"/>
      <c r="B929" s="710" t="s">
        <v>10998</v>
      </c>
      <c r="C929" s="710"/>
      <c r="D929" s="710"/>
      <c r="E929" s="222">
        <v>1.86</v>
      </c>
      <c r="F929" s="222">
        <v>2.8</v>
      </c>
      <c r="G929" s="376">
        <f t="shared" si="107"/>
        <v>5.2080000000000002</v>
      </c>
      <c r="H929" s="367" t="s">
        <v>16</v>
      </c>
      <c r="I929" s="222">
        <f t="shared" si="105"/>
        <v>5.2080000000000002</v>
      </c>
      <c r="J929" s="410" t="str">
        <f t="shared" si="106"/>
        <v>m²</v>
      </c>
    </row>
    <row r="930" spans="1:10" s="40" customFormat="1" x14ac:dyDescent="0.25">
      <c r="A930" s="417"/>
      <c r="B930" s="352" t="s">
        <v>11004</v>
      </c>
      <c r="C930" s="352"/>
      <c r="D930" s="352"/>
      <c r="E930" s="367" t="s">
        <v>10937</v>
      </c>
      <c r="F930" s="367" t="s">
        <v>10937</v>
      </c>
      <c r="G930" s="222">
        <v>6.91</v>
      </c>
      <c r="H930" s="367" t="s">
        <v>16</v>
      </c>
      <c r="I930" s="222">
        <f t="shared" si="105"/>
        <v>6.91</v>
      </c>
      <c r="J930" s="410" t="str">
        <f t="shared" si="106"/>
        <v>m²</v>
      </c>
    </row>
    <row r="931" spans="1:10" s="40" customFormat="1" x14ac:dyDescent="0.25">
      <c r="A931" s="417"/>
      <c r="B931" s="710" t="s">
        <v>10993</v>
      </c>
      <c r="C931" s="710"/>
      <c r="D931" s="710"/>
      <c r="E931" s="367">
        <v>4</v>
      </c>
      <c r="F931" s="367">
        <v>4.95</v>
      </c>
      <c r="G931" s="370">
        <f>E931*F931</f>
        <v>19.8</v>
      </c>
      <c r="H931" s="367" t="s">
        <v>16</v>
      </c>
      <c r="I931" s="222">
        <f t="shared" si="105"/>
        <v>19.8</v>
      </c>
      <c r="J931" s="410" t="str">
        <f t="shared" si="106"/>
        <v>m²</v>
      </c>
    </row>
    <row r="932" spans="1:10" s="40" customFormat="1" x14ac:dyDescent="0.25">
      <c r="A932" s="417"/>
      <c r="B932" s="710" t="s">
        <v>10994</v>
      </c>
      <c r="C932" s="710"/>
      <c r="D932" s="710"/>
      <c r="E932" s="367">
        <v>4</v>
      </c>
      <c r="F932" s="367">
        <v>4.95</v>
      </c>
      <c r="G932" s="370">
        <f>E932*F932</f>
        <v>19.8</v>
      </c>
      <c r="H932" s="367" t="s">
        <v>16</v>
      </c>
      <c r="I932" s="222">
        <f t="shared" si="105"/>
        <v>19.8</v>
      </c>
      <c r="J932" s="410" t="str">
        <f t="shared" si="106"/>
        <v>m²</v>
      </c>
    </row>
    <row r="933" spans="1:10" s="40" customFormat="1" x14ac:dyDescent="0.25">
      <c r="A933" s="417"/>
      <c r="B933" s="710" t="s">
        <v>10995</v>
      </c>
      <c r="C933" s="710"/>
      <c r="D933" s="710"/>
      <c r="E933" s="367">
        <v>4</v>
      </c>
      <c r="F933" s="367">
        <v>4.95</v>
      </c>
      <c r="G933" s="370">
        <f>E933*F933</f>
        <v>19.8</v>
      </c>
      <c r="H933" s="367" t="s">
        <v>16</v>
      </c>
      <c r="I933" s="222">
        <f t="shared" si="105"/>
        <v>19.8</v>
      </c>
      <c r="J933" s="410" t="str">
        <f t="shared" si="106"/>
        <v>m²</v>
      </c>
    </row>
    <row r="934" spans="1:10" s="40" customFormat="1" x14ac:dyDescent="0.25">
      <c r="A934" s="417"/>
      <c r="B934" s="454"/>
      <c r="C934" s="454"/>
      <c r="D934" s="454"/>
      <c r="E934" s="367"/>
      <c r="F934" s="367"/>
      <c r="G934" s="370"/>
      <c r="H934" s="367"/>
      <c r="I934" s="222"/>
      <c r="J934" s="410"/>
    </row>
    <row r="935" spans="1:10" s="40" customFormat="1" ht="15" customHeight="1" x14ac:dyDescent="0.25">
      <c r="A935" s="417"/>
      <c r="B935" s="455" t="s">
        <v>11009</v>
      </c>
      <c r="C935" s="454"/>
      <c r="D935" s="454"/>
      <c r="E935" s="359" t="s">
        <v>10932</v>
      </c>
      <c r="F935" s="360" t="s">
        <v>10933</v>
      </c>
      <c r="G935" s="360" t="s">
        <v>10927</v>
      </c>
      <c r="H935" s="367"/>
      <c r="I935" s="222"/>
      <c r="J935" s="410"/>
    </row>
    <row r="936" spans="1:10" s="40" customFormat="1" x14ac:dyDescent="0.25">
      <c r="A936" s="350"/>
      <c r="B936" s="428" t="s">
        <v>11007</v>
      </c>
      <c r="C936" s="467"/>
      <c r="D936" s="467"/>
      <c r="E936" s="367">
        <v>0.15</v>
      </c>
      <c r="F936" s="370">
        <v>0.9</v>
      </c>
      <c r="G936" s="370">
        <v>1</v>
      </c>
      <c r="H936" s="367" t="s">
        <v>16</v>
      </c>
      <c r="I936" s="222">
        <f>E936*F936*G936</f>
        <v>0.13500000000000001</v>
      </c>
      <c r="J936" s="410" t="str">
        <f t="shared" ref="J936:J942" si="108">$J$882</f>
        <v>m²</v>
      </c>
    </row>
    <row r="937" spans="1:10" x14ac:dyDescent="0.25">
      <c r="A937" s="350"/>
      <c r="B937" s="428" t="s">
        <v>11008</v>
      </c>
      <c r="C937" s="454"/>
      <c r="D937" s="454"/>
      <c r="E937" s="367">
        <v>0.15</v>
      </c>
      <c r="F937" s="367">
        <v>2.9</v>
      </c>
      <c r="G937" s="370">
        <v>1</v>
      </c>
      <c r="H937" s="367" t="s">
        <v>16</v>
      </c>
      <c r="I937" s="222">
        <f t="shared" ref="I937:I942" si="109">E937*F937*G937</f>
        <v>0.435</v>
      </c>
      <c r="J937" s="410" t="str">
        <f t="shared" si="108"/>
        <v>m²</v>
      </c>
    </row>
    <row r="938" spans="1:10" x14ac:dyDescent="0.25">
      <c r="A938" s="417"/>
      <c r="B938" s="428" t="s">
        <v>11010</v>
      </c>
      <c r="C938" s="467"/>
      <c r="D938" s="467"/>
      <c r="E938" s="367">
        <v>0.15</v>
      </c>
      <c r="F938" s="367">
        <v>2.9</v>
      </c>
      <c r="G938" s="370">
        <v>1</v>
      </c>
      <c r="H938" s="367" t="s">
        <v>16</v>
      </c>
      <c r="I938" s="222">
        <f t="shared" si="109"/>
        <v>0.435</v>
      </c>
      <c r="J938" s="410" t="str">
        <f t="shared" si="108"/>
        <v>m²</v>
      </c>
    </row>
    <row r="939" spans="1:10" ht="15" customHeight="1" x14ac:dyDescent="0.25">
      <c r="A939" s="417"/>
      <c r="B939" s="454" t="s">
        <v>11012</v>
      </c>
      <c r="C939" s="454"/>
      <c r="D939" s="454"/>
      <c r="E939" s="367">
        <v>0.15</v>
      </c>
      <c r="F939" s="367">
        <v>0.8</v>
      </c>
      <c r="G939" s="370">
        <v>3</v>
      </c>
      <c r="H939" s="367" t="s">
        <v>16</v>
      </c>
      <c r="I939" s="222">
        <f t="shared" si="109"/>
        <v>0.36</v>
      </c>
      <c r="J939" s="410" t="str">
        <f t="shared" si="108"/>
        <v>m²</v>
      </c>
    </row>
    <row r="940" spans="1:10" x14ac:dyDescent="0.25">
      <c r="A940" s="417"/>
      <c r="B940" s="454" t="s">
        <v>11013</v>
      </c>
      <c r="C940" s="454"/>
      <c r="D940" s="454"/>
      <c r="E940" s="367">
        <v>0.15</v>
      </c>
      <c r="F940" s="367">
        <v>1.2</v>
      </c>
      <c r="G940" s="370">
        <v>1</v>
      </c>
      <c r="H940" s="367" t="s">
        <v>16</v>
      </c>
      <c r="I940" s="222">
        <f t="shared" si="109"/>
        <v>0.18</v>
      </c>
      <c r="J940" s="410" t="str">
        <f t="shared" si="108"/>
        <v>m²</v>
      </c>
    </row>
    <row r="941" spans="1:10" ht="15" customHeight="1" x14ac:dyDescent="0.25">
      <c r="A941" s="417"/>
      <c r="B941" s="454" t="s">
        <v>10950</v>
      </c>
      <c r="C941" s="454"/>
      <c r="D941" s="454"/>
      <c r="E941" s="367">
        <v>0.15</v>
      </c>
      <c r="F941" s="367">
        <v>1.5</v>
      </c>
      <c r="G941" s="370">
        <v>3</v>
      </c>
      <c r="H941" s="367" t="s">
        <v>16</v>
      </c>
      <c r="I941" s="222">
        <f t="shared" si="109"/>
        <v>0.67499999999999993</v>
      </c>
      <c r="J941" s="410" t="str">
        <f t="shared" si="108"/>
        <v>m²</v>
      </c>
    </row>
    <row r="942" spans="1:10" x14ac:dyDescent="0.25">
      <c r="A942" s="417"/>
      <c r="B942" s="710" t="s">
        <v>10924</v>
      </c>
      <c r="C942" s="710"/>
      <c r="D942" s="710"/>
      <c r="E942" s="222">
        <v>0.15</v>
      </c>
      <c r="F942" s="222">
        <v>0.8</v>
      </c>
      <c r="G942" s="370">
        <v>1</v>
      </c>
      <c r="H942" s="367" t="s">
        <v>16</v>
      </c>
      <c r="I942" s="222">
        <f t="shared" si="109"/>
        <v>0.12</v>
      </c>
      <c r="J942" s="410" t="str">
        <f t="shared" si="108"/>
        <v>m²</v>
      </c>
    </row>
    <row r="943" spans="1:10" x14ac:dyDescent="0.25">
      <c r="A943" s="417"/>
      <c r="B943" s="454"/>
      <c r="C943" s="454"/>
      <c r="D943" s="454"/>
      <c r="E943" s="367"/>
      <c r="F943" s="367"/>
      <c r="G943" s="370"/>
      <c r="H943" s="367"/>
      <c r="I943" s="222"/>
      <c r="J943" s="410"/>
    </row>
    <row r="944" spans="1:10" x14ac:dyDescent="0.25">
      <c r="A944" s="358"/>
      <c r="B944" s="711" t="s">
        <v>11014</v>
      </c>
      <c r="C944" s="711"/>
      <c r="D944" s="711"/>
      <c r="E944" s="711"/>
      <c r="F944" s="711"/>
      <c r="G944" s="711"/>
      <c r="H944" s="363" t="s">
        <v>16</v>
      </c>
      <c r="I944" s="210">
        <f>SUM(I917:I943)</f>
        <v>470.04950000000014</v>
      </c>
      <c r="J944" s="457" t="str">
        <f>$J$882</f>
        <v>m²</v>
      </c>
    </row>
    <row r="945" spans="1:10" ht="15.75" thickBot="1" x14ac:dyDescent="0.3">
      <c r="A945" s="350"/>
      <c r="B945" s="352"/>
      <c r="C945" s="352"/>
      <c r="D945" s="352"/>
      <c r="E945" s="206"/>
      <c r="F945" s="206"/>
      <c r="G945" s="206"/>
      <c r="H945" s="206"/>
      <c r="I945" s="206"/>
      <c r="J945" s="369"/>
    </row>
    <row r="946" spans="1:10" s="40" customFormat="1" ht="15.75" thickBot="1" x14ac:dyDescent="0.3">
      <c r="A946" s="41" t="s">
        <v>138</v>
      </c>
      <c r="B946" s="42" t="str">
        <f>VLOOKUP(A946,PO!$A$8:$K$425,4,FALSE)</f>
        <v>PAVIMENTAÇÃO EXTERNA</v>
      </c>
      <c r="C946" s="43"/>
      <c r="D946" s="43"/>
      <c r="E946" s="43"/>
      <c r="F946" s="43"/>
      <c r="G946" s="43"/>
      <c r="H946" s="43"/>
      <c r="I946" s="43"/>
      <c r="J946" s="44"/>
    </row>
    <row r="947" spans="1:10" ht="15.75" thickBot="1" x14ac:dyDescent="0.3">
      <c r="A947" s="350"/>
      <c r="B947" s="352"/>
      <c r="C947" s="352"/>
      <c r="D947" s="352"/>
      <c r="E947" s="206"/>
      <c r="F947" s="206"/>
      <c r="G947" s="206"/>
      <c r="H947" s="206"/>
      <c r="I947" s="206"/>
      <c r="J947" s="369"/>
    </row>
    <row r="948" spans="1:10" s="40" customFormat="1" ht="15.75" thickBot="1" x14ac:dyDescent="0.3">
      <c r="A948" s="46" t="s">
        <v>140</v>
      </c>
      <c r="B948" s="60" t="str">
        <f>VLOOKUP(A948,PO!$A$8:$K$433,4,FALSE)</f>
        <v>Execução de passeio (calçada) ou piso de concreto com concreto moldado in loco, feito em obra, acabamento convencional, espessura 9 cm, armado.</v>
      </c>
      <c r="C948" s="47"/>
      <c r="D948" s="48"/>
      <c r="E948" s="47"/>
      <c r="F948" s="49"/>
      <c r="G948" s="50"/>
      <c r="H948" s="50"/>
      <c r="I948" s="50">
        <f>SUM(H951:H959)</f>
        <v>123.33600000000001</v>
      </c>
      <c r="J948" s="284" t="str">
        <f>VLOOKUP(A948,PO!$A$8:$K$433,5,FALSE)</f>
        <v>m²</v>
      </c>
    </row>
    <row r="949" spans="1:10" x14ac:dyDescent="0.25">
      <c r="A949" s="350"/>
      <c r="B949" s="352"/>
      <c r="C949" s="352"/>
      <c r="D949" s="360"/>
      <c r="E949" s="360"/>
      <c r="F949" s="352"/>
      <c r="G949" s="352"/>
      <c r="H949" s="352"/>
      <c r="I949" s="352"/>
      <c r="J949" s="369"/>
    </row>
    <row r="950" spans="1:10" x14ac:dyDescent="0.25">
      <c r="A950" s="350"/>
      <c r="B950" s="360" t="s">
        <v>21</v>
      </c>
      <c r="C950" s="352"/>
      <c r="D950" s="352"/>
      <c r="E950" s="360" t="s">
        <v>10921</v>
      </c>
      <c r="F950" s="360" t="s">
        <v>10933</v>
      </c>
      <c r="G950" s="370"/>
      <c r="H950" s="431" t="s">
        <v>14</v>
      </c>
      <c r="I950" s="431" t="s">
        <v>15</v>
      </c>
      <c r="J950" s="369"/>
    </row>
    <row r="951" spans="1:10" x14ac:dyDescent="0.25">
      <c r="A951" s="350"/>
      <c r="B951" s="428" t="s">
        <v>11006</v>
      </c>
      <c r="C951" s="352"/>
      <c r="D951" s="352"/>
      <c r="E951" s="376">
        <v>3.2</v>
      </c>
      <c r="F951" s="222">
        <v>14.25</v>
      </c>
      <c r="G951" s="370" t="s">
        <v>16</v>
      </c>
      <c r="H951" s="432">
        <f>E951*F951</f>
        <v>45.6</v>
      </c>
      <c r="I951" s="471" t="str">
        <f t="shared" ref="I951:I959" si="110">$J$948</f>
        <v>m²</v>
      </c>
      <c r="J951" s="369"/>
    </row>
    <row r="952" spans="1:10" x14ac:dyDescent="0.25">
      <c r="A952" s="350"/>
      <c r="B952" s="710" t="s">
        <v>11870</v>
      </c>
      <c r="C952" s="710"/>
      <c r="D952" s="710"/>
      <c r="E952" s="222">
        <v>1.2</v>
      </c>
      <c r="F952" s="367">
        <v>32.61</v>
      </c>
      <c r="G952" s="367" t="s">
        <v>16</v>
      </c>
      <c r="H952" s="222">
        <f t="shared" ref="H952" si="111">E952*F952</f>
        <v>39.131999999999998</v>
      </c>
      <c r="I952" s="368" t="str">
        <f t="shared" si="110"/>
        <v>m²</v>
      </c>
      <c r="J952" s="369"/>
    </row>
    <row r="953" spans="1:10" x14ac:dyDescent="0.25">
      <c r="A953" s="350"/>
      <c r="B953" s="710" t="s">
        <v>13854</v>
      </c>
      <c r="C953" s="710"/>
      <c r="D953" s="710"/>
      <c r="E953" s="222">
        <v>0.6</v>
      </c>
      <c r="F953" s="367">
        <v>4.41</v>
      </c>
      <c r="G953" s="367" t="s">
        <v>16</v>
      </c>
      <c r="H953" s="222">
        <f t="shared" ref="H953:H954" si="112">E953*F953</f>
        <v>2.6459999999999999</v>
      </c>
      <c r="I953" s="368" t="str">
        <f t="shared" si="110"/>
        <v>m²</v>
      </c>
      <c r="J953" s="369"/>
    </row>
    <row r="954" spans="1:10" x14ac:dyDescent="0.25">
      <c r="A954" s="350"/>
      <c r="B954" s="710" t="s">
        <v>13855</v>
      </c>
      <c r="C954" s="710"/>
      <c r="D954" s="710"/>
      <c r="E954" s="222">
        <v>0.6</v>
      </c>
      <c r="F954" s="367">
        <v>5.75</v>
      </c>
      <c r="G954" s="367" t="s">
        <v>16</v>
      </c>
      <c r="H954" s="222">
        <f t="shared" si="112"/>
        <v>3.4499999999999997</v>
      </c>
      <c r="I954" s="368" t="str">
        <f t="shared" si="110"/>
        <v>m²</v>
      </c>
      <c r="J954" s="369"/>
    </row>
    <row r="955" spans="1:10" x14ac:dyDescent="0.25">
      <c r="A955" s="350"/>
      <c r="B955" s="710" t="s">
        <v>13856</v>
      </c>
      <c r="C955" s="710"/>
      <c r="D955" s="710"/>
      <c r="E955" s="222">
        <v>0.6</v>
      </c>
      <c r="F955" s="367">
        <v>21.75</v>
      </c>
      <c r="G955" s="367" t="s">
        <v>16</v>
      </c>
      <c r="H955" s="222">
        <f t="shared" ref="H955:H959" si="113">E955*F955</f>
        <v>13.049999999999999</v>
      </c>
      <c r="I955" s="368" t="str">
        <f t="shared" si="110"/>
        <v>m²</v>
      </c>
      <c r="J955" s="369"/>
    </row>
    <row r="956" spans="1:10" x14ac:dyDescent="0.25">
      <c r="A956" s="350"/>
      <c r="B956" s="710" t="s">
        <v>13857</v>
      </c>
      <c r="C956" s="710"/>
      <c r="D956" s="710"/>
      <c r="E956" s="222">
        <v>0.6</v>
      </c>
      <c r="F956" s="367">
        <v>5.21</v>
      </c>
      <c r="G956" s="367" t="s">
        <v>16</v>
      </c>
      <c r="H956" s="222">
        <f t="shared" si="113"/>
        <v>3.1259999999999999</v>
      </c>
      <c r="I956" s="368" t="str">
        <f t="shared" si="110"/>
        <v>m²</v>
      </c>
      <c r="J956" s="369"/>
    </row>
    <row r="957" spans="1:10" x14ac:dyDescent="0.25">
      <c r="A957" s="350"/>
      <c r="B957" s="710" t="s">
        <v>13858</v>
      </c>
      <c r="C957" s="710"/>
      <c r="D957" s="710"/>
      <c r="E957" s="222">
        <v>0.6</v>
      </c>
      <c r="F957" s="222">
        <v>3</v>
      </c>
      <c r="G957" s="367" t="s">
        <v>16</v>
      </c>
      <c r="H957" s="222">
        <f t="shared" si="113"/>
        <v>1.7999999999999998</v>
      </c>
      <c r="I957" s="368" t="str">
        <f t="shared" si="110"/>
        <v>m²</v>
      </c>
      <c r="J957" s="369"/>
    </row>
    <row r="958" spans="1:10" x14ac:dyDescent="0.25">
      <c r="A958" s="350"/>
      <c r="B958" s="710" t="s">
        <v>13859</v>
      </c>
      <c r="C958" s="710"/>
      <c r="D958" s="710"/>
      <c r="E958" s="222">
        <v>0.6</v>
      </c>
      <c r="F958" s="222">
        <v>11.4</v>
      </c>
      <c r="G958" s="367" t="s">
        <v>16</v>
      </c>
      <c r="H958" s="222">
        <f t="shared" si="113"/>
        <v>6.84</v>
      </c>
      <c r="I958" s="368" t="str">
        <f t="shared" si="110"/>
        <v>m²</v>
      </c>
      <c r="J958" s="369"/>
    </row>
    <row r="959" spans="1:10" x14ac:dyDescent="0.25">
      <c r="A959" s="417"/>
      <c r="B959" s="710" t="s">
        <v>10964</v>
      </c>
      <c r="C959" s="710"/>
      <c r="D959" s="710"/>
      <c r="E959" s="222">
        <v>0.6</v>
      </c>
      <c r="F959" s="367">
        <v>12.82</v>
      </c>
      <c r="G959" s="367" t="s">
        <v>16</v>
      </c>
      <c r="H959" s="222">
        <f t="shared" si="113"/>
        <v>7.6920000000000002</v>
      </c>
      <c r="I959" s="368" t="str">
        <f t="shared" si="110"/>
        <v>m²</v>
      </c>
      <c r="J959" s="369"/>
    </row>
    <row r="960" spans="1:10" ht="15.75" thickBot="1" x14ac:dyDescent="0.3">
      <c r="A960" s="417"/>
      <c r="B960" s="710"/>
      <c r="C960" s="710"/>
      <c r="D960" s="710"/>
      <c r="E960" s="206"/>
      <c r="F960" s="206"/>
      <c r="G960" s="367"/>
      <c r="H960" s="222"/>
      <c r="I960" s="368"/>
      <c r="J960" s="369"/>
    </row>
    <row r="961" spans="1:10" s="40" customFormat="1" ht="15.75" thickBot="1" x14ac:dyDescent="0.3">
      <c r="A961" s="41" t="s">
        <v>139</v>
      </c>
      <c r="B961" s="42" t="str">
        <f>VLOOKUP(A961,PO!$A$8:$K$425,4,FALSE)</f>
        <v xml:space="preserve">PISO DE CONCRETO </v>
      </c>
      <c r="C961" s="43"/>
      <c r="D961" s="43"/>
      <c r="E961" s="43"/>
      <c r="F961" s="43"/>
      <c r="G961" s="43"/>
      <c r="H961" s="43"/>
      <c r="I961" s="43"/>
      <c r="J961" s="44"/>
    </row>
    <row r="962" spans="1:10" ht="15.75" thickBot="1" x14ac:dyDescent="0.3">
      <c r="A962" s="350"/>
      <c r="B962" s="352"/>
      <c r="C962" s="352"/>
      <c r="D962" s="352"/>
      <c r="E962" s="206"/>
      <c r="F962" s="206"/>
      <c r="G962" s="206"/>
      <c r="H962" s="206"/>
      <c r="I962" s="206"/>
      <c r="J962" s="369"/>
    </row>
    <row r="963" spans="1:10" s="40" customFormat="1" ht="15.75" thickBot="1" x14ac:dyDescent="0.3">
      <c r="A963" s="46" t="s">
        <v>141</v>
      </c>
      <c r="B963" s="60" t="str">
        <f>VLOOKUP(A963,PO!$A$8:$K$433,4,FALSE)</f>
        <v>Piso industrial em concreto armado de acabamento polido, espessura 12 cm (cimento queimado) (incluso execução)</v>
      </c>
      <c r="C963" s="47"/>
      <c r="D963" s="48"/>
      <c r="E963" s="47"/>
      <c r="F963" s="49"/>
      <c r="G963" s="50"/>
      <c r="H963" s="50"/>
      <c r="I963" s="50">
        <f>SUM(I967:I980)</f>
        <v>448.00150000000008</v>
      </c>
      <c r="J963" s="284" t="str">
        <f>VLOOKUP(A963,PO!$A$8:$K$433,5,FALSE)</f>
        <v>m²</v>
      </c>
    </row>
    <row r="964" spans="1:10" x14ac:dyDescent="0.25">
      <c r="A964" s="350"/>
      <c r="B964" s="352"/>
      <c r="C964" s="352"/>
      <c r="D964" s="360"/>
      <c r="E964" s="360"/>
      <c r="F964" s="352"/>
      <c r="G964" s="352"/>
      <c r="H964" s="352"/>
      <c r="I964" s="352"/>
      <c r="J964" s="369"/>
    </row>
    <row r="965" spans="1:10" x14ac:dyDescent="0.25">
      <c r="A965" s="350"/>
      <c r="B965" s="360" t="s">
        <v>21</v>
      </c>
      <c r="C965" s="352"/>
      <c r="D965" s="352"/>
      <c r="E965" s="360" t="s">
        <v>10921</v>
      </c>
      <c r="F965" s="360" t="s">
        <v>10933</v>
      </c>
      <c r="G965" s="360" t="s">
        <v>10936</v>
      </c>
      <c r="H965" s="370"/>
      <c r="I965" s="431" t="s">
        <v>14</v>
      </c>
      <c r="J965" s="452" t="s">
        <v>15</v>
      </c>
    </row>
    <row r="966" spans="1:10" x14ac:dyDescent="0.25">
      <c r="A966" s="350"/>
      <c r="B966" s="428" t="s">
        <v>11088</v>
      </c>
      <c r="C966" s="352"/>
      <c r="D966" s="352"/>
      <c r="E966" s="376">
        <f>$E$918</f>
        <v>4</v>
      </c>
      <c r="F966" s="376">
        <f>$F$918</f>
        <v>3.85</v>
      </c>
      <c r="G966" s="376">
        <f>E966*F966</f>
        <v>15.4</v>
      </c>
      <c r="H966" s="370" t="s">
        <v>16</v>
      </c>
      <c r="I966" s="432">
        <f>G966</f>
        <v>15.4</v>
      </c>
      <c r="J966" s="474" t="str">
        <f>$J$963</f>
        <v>m²</v>
      </c>
    </row>
    <row r="967" spans="1:10" x14ac:dyDescent="0.25">
      <c r="A967" s="350"/>
      <c r="B967" s="710" t="s">
        <v>10986</v>
      </c>
      <c r="C967" s="710"/>
      <c r="D967" s="710"/>
      <c r="E967" s="367" t="s">
        <v>10937</v>
      </c>
      <c r="F967" s="367" t="s">
        <v>10937</v>
      </c>
      <c r="G967" s="222">
        <f>$G$917</f>
        <v>49.66</v>
      </c>
      <c r="H967" s="367" t="s">
        <v>16</v>
      </c>
      <c r="I967" s="222">
        <f>G967</f>
        <v>49.66</v>
      </c>
      <c r="J967" s="410" t="str">
        <f>$J$963</f>
        <v>m²</v>
      </c>
    </row>
    <row r="968" spans="1:10" x14ac:dyDescent="0.25">
      <c r="A968" s="350"/>
      <c r="B968" s="710" t="s">
        <v>10988</v>
      </c>
      <c r="C968" s="710"/>
      <c r="D968" s="352"/>
      <c r="E968" s="222">
        <f>$E$920</f>
        <v>12.11</v>
      </c>
      <c r="F968" s="222">
        <f>$F$920</f>
        <v>15.8</v>
      </c>
      <c r="G968" s="222">
        <f t="shared" ref="G968:G979" si="114">E968*F968</f>
        <v>191.33799999999999</v>
      </c>
      <c r="H968" s="367" t="s">
        <v>16</v>
      </c>
      <c r="I968" s="222">
        <f t="shared" ref="I968:I980" si="115">G968</f>
        <v>191.33799999999999</v>
      </c>
      <c r="J968" s="410" t="str">
        <f t="shared" ref="J968:J980" si="116">$J$963</f>
        <v>m²</v>
      </c>
    </row>
    <row r="969" spans="1:10" x14ac:dyDescent="0.25">
      <c r="A969" s="350"/>
      <c r="B969" s="710" t="s">
        <v>11003</v>
      </c>
      <c r="C969" s="710"/>
      <c r="D969" s="710"/>
      <c r="E969" s="222">
        <f>$E$922</f>
        <v>2.79</v>
      </c>
      <c r="F969" s="222">
        <f>$F$922</f>
        <v>5.1100000000000003</v>
      </c>
      <c r="G969" s="376">
        <f t="shared" si="114"/>
        <v>14.256900000000002</v>
      </c>
      <c r="H969" s="367" t="s">
        <v>16</v>
      </c>
      <c r="I969" s="222">
        <f t="shared" si="115"/>
        <v>14.256900000000002</v>
      </c>
      <c r="J969" s="410" t="str">
        <f t="shared" si="116"/>
        <v>m²</v>
      </c>
    </row>
    <row r="970" spans="1:10" x14ac:dyDescent="0.25">
      <c r="A970" s="350"/>
      <c r="B970" s="710" t="s">
        <v>10989</v>
      </c>
      <c r="C970" s="710"/>
      <c r="D970" s="710"/>
      <c r="E970" s="222">
        <f>$E$921</f>
        <v>5.1100000000000003</v>
      </c>
      <c r="F970" s="222">
        <f>$F$921</f>
        <v>10.39</v>
      </c>
      <c r="G970" s="376">
        <f t="shared" si="114"/>
        <v>53.092900000000007</v>
      </c>
      <c r="H970" s="367" t="s">
        <v>16</v>
      </c>
      <c r="I970" s="222">
        <f t="shared" si="115"/>
        <v>53.092900000000007</v>
      </c>
      <c r="J970" s="410" t="str">
        <f t="shared" si="116"/>
        <v>m²</v>
      </c>
    </row>
    <row r="971" spans="1:10" x14ac:dyDescent="0.25">
      <c r="A971" s="350"/>
      <c r="B971" s="710" t="s">
        <v>10990</v>
      </c>
      <c r="C971" s="710"/>
      <c r="D971" s="710"/>
      <c r="E971" s="222">
        <f>$E$923</f>
        <v>2.29</v>
      </c>
      <c r="F971" s="222">
        <f>$F$923</f>
        <v>5.25</v>
      </c>
      <c r="G971" s="376">
        <f t="shared" si="114"/>
        <v>12.022500000000001</v>
      </c>
      <c r="H971" s="367" t="s">
        <v>16</v>
      </c>
      <c r="I971" s="222">
        <f t="shared" si="115"/>
        <v>12.022500000000001</v>
      </c>
      <c r="J971" s="410" t="str">
        <f t="shared" si="116"/>
        <v>m²</v>
      </c>
    </row>
    <row r="972" spans="1:10" x14ac:dyDescent="0.25">
      <c r="A972" s="350"/>
      <c r="B972" s="710" t="s">
        <v>10991</v>
      </c>
      <c r="C972" s="710"/>
      <c r="D972" s="710"/>
      <c r="E972" s="222">
        <f>$E$924</f>
        <v>3.87</v>
      </c>
      <c r="F972" s="222">
        <f>$F$924</f>
        <v>8.1</v>
      </c>
      <c r="G972" s="376">
        <f t="shared" si="114"/>
        <v>31.346999999999998</v>
      </c>
      <c r="H972" s="367" t="s">
        <v>16</v>
      </c>
      <c r="I972" s="222">
        <f t="shared" si="115"/>
        <v>31.346999999999998</v>
      </c>
      <c r="J972" s="410" t="str">
        <f t="shared" si="116"/>
        <v>m²</v>
      </c>
    </row>
    <row r="973" spans="1:10" x14ac:dyDescent="0.25">
      <c r="A973" s="350"/>
      <c r="B973" s="710" t="s">
        <v>10992</v>
      </c>
      <c r="C973" s="710"/>
      <c r="D973" s="710"/>
      <c r="E973" s="222">
        <f>$E$926</f>
        <v>1.18</v>
      </c>
      <c r="F973" s="222">
        <f>$F$926</f>
        <v>13.99</v>
      </c>
      <c r="G973" s="376">
        <f t="shared" si="114"/>
        <v>16.508199999999999</v>
      </c>
      <c r="H973" s="367" t="s">
        <v>16</v>
      </c>
      <c r="I973" s="222">
        <f t="shared" si="115"/>
        <v>16.508199999999999</v>
      </c>
      <c r="J973" s="410" t="str">
        <f t="shared" si="116"/>
        <v>m²</v>
      </c>
    </row>
    <row r="974" spans="1:10" x14ac:dyDescent="0.25">
      <c r="A974" s="350"/>
      <c r="B974" s="710" t="s">
        <v>10993</v>
      </c>
      <c r="C974" s="710"/>
      <c r="D974" s="710"/>
      <c r="E974" s="222">
        <f>$E$931</f>
        <v>4</v>
      </c>
      <c r="F974" s="222">
        <f>$F$931</f>
        <v>4.95</v>
      </c>
      <c r="G974" s="376">
        <f t="shared" si="114"/>
        <v>19.8</v>
      </c>
      <c r="H974" s="367" t="s">
        <v>16</v>
      </c>
      <c r="I974" s="222">
        <f t="shared" si="115"/>
        <v>19.8</v>
      </c>
      <c r="J974" s="410" t="str">
        <f t="shared" si="116"/>
        <v>m²</v>
      </c>
    </row>
    <row r="975" spans="1:10" x14ac:dyDescent="0.25">
      <c r="A975" s="350"/>
      <c r="B975" s="710" t="s">
        <v>10994</v>
      </c>
      <c r="C975" s="710"/>
      <c r="D975" s="710"/>
      <c r="E975" s="222">
        <f>$E$932</f>
        <v>4</v>
      </c>
      <c r="F975" s="222">
        <f>$F$932</f>
        <v>4.95</v>
      </c>
      <c r="G975" s="376">
        <f t="shared" si="114"/>
        <v>19.8</v>
      </c>
      <c r="H975" s="367" t="s">
        <v>16</v>
      </c>
      <c r="I975" s="222">
        <f t="shared" si="115"/>
        <v>19.8</v>
      </c>
      <c r="J975" s="410" t="str">
        <f t="shared" si="116"/>
        <v>m²</v>
      </c>
    </row>
    <row r="976" spans="1:10" x14ac:dyDescent="0.25">
      <c r="A976" s="350"/>
      <c r="B976" s="710" t="s">
        <v>10995</v>
      </c>
      <c r="C976" s="710"/>
      <c r="D976" s="710"/>
      <c r="E976" s="222">
        <f>$E$933</f>
        <v>4</v>
      </c>
      <c r="F976" s="222">
        <f>$F$933</f>
        <v>4.95</v>
      </c>
      <c r="G976" s="376">
        <f t="shared" si="114"/>
        <v>19.8</v>
      </c>
      <c r="H976" s="367" t="s">
        <v>16</v>
      </c>
      <c r="I976" s="222">
        <f t="shared" si="115"/>
        <v>19.8</v>
      </c>
      <c r="J976" s="410" t="str">
        <f t="shared" si="116"/>
        <v>m²</v>
      </c>
    </row>
    <row r="977" spans="1:10" x14ac:dyDescent="0.25">
      <c r="A977" s="350"/>
      <c r="B977" s="710" t="s">
        <v>10996</v>
      </c>
      <c r="C977" s="710"/>
      <c r="D977" s="710"/>
      <c r="E977" s="222">
        <f>$E$927</f>
        <v>1.22</v>
      </c>
      <c r="F977" s="222">
        <f>$F$927</f>
        <v>2.5</v>
      </c>
      <c r="G977" s="376">
        <f t="shared" si="114"/>
        <v>3.05</v>
      </c>
      <c r="H977" s="367" t="s">
        <v>16</v>
      </c>
      <c r="I977" s="222">
        <f t="shared" si="115"/>
        <v>3.05</v>
      </c>
      <c r="J977" s="410" t="str">
        <f t="shared" si="116"/>
        <v>m²</v>
      </c>
    </row>
    <row r="978" spans="1:10" x14ac:dyDescent="0.25">
      <c r="A978" s="350"/>
      <c r="B978" s="710" t="s">
        <v>10997</v>
      </c>
      <c r="C978" s="710"/>
      <c r="D978" s="710"/>
      <c r="E978" s="222">
        <f>$E$928</f>
        <v>1.86</v>
      </c>
      <c r="F978" s="222">
        <f>$F$928</f>
        <v>2.8</v>
      </c>
      <c r="G978" s="376">
        <f t="shared" si="114"/>
        <v>5.2080000000000002</v>
      </c>
      <c r="H978" s="367" t="s">
        <v>16</v>
      </c>
      <c r="I978" s="222">
        <f t="shared" si="115"/>
        <v>5.2080000000000002</v>
      </c>
      <c r="J978" s="410" t="str">
        <f t="shared" si="116"/>
        <v>m²</v>
      </c>
    </row>
    <row r="979" spans="1:10" x14ac:dyDescent="0.25">
      <c r="A979" s="350"/>
      <c r="B979" s="710" t="s">
        <v>10998</v>
      </c>
      <c r="C979" s="710"/>
      <c r="D979" s="710"/>
      <c r="E979" s="222">
        <f>$E$929</f>
        <v>1.86</v>
      </c>
      <c r="F979" s="222">
        <f>$F$929</f>
        <v>2.8</v>
      </c>
      <c r="G979" s="376">
        <f t="shared" si="114"/>
        <v>5.2080000000000002</v>
      </c>
      <c r="H979" s="367" t="s">
        <v>16</v>
      </c>
      <c r="I979" s="222">
        <f t="shared" si="115"/>
        <v>5.2080000000000002</v>
      </c>
      <c r="J979" s="410" t="str">
        <f t="shared" si="116"/>
        <v>m²</v>
      </c>
    </row>
    <row r="980" spans="1:10" x14ac:dyDescent="0.25">
      <c r="A980" s="350"/>
      <c r="B980" s="352" t="s">
        <v>11004</v>
      </c>
      <c r="C980" s="352"/>
      <c r="D980" s="352"/>
      <c r="E980" s="222" t="str">
        <f>E930</f>
        <v>-</v>
      </c>
      <c r="F980" s="222" t="str">
        <f>F930</f>
        <v>-</v>
      </c>
      <c r="G980" s="222">
        <f>$G$930</f>
        <v>6.91</v>
      </c>
      <c r="H980" s="367" t="s">
        <v>16</v>
      </c>
      <c r="I980" s="222">
        <f t="shared" si="115"/>
        <v>6.91</v>
      </c>
      <c r="J980" s="410" t="str">
        <f t="shared" si="116"/>
        <v>m²</v>
      </c>
    </row>
    <row r="981" spans="1:10" x14ac:dyDescent="0.25">
      <c r="A981" s="350"/>
      <c r="B981" s="352"/>
      <c r="C981" s="352"/>
      <c r="D981" s="352"/>
      <c r="E981" s="352"/>
      <c r="F981" s="352"/>
      <c r="G981" s="352"/>
      <c r="H981" s="352"/>
      <c r="I981" s="352"/>
      <c r="J981" s="369"/>
    </row>
    <row r="982" spans="1:10" ht="15.75" thickBot="1" x14ac:dyDescent="0.3">
      <c r="A982" s="417"/>
      <c r="B982" s="670"/>
      <c r="C982" s="670"/>
      <c r="D982" s="670"/>
      <c r="E982" s="222"/>
      <c r="F982" s="222"/>
      <c r="G982" s="370"/>
      <c r="H982" s="367"/>
      <c r="I982" s="222"/>
      <c r="J982" s="410"/>
    </row>
    <row r="983" spans="1:10" s="40" customFormat="1" ht="15.75" thickBot="1" x14ac:dyDescent="0.3">
      <c r="A983" s="41" t="s">
        <v>182</v>
      </c>
      <c r="B983" s="42" t="str">
        <f>VLOOKUP(A983,PO!$A$8:$K$425,4,FALSE)</f>
        <v>PISO DE PORCELANATO</v>
      </c>
      <c r="C983" s="43"/>
      <c r="D983" s="43"/>
      <c r="E983" s="43"/>
      <c r="F983" s="43"/>
      <c r="G983" s="43"/>
      <c r="H983" s="43"/>
      <c r="I983" s="43"/>
      <c r="J983" s="44"/>
    </row>
    <row r="984" spans="1:10" ht="15.75" thickBot="1" x14ac:dyDescent="0.3">
      <c r="A984" s="350"/>
      <c r="B984" s="352"/>
      <c r="C984" s="352"/>
      <c r="D984" s="352"/>
      <c r="E984" s="206"/>
      <c r="F984" s="206"/>
      <c r="G984" s="206"/>
      <c r="H984" s="206"/>
      <c r="I984" s="206"/>
      <c r="J984" s="369"/>
    </row>
    <row r="985" spans="1:10" s="40" customFormat="1" ht="15.75" thickBot="1" x14ac:dyDescent="0.3">
      <c r="A985" s="46" t="s">
        <v>183</v>
      </c>
      <c r="B985" s="60" t="str">
        <f>VLOOKUP(A985,PO!$A$8:$K$433,4,FALSE)</f>
        <v>Revestimento cerâmico para piso com placas tipo porcelanato de dimensões 60x60 cm aplicada em ambientes de área menor que 5 m², com rejunte epoxi. - Fornecimento e instalação</v>
      </c>
      <c r="C985" s="47"/>
      <c r="D985" s="48"/>
      <c r="E985" s="47"/>
      <c r="F985" s="49"/>
      <c r="G985" s="50"/>
      <c r="H985" s="50"/>
      <c r="I985" s="50">
        <f>H988</f>
        <v>3.1500000000000004</v>
      </c>
      <c r="J985" s="284" t="str">
        <f>VLOOKUP(A985,PO!$A$8:$K$433,5,FALSE)</f>
        <v>m²</v>
      </c>
    </row>
    <row r="986" spans="1:10" x14ac:dyDescent="0.25">
      <c r="A986" s="350"/>
      <c r="B986" s="352"/>
      <c r="C986" s="352"/>
      <c r="D986" s="360"/>
      <c r="E986" s="360"/>
      <c r="F986" s="352"/>
      <c r="G986" s="352"/>
      <c r="H986" s="352"/>
      <c r="I986" s="352"/>
      <c r="J986" s="369"/>
    </row>
    <row r="987" spans="1:10" x14ac:dyDescent="0.25">
      <c r="A987" s="350"/>
      <c r="B987" s="360" t="s">
        <v>21</v>
      </c>
      <c r="C987" s="352"/>
      <c r="D987" s="360" t="s">
        <v>10921</v>
      </c>
      <c r="E987" s="360" t="s">
        <v>10933</v>
      </c>
      <c r="F987" s="360" t="s">
        <v>10936</v>
      </c>
      <c r="G987" s="370"/>
      <c r="H987" s="431" t="s">
        <v>14</v>
      </c>
      <c r="I987" s="431" t="s">
        <v>15</v>
      </c>
      <c r="J987" s="369"/>
    </row>
    <row r="988" spans="1:10" x14ac:dyDescent="0.25">
      <c r="A988" s="350"/>
      <c r="B988" s="453" t="s">
        <v>10999</v>
      </c>
      <c r="C988" s="467"/>
      <c r="D988" s="367">
        <v>1.5</v>
      </c>
      <c r="E988" s="367">
        <v>2.1</v>
      </c>
      <c r="F988" s="370">
        <f t="shared" ref="F988" si="117">D988*E988</f>
        <v>3.1500000000000004</v>
      </c>
      <c r="G988" s="367" t="s">
        <v>16</v>
      </c>
      <c r="H988" s="222">
        <f t="shared" ref="H988" si="118">F988</f>
        <v>3.1500000000000004</v>
      </c>
      <c r="I988" s="368" t="str">
        <f>$J$985</f>
        <v>m²</v>
      </c>
      <c r="J988" s="369"/>
    </row>
    <row r="989" spans="1:10" ht="15.75" thickBot="1" x14ac:dyDescent="0.3">
      <c r="A989" s="350"/>
      <c r="B989" s="352"/>
      <c r="C989" s="352"/>
      <c r="D989" s="352"/>
      <c r="E989" s="352"/>
      <c r="F989" s="352"/>
      <c r="G989" s="352"/>
      <c r="H989" s="352"/>
      <c r="I989" s="352"/>
      <c r="J989" s="369"/>
    </row>
    <row r="990" spans="1:10" s="40" customFormat="1" ht="15.75" thickBot="1" x14ac:dyDescent="0.3">
      <c r="A990" s="41" t="s">
        <v>11759</v>
      </c>
      <c r="B990" s="42" t="str">
        <f>VLOOKUP(A990,PO!$A$8:$K$425,4,FALSE)</f>
        <v>RODAPÉ E SOLEIRAS</v>
      </c>
      <c r="C990" s="43"/>
      <c r="D990" s="43"/>
      <c r="E990" s="43"/>
      <c r="F990" s="43"/>
      <c r="G990" s="43"/>
      <c r="H990" s="43"/>
      <c r="I990" s="43"/>
      <c r="J990" s="44"/>
    </row>
    <row r="991" spans="1:10" ht="15.75" thickBot="1" x14ac:dyDescent="0.3">
      <c r="A991" s="350"/>
      <c r="B991" s="352"/>
      <c r="C991" s="352"/>
      <c r="D991" s="352"/>
      <c r="E991" s="206"/>
      <c r="F991" s="206"/>
      <c r="G991" s="206"/>
      <c r="H991" s="206"/>
      <c r="I991" s="206"/>
      <c r="J991" s="369"/>
    </row>
    <row r="992" spans="1:10" s="40" customFormat="1" ht="15.75" thickBot="1" x14ac:dyDescent="0.3">
      <c r="A992" s="680" t="str">
        <f>PO!A143</f>
        <v>8.5.1</v>
      </c>
      <c r="B992" s="60" t="str">
        <f>VLOOKUP(A992,PO!$A$8:$K$433,4,FALSE)</f>
        <v>Rodapé para piso industrial monolítico de alta resistência mecânica, fundido sobre base nivelada, acabamento desempenado, canto arredondado, altura 10 cm</v>
      </c>
      <c r="C992" s="47"/>
      <c r="D992" s="48"/>
      <c r="E992" s="47"/>
      <c r="F992" s="49"/>
      <c r="G992" s="50"/>
      <c r="H992" s="50"/>
      <c r="I992" s="50">
        <f>I1027</f>
        <v>260.40000000000003</v>
      </c>
      <c r="J992" s="284" t="str">
        <f>VLOOKUP(A992,PO!$A$8:$K$433,5,FALSE)</f>
        <v>m</v>
      </c>
    </row>
    <row r="993" spans="1:11" x14ac:dyDescent="0.25">
      <c r="A993" s="350"/>
      <c r="B993" s="352"/>
      <c r="C993" s="352"/>
      <c r="D993" s="360"/>
      <c r="E993" s="360"/>
      <c r="F993" s="352"/>
      <c r="G993" s="352"/>
      <c r="H993" s="352"/>
      <c r="I993" s="352"/>
      <c r="J993" s="369"/>
    </row>
    <row r="994" spans="1:11" x14ac:dyDescent="0.25">
      <c r="A994" s="350"/>
      <c r="B994" s="360" t="s">
        <v>21</v>
      </c>
      <c r="C994" s="352"/>
      <c r="D994" s="352"/>
      <c r="E994" s="360" t="s">
        <v>10921</v>
      </c>
      <c r="F994" s="360" t="s">
        <v>10933</v>
      </c>
      <c r="G994" s="360" t="s">
        <v>10960</v>
      </c>
      <c r="H994" s="370"/>
      <c r="I994" s="431" t="s">
        <v>14</v>
      </c>
      <c r="J994" s="452" t="s">
        <v>15</v>
      </c>
    </row>
    <row r="995" spans="1:11" x14ac:dyDescent="0.25">
      <c r="A995" s="350"/>
      <c r="B995" s="428" t="s">
        <v>11088</v>
      </c>
      <c r="C995" s="352"/>
      <c r="D995" s="352"/>
      <c r="E995" s="370">
        <v>3.85</v>
      </c>
      <c r="F995" s="222">
        <v>4</v>
      </c>
      <c r="G995" s="367">
        <f>(E995+F995)*2</f>
        <v>15.7</v>
      </c>
      <c r="H995" s="370" t="s">
        <v>16</v>
      </c>
      <c r="I995" s="432">
        <f>G995</f>
        <v>15.7</v>
      </c>
      <c r="J995" s="474" t="str">
        <f>$J$992</f>
        <v>m</v>
      </c>
    </row>
    <row r="996" spans="1:11" x14ac:dyDescent="0.25">
      <c r="A996" s="350"/>
      <c r="B996" s="710" t="s">
        <v>10988</v>
      </c>
      <c r="C996" s="710"/>
      <c r="D996" s="352"/>
      <c r="E996" s="222"/>
      <c r="F996" s="222"/>
      <c r="G996" s="367">
        <v>70.92</v>
      </c>
      <c r="H996" s="367" t="s">
        <v>16</v>
      </c>
      <c r="I996" s="222">
        <f t="shared" ref="I996:I1008" si="119">G996</f>
        <v>70.92</v>
      </c>
      <c r="J996" s="410" t="str">
        <f t="shared" ref="J996:J1010" si="120">$J$992</f>
        <v>m</v>
      </c>
    </row>
    <row r="997" spans="1:11" ht="27.6" customHeight="1" x14ac:dyDescent="0.25">
      <c r="A997" s="350"/>
      <c r="B997" s="710" t="s">
        <v>11003</v>
      </c>
      <c r="C997" s="710"/>
      <c r="D997" s="710"/>
      <c r="E997" s="222">
        <v>2.79</v>
      </c>
      <c r="F997" s="222">
        <v>5.1100000000000003</v>
      </c>
      <c r="G997" s="367">
        <f t="shared" ref="G997:G1007" si="121">(E997+F997)*2</f>
        <v>15.8</v>
      </c>
      <c r="H997" s="367" t="s">
        <v>16</v>
      </c>
      <c r="I997" s="222">
        <f t="shared" si="119"/>
        <v>15.8</v>
      </c>
      <c r="J997" s="410" t="str">
        <f t="shared" si="120"/>
        <v>m</v>
      </c>
    </row>
    <row r="998" spans="1:11" x14ac:dyDescent="0.25">
      <c r="A998" s="350"/>
      <c r="B998" s="710" t="s">
        <v>10989</v>
      </c>
      <c r="C998" s="710"/>
      <c r="D998" s="710"/>
      <c r="E998" s="222">
        <v>5.1100000000000003</v>
      </c>
      <c r="F998" s="222">
        <v>10.39</v>
      </c>
      <c r="G998" s="367">
        <f t="shared" si="121"/>
        <v>31</v>
      </c>
      <c r="H998" s="367" t="s">
        <v>16</v>
      </c>
      <c r="I998" s="222">
        <f t="shared" si="119"/>
        <v>31</v>
      </c>
      <c r="J998" s="410" t="str">
        <f t="shared" si="120"/>
        <v>m</v>
      </c>
    </row>
    <row r="999" spans="1:11" ht="34.15" customHeight="1" x14ac:dyDescent="0.25">
      <c r="A999" s="350"/>
      <c r="B999" s="710" t="s">
        <v>10990</v>
      </c>
      <c r="C999" s="710"/>
      <c r="D999" s="710"/>
      <c r="E999" s="222">
        <v>2.29</v>
      </c>
      <c r="F999" s="222">
        <v>5.25</v>
      </c>
      <c r="G999" s="367">
        <f t="shared" si="121"/>
        <v>15.08</v>
      </c>
      <c r="H999" s="367" t="s">
        <v>16</v>
      </c>
      <c r="I999" s="222">
        <f t="shared" si="119"/>
        <v>15.08</v>
      </c>
      <c r="J999" s="410" t="str">
        <f t="shared" si="120"/>
        <v>m</v>
      </c>
    </row>
    <row r="1000" spans="1:11" x14ac:dyDescent="0.25">
      <c r="A1000" s="350"/>
      <c r="B1000" s="710" t="s">
        <v>10991</v>
      </c>
      <c r="C1000" s="710"/>
      <c r="D1000" s="710"/>
      <c r="E1000" s="222">
        <v>3.87</v>
      </c>
      <c r="F1000" s="222">
        <v>8.1</v>
      </c>
      <c r="G1000" s="367">
        <f t="shared" si="121"/>
        <v>23.939999999999998</v>
      </c>
      <c r="H1000" s="367" t="s">
        <v>16</v>
      </c>
      <c r="I1000" s="222">
        <f t="shared" si="119"/>
        <v>23.939999999999998</v>
      </c>
      <c r="J1000" s="410" t="str">
        <f t="shared" si="120"/>
        <v>m</v>
      </c>
    </row>
    <row r="1001" spans="1:11" x14ac:dyDescent="0.25">
      <c r="A1001" s="350"/>
      <c r="B1001" s="710" t="s">
        <v>10992</v>
      </c>
      <c r="C1001" s="710"/>
      <c r="D1001" s="710"/>
      <c r="E1001" s="222">
        <v>1.18</v>
      </c>
      <c r="F1001" s="222">
        <v>14.19</v>
      </c>
      <c r="G1001" s="367">
        <f t="shared" si="121"/>
        <v>30.74</v>
      </c>
      <c r="H1001" s="367" t="s">
        <v>16</v>
      </c>
      <c r="I1001" s="222">
        <f t="shared" si="119"/>
        <v>30.74</v>
      </c>
      <c r="J1001" s="410" t="str">
        <f t="shared" si="120"/>
        <v>m</v>
      </c>
      <c r="K1001" s="677">
        <f>I1001-24.55</f>
        <v>6.1899999999999977</v>
      </c>
    </row>
    <row r="1002" spans="1:11" x14ac:dyDescent="0.25">
      <c r="A1002" s="350"/>
      <c r="B1002" s="710" t="s">
        <v>10993</v>
      </c>
      <c r="C1002" s="710"/>
      <c r="D1002" s="710"/>
      <c r="E1002" s="222">
        <v>4</v>
      </c>
      <c r="F1002" s="222">
        <v>4.95</v>
      </c>
      <c r="G1002" s="367">
        <f t="shared" si="121"/>
        <v>17.899999999999999</v>
      </c>
      <c r="H1002" s="367" t="s">
        <v>16</v>
      </c>
      <c r="I1002" s="222">
        <f t="shared" si="119"/>
        <v>17.899999999999999</v>
      </c>
      <c r="J1002" s="410" t="str">
        <f t="shared" si="120"/>
        <v>m</v>
      </c>
    </row>
    <row r="1003" spans="1:11" x14ac:dyDescent="0.25">
      <c r="A1003" s="350"/>
      <c r="B1003" s="710" t="s">
        <v>10994</v>
      </c>
      <c r="C1003" s="710"/>
      <c r="D1003" s="710"/>
      <c r="E1003" s="222">
        <v>4</v>
      </c>
      <c r="F1003" s="222">
        <v>4.95</v>
      </c>
      <c r="G1003" s="367">
        <f t="shared" si="121"/>
        <v>17.899999999999999</v>
      </c>
      <c r="H1003" s="367" t="s">
        <v>16</v>
      </c>
      <c r="I1003" s="222">
        <f t="shared" si="119"/>
        <v>17.899999999999999</v>
      </c>
      <c r="J1003" s="410" t="str">
        <f t="shared" si="120"/>
        <v>m</v>
      </c>
    </row>
    <row r="1004" spans="1:11" x14ac:dyDescent="0.25">
      <c r="A1004" s="350"/>
      <c r="B1004" s="710" t="s">
        <v>10995</v>
      </c>
      <c r="C1004" s="710"/>
      <c r="D1004" s="710"/>
      <c r="E1004" s="222">
        <v>4</v>
      </c>
      <c r="F1004" s="222">
        <v>4.95</v>
      </c>
      <c r="G1004" s="367">
        <f t="shared" si="121"/>
        <v>17.899999999999999</v>
      </c>
      <c r="H1004" s="367" t="s">
        <v>16</v>
      </c>
      <c r="I1004" s="222">
        <f t="shared" si="119"/>
        <v>17.899999999999999</v>
      </c>
      <c r="J1004" s="410" t="str">
        <f t="shared" si="120"/>
        <v>m</v>
      </c>
      <c r="K1004" s="35">
        <f>6.19-4.88</f>
        <v>1.3100000000000005</v>
      </c>
    </row>
    <row r="1005" spans="1:11" x14ac:dyDescent="0.25">
      <c r="A1005" s="350"/>
      <c r="B1005" s="710" t="s">
        <v>10996</v>
      </c>
      <c r="C1005" s="710"/>
      <c r="D1005" s="710"/>
      <c r="E1005" s="222">
        <v>1.22</v>
      </c>
      <c r="F1005" s="222">
        <v>2.5</v>
      </c>
      <c r="G1005" s="367">
        <f t="shared" si="121"/>
        <v>7.4399999999999995</v>
      </c>
      <c r="H1005" s="367" t="s">
        <v>16</v>
      </c>
      <c r="I1005" s="222">
        <f t="shared" si="119"/>
        <v>7.4399999999999995</v>
      </c>
      <c r="J1005" s="410" t="str">
        <f t="shared" si="120"/>
        <v>m</v>
      </c>
    </row>
    <row r="1006" spans="1:11" x14ac:dyDescent="0.25">
      <c r="A1006" s="350"/>
      <c r="B1006" s="710" t="s">
        <v>10997</v>
      </c>
      <c r="C1006" s="710"/>
      <c r="D1006" s="710"/>
      <c r="E1006" s="222">
        <v>1.86</v>
      </c>
      <c r="F1006" s="222">
        <v>2.8</v>
      </c>
      <c r="G1006" s="367">
        <f t="shared" si="121"/>
        <v>9.32</v>
      </c>
      <c r="H1006" s="367" t="s">
        <v>16</v>
      </c>
      <c r="I1006" s="222">
        <f t="shared" si="119"/>
        <v>9.32</v>
      </c>
      <c r="J1006" s="410" t="str">
        <f t="shared" si="120"/>
        <v>m</v>
      </c>
    </row>
    <row r="1007" spans="1:11" x14ac:dyDescent="0.25">
      <c r="A1007" s="350"/>
      <c r="B1007" s="710" t="s">
        <v>10998</v>
      </c>
      <c r="C1007" s="710"/>
      <c r="D1007" s="710"/>
      <c r="E1007" s="222">
        <v>1.86</v>
      </c>
      <c r="F1007" s="222">
        <v>2.8</v>
      </c>
      <c r="G1007" s="367">
        <f t="shared" si="121"/>
        <v>9.32</v>
      </c>
      <c r="H1007" s="367" t="s">
        <v>16</v>
      </c>
      <c r="I1007" s="222">
        <f t="shared" si="119"/>
        <v>9.32</v>
      </c>
      <c r="J1007" s="410" t="str">
        <f t="shared" si="120"/>
        <v>m</v>
      </c>
    </row>
    <row r="1008" spans="1:11" x14ac:dyDescent="0.25">
      <c r="A1008" s="350"/>
      <c r="B1008" s="352" t="s">
        <v>11004</v>
      </c>
      <c r="C1008" s="352"/>
      <c r="D1008" s="352"/>
      <c r="E1008" s="367" t="s">
        <v>10937</v>
      </c>
      <c r="F1008" s="367" t="s">
        <v>10937</v>
      </c>
      <c r="G1008" s="367">
        <v>13.32</v>
      </c>
      <c r="H1008" s="367" t="s">
        <v>16</v>
      </c>
      <c r="I1008" s="222">
        <f t="shared" si="119"/>
        <v>13.32</v>
      </c>
      <c r="J1008" s="410" t="str">
        <f t="shared" si="120"/>
        <v>m</v>
      </c>
    </row>
    <row r="1009" spans="1:10" x14ac:dyDescent="0.25">
      <c r="A1009" s="350"/>
      <c r="B1009" s="352"/>
      <c r="C1009" s="352"/>
      <c r="D1009" s="352"/>
      <c r="E1009" s="367"/>
      <c r="F1009" s="367"/>
      <c r="G1009" s="370"/>
      <c r="H1009" s="367"/>
      <c r="I1009" s="222"/>
      <c r="J1009" s="410"/>
    </row>
    <row r="1010" spans="1:10" s="198" customFormat="1" ht="14.25" x14ac:dyDescent="0.2">
      <c r="A1010" s="362"/>
      <c r="B1010" s="359"/>
      <c r="C1010" s="359"/>
      <c r="D1010" s="359"/>
      <c r="E1010" s="363"/>
      <c r="F1010" s="363"/>
      <c r="G1010" s="406" t="s">
        <v>10935</v>
      </c>
      <c r="H1010" s="363" t="s">
        <v>16</v>
      </c>
      <c r="I1010" s="210">
        <f>SUM(I995:I1009)</f>
        <v>296.28000000000003</v>
      </c>
      <c r="J1010" s="457" t="str">
        <f t="shared" si="120"/>
        <v>m</v>
      </c>
    </row>
    <row r="1011" spans="1:10" x14ac:dyDescent="0.25">
      <c r="A1011" s="350"/>
      <c r="B1011" s="352"/>
      <c r="C1011" s="352"/>
      <c r="D1011" s="352"/>
      <c r="E1011" s="352"/>
      <c r="F1011" s="352"/>
      <c r="G1011" s="370"/>
      <c r="H1011" s="352"/>
      <c r="I1011" s="352"/>
      <c r="J1011" s="369"/>
    </row>
    <row r="1012" spans="1:10" x14ac:dyDescent="0.25">
      <c r="A1012" s="732" t="s">
        <v>13883</v>
      </c>
      <c r="B1012" s="733"/>
      <c r="C1012" s="733"/>
      <c r="D1012" s="733"/>
      <c r="E1012" s="733"/>
      <c r="F1012" s="733"/>
      <c r="G1012" s="733"/>
      <c r="H1012" s="733"/>
      <c r="I1012" s="733"/>
      <c r="J1012" s="734"/>
    </row>
    <row r="1013" spans="1:10" x14ac:dyDescent="0.25">
      <c r="A1013" s="350"/>
      <c r="B1013" s="352"/>
      <c r="C1013" s="352"/>
      <c r="D1013" s="352"/>
      <c r="E1013" s="352"/>
      <c r="F1013" s="352"/>
      <c r="G1013" s="352"/>
      <c r="H1013" s="352"/>
      <c r="I1013" s="352"/>
      <c r="J1013" s="369"/>
    </row>
    <row r="1014" spans="1:10" s="40" customFormat="1" ht="15" customHeight="1" x14ac:dyDescent="0.25">
      <c r="A1014" s="417"/>
      <c r="B1014" s="669" t="s">
        <v>11114</v>
      </c>
      <c r="C1014" s="670"/>
      <c r="D1014" s="670"/>
      <c r="E1014" s="667" t="s">
        <v>10933</v>
      </c>
      <c r="F1014" s="667" t="s">
        <v>10927</v>
      </c>
      <c r="G1014" s="667" t="s">
        <v>13864</v>
      </c>
      <c r="H1014" s="367"/>
      <c r="I1014" s="222"/>
      <c r="J1014" s="410"/>
    </row>
    <row r="1015" spans="1:10" s="40" customFormat="1" x14ac:dyDescent="0.25">
      <c r="A1015" s="350"/>
      <c r="B1015" s="428" t="s">
        <v>11007</v>
      </c>
      <c r="C1015" s="467"/>
      <c r="D1015" s="467"/>
      <c r="E1015" s="376">
        <v>0.9</v>
      </c>
      <c r="F1015" s="376">
        <v>1</v>
      </c>
      <c r="G1015" s="376">
        <v>1</v>
      </c>
      <c r="H1015" s="367" t="s">
        <v>16</v>
      </c>
      <c r="I1015" s="222">
        <f>(E1015*F1015)*G1015</f>
        <v>0.9</v>
      </c>
      <c r="J1015" s="410" t="s">
        <v>47</v>
      </c>
    </row>
    <row r="1016" spans="1:10" s="34" customFormat="1" x14ac:dyDescent="0.25">
      <c r="A1016" s="344"/>
      <c r="B1016" s="678" t="s">
        <v>11008</v>
      </c>
      <c r="C1016" s="672"/>
      <c r="D1016" s="672"/>
      <c r="E1016" s="354">
        <v>2.9</v>
      </c>
      <c r="F1016" s="432">
        <v>3</v>
      </c>
      <c r="G1016" s="432">
        <v>1</v>
      </c>
      <c r="H1016" s="355" t="s">
        <v>16</v>
      </c>
      <c r="I1016" s="222">
        <f t="shared" ref="I1016:I1023" si="122">(E1016*F1016)*G1016</f>
        <v>8.6999999999999993</v>
      </c>
      <c r="J1016" s="451" t="s">
        <v>47</v>
      </c>
    </row>
    <row r="1017" spans="1:10" s="34" customFormat="1" x14ac:dyDescent="0.25">
      <c r="A1017" s="399"/>
      <c r="B1017" s="679" t="s">
        <v>11010</v>
      </c>
      <c r="C1017" s="439"/>
      <c r="D1017" s="439"/>
      <c r="E1017" s="354">
        <v>2.9</v>
      </c>
      <c r="F1017" s="432">
        <v>1</v>
      </c>
      <c r="G1017" s="432">
        <v>1</v>
      </c>
      <c r="H1017" s="355" t="s">
        <v>16</v>
      </c>
      <c r="I1017" s="222">
        <f t="shared" si="122"/>
        <v>2.9</v>
      </c>
      <c r="J1017" s="451" t="s">
        <v>47</v>
      </c>
    </row>
    <row r="1018" spans="1:10" s="34" customFormat="1" ht="15" customHeight="1" x14ac:dyDescent="0.25">
      <c r="A1018" s="399"/>
      <c r="B1018" s="672" t="s">
        <v>11012</v>
      </c>
      <c r="C1018" s="672"/>
      <c r="D1018" s="672"/>
      <c r="E1018" s="354">
        <v>0.8</v>
      </c>
      <c r="F1018" s="432">
        <v>3</v>
      </c>
      <c r="G1018" s="432">
        <v>1</v>
      </c>
      <c r="H1018" s="355" t="s">
        <v>16</v>
      </c>
      <c r="I1018" s="222">
        <f t="shared" si="122"/>
        <v>2.4000000000000004</v>
      </c>
      <c r="J1018" s="451" t="s">
        <v>47</v>
      </c>
    </row>
    <row r="1019" spans="1:10" s="34" customFormat="1" x14ac:dyDescent="0.25">
      <c r="A1019" s="399"/>
      <c r="B1019" s="672" t="s">
        <v>11013</v>
      </c>
      <c r="C1019" s="672"/>
      <c r="D1019" s="672"/>
      <c r="E1019" s="354">
        <v>1.2</v>
      </c>
      <c r="F1019" s="432">
        <v>2</v>
      </c>
      <c r="G1019" s="432">
        <v>2</v>
      </c>
      <c r="H1019" s="355" t="s">
        <v>16</v>
      </c>
      <c r="I1019" s="222">
        <f t="shared" si="122"/>
        <v>4.8</v>
      </c>
      <c r="J1019" s="451" t="s">
        <v>47</v>
      </c>
    </row>
    <row r="1020" spans="1:10" s="34" customFormat="1" x14ac:dyDescent="0.25">
      <c r="A1020" s="399"/>
      <c r="B1020" s="672" t="s">
        <v>11013</v>
      </c>
      <c r="C1020" s="672"/>
      <c r="D1020" s="672"/>
      <c r="E1020" s="354">
        <v>1.2</v>
      </c>
      <c r="F1020" s="432">
        <v>1</v>
      </c>
      <c r="G1020" s="432">
        <v>1</v>
      </c>
      <c r="H1020" s="355" t="s">
        <v>16</v>
      </c>
      <c r="I1020" s="222">
        <f t="shared" si="122"/>
        <v>1.2</v>
      </c>
      <c r="J1020" s="451" t="s">
        <v>47</v>
      </c>
    </row>
    <row r="1021" spans="1:10" s="34" customFormat="1" ht="15" customHeight="1" x14ac:dyDescent="0.25">
      <c r="A1021" s="399"/>
      <c r="B1021" s="672" t="s">
        <v>10950</v>
      </c>
      <c r="C1021" s="672"/>
      <c r="D1021" s="672"/>
      <c r="E1021" s="354">
        <v>1.5</v>
      </c>
      <c r="F1021" s="432">
        <v>4</v>
      </c>
      <c r="G1021" s="432">
        <v>2</v>
      </c>
      <c r="H1021" s="355" t="s">
        <v>16</v>
      </c>
      <c r="I1021" s="222">
        <f t="shared" si="122"/>
        <v>12</v>
      </c>
      <c r="J1021" s="451" t="s">
        <v>47</v>
      </c>
    </row>
    <row r="1022" spans="1:10" s="34" customFormat="1" x14ac:dyDescent="0.25">
      <c r="A1022" s="399"/>
      <c r="B1022" s="672" t="s">
        <v>11018</v>
      </c>
      <c r="C1022" s="672"/>
      <c r="D1022" s="672"/>
      <c r="E1022" s="354">
        <v>0.9</v>
      </c>
      <c r="F1022" s="432">
        <v>1</v>
      </c>
      <c r="G1022" s="432">
        <v>2</v>
      </c>
      <c r="H1022" s="355" t="s">
        <v>16</v>
      </c>
      <c r="I1022" s="222">
        <f t="shared" si="122"/>
        <v>1.8</v>
      </c>
      <c r="J1022" s="451" t="s">
        <v>47</v>
      </c>
    </row>
    <row r="1023" spans="1:10" s="34" customFormat="1" x14ac:dyDescent="0.25">
      <c r="A1023" s="399"/>
      <c r="B1023" s="679" t="s">
        <v>13885</v>
      </c>
      <c r="C1023" s="672"/>
      <c r="D1023" s="672"/>
      <c r="E1023" s="354">
        <v>1.18</v>
      </c>
      <c r="F1023" s="432">
        <v>1</v>
      </c>
      <c r="G1023" s="432">
        <v>1</v>
      </c>
      <c r="H1023" s="355" t="s">
        <v>16</v>
      </c>
      <c r="I1023" s="222">
        <f t="shared" si="122"/>
        <v>1.18</v>
      </c>
      <c r="J1023" s="451"/>
    </row>
    <row r="1024" spans="1:10" x14ac:dyDescent="0.25">
      <c r="A1024" s="417"/>
      <c r="B1024" s="670"/>
      <c r="C1024" s="670"/>
      <c r="D1024" s="670"/>
      <c r="E1024" s="222"/>
      <c r="F1024" s="222"/>
      <c r="G1024" s="370"/>
      <c r="H1024" s="367"/>
      <c r="I1024" s="222"/>
      <c r="J1024" s="410"/>
    </row>
    <row r="1025" spans="1:10" s="198" customFormat="1" ht="14.25" x14ac:dyDescent="0.2">
      <c r="A1025" s="362"/>
      <c r="B1025" s="359"/>
      <c r="C1025" s="359"/>
      <c r="D1025" s="359"/>
      <c r="E1025" s="363"/>
      <c r="F1025" s="363"/>
      <c r="G1025" s="406" t="s">
        <v>10935</v>
      </c>
      <c r="H1025" s="363" t="s">
        <v>16</v>
      </c>
      <c r="I1025" s="210">
        <f>SUM(I1015:I1024)</f>
        <v>35.879999999999995</v>
      </c>
      <c r="J1025" s="457" t="str">
        <f t="shared" ref="J1025" si="123">$J$992</f>
        <v>m</v>
      </c>
    </row>
    <row r="1026" spans="1:10" x14ac:dyDescent="0.25">
      <c r="A1026" s="417"/>
      <c r="B1026" s="670"/>
      <c r="C1026" s="670"/>
      <c r="D1026" s="670"/>
      <c r="E1026" s="222"/>
      <c r="F1026" s="222"/>
      <c r="G1026" s="370"/>
      <c r="H1026" s="367"/>
      <c r="I1026" s="222"/>
      <c r="J1026" s="410"/>
    </row>
    <row r="1027" spans="1:10" x14ac:dyDescent="0.25">
      <c r="A1027" s="666"/>
      <c r="B1027" s="711" t="s">
        <v>13884</v>
      </c>
      <c r="C1027" s="711"/>
      <c r="D1027" s="711"/>
      <c r="E1027" s="711"/>
      <c r="F1027" s="711"/>
      <c r="G1027" s="711"/>
      <c r="H1027" s="363" t="s">
        <v>16</v>
      </c>
      <c r="I1027" s="210">
        <f>I1010-I1025</f>
        <v>260.40000000000003</v>
      </c>
      <c r="J1027" s="457" t="s">
        <v>47</v>
      </c>
    </row>
    <row r="1028" spans="1:10" ht="15.75" thickBot="1" x14ac:dyDescent="0.3">
      <c r="A1028" s="666"/>
      <c r="B1028" s="673"/>
      <c r="C1028" s="673"/>
      <c r="D1028" s="673"/>
      <c r="E1028" s="673"/>
      <c r="F1028" s="673"/>
      <c r="G1028" s="673"/>
      <c r="H1028" s="363"/>
      <c r="I1028" s="210"/>
      <c r="J1028" s="457"/>
    </row>
    <row r="1029" spans="1:10" s="40" customFormat="1" ht="15.75" thickBot="1" x14ac:dyDescent="0.3">
      <c r="A1029" s="680" t="str">
        <f>PO!A144</f>
        <v>8.5.2</v>
      </c>
      <c r="B1029" s="60" t="str">
        <f>VLOOKUP(A1029,PO!$A$8:$K$433,4,FALSE)</f>
        <v>Soleira em granito, largura 15 cm, espessura 2,0 cm.</v>
      </c>
      <c r="C1029" s="47"/>
      <c r="D1029" s="48"/>
      <c r="E1029" s="47"/>
      <c r="F1029" s="49"/>
      <c r="G1029" s="50"/>
      <c r="H1029" s="50"/>
      <c r="I1029" s="50">
        <f>SUM(H1032:H1040)</f>
        <v>31.7</v>
      </c>
      <c r="J1029" s="284" t="str">
        <f>VLOOKUP(A1029,PO!$A$8:$K$433,5,FALSE)</f>
        <v>m</v>
      </c>
    </row>
    <row r="1030" spans="1:10" x14ac:dyDescent="0.25">
      <c r="A1030" s="350"/>
      <c r="B1030" s="352"/>
      <c r="C1030" s="352"/>
      <c r="D1030" s="360"/>
      <c r="E1030" s="360"/>
      <c r="F1030" s="352"/>
      <c r="G1030" s="352"/>
      <c r="H1030" s="352"/>
      <c r="I1030" s="352"/>
      <c r="J1030" s="369"/>
    </row>
    <row r="1031" spans="1:10" x14ac:dyDescent="0.25">
      <c r="A1031" s="350"/>
      <c r="B1031" s="360" t="s">
        <v>21</v>
      </c>
      <c r="C1031" s="352"/>
      <c r="D1031" s="352"/>
      <c r="E1031" s="360" t="s">
        <v>10933</v>
      </c>
      <c r="F1031" s="360" t="s">
        <v>10927</v>
      </c>
      <c r="G1031" s="370"/>
      <c r="H1031" s="431" t="s">
        <v>14</v>
      </c>
      <c r="I1031" s="431" t="s">
        <v>15</v>
      </c>
      <c r="J1031" s="369"/>
    </row>
    <row r="1032" spans="1:10" x14ac:dyDescent="0.25">
      <c r="A1032" s="350"/>
      <c r="B1032" s="467" t="s">
        <v>11008</v>
      </c>
      <c r="C1032" s="467"/>
      <c r="D1032" s="352"/>
      <c r="E1032" s="222">
        <v>2.9</v>
      </c>
      <c r="F1032" s="367">
        <v>3</v>
      </c>
      <c r="G1032" s="367" t="s">
        <v>16</v>
      </c>
      <c r="H1032" s="222">
        <f>E1032*F1032</f>
        <v>8.6999999999999993</v>
      </c>
      <c r="I1032" s="368" t="str">
        <f>$J$1029</f>
        <v>m</v>
      </c>
      <c r="J1032" s="369"/>
    </row>
    <row r="1033" spans="1:10" ht="15" customHeight="1" x14ac:dyDescent="0.25">
      <c r="A1033" s="350"/>
      <c r="B1033" s="467" t="s">
        <v>11010</v>
      </c>
      <c r="C1033" s="467"/>
      <c r="D1033" s="352"/>
      <c r="E1033" s="222">
        <v>2.9</v>
      </c>
      <c r="F1033" s="370">
        <v>1</v>
      </c>
      <c r="G1033" s="367" t="s">
        <v>16</v>
      </c>
      <c r="H1033" s="222">
        <f t="shared" ref="H1033:H1039" si="124">E1033*F1033</f>
        <v>2.9</v>
      </c>
      <c r="I1033" s="368" t="str">
        <f t="shared" ref="I1033:I1040" si="125">$J$1029</f>
        <v>m</v>
      </c>
      <c r="J1033" s="369"/>
    </row>
    <row r="1034" spans="1:10" x14ac:dyDescent="0.25">
      <c r="A1034" s="350"/>
      <c r="B1034" s="352" t="s">
        <v>10950</v>
      </c>
      <c r="C1034" s="352"/>
      <c r="D1034" s="352"/>
      <c r="E1034" s="376">
        <v>1.5</v>
      </c>
      <c r="F1034" s="370">
        <v>5</v>
      </c>
      <c r="G1034" s="367" t="s">
        <v>16</v>
      </c>
      <c r="H1034" s="222">
        <f t="shared" si="124"/>
        <v>7.5</v>
      </c>
      <c r="I1034" s="368" t="str">
        <f t="shared" si="125"/>
        <v>m</v>
      </c>
      <c r="J1034" s="369"/>
    </row>
    <row r="1035" spans="1:10" x14ac:dyDescent="0.25">
      <c r="A1035" s="350"/>
      <c r="B1035" s="352" t="s">
        <v>11013</v>
      </c>
      <c r="C1035" s="352"/>
      <c r="D1035" s="352"/>
      <c r="E1035" s="376">
        <v>1.2</v>
      </c>
      <c r="F1035" s="370">
        <v>3</v>
      </c>
      <c r="G1035" s="367" t="s">
        <v>16</v>
      </c>
      <c r="H1035" s="222">
        <f t="shared" si="124"/>
        <v>3.5999999999999996</v>
      </c>
      <c r="I1035" s="368" t="str">
        <f t="shared" si="125"/>
        <v>m</v>
      </c>
      <c r="J1035" s="369"/>
    </row>
    <row r="1036" spans="1:10" x14ac:dyDescent="0.25">
      <c r="A1036" s="350"/>
      <c r="B1036" s="352" t="s">
        <v>11007</v>
      </c>
      <c r="C1036" s="352"/>
      <c r="D1036" s="352"/>
      <c r="E1036" s="376">
        <v>0.9</v>
      </c>
      <c r="F1036" s="370">
        <v>1</v>
      </c>
      <c r="G1036" s="367" t="s">
        <v>16</v>
      </c>
      <c r="H1036" s="222">
        <f t="shared" si="124"/>
        <v>0.9</v>
      </c>
      <c r="I1036" s="368" t="str">
        <f t="shared" si="125"/>
        <v>m</v>
      </c>
      <c r="J1036" s="369"/>
    </row>
    <row r="1037" spans="1:10" x14ac:dyDescent="0.25">
      <c r="A1037" s="350"/>
      <c r="B1037" s="352" t="s">
        <v>11012</v>
      </c>
      <c r="C1037" s="352"/>
      <c r="D1037" s="352"/>
      <c r="E1037" s="376">
        <v>0.8</v>
      </c>
      <c r="F1037" s="370">
        <v>3</v>
      </c>
      <c r="G1037" s="367" t="s">
        <v>16</v>
      </c>
      <c r="H1037" s="222">
        <f t="shared" si="124"/>
        <v>2.4000000000000004</v>
      </c>
      <c r="I1037" s="368" t="str">
        <f t="shared" si="125"/>
        <v>m</v>
      </c>
      <c r="J1037" s="369"/>
    </row>
    <row r="1038" spans="1:10" x14ac:dyDescent="0.25">
      <c r="A1038" s="350"/>
      <c r="B1038" s="352" t="s">
        <v>10939</v>
      </c>
      <c r="C1038" s="352"/>
      <c r="D1038" s="352"/>
      <c r="E1038" s="376">
        <v>1.2</v>
      </c>
      <c r="F1038" s="370">
        <v>1</v>
      </c>
      <c r="G1038" s="367" t="s">
        <v>16</v>
      </c>
      <c r="H1038" s="222">
        <f t="shared" si="124"/>
        <v>1.2</v>
      </c>
      <c r="I1038" s="368" t="str">
        <f t="shared" si="125"/>
        <v>m</v>
      </c>
      <c r="J1038" s="369"/>
    </row>
    <row r="1039" spans="1:10" x14ac:dyDescent="0.25">
      <c r="A1039" s="350"/>
      <c r="B1039" s="352" t="s">
        <v>11018</v>
      </c>
      <c r="C1039" s="352"/>
      <c r="D1039" s="352"/>
      <c r="E1039" s="376">
        <v>0.9</v>
      </c>
      <c r="F1039" s="370">
        <v>1</v>
      </c>
      <c r="G1039" s="367" t="s">
        <v>16</v>
      </c>
      <c r="H1039" s="222">
        <f t="shared" si="124"/>
        <v>0.9</v>
      </c>
      <c r="I1039" s="368" t="str">
        <f t="shared" si="125"/>
        <v>m</v>
      </c>
      <c r="J1039" s="369"/>
    </row>
    <row r="1040" spans="1:10" x14ac:dyDescent="0.25">
      <c r="A1040" s="350"/>
      <c r="B1040" s="352" t="s">
        <v>11019</v>
      </c>
      <c r="C1040" s="352"/>
      <c r="D1040" s="352"/>
      <c r="E1040" s="376">
        <v>0.9</v>
      </c>
      <c r="F1040" s="370">
        <v>4</v>
      </c>
      <c r="G1040" s="367" t="s">
        <v>16</v>
      </c>
      <c r="H1040" s="222">
        <f>E1040*F1040</f>
        <v>3.6</v>
      </c>
      <c r="I1040" s="368" t="str">
        <f t="shared" si="125"/>
        <v>m</v>
      </c>
      <c r="J1040" s="369"/>
    </row>
    <row r="1041" spans="1:10" ht="15.75" thickBot="1" x14ac:dyDescent="0.3">
      <c r="A1041" s="350"/>
      <c r="B1041" s="352"/>
      <c r="C1041" s="352"/>
      <c r="D1041" s="352"/>
      <c r="E1041" s="352"/>
      <c r="F1041" s="352"/>
      <c r="G1041" s="352"/>
      <c r="H1041" s="222"/>
      <c r="I1041" s="352"/>
      <c r="J1041" s="369"/>
    </row>
    <row r="1042" spans="1:10" s="40" customFormat="1" ht="15.75" thickBot="1" x14ac:dyDescent="0.3">
      <c r="A1042" s="36" t="s">
        <v>88</v>
      </c>
      <c r="B1042" s="37" t="str">
        <f>VLOOKUP(A1042,PO!$A$8:$K$425,4,FALSE)</f>
        <v>REVESTIMENTO E TRATAMENTO PAREDES</v>
      </c>
      <c r="C1042" s="38"/>
      <c r="D1042" s="37"/>
      <c r="E1042" s="38"/>
      <c r="F1042" s="38"/>
      <c r="G1042" s="38"/>
      <c r="H1042" s="38"/>
      <c r="I1042" s="38"/>
      <c r="J1042" s="39"/>
    </row>
    <row r="1043" spans="1:10" ht="16.5" customHeight="1" thickBot="1" x14ac:dyDescent="0.3">
      <c r="A1043" s="344"/>
      <c r="B1043" s="345"/>
      <c r="C1043" s="345"/>
      <c r="D1043" s="345"/>
      <c r="E1043" s="345"/>
      <c r="F1043" s="345"/>
      <c r="G1043" s="345"/>
      <c r="H1043" s="345"/>
      <c r="I1043" s="345"/>
      <c r="J1043" s="346"/>
    </row>
    <row r="1044" spans="1:10" s="40" customFormat="1" ht="15.75" thickBot="1" x14ac:dyDescent="0.3">
      <c r="A1044" s="41" t="s">
        <v>143</v>
      </c>
      <c r="B1044" s="42" t="str">
        <f>VLOOKUP(A1044,PO!$A$8:$K$425,4,FALSE)</f>
        <v>CHAPISCO, EMBOÇO E REBOCO</v>
      </c>
      <c r="C1044" s="43"/>
      <c r="D1044" s="43"/>
      <c r="E1044" s="43"/>
      <c r="F1044" s="43"/>
      <c r="G1044" s="43"/>
      <c r="H1044" s="43"/>
      <c r="I1044" s="43"/>
      <c r="J1044" s="44"/>
    </row>
    <row r="1045" spans="1:10" s="40" customFormat="1" ht="15.75" thickBot="1" x14ac:dyDescent="0.3">
      <c r="A1045" s="347"/>
      <c r="B1045" s="205"/>
      <c r="C1045" s="205"/>
      <c r="D1045" s="348"/>
      <c r="E1045" s="205"/>
      <c r="F1045" s="237"/>
      <c r="G1045" s="208"/>
      <c r="H1045" s="208"/>
      <c r="I1045" s="208"/>
      <c r="J1045" s="349"/>
    </row>
    <row r="1046" spans="1:10" s="40" customFormat="1" ht="15.75" thickBot="1" x14ac:dyDescent="0.3">
      <c r="A1046" s="46" t="s">
        <v>144</v>
      </c>
      <c r="B1046" s="60" t="str">
        <f>VLOOKUP(A1046,PO!$A$8:$K$433,4,FALSE)</f>
        <v>Chapisco Aplicado Tanto em Pilares e Vigas de Concreto como em Alvenaria de Paredes Internas e Externa, Com Colher de Pedreiro, Argamassa Traço 1:3 com Preparo em Betonrira 400L.</v>
      </c>
      <c r="C1046" s="47"/>
      <c r="D1046" s="48"/>
      <c r="E1046" s="47"/>
      <c r="F1046" s="49"/>
      <c r="G1046" s="50"/>
      <c r="H1046" s="50"/>
      <c r="I1046" s="50">
        <f>I1064</f>
        <v>1567.9180000000003</v>
      </c>
      <c r="J1046" s="284" t="str">
        <f>VLOOKUP(A1046,PO!$A$8:$K$433,5,FALSE)</f>
        <v>m²</v>
      </c>
    </row>
    <row r="1047" spans="1:10" x14ac:dyDescent="0.25">
      <c r="A1047" s="350"/>
      <c r="B1047" s="352"/>
      <c r="C1047" s="352"/>
      <c r="D1047" s="360"/>
      <c r="E1047" s="360"/>
      <c r="F1047" s="352"/>
      <c r="G1047" s="352"/>
      <c r="H1047" s="352"/>
      <c r="I1047" s="352"/>
      <c r="J1047" s="369"/>
    </row>
    <row r="1048" spans="1:10" x14ac:dyDescent="0.25">
      <c r="A1048" s="358" t="s">
        <v>13867</v>
      </c>
      <c r="B1048" s="360" t="s">
        <v>10886</v>
      </c>
      <c r="C1048" s="352"/>
      <c r="D1048" s="352"/>
      <c r="E1048" s="360" t="s">
        <v>13863</v>
      </c>
      <c r="F1048" s="360" t="s">
        <v>13864</v>
      </c>
      <c r="G1048" s="360"/>
      <c r="H1048" s="370"/>
      <c r="I1048" s="431" t="s">
        <v>14</v>
      </c>
      <c r="J1048" s="452" t="s">
        <v>15</v>
      </c>
    </row>
    <row r="1049" spans="1:10" ht="61.5" customHeight="1" x14ac:dyDescent="0.25">
      <c r="A1049" s="656" t="str">
        <f>A704</f>
        <v>6.1.1</v>
      </c>
      <c r="B1049" s="662" t="str">
        <f>B704</f>
        <v>Alvenaria de Vedação de Blocos Ceramicos Furados na Horizontal 9X19X19CM (E = 9cm) de paredes com area Liquida Maior que 6 m² com Vãos e Argamassa de Assentamento com Preparo em Betoneira</v>
      </c>
      <c r="C1049" s="663" t="s">
        <v>13866</v>
      </c>
      <c r="D1049" s="352"/>
      <c r="E1049" s="222">
        <f>I727</f>
        <v>860.07100000000014</v>
      </c>
      <c r="F1049" s="222">
        <v>2</v>
      </c>
      <c r="G1049" s="657"/>
      <c r="H1049" s="370" t="s">
        <v>16</v>
      </c>
      <c r="I1049" s="655">
        <f>F1049*E1049</f>
        <v>1720.1420000000003</v>
      </c>
      <c r="J1049" s="661" t="str">
        <f>J1046</f>
        <v>m²</v>
      </c>
    </row>
    <row r="1050" spans="1:10" x14ac:dyDescent="0.25">
      <c r="A1050" s="656"/>
      <c r="B1050" s="662"/>
      <c r="C1050" s="663"/>
      <c r="D1050" s="359" t="s">
        <v>10927</v>
      </c>
      <c r="E1050" s="406" t="s">
        <v>13869</v>
      </c>
      <c r="F1050" s="406" t="s">
        <v>11057</v>
      </c>
      <c r="G1050" s="657"/>
      <c r="H1050" s="370"/>
      <c r="I1050" s="655"/>
      <c r="J1050" s="661"/>
    </row>
    <row r="1051" spans="1:10" x14ac:dyDescent="0.25">
      <c r="A1051" s="656"/>
      <c r="B1051" s="715" t="s">
        <v>13868</v>
      </c>
      <c r="C1051" s="367" t="s">
        <v>11010</v>
      </c>
      <c r="D1051" s="367">
        <v>1</v>
      </c>
      <c r="E1051" s="222">
        <f>2.8+2.8+2.9</f>
        <v>8.5</v>
      </c>
      <c r="F1051" s="222">
        <v>0.15</v>
      </c>
      <c r="G1051" s="363"/>
      <c r="H1051" s="367" t="s">
        <v>16</v>
      </c>
      <c r="I1051" s="655">
        <f>E1051*F1051*D1051</f>
        <v>1.2749999999999999</v>
      </c>
      <c r="J1051" s="665" t="str">
        <f>$J$1046</f>
        <v>m²</v>
      </c>
    </row>
    <row r="1052" spans="1:10" x14ac:dyDescent="0.25">
      <c r="A1052" s="656"/>
      <c r="B1052" s="715"/>
      <c r="C1052" s="367" t="s">
        <v>11012</v>
      </c>
      <c r="D1052" s="367">
        <v>1</v>
      </c>
      <c r="E1052" s="222">
        <f>2.1+2.1+0.8</f>
        <v>5</v>
      </c>
      <c r="F1052" s="222">
        <v>0.15</v>
      </c>
      <c r="G1052" s="363"/>
      <c r="H1052" s="367" t="s">
        <v>16</v>
      </c>
      <c r="I1052" s="655">
        <f t="shared" ref="I1052:I1057" si="126">E1052*F1052*D1052</f>
        <v>0.75</v>
      </c>
      <c r="J1052" s="665" t="str">
        <f t="shared" ref="J1052:J1058" si="127">$J$1046</f>
        <v>m²</v>
      </c>
    </row>
    <row r="1053" spans="1:10" x14ac:dyDescent="0.25">
      <c r="A1053" s="656"/>
      <c r="B1053" s="715"/>
      <c r="C1053" s="367" t="s">
        <v>10939</v>
      </c>
      <c r="D1053" s="367">
        <v>1</v>
      </c>
      <c r="E1053" s="222">
        <f>2.1+2.1+1.2</f>
        <v>5.4</v>
      </c>
      <c r="F1053" s="222">
        <v>0.15</v>
      </c>
      <c r="G1053" s="363"/>
      <c r="H1053" s="367" t="s">
        <v>16</v>
      </c>
      <c r="I1053" s="655">
        <f t="shared" si="126"/>
        <v>0.81</v>
      </c>
      <c r="J1053" s="665" t="str">
        <f t="shared" si="127"/>
        <v>m²</v>
      </c>
    </row>
    <row r="1054" spans="1:10" x14ac:dyDescent="0.25">
      <c r="A1054" s="656"/>
      <c r="B1054" s="715"/>
      <c r="C1054" s="367" t="s">
        <v>10950</v>
      </c>
      <c r="D1054" s="367">
        <v>5</v>
      </c>
      <c r="E1054" s="222">
        <f>2.5+2.5+1.5</f>
        <v>6.5</v>
      </c>
      <c r="F1054" s="222">
        <v>0.15</v>
      </c>
      <c r="G1054" s="363"/>
      <c r="H1054" s="367" t="s">
        <v>16</v>
      </c>
      <c r="I1054" s="655">
        <f t="shared" si="126"/>
        <v>4.875</v>
      </c>
      <c r="J1054" s="665" t="str">
        <f t="shared" si="127"/>
        <v>m²</v>
      </c>
    </row>
    <row r="1055" spans="1:10" x14ac:dyDescent="0.25">
      <c r="A1055" s="656"/>
      <c r="B1055" s="715"/>
      <c r="C1055" s="367" t="s">
        <v>11013</v>
      </c>
      <c r="D1055" s="367">
        <v>1</v>
      </c>
      <c r="E1055" s="222">
        <f>2.5+2.5+1.2</f>
        <v>6.2</v>
      </c>
      <c r="F1055" s="222">
        <v>0.15</v>
      </c>
      <c r="G1055" s="363"/>
      <c r="H1055" s="367" t="s">
        <v>16</v>
      </c>
      <c r="I1055" s="655">
        <f t="shared" si="126"/>
        <v>0.92999999999999994</v>
      </c>
      <c r="J1055" s="665" t="str">
        <f t="shared" si="127"/>
        <v>m²</v>
      </c>
    </row>
    <row r="1056" spans="1:10" x14ac:dyDescent="0.25">
      <c r="A1056" s="656"/>
      <c r="B1056" s="715"/>
      <c r="C1056" s="367" t="s">
        <v>11029</v>
      </c>
      <c r="D1056" s="367">
        <v>4</v>
      </c>
      <c r="E1056" s="222">
        <f>1.6+1.6+1.28+1.28</f>
        <v>5.7600000000000007</v>
      </c>
      <c r="F1056" s="222">
        <v>0.15</v>
      </c>
      <c r="G1056" s="363"/>
      <c r="H1056" s="367" t="s">
        <v>16</v>
      </c>
      <c r="I1056" s="655">
        <f t="shared" si="126"/>
        <v>3.4560000000000004</v>
      </c>
      <c r="J1056" s="665" t="str">
        <f t="shared" si="127"/>
        <v>m²</v>
      </c>
    </row>
    <row r="1057" spans="1:10" x14ac:dyDescent="0.25">
      <c r="A1057" s="656"/>
      <c r="B1057" s="715"/>
      <c r="C1057" s="367" t="s">
        <v>10938</v>
      </c>
      <c r="D1057" s="367">
        <v>2</v>
      </c>
      <c r="E1057" s="222">
        <f>1.2+1.2+0.4+0.4</f>
        <v>3.1999999999999997</v>
      </c>
      <c r="F1057" s="222">
        <v>0.15</v>
      </c>
      <c r="G1057" s="363"/>
      <c r="H1057" s="367" t="s">
        <v>16</v>
      </c>
      <c r="I1057" s="655">
        <f t="shared" si="126"/>
        <v>0.95999999999999985</v>
      </c>
      <c r="J1057" s="665" t="str">
        <f t="shared" si="127"/>
        <v>m²</v>
      </c>
    </row>
    <row r="1058" spans="1:10" x14ac:dyDescent="0.25">
      <c r="A1058" s="656"/>
      <c r="B1058" s="662"/>
      <c r="C1058" s="367"/>
      <c r="D1058" s="367"/>
      <c r="E1058" s="222"/>
      <c r="F1058" s="222"/>
      <c r="G1058" s="657" t="s">
        <v>13830</v>
      </c>
      <c r="H1058" s="370" t="s">
        <v>16</v>
      </c>
      <c r="I1058" s="655">
        <f>SUM(I1051:I1057)</f>
        <v>13.055999999999999</v>
      </c>
      <c r="J1058" s="665" t="str">
        <f t="shared" si="127"/>
        <v>m²</v>
      </c>
    </row>
    <row r="1059" spans="1:10" x14ac:dyDescent="0.25">
      <c r="A1059" s="656"/>
      <c r="B1059" s="658"/>
      <c r="C1059" s="352"/>
      <c r="D1059" s="352"/>
      <c r="E1059" s="222"/>
      <c r="F1059" s="222"/>
      <c r="G1059" s="657"/>
      <c r="H1059" s="370"/>
      <c r="I1059" s="655"/>
      <c r="J1059" s="452"/>
    </row>
    <row r="1060" spans="1:10" x14ac:dyDescent="0.25">
      <c r="A1060" s="656"/>
      <c r="B1060" s="711" t="s">
        <v>13865</v>
      </c>
      <c r="C1060" s="711"/>
      <c r="D1060" s="711"/>
      <c r="E1060" s="711"/>
      <c r="F1060" s="711"/>
      <c r="G1060" s="657"/>
      <c r="H1060" s="370"/>
      <c r="I1060" s="655"/>
      <c r="J1060" s="661"/>
    </row>
    <row r="1061" spans="1:10" x14ac:dyDescent="0.25">
      <c r="A1061" s="656" t="s">
        <v>13867</v>
      </c>
      <c r="B1061" s="657" t="s">
        <v>10886</v>
      </c>
      <c r="C1061" s="352"/>
      <c r="D1061" s="352"/>
      <c r="E1061" s="657" t="s">
        <v>13863</v>
      </c>
      <c r="F1061" s="657" t="s">
        <v>13864</v>
      </c>
      <c r="G1061" s="657"/>
      <c r="H1061" s="370"/>
      <c r="I1061" s="431" t="s">
        <v>14</v>
      </c>
      <c r="J1061" s="452" t="s">
        <v>15</v>
      </c>
    </row>
    <row r="1062" spans="1:10" ht="28.5" customHeight="1" x14ac:dyDescent="0.25">
      <c r="A1062" s="656" t="str">
        <f>A704</f>
        <v>6.1.1</v>
      </c>
      <c r="B1062" s="660" t="str">
        <f>A729</f>
        <v xml:space="preserve">Desconto de portas  e janelas </v>
      </c>
      <c r="C1062" s="659"/>
      <c r="D1062" s="659"/>
      <c r="E1062" s="222">
        <f>I745</f>
        <v>82.639999999999986</v>
      </c>
      <c r="F1062" s="222">
        <v>2</v>
      </c>
      <c r="G1062" s="657"/>
      <c r="H1062" s="370" t="s">
        <v>16</v>
      </c>
      <c r="I1062" s="655">
        <f>E1062*F1062</f>
        <v>165.27999999999997</v>
      </c>
      <c r="J1062" s="661" t="str">
        <f>J1046</f>
        <v>m²</v>
      </c>
    </row>
    <row r="1063" spans="1:10" x14ac:dyDescent="0.25">
      <c r="A1063" s="656"/>
      <c r="B1063" s="658"/>
      <c r="C1063" s="352"/>
      <c r="D1063" s="352"/>
      <c r="E1063" s="657"/>
      <c r="F1063" s="657"/>
      <c r="G1063" s="657"/>
      <c r="H1063" s="370"/>
      <c r="I1063" s="655"/>
      <c r="J1063" s="452"/>
    </row>
    <row r="1064" spans="1:10" s="198" customFormat="1" ht="14.25" x14ac:dyDescent="0.2">
      <c r="A1064" s="362"/>
      <c r="B1064" s="711" t="s">
        <v>11076</v>
      </c>
      <c r="C1064" s="711"/>
      <c r="D1064" s="711"/>
      <c r="E1064" s="711"/>
      <c r="F1064" s="711"/>
      <c r="G1064" s="406"/>
      <c r="H1064" s="363" t="s">
        <v>16</v>
      </c>
      <c r="I1064" s="664">
        <f>I1049+I1058-I1062</f>
        <v>1567.9180000000003</v>
      </c>
      <c r="J1064" s="457" t="str">
        <f>$J$1046</f>
        <v>m²</v>
      </c>
    </row>
    <row r="1065" spans="1:10" s="198" customFormat="1" thickBot="1" x14ac:dyDescent="0.25">
      <c r="A1065" s="362"/>
      <c r="B1065" s="468"/>
      <c r="C1065" s="468"/>
      <c r="D1065" s="468"/>
      <c r="E1065" s="468"/>
      <c r="F1065" s="468"/>
      <c r="G1065" s="406"/>
      <c r="H1065" s="363"/>
      <c r="I1065" s="210"/>
      <c r="J1065" s="457"/>
    </row>
    <row r="1066" spans="1:10" s="40" customFormat="1" ht="15.75" thickBot="1" x14ac:dyDescent="0.3">
      <c r="A1066" s="46" t="s">
        <v>145</v>
      </c>
      <c r="B1066" s="60" t="str">
        <f>VLOOKUP(A1066,PO!$A$8:$K$433,4,FALSE)</f>
        <v>Emboço, para recebimento de ceramica, em argamassa traço 1:2:8, Preparo Manual, Aplicado Manualmente em Faces Internas de Parede de Ambientes com Area Menor  que 5 m², Espessura de 20 mm</v>
      </c>
      <c r="C1066" s="47"/>
      <c r="D1066" s="48"/>
      <c r="E1066" s="47"/>
      <c r="F1066" s="49"/>
      <c r="G1066" s="50"/>
      <c r="H1066" s="50"/>
      <c r="I1066" s="50">
        <f>H1102</f>
        <v>154.6644</v>
      </c>
      <c r="J1066" s="284" t="str">
        <f>VLOOKUP(A1066,PO!$A$8:$K$433,5,FALSE)</f>
        <v>m²</v>
      </c>
    </row>
    <row r="1067" spans="1:10" x14ac:dyDescent="0.25">
      <c r="A1067" s="350"/>
      <c r="B1067" s="352"/>
      <c r="C1067" s="352"/>
      <c r="D1067" s="360"/>
      <c r="E1067" s="360"/>
      <c r="F1067" s="352"/>
      <c r="G1067" s="352"/>
      <c r="H1067" s="352"/>
      <c r="I1067" s="352"/>
      <c r="J1067" s="369"/>
    </row>
    <row r="1068" spans="1:10" x14ac:dyDescent="0.25">
      <c r="A1068" s="358"/>
      <c r="B1068" s="360" t="s">
        <v>21</v>
      </c>
      <c r="C1068" s="352"/>
      <c r="D1068" s="360" t="s">
        <v>10921</v>
      </c>
      <c r="E1068" s="360" t="s">
        <v>10933</v>
      </c>
      <c r="F1068" s="360" t="s">
        <v>10930</v>
      </c>
      <c r="G1068" s="370"/>
      <c r="H1068" s="431" t="s">
        <v>14</v>
      </c>
      <c r="I1068" s="431" t="s">
        <v>15</v>
      </c>
      <c r="J1068" s="369"/>
    </row>
    <row r="1069" spans="1:10" x14ac:dyDescent="0.25">
      <c r="A1069" s="417"/>
      <c r="B1069" s="467" t="s">
        <v>10987</v>
      </c>
      <c r="C1069" s="467"/>
      <c r="D1069" s="376">
        <v>3.85</v>
      </c>
      <c r="E1069" s="376">
        <v>4</v>
      </c>
      <c r="F1069" s="376">
        <v>1.2</v>
      </c>
      <c r="G1069" s="370" t="s">
        <v>16</v>
      </c>
      <c r="H1069" s="432">
        <f>D1069*E1069*F1069</f>
        <v>18.48</v>
      </c>
      <c r="I1069" s="471" t="str">
        <f>$J$1066</f>
        <v>m²</v>
      </c>
      <c r="J1069" s="369"/>
    </row>
    <row r="1070" spans="1:10" ht="15" customHeight="1" x14ac:dyDescent="0.25">
      <c r="A1070" s="417"/>
      <c r="B1070" s="710" t="s">
        <v>10991</v>
      </c>
      <c r="C1070" s="710"/>
      <c r="D1070" s="222">
        <v>3.87</v>
      </c>
      <c r="E1070" s="222">
        <v>8.1</v>
      </c>
      <c r="F1070" s="376">
        <v>1.2</v>
      </c>
      <c r="G1070" s="367" t="s">
        <v>16</v>
      </c>
      <c r="H1070" s="432">
        <f t="shared" ref="H1070:H1077" si="128">D1070*E1070*F1070</f>
        <v>37.616399999999999</v>
      </c>
      <c r="I1070" s="471" t="str">
        <f t="shared" ref="I1070:I1077" si="129">$J$1066</f>
        <v>m²</v>
      </c>
      <c r="J1070" s="369"/>
    </row>
    <row r="1071" spans="1:10" x14ac:dyDescent="0.25">
      <c r="A1071" s="417"/>
      <c r="B1071" s="467" t="s">
        <v>10993</v>
      </c>
      <c r="C1071" s="467"/>
      <c r="D1071" s="222">
        <v>4</v>
      </c>
      <c r="E1071" s="222">
        <v>4.95</v>
      </c>
      <c r="F1071" s="376">
        <v>1.2</v>
      </c>
      <c r="G1071" s="367" t="s">
        <v>16</v>
      </c>
      <c r="H1071" s="432">
        <f t="shared" si="128"/>
        <v>23.76</v>
      </c>
      <c r="I1071" s="471" t="str">
        <f t="shared" si="129"/>
        <v>m²</v>
      </c>
      <c r="J1071" s="369"/>
    </row>
    <row r="1072" spans="1:10" x14ac:dyDescent="0.25">
      <c r="A1072" s="417"/>
      <c r="B1072" s="467" t="s">
        <v>10994</v>
      </c>
      <c r="C1072" s="467"/>
      <c r="D1072" s="222">
        <v>4</v>
      </c>
      <c r="E1072" s="222">
        <v>4.95</v>
      </c>
      <c r="F1072" s="376">
        <v>1.2</v>
      </c>
      <c r="G1072" s="367" t="s">
        <v>16</v>
      </c>
      <c r="H1072" s="432">
        <f t="shared" si="128"/>
        <v>23.76</v>
      </c>
      <c r="I1072" s="471" t="str">
        <f t="shared" si="129"/>
        <v>m²</v>
      </c>
      <c r="J1072" s="369"/>
    </row>
    <row r="1073" spans="1:10" ht="15" customHeight="1" x14ac:dyDescent="0.25">
      <c r="A1073" s="417"/>
      <c r="B1073" s="428" t="s">
        <v>10995</v>
      </c>
      <c r="C1073" s="467"/>
      <c r="D1073" s="222">
        <v>4</v>
      </c>
      <c r="E1073" s="222">
        <v>4.95</v>
      </c>
      <c r="F1073" s="376">
        <v>1.2</v>
      </c>
      <c r="G1073" s="367" t="s">
        <v>16</v>
      </c>
      <c r="H1073" s="432">
        <f t="shared" si="128"/>
        <v>23.76</v>
      </c>
      <c r="I1073" s="471" t="str">
        <f t="shared" si="129"/>
        <v>m²</v>
      </c>
      <c r="J1073" s="369"/>
    </row>
    <row r="1074" spans="1:10" x14ac:dyDescent="0.25">
      <c r="A1074" s="409"/>
      <c r="B1074" s="467" t="s">
        <v>10996</v>
      </c>
      <c r="C1074" s="467"/>
      <c r="D1074" s="222">
        <v>1.22</v>
      </c>
      <c r="E1074" s="222">
        <v>2.5</v>
      </c>
      <c r="F1074" s="376">
        <v>3</v>
      </c>
      <c r="G1074" s="367" t="s">
        <v>16</v>
      </c>
      <c r="H1074" s="432">
        <f t="shared" si="128"/>
        <v>9.1499999999999986</v>
      </c>
      <c r="I1074" s="471" t="str">
        <f t="shared" si="129"/>
        <v>m²</v>
      </c>
      <c r="J1074" s="369"/>
    </row>
    <row r="1075" spans="1:10" x14ac:dyDescent="0.25">
      <c r="A1075" s="417"/>
      <c r="B1075" s="467" t="s">
        <v>10997</v>
      </c>
      <c r="C1075" s="467"/>
      <c r="D1075" s="222">
        <v>1.86</v>
      </c>
      <c r="E1075" s="222">
        <v>2.8</v>
      </c>
      <c r="F1075" s="376">
        <v>3</v>
      </c>
      <c r="G1075" s="367" t="s">
        <v>16</v>
      </c>
      <c r="H1075" s="432">
        <f t="shared" si="128"/>
        <v>15.624000000000001</v>
      </c>
      <c r="I1075" s="471" t="str">
        <f t="shared" si="129"/>
        <v>m²</v>
      </c>
      <c r="J1075" s="369"/>
    </row>
    <row r="1076" spans="1:10" x14ac:dyDescent="0.25">
      <c r="A1076" s="417"/>
      <c r="B1076" s="467" t="s">
        <v>10998</v>
      </c>
      <c r="C1076" s="467"/>
      <c r="D1076" s="222">
        <v>1.86</v>
      </c>
      <c r="E1076" s="222">
        <v>2.8</v>
      </c>
      <c r="F1076" s="376">
        <v>3</v>
      </c>
      <c r="G1076" s="367" t="s">
        <v>16</v>
      </c>
      <c r="H1076" s="432">
        <f t="shared" si="128"/>
        <v>15.624000000000001</v>
      </c>
      <c r="I1076" s="471" t="str">
        <f t="shared" si="129"/>
        <v>m²</v>
      </c>
      <c r="J1076" s="369"/>
    </row>
    <row r="1077" spans="1:10" x14ac:dyDescent="0.25">
      <c r="A1077" s="417"/>
      <c r="B1077" s="454" t="s">
        <v>10999</v>
      </c>
      <c r="C1077" s="467"/>
      <c r="D1077" s="222">
        <v>1.5</v>
      </c>
      <c r="E1077" s="222">
        <v>2.1</v>
      </c>
      <c r="F1077" s="376">
        <v>3</v>
      </c>
      <c r="G1077" s="367" t="s">
        <v>16</v>
      </c>
      <c r="H1077" s="432">
        <f t="shared" si="128"/>
        <v>9.4500000000000011</v>
      </c>
      <c r="I1077" s="471" t="str">
        <f t="shared" si="129"/>
        <v>m²</v>
      </c>
      <c r="J1077" s="369"/>
    </row>
    <row r="1078" spans="1:10" x14ac:dyDescent="0.25">
      <c r="A1078" s="417"/>
      <c r="B1078" s="352"/>
      <c r="C1078" s="352"/>
      <c r="D1078" s="352"/>
      <c r="E1078" s="222"/>
      <c r="F1078" s="222"/>
      <c r="G1078" s="463"/>
      <c r="H1078" s="367"/>
      <c r="I1078" s="222"/>
      <c r="J1078" s="410"/>
    </row>
    <row r="1079" spans="1:10" x14ac:dyDescent="0.25">
      <c r="A1079" s="417"/>
      <c r="B1079" s="450"/>
      <c r="C1079" s="450"/>
      <c r="D1079" s="450"/>
      <c r="E1079" s="367"/>
      <c r="F1079" s="406" t="s">
        <v>10935</v>
      </c>
      <c r="G1079" s="363" t="s">
        <v>16</v>
      </c>
      <c r="H1079" s="210">
        <f>SUM(H1069:H1077)</f>
        <v>177.2244</v>
      </c>
      <c r="I1079" s="386" t="str">
        <f>$J$1066</f>
        <v>m²</v>
      </c>
      <c r="J1079" s="369"/>
    </row>
    <row r="1080" spans="1:10" x14ac:dyDescent="0.25">
      <c r="A1080" s="417"/>
      <c r="B1080" s="454"/>
      <c r="C1080" s="454"/>
      <c r="D1080" s="454"/>
      <c r="E1080" s="367"/>
      <c r="F1080" s="367"/>
      <c r="G1080" s="376"/>
      <c r="H1080" s="367"/>
      <c r="I1080" s="222"/>
      <c r="J1080" s="410"/>
    </row>
    <row r="1081" spans="1:10" x14ac:dyDescent="0.25">
      <c r="A1081" s="717" t="s">
        <v>11060</v>
      </c>
      <c r="B1081" s="718"/>
      <c r="C1081" s="718"/>
      <c r="D1081" s="718"/>
      <c r="E1081" s="718"/>
      <c r="F1081" s="718"/>
      <c r="G1081" s="718"/>
      <c r="H1081" s="718"/>
      <c r="I1081" s="718"/>
      <c r="J1081" s="719"/>
    </row>
    <row r="1082" spans="1:10" x14ac:dyDescent="0.25">
      <c r="A1082" s="358" t="s">
        <v>10886</v>
      </c>
      <c r="B1082" s="360" t="s">
        <v>21</v>
      </c>
      <c r="C1082" s="352"/>
      <c r="D1082" s="360" t="s">
        <v>10921</v>
      </c>
      <c r="E1082" s="360" t="s">
        <v>10930</v>
      </c>
      <c r="F1082" s="360" t="s">
        <v>10927</v>
      </c>
      <c r="G1082" s="360"/>
      <c r="H1082" s="367"/>
      <c r="I1082" s="222"/>
      <c r="J1082" s="410"/>
    </row>
    <row r="1083" spans="1:10" ht="15" customHeight="1" x14ac:dyDescent="0.25">
      <c r="A1083" s="417" t="s">
        <v>11030</v>
      </c>
      <c r="B1083" s="467" t="s">
        <v>10987</v>
      </c>
      <c r="C1083" s="467"/>
      <c r="D1083" s="222">
        <v>3.85</v>
      </c>
      <c r="E1083" s="222">
        <v>1.2</v>
      </c>
      <c r="F1083" s="370">
        <v>1</v>
      </c>
      <c r="G1083" s="367" t="s">
        <v>16</v>
      </c>
      <c r="H1083" s="222">
        <f>D1083*E1083*F1083</f>
        <v>4.62</v>
      </c>
      <c r="I1083" s="368" t="str">
        <f>$J$1066</f>
        <v>m²</v>
      </c>
      <c r="J1083" s="369"/>
    </row>
    <row r="1084" spans="1:10" x14ac:dyDescent="0.25">
      <c r="A1084" s="417" t="s">
        <v>11031</v>
      </c>
      <c r="B1084" s="467" t="s">
        <v>10987</v>
      </c>
      <c r="C1084" s="467"/>
      <c r="D1084" s="222">
        <v>3.7</v>
      </c>
      <c r="E1084" s="222">
        <f>1.2-1.1</f>
        <v>9.9999999999999867E-2</v>
      </c>
      <c r="F1084" s="370">
        <v>1</v>
      </c>
      <c r="G1084" s="367" t="s">
        <v>16</v>
      </c>
      <c r="H1084" s="222">
        <f t="shared" ref="H1084:H1098" si="130">D1084*E1084*F1084</f>
        <v>0.36999999999999955</v>
      </c>
      <c r="I1084" s="368" t="str">
        <f t="shared" ref="I1084:I1098" si="131">$J$1066</f>
        <v>m²</v>
      </c>
      <c r="J1084" s="369"/>
    </row>
    <row r="1085" spans="1:10" x14ac:dyDescent="0.25">
      <c r="A1085" s="417" t="s">
        <v>11018</v>
      </c>
      <c r="B1085" s="467" t="s">
        <v>10987</v>
      </c>
      <c r="C1085" s="467"/>
      <c r="D1085" s="376">
        <v>0.9</v>
      </c>
      <c r="E1085" s="376">
        <v>1.2</v>
      </c>
      <c r="F1085" s="370">
        <v>1</v>
      </c>
      <c r="G1085" s="367" t="s">
        <v>16</v>
      </c>
      <c r="H1085" s="222">
        <f t="shared" si="130"/>
        <v>1.08</v>
      </c>
      <c r="I1085" s="368" t="str">
        <f t="shared" si="131"/>
        <v>m²</v>
      </c>
      <c r="J1085" s="410"/>
    </row>
    <row r="1086" spans="1:10" ht="15" customHeight="1" x14ac:dyDescent="0.25">
      <c r="A1086" s="409" t="s">
        <v>11013</v>
      </c>
      <c r="B1086" s="710" t="s">
        <v>10991</v>
      </c>
      <c r="C1086" s="710"/>
      <c r="D1086" s="222">
        <v>1.2</v>
      </c>
      <c r="E1086" s="222">
        <v>1.2</v>
      </c>
      <c r="F1086" s="367">
        <v>1</v>
      </c>
      <c r="G1086" s="367" t="s">
        <v>16</v>
      </c>
      <c r="H1086" s="222">
        <f t="shared" si="130"/>
        <v>1.44</v>
      </c>
      <c r="I1086" s="368" t="str">
        <f t="shared" si="131"/>
        <v>m²</v>
      </c>
      <c r="J1086" s="410"/>
    </row>
    <row r="1087" spans="1:10" x14ac:dyDescent="0.25">
      <c r="A1087" s="409" t="s">
        <v>10950</v>
      </c>
      <c r="B1087" s="467" t="s">
        <v>10993</v>
      </c>
      <c r="C1087" s="467"/>
      <c r="D1087" s="222">
        <v>1.5</v>
      </c>
      <c r="E1087" s="222">
        <v>1.2</v>
      </c>
      <c r="F1087" s="367">
        <v>1</v>
      </c>
      <c r="G1087" s="367" t="s">
        <v>16</v>
      </c>
      <c r="H1087" s="222">
        <f t="shared" si="130"/>
        <v>1.7999999999999998</v>
      </c>
      <c r="I1087" s="368" t="str">
        <f t="shared" si="131"/>
        <v>m²</v>
      </c>
      <c r="J1087" s="410"/>
    </row>
    <row r="1088" spans="1:10" x14ac:dyDescent="0.25">
      <c r="A1088" s="417" t="s">
        <v>11029</v>
      </c>
      <c r="B1088" s="467" t="s">
        <v>10994</v>
      </c>
      <c r="C1088" s="467"/>
      <c r="D1088" s="376">
        <v>1.28</v>
      </c>
      <c r="E1088" s="376">
        <f>1.2-0.95</f>
        <v>0.25</v>
      </c>
      <c r="F1088" s="370">
        <v>2</v>
      </c>
      <c r="G1088" s="367" t="s">
        <v>16</v>
      </c>
      <c r="H1088" s="222">
        <f t="shared" si="130"/>
        <v>0.64</v>
      </c>
      <c r="I1088" s="368" t="str">
        <f t="shared" si="131"/>
        <v>m²</v>
      </c>
      <c r="J1088" s="410"/>
    </row>
    <row r="1089" spans="1:10" x14ac:dyDescent="0.25">
      <c r="A1089" s="409" t="s">
        <v>10950</v>
      </c>
      <c r="B1089" s="467" t="s">
        <v>10994</v>
      </c>
      <c r="C1089" s="467"/>
      <c r="D1089" s="222">
        <v>1.5</v>
      </c>
      <c r="E1089" s="222">
        <v>1.2</v>
      </c>
      <c r="F1089" s="367">
        <v>1</v>
      </c>
      <c r="G1089" s="367" t="s">
        <v>16</v>
      </c>
      <c r="H1089" s="222">
        <f t="shared" si="130"/>
        <v>1.7999999999999998</v>
      </c>
      <c r="I1089" s="368" t="str">
        <f t="shared" si="131"/>
        <v>m²</v>
      </c>
      <c r="J1089" s="410"/>
    </row>
    <row r="1090" spans="1:10" x14ac:dyDescent="0.25">
      <c r="A1090" s="417" t="s">
        <v>11029</v>
      </c>
      <c r="B1090" s="710" t="s">
        <v>10995</v>
      </c>
      <c r="C1090" s="710"/>
      <c r="D1090" s="376">
        <v>1.28</v>
      </c>
      <c r="E1090" s="376">
        <f>1.2-0.95</f>
        <v>0.25</v>
      </c>
      <c r="F1090" s="370">
        <v>2</v>
      </c>
      <c r="G1090" s="367" t="s">
        <v>16</v>
      </c>
      <c r="H1090" s="222">
        <f t="shared" si="130"/>
        <v>0.64</v>
      </c>
      <c r="I1090" s="368" t="str">
        <f t="shared" si="131"/>
        <v>m²</v>
      </c>
      <c r="J1090" s="410"/>
    </row>
    <row r="1091" spans="1:10" ht="15" customHeight="1" x14ac:dyDescent="0.25">
      <c r="A1091" s="409" t="s">
        <v>10950</v>
      </c>
      <c r="B1091" s="467" t="s">
        <v>10995</v>
      </c>
      <c r="C1091" s="467"/>
      <c r="D1091" s="222">
        <v>1.5</v>
      </c>
      <c r="E1091" s="222">
        <v>1.2</v>
      </c>
      <c r="F1091" s="367">
        <v>1</v>
      </c>
      <c r="G1091" s="367" t="s">
        <v>16</v>
      </c>
      <c r="H1091" s="222">
        <f t="shared" si="130"/>
        <v>1.7999999999999998</v>
      </c>
      <c r="I1091" s="368" t="str">
        <f t="shared" si="131"/>
        <v>m²</v>
      </c>
      <c r="J1091" s="410"/>
    </row>
    <row r="1092" spans="1:10" x14ac:dyDescent="0.25">
      <c r="A1092" s="409" t="s">
        <v>11012</v>
      </c>
      <c r="B1092" s="467" t="s">
        <v>10996</v>
      </c>
      <c r="C1092" s="467"/>
      <c r="D1092" s="222">
        <v>0.8</v>
      </c>
      <c r="E1092" s="222">
        <v>2.1</v>
      </c>
      <c r="F1092" s="367">
        <v>1</v>
      </c>
      <c r="G1092" s="367" t="s">
        <v>16</v>
      </c>
      <c r="H1092" s="222">
        <f t="shared" si="130"/>
        <v>1.6800000000000002</v>
      </c>
      <c r="I1092" s="368" t="str">
        <f t="shared" si="131"/>
        <v>m²</v>
      </c>
      <c r="J1092" s="410"/>
    </row>
    <row r="1093" spans="1:10" x14ac:dyDescent="0.25">
      <c r="A1093" s="417" t="s">
        <v>10938</v>
      </c>
      <c r="B1093" s="467" t="s">
        <v>10997</v>
      </c>
      <c r="C1093" s="467"/>
      <c r="D1093" s="376">
        <v>1.2</v>
      </c>
      <c r="E1093" s="376">
        <v>0.4</v>
      </c>
      <c r="F1093" s="370">
        <v>1</v>
      </c>
      <c r="G1093" s="367" t="s">
        <v>16</v>
      </c>
      <c r="H1093" s="222">
        <f t="shared" si="130"/>
        <v>0.48</v>
      </c>
      <c r="I1093" s="368" t="str">
        <f t="shared" si="131"/>
        <v>m²</v>
      </c>
      <c r="J1093" s="410"/>
    </row>
    <row r="1094" spans="1:10" x14ac:dyDescent="0.25">
      <c r="A1094" s="409" t="s">
        <v>11012</v>
      </c>
      <c r="B1094" s="467" t="s">
        <v>10997</v>
      </c>
      <c r="C1094" s="467"/>
      <c r="D1094" s="222">
        <v>0.8</v>
      </c>
      <c r="E1094" s="222">
        <v>2.1</v>
      </c>
      <c r="F1094" s="367">
        <v>1</v>
      </c>
      <c r="G1094" s="367" t="s">
        <v>16</v>
      </c>
      <c r="H1094" s="222">
        <f t="shared" si="130"/>
        <v>1.6800000000000002</v>
      </c>
      <c r="I1094" s="368" t="str">
        <f t="shared" si="131"/>
        <v>m²</v>
      </c>
      <c r="J1094" s="410"/>
    </row>
    <row r="1095" spans="1:10" x14ac:dyDescent="0.25">
      <c r="A1095" s="417" t="s">
        <v>10938</v>
      </c>
      <c r="B1095" s="467" t="s">
        <v>10998</v>
      </c>
      <c r="C1095" s="467"/>
      <c r="D1095" s="376">
        <v>1.2</v>
      </c>
      <c r="E1095" s="376">
        <v>0.4</v>
      </c>
      <c r="F1095" s="370">
        <v>1</v>
      </c>
      <c r="G1095" s="367" t="s">
        <v>16</v>
      </c>
      <c r="H1095" s="222">
        <f t="shared" si="130"/>
        <v>0.48</v>
      </c>
      <c r="I1095" s="368" t="str">
        <f t="shared" si="131"/>
        <v>m²</v>
      </c>
      <c r="J1095" s="410"/>
    </row>
    <row r="1096" spans="1:10" x14ac:dyDescent="0.25">
      <c r="A1096" s="409" t="s">
        <v>11012</v>
      </c>
      <c r="B1096" s="467" t="s">
        <v>10998</v>
      </c>
      <c r="C1096" s="467"/>
      <c r="D1096" s="222">
        <v>0.8</v>
      </c>
      <c r="E1096" s="222">
        <v>2.1</v>
      </c>
      <c r="F1096" s="367">
        <v>1</v>
      </c>
      <c r="G1096" s="367" t="s">
        <v>16</v>
      </c>
      <c r="H1096" s="222">
        <f t="shared" si="130"/>
        <v>1.6800000000000002</v>
      </c>
      <c r="I1096" s="368" t="str">
        <f t="shared" si="131"/>
        <v>m²</v>
      </c>
      <c r="J1096" s="410"/>
    </row>
    <row r="1097" spans="1:10" x14ac:dyDescent="0.25">
      <c r="A1097" s="417" t="s">
        <v>10938</v>
      </c>
      <c r="B1097" s="467" t="s">
        <v>13912</v>
      </c>
      <c r="C1097" s="467"/>
      <c r="D1097" s="376">
        <v>1.2</v>
      </c>
      <c r="E1097" s="376">
        <v>0.4</v>
      </c>
      <c r="F1097" s="370">
        <v>1</v>
      </c>
      <c r="G1097" s="367" t="s">
        <v>16</v>
      </c>
      <c r="H1097" s="222">
        <f t="shared" si="130"/>
        <v>0.48</v>
      </c>
      <c r="I1097" s="368" t="str">
        <f t="shared" si="131"/>
        <v>m²</v>
      </c>
      <c r="J1097" s="410"/>
    </row>
    <row r="1098" spans="1:10" x14ac:dyDescent="0.25">
      <c r="A1098" s="409" t="s">
        <v>11007</v>
      </c>
      <c r="B1098" s="467" t="s">
        <v>13912</v>
      </c>
      <c r="C1098" s="467"/>
      <c r="D1098" s="367">
        <v>0.9</v>
      </c>
      <c r="E1098" s="222">
        <v>2.1</v>
      </c>
      <c r="F1098" s="367">
        <v>1</v>
      </c>
      <c r="G1098" s="367" t="s">
        <v>16</v>
      </c>
      <c r="H1098" s="222">
        <f t="shared" si="130"/>
        <v>1.8900000000000001</v>
      </c>
      <c r="I1098" s="368" t="str">
        <f t="shared" si="131"/>
        <v>m²</v>
      </c>
      <c r="J1098" s="410"/>
    </row>
    <row r="1099" spans="1:10" x14ac:dyDescent="0.25">
      <c r="A1099" s="350"/>
      <c r="B1099" s="454"/>
      <c r="C1099" s="454"/>
      <c r="D1099" s="454"/>
      <c r="E1099" s="352"/>
      <c r="F1099" s="352"/>
      <c r="G1099" s="376"/>
      <c r="H1099" s="367"/>
      <c r="I1099" s="222"/>
      <c r="J1099" s="410"/>
    </row>
    <row r="1100" spans="1:10" x14ac:dyDescent="0.25">
      <c r="A1100" s="350"/>
      <c r="B1100" s="454"/>
      <c r="C1100" s="454"/>
      <c r="D1100" s="454"/>
      <c r="E1100" s="367"/>
      <c r="F1100" s="406" t="s">
        <v>10935</v>
      </c>
      <c r="G1100" s="363" t="s">
        <v>16</v>
      </c>
      <c r="H1100" s="210">
        <f>SUM(H1083:H1099)</f>
        <v>22.560000000000002</v>
      </c>
      <c r="I1100" s="386" t="str">
        <f>$J$1046</f>
        <v>m²</v>
      </c>
      <c r="J1100" s="369"/>
    </row>
    <row r="1101" spans="1:10" x14ac:dyDescent="0.25">
      <c r="A1101" s="350"/>
      <c r="B1101" s="454"/>
      <c r="C1101" s="454"/>
      <c r="D1101" s="454"/>
      <c r="E1101" s="367"/>
      <c r="F1101" s="367"/>
      <c r="G1101" s="376"/>
      <c r="H1101" s="367"/>
      <c r="I1101" s="386"/>
      <c r="J1101" s="410"/>
    </row>
    <row r="1102" spans="1:10" s="198" customFormat="1" thickBot="1" x14ac:dyDescent="0.25">
      <c r="A1102" s="362"/>
      <c r="B1102" s="711" t="s">
        <v>11077</v>
      </c>
      <c r="C1102" s="711"/>
      <c r="D1102" s="711"/>
      <c r="E1102" s="711"/>
      <c r="F1102" s="711"/>
      <c r="G1102" s="363" t="s">
        <v>16</v>
      </c>
      <c r="H1102" s="210">
        <f>H1079-H1100</f>
        <v>154.6644</v>
      </c>
      <c r="I1102" s="386" t="str">
        <f t="shared" ref="I1102" si="132">$J$1046</f>
        <v>m²</v>
      </c>
      <c r="J1102" s="364"/>
    </row>
    <row r="1103" spans="1:10" s="198" customFormat="1" thickBot="1" x14ac:dyDescent="0.25">
      <c r="A1103" s="362"/>
      <c r="B1103" s="468"/>
      <c r="C1103" s="468"/>
      <c r="D1103" s="468"/>
      <c r="E1103" s="468"/>
      <c r="F1103" s="468"/>
      <c r="G1103" s="406"/>
      <c r="H1103" s="363"/>
      <c r="I1103" s="210"/>
      <c r="J1103" s="457"/>
    </row>
    <row r="1104" spans="1:10" s="40" customFormat="1" ht="15.75" thickBot="1" x14ac:dyDescent="0.3">
      <c r="A1104" s="46" t="s">
        <v>11762</v>
      </c>
      <c r="B1104" s="60" t="str">
        <f>VLOOKUP(A1104,PO!$A$8:$K$433,4,FALSE)</f>
        <v>Massa Única para Recebimento de Pintura, em Argamassa Traço 1:2:8, Preparo Manual, Aplicado Manualmente em Faces Internas de Paredes, Espessura de 20 mm, com Execução de Talisca</v>
      </c>
      <c r="C1104" s="47"/>
      <c r="D1104" s="48"/>
      <c r="E1104" s="47"/>
      <c r="F1104" s="49"/>
      <c r="G1104" s="50"/>
      <c r="H1104" s="50"/>
      <c r="I1104" s="50">
        <f>F1107-F1108</f>
        <v>1413.2536000000005</v>
      </c>
      <c r="J1104" s="284" t="str">
        <f>VLOOKUP(A1104,PO!$A$8:$K$433,5,FALSE)</f>
        <v>m²</v>
      </c>
    </row>
    <row r="1105" spans="1:10" x14ac:dyDescent="0.25">
      <c r="A1105" s="350"/>
      <c r="B1105" s="352"/>
      <c r="C1105" s="352"/>
      <c r="D1105" s="360"/>
      <c r="E1105" s="360"/>
      <c r="F1105" s="352"/>
      <c r="G1105" s="352"/>
      <c r="H1105" s="352"/>
      <c r="I1105" s="352"/>
      <c r="J1105" s="369"/>
    </row>
    <row r="1106" spans="1:10" x14ac:dyDescent="0.25">
      <c r="A1106" s="358"/>
      <c r="B1106" s="360" t="s">
        <v>21</v>
      </c>
      <c r="C1106" s="352"/>
      <c r="D1106" s="360"/>
      <c r="E1106" s="360"/>
      <c r="F1106" s="360" t="s">
        <v>10936</v>
      </c>
      <c r="G1106" s="370"/>
      <c r="H1106" s="431" t="s">
        <v>14</v>
      </c>
      <c r="I1106" s="431" t="s">
        <v>15</v>
      </c>
      <c r="J1106" s="369"/>
    </row>
    <row r="1107" spans="1:10" x14ac:dyDescent="0.25">
      <c r="A1107" s="417"/>
      <c r="B1107" s="467" t="s">
        <v>11078</v>
      </c>
      <c r="C1107" s="467"/>
      <c r="D1107" s="370"/>
      <c r="E1107" s="376"/>
      <c r="F1107" s="376">
        <f>$I$1046</f>
        <v>1567.9180000000003</v>
      </c>
      <c r="G1107" s="370" t="s">
        <v>16</v>
      </c>
      <c r="H1107" s="432">
        <f>F1107</f>
        <v>1567.9180000000003</v>
      </c>
      <c r="I1107" s="471" t="str">
        <f>$J$1104</f>
        <v>m²</v>
      </c>
      <c r="J1107" s="369"/>
    </row>
    <row r="1108" spans="1:10" ht="15" customHeight="1" x14ac:dyDescent="0.25">
      <c r="A1108" s="417"/>
      <c r="B1108" s="710" t="s">
        <v>11079</v>
      </c>
      <c r="C1108" s="710"/>
      <c r="D1108" s="222"/>
      <c r="E1108" s="222"/>
      <c r="F1108" s="376">
        <f>$I$1066</f>
        <v>154.6644</v>
      </c>
      <c r="G1108" s="370" t="s">
        <v>16</v>
      </c>
      <c r="H1108" s="432">
        <f>F1108</f>
        <v>154.6644</v>
      </c>
      <c r="I1108" s="471" t="str">
        <f>$J$1104</f>
        <v>m²</v>
      </c>
      <c r="J1108" s="369"/>
    </row>
    <row r="1109" spans="1:10" ht="15.75" thickBot="1" x14ac:dyDescent="0.3">
      <c r="A1109" s="417"/>
      <c r="B1109" s="467"/>
      <c r="C1109" s="467"/>
      <c r="D1109" s="222"/>
      <c r="E1109" s="222"/>
      <c r="F1109" s="376"/>
      <c r="G1109" s="367"/>
      <c r="H1109" s="432"/>
      <c r="I1109" s="471"/>
      <c r="J1109" s="369"/>
    </row>
    <row r="1110" spans="1:10" s="40" customFormat="1" ht="15.75" thickBot="1" x14ac:dyDescent="0.3">
      <c r="A1110" s="41" t="s">
        <v>146</v>
      </c>
      <c r="B1110" s="42" t="str">
        <f>VLOOKUP(A1110,PO!$A$8:$K$425,4,FALSE)</f>
        <v>REVESTIMENTO CERÂMICO</v>
      </c>
      <c r="C1110" s="43"/>
      <c r="D1110" s="43"/>
      <c r="E1110" s="43"/>
      <c r="F1110" s="43"/>
      <c r="G1110" s="43"/>
      <c r="H1110" s="43"/>
      <c r="I1110" s="43"/>
      <c r="J1110" s="44"/>
    </row>
    <row r="1111" spans="1:10" s="40" customFormat="1" ht="15.75" thickBot="1" x14ac:dyDescent="0.3">
      <c r="A1111" s="347"/>
      <c r="B1111" s="205"/>
      <c r="C1111" s="205"/>
      <c r="D1111" s="348"/>
      <c r="E1111" s="205"/>
      <c r="F1111" s="237"/>
      <c r="G1111" s="208"/>
      <c r="H1111" s="208"/>
      <c r="I1111" s="208"/>
      <c r="J1111" s="349"/>
    </row>
    <row r="1112" spans="1:10" s="40" customFormat="1" ht="15.75" thickBot="1" x14ac:dyDescent="0.3">
      <c r="A1112" s="46" t="s">
        <v>147</v>
      </c>
      <c r="B1112" s="60" t="str">
        <f>VLOOKUP(A1112,PO!$A$8:$K$433,4,FALSE)</f>
        <v xml:space="preserve">Revestimento cerâmico para paredes com placas tipo porcelanato de dimensões 60x60 cm aplicadas em ambientes de área maior que 10 m², com rejunte epoxi. </v>
      </c>
      <c r="C1112" s="47"/>
      <c r="D1112" s="48"/>
      <c r="E1112" s="47"/>
      <c r="F1112" s="49"/>
      <c r="G1112" s="50"/>
      <c r="H1112" s="50"/>
      <c r="I1112" s="50">
        <f>H1115</f>
        <v>154.6644</v>
      </c>
      <c r="J1112" s="284" t="str">
        <f>VLOOKUP(A1112,PO!$A$8:$K$433,5,FALSE)</f>
        <v>m²</v>
      </c>
    </row>
    <row r="1113" spans="1:10" x14ac:dyDescent="0.25">
      <c r="A1113" s="350"/>
      <c r="B1113" s="352"/>
      <c r="C1113" s="352"/>
      <c r="D1113" s="360"/>
      <c r="E1113" s="360"/>
      <c r="F1113" s="352"/>
      <c r="G1113" s="352"/>
      <c r="H1113" s="352"/>
      <c r="I1113" s="352"/>
      <c r="J1113" s="369"/>
    </row>
    <row r="1114" spans="1:10" s="198" customFormat="1" ht="14.25" x14ac:dyDescent="0.2">
      <c r="A1114" s="362"/>
      <c r="B1114" s="360" t="s">
        <v>21</v>
      </c>
      <c r="C1114" s="468"/>
      <c r="D1114" s="468"/>
      <c r="E1114" s="468"/>
      <c r="F1114" s="455" t="s">
        <v>10936</v>
      </c>
      <c r="G1114" s="406" t="s">
        <v>16</v>
      </c>
      <c r="H1114" s="431" t="s">
        <v>14</v>
      </c>
      <c r="I1114" s="431" t="s">
        <v>15</v>
      </c>
      <c r="J1114" s="457"/>
    </row>
    <row r="1115" spans="1:10" x14ac:dyDescent="0.25">
      <c r="A1115" s="350"/>
      <c r="B1115" s="453" t="s">
        <v>11080</v>
      </c>
      <c r="C1115" s="454"/>
      <c r="D1115" s="454"/>
      <c r="E1115" s="454"/>
      <c r="F1115" s="376">
        <f>$I$1066</f>
        <v>154.6644</v>
      </c>
      <c r="G1115" s="376"/>
      <c r="H1115" s="222">
        <f>F1115</f>
        <v>154.6644</v>
      </c>
      <c r="I1115" s="222" t="str">
        <f>$J$1112</f>
        <v>m²</v>
      </c>
      <c r="J1115" s="410"/>
    </row>
    <row r="1116" spans="1:10" s="198" customFormat="1" thickBot="1" x14ac:dyDescent="0.25">
      <c r="A1116" s="362"/>
      <c r="B1116" s="468"/>
      <c r="C1116" s="468"/>
      <c r="D1116" s="468"/>
      <c r="E1116" s="468"/>
      <c r="F1116" s="468"/>
      <c r="G1116" s="406"/>
      <c r="H1116" s="363"/>
      <c r="I1116" s="210"/>
      <c r="J1116" s="457"/>
    </row>
    <row r="1117" spans="1:10" s="40" customFormat="1" ht="15.75" thickBot="1" x14ac:dyDescent="0.3">
      <c r="A1117" s="36" t="s">
        <v>89</v>
      </c>
      <c r="B1117" s="37" t="str">
        <f>VLOOKUP(A1117,PO!$A$8:$K$425,4,FALSE)</f>
        <v>ESQUADRIAS E PORTAS</v>
      </c>
      <c r="C1117" s="38"/>
      <c r="D1117" s="37"/>
      <c r="E1117" s="38"/>
      <c r="F1117" s="38"/>
      <c r="G1117" s="38"/>
      <c r="H1117" s="38"/>
      <c r="I1117" s="38"/>
      <c r="J1117" s="39"/>
    </row>
    <row r="1118" spans="1:10" ht="16.5" customHeight="1" thickBot="1" x14ac:dyDescent="0.3">
      <c r="A1118" s="344"/>
      <c r="B1118" s="345"/>
      <c r="C1118" s="345"/>
      <c r="D1118" s="345"/>
      <c r="E1118" s="345"/>
      <c r="F1118" s="345"/>
      <c r="G1118" s="345"/>
      <c r="H1118" s="345"/>
      <c r="I1118" s="345"/>
      <c r="J1118" s="346"/>
    </row>
    <row r="1119" spans="1:10" s="40" customFormat="1" ht="15.75" thickBot="1" x14ac:dyDescent="0.3">
      <c r="A1119" s="41" t="s">
        <v>12069</v>
      </c>
      <c r="B1119" s="42" t="str">
        <f>VLOOKUP(A1119,PO!$A$8:$K$425,4,FALSE)</f>
        <v>ESQUADRIAS DE VIDRO TEMPERADO</v>
      </c>
      <c r="C1119" s="43"/>
      <c r="D1119" s="43"/>
      <c r="E1119" s="43"/>
      <c r="F1119" s="43"/>
      <c r="G1119" s="43"/>
      <c r="H1119" s="43"/>
      <c r="I1119" s="43"/>
      <c r="J1119" s="44"/>
    </row>
    <row r="1120" spans="1:10" s="40" customFormat="1" ht="15.75" thickBot="1" x14ac:dyDescent="0.3">
      <c r="A1120" s="347"/>
      <c r="B1120" s="205"/>
      <c r="C1120" s="205"/>
      <c r="D1120" s="348"/>
      <c r="E1120" s="205"/>
      <c r="F1120" s="237"/>
      <c r="G1120" s="208"/>
      <c r="H1120" s="208"/>
      <c r="I1120" s="208"/>
      <c r="J1120" s="349"/>
    </row>
    <row r="1121" spans="1:10" s="40" customFormat="1" ht="15.75" thickBot="1" x14ac:dyDescent="0.3">
      <c r="A1121" s="46" t="s">
        <v>12070</v>
      </c>
      <c r="B1121" s="60" t="str">
        <f>VLOOKUP(A1121,PO!$A$8:$K$433,4,FALSE)</f>
        <v>JV1 e JV2- Vidro temperado incolor, espessura 8mm - Fornecimento e instalação</v>
      </c>
      <c r="C1121" s="47"/>
      <c r="D1121" s="48"/>
      <c r="E1121" s="47"/>
      <c r="F1121" s="49"/>
      <c r="G1121" s="50"/>
      <c r="H1121" s="50"/>
      <c r="I1121" s="50">
        <f>SUM(H1124:H1128)</f>
        <v>9.6319999999999997</v>
      </c>
      <c r="J1121" s="284" t="str">
        <f>VLOOKUP(A1121,PO!$A$8:$K$433,5,FALSE)</f>
        <v>m²</v>
      </c>
    </row>
    <row r="1122" spans="1:10" x14ac:dyDescent="0.25">
      <c r="A1122" s="350"/>
      <c r="B1122" s="352"/>
      <c r="C1122" s="352"/>
      <c r="D1122" s="360"/>
      <c r="E1122" s="360"/>
      <c r="F1122" s="352"/>
      <c r="G1122" s="352"/>
      <c r="H1122" s="352"/>
      <c r="I1122" s="352"/>
      <c r="J1122" s="369"/>
    </row>
    <row r="1123" spans="1:10" x14ac:dyDescent="0.25">
      <c r="A1123" s="358" t="s">
        <v>10886</v>
      </c>
      <c r="B1123" s="360" t="s">
        <v>21</v>
      </c>
      <c r="C1123" s="352"/>
      <c r="D1123" s="360" t="s">
        <v>10921</v>
      </c>
      <c r="E1123" s="360" t="s">
        <v>10930</v>
      </c>
      <c r="F1123" s="360" t="s">
        <v>10927</v>
      </c>
      <c r="G1123" s="370"/>
      <c r="H1123" s="431" t="s">
        <v>14</v>
      </c>
      <c r="I1123" s="431" t="s">
        <v>15</v>
      </c>
      <c r="J1123" s="369"/>
    </row>
    <row r="1124" spans="1:10" x14ac:dyDescent="0.25">
      <c r="A1124" s="417" t="s">
        <v>10938</v>
      </c>
      <c r="B1124" s="467" t="s">
        <v>10999</v>
      </c>
      <c r="C1124" s="467"/>
      <c r="D1124" s="376">
        <v>1.2</v>
      </c>
      <c r="E1124" s="376">
        <v>0.4</v>
      </c>
      <c r="F1124" s="370">
        <v>1</v>
      </c>
      <c r="G1124" s="370" t="s">
        <v>16</v>
      </c>
      <c r="H1124" s="376">
        <f>D1124*E1124*F1124</f>
        <v>0.48</v>
      </c>
      <c r="I1124" s="377" t="str">
        <f>$J$1121</f>
        <v>m²</v>
      </c>
      <c r="J1124" s="369"/>
    </row>
    <row r="1125" spans="1:10" x14ac:dyDescent="0.25">
      <c r="A1125" s="417" t="s">
        <v>10938</v>
      </c>
      <c r="B1125" s="467" t="s">
        <v>10997</v>
      </c>
      <c r="C1125" s="467"/>
      <c r="D1125" s="376">
        <v>1.2</v>
      </c>
      <c r="E1125" s="376">
        <v>0.4</v>
      </c>
      <c r="F1125" s="370">
        <v>1</v>
      </c>
      <c r="G1125" s="370" t="s">
        <v>16</v>
      </c>
      <c r="H1125" s="376">
        <f t="shared" ref="H1125:H1128" si="133">D1125*E1125*F1125</f>
        <v>0.48</v>
      </c>
      <c r="I1125" s="377" t="str">
        <f t="shared" ref="I1125:I1128" si="134">$J$1121</f>
        <v>m²</v>
      </c>
      <c r="J1125" s="369"/>
    </row>
    <row r="1126" spans="1:10" x14ac:dyDescent="0.25">
      <c r="A1126" s="417" t="s">
        <v>10938</v>
      </c>
      <c r="B1126" s="467" t="s">
        <v>10998</v>
      </c>
      <c r="C1126" s="467"/>
      <c r="D1126" s="376">
        <v>1.2</v>
      </c>
      <c r="E1126" s="376">
        <v>0.4</v>
      </c>
      <c r="F1126" s="370">
        <v>1</v>
      </c>
      <c r="G1126" s="370" t="s">
        <v>16</v>
      </c>
      <c r="H1126" s="376">
        <f t="shared" si="133"/>
        <v>0.48</v>
      </c>
      <c r="I1126" s="377" t="str">
        <f t="shared" si="134"/>
        <v>m²</v>
      </c>
      <c r="J1126" s="369"/>
    </row>
    <row r="1127" spans="1:10" x14ac:dyDescent="0.25">
      <c r="A1127" s="417" t="s">
        <v>11029</v>
      </c>
      <c r="B1127" s="467" t="s">
        <v>10994</v>
      </c>
      <c r="C1127" s="467"/>
      <c r="D1127" s="376">
        <v>1.28</v>
      </c>
      <c r="E1127" s="376">
        <v>1.6</v>
      </c>
      <c r="F1127" s="370">
        <v>2</v>
      </c>
      <c r="G1127" s="370" t="s">
        <v>16</v>
      </c>
      <c r="H1127" s="376">
        <f t="shared" si="133"/>
        <v>4.0960000000000001</v>
      </c>
      <c r="I1127" s="377" t="str">
        <f t="shared" si="134"/>
        <v>m²</v>
      </c>
      <c r="J1127" s="369"/>
    </row>
    <row r="1128" spans="1:10" ht="15" customHeight="1" x14ac:dyDescent="0.25">
      <c r="A1128" s="417" t="s">
        <v>11029</v>
      </c>
      <c r="B1128" s="467" t="s">
        <v>10995</v>
      </c>
      <c r="C1128" s="467"/>
      <c r="D1128" s="376">
        <v>1.28</v>
      </c>
      <c r="E1128" s="376">
        <v>1.6</v>
      </c>
      <c r="F1128" s="370">
        <v>2</v>
      </c>
      <c r="G1128" s="370" t="s">
        <v>16</v>
      </c>
      <c r="H1128" s="376">
        <f t="shared" si="133"/>
        <v>4.0960000000000001</v>
      </c>
      <c r="I1128" s="377" t="str">
        <f t="shared" si="134"/>
        <v>m²</v>
      </c>
      <c r="J1128" s="369"/>
    </row>
    <row r="1129" spans="1:10" ht="15.75" thickBot="1" x14ac:dyDescent="0.3">
      <c r="A1129" s="417"/>
      <c r="B1129" s="352"/>
      <c r="C1129" s="352"/>
      <c r="D1129" s="352"/>
      <c r="E1129" s="352"/>
      <c r="F1129" s="352"/>
      <c r="G1129" s="370"/>
      <c r="H1129" s="370"/>
      <c r="I1129" s="370"/>
      <c r="J1129" s="369"/>
    </row>
    <row r="1130" spans="1:10" s="40" customFormat="1" ht="15.75" thickBot="1" x14ac:dyDescent="0.3">
      <c r="A1130" s="46" t="s">
        <v>12071</v>
      </c>
      <c r="B1130" s="60" t="str">
        <f>VLOOKUP(A1130,PO!$A$8:$K$433,4,FALSE)</f>
        <v>VT1 e VT2- Vidro temperado incolor, espessura 8mm - Fornecimento e instalação</v>
      </c>
      <c r="C1130" s="47"/>
      <c r="D1130" s="48"/>
      <c r="E1130" s="47"/>
      <c r="F1130" s="49"/>
      <c r="G1130" s="50"/>
      <c r="H1130" s="50"/>
      <c r="I1130" s="50">
        <f>SUM(H1133:H1134)</f>
        <v>15.93</v>
      </c>
      <c r="J1130" s="284" t="str">
        <f>VLOOKUP(A1130,PO!$A$8:$K$433,5,FALSE)</f>
        <v>m²</v>
      </c>
    </row>
    <row r="1131" spans="1:10" x14ac:dyDescent="0.25">
      <c r="A1131" s="350"/>
      <c r="B1131" s="352"/>
      <c r="C1131" s="352"/>
      <c r="D1131" s="352"/>
      <c r="E1131" s="352"/>
      <c r="F1131" s="352"/>
      <c r="G1131" s="352"/>
      <c r="H1131" s="352"/>
      <c r="I1131" s="352"/>
      <c r="J1131" s="369"/>
    </row>
    <row r="1132" spans="1:10" x14ac:dyDescent="0.25">
      <c r="A1132" s="358" t="s">
        <v>10886</v>
      </c>
      <c r="B1132" s="360" t="s">
        <v>21</v>
      </c>
      <c r="C1132" s="352"/>
      <c r="D1132" s="360" t="s">
        <v>10921</v>
      </c>
      <c r="E1132" s="360" t="s">
        <v>10930</v>
      </c>
      <c r="F1132" s="360" t="s">
        <v>10927</v>
      </c>
      <c r="G1132" s="370"/>
      <c r="H1132" s="431" t="s">
        <v>14</v>
      </c>
      <c r="I1132" s="431" t="s">
        <v>15</v>
      </c>
      <c r="J1132" s="369"/>
    </row>
    <row r="1133" spans="1:10" x14ac:dyDescent="0.25">
      <c r="A1133" s="417" t="s">
        <v>11030</v>
      </c>
      <c r="B1133" s="467" t="s">
        <v>10987</v>
      </c>
      <c r="C1133" s="467"/>
      <c r="D1133" s="222">
        <v>3.85</v>
      </c>
      <c r="E1133" s="222">
        <v>2.6</v>
      </c>
      <c r="F1133" s="370">
        <v>1</v>
      </c>
      <c r="G1133" s="367" t="s">
        <v>16</v>
      </c>
      <c r="H1133" s="222">
        <f>D1133*E1133*F1133</f>
        <v>10.01</v>
      </c>
      <c r="I1133" s="368" t="str">
        <f>$J$1130</f>
        <v>m²</v>
      </c>
      <c r="J1133" s="369"/>
    </row>
    <row r="1134" spans="1:10" x14ac:dyDescent="0.25">
      <c r="A1134" s="417" t="s">
        <v>11031</v>
      </c>
      <c r="B1134" s="467" t="s">
        <v>10987</v>
      </c>
      <c r="C1134" s="467"/>
      <c r="D1134" s="222">
        <v>3.7</v>
      </c>
      <c r="E1134" s="222">
        <v>1.6</v>
      </c>
      <c r="F1134" s="370">
        <v>1</v>
      </c>
      <c r="G1134" s="367" t="s">
        <v>16</v>
      </c>
      <c r="H1134" s="222">
        <f>D1134*E1134*F1134</f>
        <v>5.9200000000000008</v>
      </c>
      <c r="I1134" s="368" t="str">
        <f>$J$1130</f>
        <v>m²</v>
      </c>
      <c r="J1134" s="369"/>
    </row>
    <row r="1135" spans="1:10" ht="15.75" thickBot="1" x14ac:dyDescent="0.3">
      <c r="A1135" s="350"/>
      <c r="B1135" s="352"/>
      <c r="C1135" s="352"/>
      <c r="D1135" s="352"/>
      <c r="E1135" s="352"/>
      <c r="F1135" s="352"/>
      <c r="G1135" s="352"/>
      <c r="H1135" s="352"/>
      <c r="I1135" s="352"/>
      <c r="J1135" s="369"/>
    </row>
    <row r="1136" spans="1:10" s="40" customFormat="1" ht="15.75" thickBot="1" x14ac:dyDescent="0.3">
      <c r="A1136" s="41" t="s">
        <v>12072</v>
      </c>
      <c r="B1136" s="42" t="str">
        <f>VLOOKUP(A1136,PO!$A$8:$K$425,4,FALSE)</f>
        <v>PORTAS</v>
      </c>
      <c r="C1136" s="43"/>
      <c r="D1136" s="43"/>
      <c r="E1136" s="43"/>
      <c r="F1136" s="43"/>
      <c r="G1136" s="43"/>
      <c r="H1136" s="43"/>
      <c r="I1136" s="43"/>
      <c r="J1136" s="44"/>
    </row>
    <row r="1137" spans="1:10" s="40" customFormat="1" ht="15.75" thickBot="1" x14ac:dyDescent="0.3">
      <c r="A1137" s="347"/>
      <c r="B1137" s="205"/>
      <c r="C1137" s="205"/>
      <c r="D1137" s="348"/>
      <c r="E1137" s="205"/>
      <c r="F1137" s="237"/>
      <c r="G1137" s="208"/>
      <c r="H1137" s="208"/>
      <c r="I1137" s="208"/>
      <c r="J1137" s="349"/>
    </row>
    <row r="1138" spans="1:10" s="40" customFormat="1" ht="15.75" thickBot="1" x14ac:dyDescent="0.3">
      <c r="A1138" s="46" t="s">
        <v>12073</v>
      </c>
      <c r="B1138" s="60" t="str">
        <f>VLOOKUP(A1138,PO!$A$8:$K$433,4,FALSE)</f>
        <v>PT1 e PT2 - Portão de rolo em chapa de aço galvanizado - Fornecimento e instalação</v>
      </c>
      <c r="C1138" s="47"/>
      <c r="D1138" s="48"/>
      <c r="E1138" s="47"/>
      <c r="F1138" s="49"/>
      <c r="G1138" s="50"/>
      <c r="H1138" s="50"/>
      <c r="I1138" s="50">
        <f>SUM(I1141:I1143)</f>
        <v>47.269999999999996</v>
      </c>
      <c r="J1138" s="284" t="str">
        <f>VLOOKUP(A1138,PO!$A$8:$K$433,5,FALSE)</f>
        <v>m²</v>
      </c>
    </row>
    <row r="1139" spans="1:10" x14ac:dyDescent="0.25">
      <c r="A1139" s="350"/>
      <c r="B1139" s="352"/>
      <c r="C1139" s="352"/>
      <c r="D1139" s="360"/>
      <c r="E1139" s="360"/>
      <c r="F1139" s="352"/>
      <c r="G1139" s="352"/>
      <c r="H1139" s="352"/>
      <c r="I1139" s="352"/>
      <c r="J1139" s="369"/>
    </row>
    <row r="1140" spans="1:10" x14ac:dyDescent="0.25">
      <c r="A1140" s="358" t="s">
        <v>10886</v>
      </c>
      <c r="B1140" s="360" t="s">
        <v>21</v>
      </c>
      <c r="C1140" s="352"/>
      <c r="D1140" s="352"/>
      <c r="E1140" s="360" t="s">
        <v>10921</v>
      </c>
      <c r="F1140" s="360" t="s">
        <v>10930</v>
      </c>
      <c r="G1140" s="360" t="s">
        <v>10927</v>
      </c>
      <c r="H1140" s="370"/>
      <c r="I1140" s="431" t="s">
        <v>14</v>
      </c>
      <c r="J1140" s="452" t="s">
        <v>15</v>
      </c>
    </row>
    <row r="1141" spans="1:10" x14ac:dyDescent="0.25">
      <c r="A1141" s="417" t="s">
        <v>11008</v>
      </c>
      <c r="B1141" s="710" t="s">
        <v>10986</v>
      </c>
      <c r="C1141" s="710"/>
      <c r="D1141" s="710"/>
      <c r="E1141" s="376">
        <v>2.9</v>
      </c>
      <c r="F1141" s="376">
        <v>4.5</v>
      </c>
      <c r="G1141" s="370">
        <v>2</v>
      </c>
      <c r="H1141" s="370" t="s">
        <v>16</v>
      </c>
      <c r="I1141" s="376">
        <f>E1141*F1141*G1141</f>
        <v>26.099999999999998</v>
      </c>
      <c r="J1141" s="421" t="str">
        <f>$J$1138</f>
        <v>m²</v>
      </c>
    </row>
    <row r="1142" spans="1:10" ht="26.25" customHeight="1" x14ac:dyDescent="0.25">
      <c r="A1142" s="409" t="s">
        <v>11008</v>
      </c>
      <c r="B1142" s="712" t="s">
        <v>11003</v>
      </c>
      <c r="C1142" s="712"/>
      <c r="D1142" s="712"/>
      <c r="E1142" s="222">
        <v>2.9</v>
      </c>
      <c r="F1142" s="222">
        <v>4.5</v>
      </c>
      <c r="G1142" s="367">
        <v>1</v>
      </c>
      <c r="H1142" s="370" t="s">
        <v>16</v>
      </c>
      <c r="I1142" s="376">
        <f t="shared" ref="I1142:I1143" si="135">E1142*F1142*G1142</f>
        <v>13.049999999999999</v>
      </c>
      <c r="J1142" s="421" t="str">
        <f t="shared" ref="J1142:J1143" si="136">$J$1138</f>
        <v>m²</v>
      </c>
    </row>
    <row r="1143" spans="1:10" x14ac:dyDescent="0.25">
      <c r="A1143" s="409" t="s">
        <v>11010</v>
      </c>
      <c r="B1143" s="712" t="s">
        <v>10990</v>
      </c>
      <c r="C1143" s="712"/>
      <c r="D1143" s="712"/>
      <c r="E1143" s="376">
        <v>2.9</v>
      </c>
      <c r="F1143" s="376">
        <v>2.8</v>
      </c>
      <c r="G1143" s="370">
        <v>1</v>
      </c>
      <c r="H1143" s="370" t="s">
        <v>16</v>
      </c>
      <c r="I1143" s="376">
        <f t="shared" si="135"/>
        <v>8.1199999999999992</v>
      </c>
      <c r="J1143" s="421" t="str">
        <f t="shared" si="136"/>
        <v>m²</v>
      </c>
    </row>
    <row r="1144" spans="1:10" ht="15.75" thickBot="1" x14ac:dyDescent="0.3">
      <c r="A1144" s="417"/>
      <c r="B1144" s="454"/>
      <c r="C1144" s="454"/>
      <c r="D1144" s="454"/>
      <c r="E1144" s="376"/>
      <c r="F1144" s="370"/>
      <c r="G1144" s="370"/>
      <c r="H1144" s="376"/>
      <c r="I1144" s="377"/>
      <c r="J1144" s="369"/>
    </row>
    <row r="1145" spans="1:10" s="40" customFormat="1" ht="15.75" thickBot="1" x14ac:dyDescent="0.3">
      <c r="A1145" s="46" t="s">
        <v>12074</v>
      </c>
      <c r="B1145" s="60" t="str">
        <f>VLOOKUP(A1145,PO!$A$8:$K$433,4,FALSE)</f>
        <v>PV1 - Porta de vidro temperado, 0,9x2,10m, espessura 10mm, inclusive acessórios - Fornecimento e instalação</v>
      </c>
      <c r="C1145" s="47"/>
      <c r="D1145" s="48"/>
      <c r="E1145" s="47"/>
      <c r="F1145" s="49"/>
      <c r="G1145" s="50"/>
      <c r="H1145" s="50"/>
      <c r="I1145" s="50">
        <f>SUM(I1148)</f>
        <v>1</v>
      </c>
      <c r="J1145" s="284" t="str">
        <f>VLOOKUP(A1145,PO!$A$8:$K$433,5,FALSE)</f>
        <v>und</v>
      </c>
    </row>
    <row r="1146" spans="1:10" x14ac:dyDescent="0.25">
      <c r="A1146" s="350"/>
      <c r="B1146" s="352"/>
      <c r="C1146" s="352"/>
      <c r="D1146" s="360"/>
      <c r="E1146" s="360"/>
      <c r="F1146" s="352"/>
      <c r="G1146" s="352"/>
      <c r="H1146" s="352"/>
      <c r="I1146" s="352"/>
      <c r="J1146" s="369"/>
    </row>
    <row r="1147" spans="1:10" x14ac:dyDescent="0.25">
      <c r="A1147" s="358" t="s">
        <v>10886</v>
      </c>
      <c r="B1147" s="360" t="s">
        <v>21</v>
      </c>
      <c r="C1147" s="352"/>
      <c r="D1147" s="352"/>
      <c r="E1147" s="360" t="s">
        <v>10921</v>
      </c>
      <c r="F1147" s="360" t="s">
        <v>10930</v>
      </c>
      <c r="G1147" s="360" t="s">
        <v>10927</v>
      </c>
      <c r="H1147" s="370"/>
      <c r="I1147" s="431" t="s">
        <v>14</v>
      </c>
      <c r="J1147" s="452" t="s">
        <v>15</v>
      </c>
    </row>
    <row r="1148" spans="1:10" ht="15" customHeight="1" x14ac:dyDescent="0.25">
      <c r="A1148" s="417" t="s">
        <v>11018</v>
      </c>
      <c r="B1148" s="467" t="s">
        <v>10987</v>
      </c>
      <c r="C1148" s="467"/>
      <c r="D1148" s="467"/>
      <c r="E1148" s="376">
        <v>0.9</v>
      </c>
      <c r="F1148" s="376">
        <v>2.1</v>
      </c>
      <c r="G1148" s="370">
        <v>1</v>
      </c>
      <c r="H1148" s="370" t="s">
        <v>16</v>
      </c>
      <c r="I1148" s="376">
        <f>G1148</f>
        <v>1</v>
      </c>
      <c r="J1148" s="421" t="str">
        <f>$J$1145</f>
        <v>und</v>
      </c>
    </row>
    <row r="1149" spans="1:10" ht="15.75" thickBot="1" x14ac:dyDescent="0.3">
      <c r="A1149" s="417"/>
      <c r="B1149" s="454"/>
      <c r="C1149" s="454"/>
      <c r="D1149" s="454"/>
      <c r="E1149" s="376"/>
      <c r="F1149" s="370"/>
      <c r="G1149" s="370"/>
      <c r="H1149" s="376"/>
      <c r="I1149" s="377"/>
      <c r="J1149" s="369"/>
    </row>
    <row r="1150" spans="1:10" s="40" customFormat="1" ht="15.75" thickBot="1" x14ac:dyDescent="0.3">
      <c r="A1150" s="46" t="s">
        <v>12075</v>
      </c>
      <c r="B1150" s="60" t="str">
        <f>VLOOKUP(A1150,PO!$A$8:$K$433,4,FALSE)</f>
        <v>PVC 1 - Porta sanfonada em PVC - Fornecimento e instalação</v>
      </c>
      <c r="C1150" s="47"/>
      <c r="D1150" s="48"/>
      <c r="E1150" s="47"/>
      <c r="F1150" s="49"/>
      <c r="G1150" s="50"/>
      <c r="H1150" s="50"/>
      <c r="I1150" s="50">
        <f>SUM(I1153:I1154)</f>
        <v>4</v>
      </c>
      <c r="J1150" s="284" t="str">
        <f>VLOOKUP(A1150,PO!$A$8:$K$433,5,FALSE)</f>
        <v>und</v>
      </c>
    </row>
    <row r="1151" spans="1:10" x14ac:dyDescent="0.25">
      <c r="A1151" s="350"/>
      <c r="B1151" s="352"/>
      <c r="C1151" s="352"/>
      <c r="D1151" s="360"/>
      <c r="E1151" s="360"/>
      <c r="F1151" s="352"/>
      <c r="G1151" s="352"/>
      <c r="H1151" s="352"/>
      <c r="I1151" s="352"/>
      <c r="J1151" s="369"/>
    </row>
    <row r="1152" spans="1:10" x14ac:dyDescent="0.25">
      <c r="A1152" s="358" t="s">
        <v>10886</v>
      </c>
      <c r="B1152" s="360" t="s">
        <v>21</v>
      </c>
      <c r="C1152" s="352"/>
      <c r="D1152" s="352"/>
      <c r="E1152" s="360" t="s">
        <v>10921</v>
      </c>
      <c r="F1152" s="360" t="s">
        <v>10930</v>
      </c>
      <c r="G1152" s="360" t="s">
        <v>10927</v>
      </c>
      <c r="H1152" s="370"/>
      <c r="I1152" s="431" t="s">
        <v>14</v>
      </c>
      <c r="J1152" s="452" t="s">
        <v>15</v>
      </c>
    </row>
    <row r="1153" spans="1:10" ht="15" customHeight="1" x14ac:dyDescent="0.25">
      <c r="A1153" s="417" t="s">
        <v>11019</v>
      </c>
      <c r="B1153" s="710" t="s">
        <v>10997</v>
      </c>
      <c r="C1153" s="710"/>
      <c r="D1153" s="710"/>
      <c r="E1153" s="376">
        <v>0.9</v>
      </c>
      <c r="F1153" s="376">
        <v>2.1</v>
      </c>
      <c r="G1153" s="370">
        <v>2</v>
      </c>
      <c r="H1153" s="370" t="s">
        <v>16</v>
      </c>
      <c r="I1153" s="376">
        <f>G1153</f>
        <v>2</v>
      </c>
      <c r="J1153" s="421" t="str">
        <f>$J$1150</f>
        <v>und</v>
      </c>
    </row>
    <row r="1154" spans="1:10" x14ac:dyDescent="0.25">
      <c r="A1154" s="417" t="s">
        <v>11019</v>
      </c>
      <c r="B1154" s="710" t="s">
        <v>10998</v>
      </c>
      <c r="C1154" s="710"/>
      <c r="D1154" s="710"/>
      <c r="E1154" s="376">
        <v>0.9</v>
      </c>
      <c r="F1154" s="376">
        <v>2.1</v>
      </c>
      <c r="G1154" s="370">
        <v>2</v>
      </c>
      <c r="H1154" s="370" t="s">
        <v>16</v>
      </c>
      <c r="I1154" s="376">
        <f>G1154</f>
        <v>2</v>
      </c>
      <c r="J1154" s="421" t="str">
        <f>$J$1150</f>
        <v>und</v>
      </c>
    </row>
    <row r="1155" spans="1:10" ht="15.75" thickBot="1" x14ac:dyDescent="0.3">
      <c r="A1155" s="417"/>
      <c r="B1155" s="454"/>
      <c r="C1155" s="454"/>
      <c r="D1155" s="454"/>
      <c r="E1155" s="376"/>
      <c r="F1155" s="370"/>
      <c r="G1155" s="370"/>
      <c r="H1155" s="376"/>
      <c r="I1155" s="377"/>
      <c r="J1155" s="369"/>
    </row>
    <row r="1156" spans="1:10" s="40" customFormat="1" ht="15.75" thickBot="1" x14ac:dyDescent="0.3">
      <c r="A1156" s="46" t="s">
        <v>12076</v>
      </c>
      <c r="B1156" s="60" t="str">
        <f>VLOOKUP(A1156,PO!$A$8:$K$433,4,FALSE)</f>
        <v>PAL1 - Porta de correr em chapa de painel de alumínio composto ACM 3 mm, cor branco, acabamento brilhoso, de dimensões 1,50x2,50m, com visor em vidro temperado de 10 mm de dimensões de 20x60cm - Fornecimento e instalação</v>
      </c>
      <c r="C1156" s="47"/>
      <c r="D1156" s="48"/>
      <c r="E1156" s="47"/>
      <c r="F1156" s="49"/>
      <c r="G1156" s="50"/>
      <c r="H1156" s="50"/>
      <c r="I1156" s="50">
        <f>SUM(I1159:I1163)</f>
        <v>5</v>
      </c>
      <c r="J1156" s="284" t="str">
        <f>VLOOKUP(A1156,PO!$A$8:$K$433,5,FALSE)</f>
        <v>und</v>
      </c>
    </row>
    <row r="1157" spans="1:10" x14ac:dyDescent="0.25">
      <c r="A1157" s="350"/>
      <c r="B1157" s="352"/>
      <c r="C1157" s="352"/>
      <c r="D1157" s="360"/>
      <c r="E1157" s="360"/>
      <c r="F1157" s="352"/>
      <c r="G1157" s="352"/>
      <c r="H1157" s="352"/>
      <c r="I1157" s="352"/>
      <c r="J1157" s="369"/>
    </row>
    <row r="1158" spans="1:10" x14ac:dyDescent="0.25">
      <c r="A1158" s="358" t="s">
        <v>10886</v>
      </c>
      <c r="B1158" s="360" t="s">
        <v>21</v>
      </c>
      <c r="C1158" s="352"/>
      <c r="D1158" s="352"/>
      <c r="E1158" s="360" t="s">
        <v>10921</v>
      </c>
      <c r="F1158" s="360" t="s">
        <v>10930</v>
      </c>
      <c r="G1158" s="360" t="s">
        <v>10927</v>
      </c>
      <c r="H1158" s="370"/>
      <c r="I1158" s="431" t="s">
        <v>14</v>
      </c>
      <c r="J1158" s="452" t="s">
        <v>15</v>
      </c>
    </row>
    <row r="1159" spans="1:10" ht="27" customHeight="1" x14ac:dyDescent="0.25">
      <c r="A1159" s="409" t="s">
        <v>10950</v>
      </c>
      <c r="B1159" s="712" t="s">
        <v>11003</v>
      </c>
      <c r="C1159" s="712"/>
      <c r="D1159" s="712"/>
      <c r="E1159" s="222">
        <v>1.5</v>
      </c>
      <c r="F1159" s="222">
        <v>2.5</v>
      </c>
      <c r="G1159" s="367">
        <v>1</v>
      </c>
      <c r="H1159" s="367" t="s">
        <v>16</v>
      </c>
      <c r="I1159" s="222">
        <f>G1159</f>
        <v>1</v>
      </c>
      <c r="J1159" s="410" t="str">
        <f>$J$1156</f>
        <v>und</v>
      </c>
    </row>
    <row r="1160" spans="1:10" ht="33.75" customHeight="1" x14ac:dyDescent="0.25">
      <c r="A1160" s="409" t="s">
        <v>10950</v>
      </c>
      <c r="B1160" s="710" t="s">
        <v>10989</v>
      </c>
      <c r="C1160" s="710"/>
      <c r="D1160" s="710"/>
      <c r="E1160" s="222">
        <v>1.5</v>
      </c>
      <c r="F1160" s="222">
        <v>2.5</v>
      </c>
      <c r="G1160" s="367">
        <v>1</v>
      </c>
      <c r="H1160" s="367" t="s">
        <v>16</v>
      </c>
      <c r="I1160" s="222">
        <f t="shared" ref="I1160:I1163" si="137">G1160</f>
        <v>1</v>
      </c>
      <c r="J1160" s="410" t="str">
        <f t="shared" ref="J1160:J1163" si="138">$J$1156</f>
        <v>und</v>
      </c>
    </row>
    <row r="1161" spans="1:10" x14ac:dyDescent="0.25">
      <c r="A1161" s="409" t="s">
        <v>10950</v>
      </c>
      <c r="B1161" s="710" t="s">
        <v>10993</v>
      </c>
      <c r="C1161" s="710"/>
      <c r="D1161" s="710"/>
      <c r="E1161" s="222">
        <v>1.5</v>
      </c>
      <c r="F1161" s="222">
        <v>2.5</v>
      </c>
      <c r="G1161" s="367">
        <v>1</v>
      </c>
      <c r="H1161" s="367" t="s">
        <v>16</v>
      </c>
      <c r="I1161" s="222">
        <f t="shared" si="137"/>
        <v>1</v>
      </c>
      <c r="J1161" s="410" t="str">
        <f t="shared" si="138"/>
        <v>und</v>
      </c>
    </row>
    <row r="1162" spans="1:10" x14ac:dyDescent="0.25">
      <c r="A1162" s="409" t="s">
        <v>10950</v>
      </c>
      <c r="B1162" s="710" t="s">
        <v>10994</v>
      </c>
      <c r="C1162" s="710"/>
      <c r="D1162" s="710"/>
      <c r="E1162" s="222">
        <v>1.5</v>
      </c>
      <c r="F1162" s="222">
        <v>2.5</v>
      </c>
      <c r="G1162" s="367">
        <v>1</v>
      </c>
      <c r="H1162" s="367" t="s">
        <v>16</v>
      </c>
      <c r="I1162" s="222">
        <f t="shared" si="137"/>
        <v>1</v>
      </c>
      <c r="J1162" s="410" t="str">
        <f t="shared" si="138"/>
        <v>und</v>
      </c>
    </row>
    <row r="1163" spans="1:10" x14ac:dyDescent="0.25">
      <c r="A1163" s="409" t="s">
        <v>10950</v>
      </c>
      <c r="B1163" s="710" t="s">
        <v>10995</v>
      </c>
      <c r="C1163" s="710"/>
      <c r="D1163" s="710"/>
      <c r="E1163" s="222">
        <v>1.5</v>
      </c>
      <c r="F1163" s="222">
        <v>2.5</v>
      </c>
      <c r="G1163" s="367">
        <v>1</v>
      </c>
      <c r="H1163" s="367" t="s">
        <v>16</v>
      </c>
      <c r="I1163" s="222">
        <f t="shared" si="137"/>
        <v>1</v>
      </c>
      <c r="J1163" s="410" t="str">
        <f t="shared" si="138"/>
        <v>und</v>
      </c>
    </row>
    <row r="1164" spans="1:10" ht="15.75" thickBot="1" x14ac:dyDescent="0.3">
      <c r="A1164" s="350"/>
      <c r="B1164" s="352"/>
      <c r="C1164" s="352"/>
      <c r="D1164" s="352"/>
      <c r="E1164" s="475"/>
      <c r="F1164" s="352"/>
      <c r="G1164" s="352"/>
      <c r="H1164" s="352"/>
      <c r="I1164" s="352"/>
      <c r="J1164" s="369"/>
    </row>
    <row r="1165" spans="1:10" ht="15.75" thickBot="1" x14ac:dyDescent="0.3">
      <c r="A1165" s="46" t="s">
        <v>12077</v>
      </c>
      <c r="B1165" s="60" t="str">
        <f>VLOOKUP(A1165,PO!$A$8:$K$433,4,FALSE)</f>
        <v>PAL2 - Porta de correr em chapa de painel de alumínio composto ACM 3 mm, cor branco, acabamento brilhoso, de dimensões 1,20x2,50m, com visor em vidro temperado de 10 mm de dimensões de 20x60cm - Fornecimento e instalação</v>
      </c>
      <c r="C1165" s="47"/>
      <c r="D1165" s="48"/>
      <c r="E1165" s="47"/>
      <c r="F1165" s="49"/>
      <c r="G1165" s="50"/>
      <c r="H1165" s="50"/>
      <c r="I1165" s="50">
        <f>SUM(I1168:I1170)</f>
        <v>3</v>
      </c>
      <c r="J1165" s="284" t="str">
        <f>VLOOKUP(A1165,PO!$A$8:$K$433,5,FALSE)</f>
        <v>und</v>
      </c>
    </row>
    <row r="1166" spans="1:10" x14ac:dyDescent="0.25">
      <c r="A1166" s="350"/>
      <c r="B1166" s="352"/>
      <c r="C1166" s="352"/>
      <c r="D1166" s="360"/>
      <c r="E1166" s="360"/>
      <c r="F1166" s="352"/>
      <c r="G1166" s="352"/>
      <c r="H1166" s="352"/>
      <c r="I1166" s="352"/>
      <c r="J1166" s="369"/>
    </row>
    <row r="1167" spans="1:10" x14ac:dyDescent="0.25">
      <c r="A1167" s="358" t="s">
        <v>10886</v>
      </c>
      <c r="B1167" s="360" t="s">
        <v>21</v>
      </c>
      <c r="C1167" s="352"/>
      <c r="D1167" s="352"/>
      <c r="E1167" s="360" t="s">
        <v>10921</v>
      </c>
      <c r="F1167" s="360" t="s">
        <v>10930</v>
      </c>
      <c r="G1167" s="360" t="s">
        <v>10927</v>
      </c>
      <c r="H1167" s="370"/>
      <c r="I1167" s="431" t="s">
        <v>14</v>
      </c>
      <c r="J1167" s="452" t="s">
        <v>15</v>
      </c>
    </row>
    <row r="1168" spans="1:10" x14ac:dyDescent="0.25">
      <c r="A1168" s="409" t="s">
        <v>11013</v>
      </c>
      <c r="B1168" s="712" t="s">
        <v>10987</v>
      </c>
      <c r="C1168" s="712"/>
      <c r="D1168" s="712"/>
      <c r="E1168" s="222">
        <v>1.2</v>
      </c>
      <c r="F1168" s="222">
        <v>2.5</v>
      </c>
      <c r="G1168" s="367">
        <v>1</v>
      </c>
      <c r="H1168" s="367" t="s">
        <v>16</v>
      </c>
      <c r="I1168" s="222">
        <f>G1168</f>
        <v>1</v>
      </c>
      <c r="J1168" s="410" t="str">
        <f>$J$1165</f>
        <v>und</v>
      </c>
    </row>
    <row r="1169" spans="1:10" ht="33.75" customHeight="1" x14ac:dyDescent="0.25">
      <c r="A1169" s="409" t="s">
        <v>11013</v>
      </c>
      <c r="B1169" s="710" t="s">
        <v>10990</v>
      </c>
      <c r="C1169" s="710"/>
      <c r="D1169" s="710"/>
      <c r="E1169" s="222">
        <v>1.2</v>
      </c>
      <c r="F1169" s="222">
        <v>2.5</v>
      </c>
      <c r="G1169" s="367">
        <v>1</v>
      </c>
      <c r="H1169" s="367" t="s">
        <v>16</v>
      </c>
      <c r="I1169" s="222">
        <f t="shared" ref="I1169:I1170" si="139">G1169</f>
        <v>1</v>
      </c>
      <c r="J1169" s="410" t="str">
        <f t="shared" ref="J1169:J1170" si="140">$J$1165</f>
        <v>und</v>
      </c>
    </row>
    <row r="1170" spans="1:10" x14ac:dyDescent="0.25">
      <c r="A1170" s="409" t="s">
        <v>11013</v>
      </c>
      <c r="B1170" s="710" t="s">
        <v>10991</v>
      </c>
      <c r="C1170" s="710"/>
      <c r="D1170" s="710"/>
      <c r="E1170" s="222">
        <v>1.2</v>
      </c>
      <c r="F1170" s="222">
        <v>2.5</v>
      </c>
      <c r="G1170" s="367">
        <v>1</v>
      </c>
      <c r="H1170" s="367" t="s">
        <v>16</v>
      </c>
      <c r="I1170" s="222">
        <f t="shared" si="139"/>
        <v>1</v>
      </c>
      <c r="J1170" s="410" t="str">
        <f t="shared" si="140"/>
        <v>und</v>
      </c>
    </row>
    <row r="1171" spans="1:10" ht="15.75" thickBot="1" x14ac:dyDescent="0.3">
      <c r="A1171" s="409"/>
      <c r="B1171" s="710"/>
      <c r="C1171" s="710"/>
      <c r="D1171" s="710"/>
      <c r="E1171" s="367"/>
      <c r="F1171" s="222"/>
      <c r="G1171" s="367"/>
      <c r="H1171" s="367"/>
      <c r="I1171" s="222"/>
      <c r="J1171" s="410"/>
    </row>
    <row r="1172" spans="1:10" ht="15.75" thickBot="1" x14ac:dyDescent="0.3">
      <c r="A1172" s="46" t="s">
        <v>12078</v>
      </c>
      <c r="B1172" s="60" t="str">
        <f>VLOOKUP(A1172,PO!$A$8:$K$433,4,FALSE)</f>
        <v>PAL3 - Porta de abrir em chapa de painel de alumínio composto ACM 3 mm, cor branco, acabamento brilhoso, de dimensões 0,90x2,10m - Fornecimento e instalação</v>
      </c>
      <c r="C1172" s="47"/>
      <c r="D1172" s="48"/>
      <c r="E1172" s="47"/>
      <c r="F1172" s="49"/>
      <c r="G1172" s="50"/>
      <c r="H1172" s="50"/>
      <c r="I1172" s="50">
        <f>SUM(I1175)</f>
        <v>1</v>
      </c>
      <c r="J1172" s="284" t="str">
        <f>VLOOKUP(A1172,PO!$A$8:$K$433,5,FALSE)</f>
        <v>und</v>
      </c>
    </row>
    <row r="1173" spans="1:10" x14ac:dyDescent="0.25">
      <c r="A1173" s="350"/>
      <c r="B1173" s="352"/>
      <c r="C1173" s="352"/>
      <c r="D1173" s="360"/>
      <c r="E1173" s="360"/>
      <c r="F1173" s="352"/>
      <c r="G1173" s="352"/>
      <c r="H1173" s="352"/>
      <c r="I1173" s="352"/>
      <c r="J1173" s="369"/>
    </row>
    <row r="1174" spans="1:10" x14ac:dyDescent="0.25">
      <c r="A1174" s="358" t="s">
        <v>10886</v>
      </c>
      <c r="B1174" s="360" t="s">
        <v>21</v>
      </c>
      <c r="C1174" s="352"/>
      <c r="D1174" s="352"/>
      <c r="E1174" s="360" t="s">
        <v>10921</v>
      </c>
      <c r="F1174" s="360" t="s">
        <v>10930</v>
      </c>
      <c r="G1174" s="360" t="s">
        <v>10927</v>
      </c>
      <c r="H1174" s="370"/>
      <c r="I1174" s="431" t="s">
        <v>14</v>
      </c>
      <c r="J1174" s="452" t="s">
        <v>15</v>
      </c>
    </row>
    <row r="1175" spans="1:10" x14ac:dyDescent="0.25">
      <c r="A1175" s="409" t="s">
        <v>11007</v>
      </c>
      <c r="B1175" s="710" t="s">
        <v>10999</v>
      </c>
      <c r="C1175" s="710"/>
      <c r="D1175" s="710"/>
      <c r="E1175" s="367">
        <v>0.9</v>
      </c>
      <c r="F1175" s="222">
        <v>2.1</v>
      </c>
      <c r="G1175" s="367">
        <v>1</v>
      </c>
      <c r="H1175" s="367" t="s">
        <v>16</v>
      </c>
      <c r="I1175" s="222">
        <f>G1175</f>
        <v>1</v>
      </c>
      <c r="J1175" s="410" t="str">
        <f>$J$1172</f>
        <v>und</v>
      </c>
    </row>
    <row r="1176" spans="1:10" ht="15.75" thickBot="1" x14ac:dyDescent="0.3">
      <c r="A1176" s="409"/>
      <c r="B1176" s="710"/>
      <c r="C1176" s="710"/>
      <c r="D1176" s="710"/>
      <c r="E1176" s="367"/>
      <c r="F1176" s="222"/>
      <c r="G1176" s="367"/>
      <c r="H1176" s="367"/>
      <c r="I1176" s="222"/>
      <c r="J1176" s="410"/>
    </row>
    <row r="1177" spans="1:10" ht="15.75" thickBot="1" x14ac:dyDescent="0.3">
      <c r="A1177" s="46" t="s">
        <v>12079</v>
      </c>
      <c r="B1177" s="60" t="str">
        <f>VLOOKUP(A1177,PO!$A$8:$K$433,4,FALSE)</f>
        <v>PAL4 - Porta de abrir em chapa de painel de alumínio composto ACM 3 mm, cor branco, acabamento brilhoso, de dimensões 0,80x2,10m - Fornecimento e instalação</v>
      </c>
      <c r="C1177" s="47"/>
      <c r="D1177" s="48"/>
      <c r="E1177" s="47"/>
      <c r="F1177" s="49"/>
      <c r="G1177" s="50"/>
      <c r="H1177" s="50"/>
      <c r="I1177" s="50">
        <f>SUM(I1180:I1182)</f>
        <v>3</v>
      </c>
      <c r="J1177" s="284" t="str">
        <f>VLOOKUP(A1177,PO!$A$8:$K$433,5,FALSE)</f>
        <v>und</v>
      </c>
    </row>
    <row r="1178" spans="1:10" x14ac:dyDescent="0.25">
      <c r="A1178" s="350"/>
      <c r="B1178" s="352"/>
      <c r="C1178" s="352"/>
      <c r="D1178" s="360"/>
      <c r="E1178" s="360"/>
      <c r="F1178" s="352"/>
      <c r="G1178" s="352"/>
      <c r="H1178" s="352"/>
      <c r="I1178" s="352"/>
      <c r="J1178" s="369"/>
    </row>
    <row r="1179" spans="1:10" x14ac:dyDescent="0.25">
      <c r="A1179" s="358" t="s">
        <v>10886</v>
      </c>
      <c r="B1179" s="360" t="s">
        <v>21</v>
      </c>
      <c r="C1179" s="352"/>
      <c r="D1179" s="352"/>
      <c r="E1179" s="360" t="s">
        <v>10921</v>
      </c>
      <c r="F1179" s="360" t="s">
        <v>10930</v>
      </c>
      <c r="G1179" s="360" t="s">
        <v>10927</v>
      </c>
      <c r="H1179" s="370"/>
      <c r="I1179" s="431" t="s">
        <v>14</v>
      </c>
      <c r="J1179" s="452" t="s">
        <v>15</v>
      </c>
    </row>
    <row r="1180" spans="1:10" x14ac:dyDescent="0.25">
      <c r="A1180" s="409" t="s">
        <v>11012</v>
      </c>
      <c r="B1180" s="710" t="s">
        <v>10996</v>
      </c>
      <c r="C1180" s="710"/>
      <c r="D1180" s="710"/>
      <c r="E1180" s="222">
        <v>0.8</v>
      </c>
      <c r="F1180" s="222">
        <v>2.1</v>
      </c>
      <c r="G1180" s="367">
        <v>1</v>
      </c>
      <c r="H1180" s="367" t="s">
        <v>16</v>
      </c>
      <c r="I1180" s="222">
        <f>G1180</f>
        <v>1</v>
      </c>
      <c r="J1180" s="410" t="str">
        <f>$J$1177</f>
        <v>und</v>
      </c>
    </row>
    <row r="1181" spans="1:10" x14ac:dyDescent="0.25">
      <c r="A1181" s="409" t="s">
        <v>11012</v>
      </c>
      <c r="B1181" s="710" t="s">
        <v>10997</v>
      </c>
      <c r="C1181" s="710"/>
      <c r="D1181" s="710"/>
      <c r="E1181" s="222">
        <v>0.8</v>
      </c>
      <c r="F1181" s="222">
        <v>2.1</v>
      </c>
      <c r="G1181" s="367">
        <v>1</v>
      </c>
      <c r="H1181" s="367" t="s">
        <v>16</v>
      </c>
      <c r="I1181" s="222">
        <f t="shared" ref="I1181:I1182" si="141">G1181</f>
        <v>1</v>
      </c>
      <c r="J1181" s="410" t="str">
        <f t="shared" ref="J1181:J1182" si="142">$J$1177</f>
        <v>und</v>
      </c>
    </row>
    <row r="1182" spans="1:10" x14ac:dyDescent="0.25">
      <c r="A1182" s="409" t="s">
        <v>11012</v>
      </c>
      <c r="B1182" s="710" t="s">
        <v>10998</v>
      </c>
      <c r="C1182" s="710"/>
      <c r="D1182" s="710"/>
      <c r="E1182" s="222">
        <v>0.8</v>
      </c>
      <c r="F1182" s="222">
        <v>2.1</v>
      </c>
      <c r="G1182" s="367">
        <v>1</v>
      </c>
      <c r="H1182" s="367" t="s">
        <v>16</v>
      </c>
      <c r="I1182" s="222">
        <f t="shared" si="141"/>
        <v>1</v>
      </c>
      <c r="J1182" s="410" t="str">
        <f t="shared" si="142"/>
        <v>und</v>
      </c>
    </row>
    <row r="1183" spans="1:10" ht="15.75" thickBot="1" x14ac:dyDescent="0.3">
      <c r="A1183" s="350"/>
      <c r="B1183" s="352"/>
      <c r="C1183" s="352"/>
      <c r="D1183" s="352"/>
      <c r="E1183" s="352"/>
      <c r="F1183" s="352"/>
      <c r="G1183" s="352"/>
      <c r="H1183" s="352"/>
      <c r="I1183" s="352"/>
      <c r="J1183" s="369"/>
    </row>
    <row r="1184" spans="1:10" ht="15.75" thickBot="1" x14ac:dyDescent="0.3">
      <c r="A1184" s="46" t="s">
        <v>12080</v>
      </c>
      <c r="B1184" s="60" t="str">
        <f>VLOOKUP(A1184,PO!$A$8:$K$433,4,FALSE)</f>
        <v>PAL5 - Porta de abrir em chapa de painel de alumínio composto ACM 3 mm, cor branco, acabamento brilhoso, de dimensões 1,20x2,10m, com visor em vidro temperado de 10 mm de dimensões de 20x60cm - Fornecimento e instalação</v>
      </c>
      <c r="C1184" s="47"/>
      <c r="D1184" s="48"/>
      <c r="E1184" s="47"/>
      <c r="F1184" s="49"/>
      <c r="G1184" s="50"/>
      <c r="H1184" s="50"/>
      <c r="I1184" s="50">
        <f>SUM(I1187)</f>
        <v>1</v>
      </c>
      <c r="J1184" s="284" t="str">
        <f>VLOOKUP(A1184,PO!$A$8:$K$433,5,FALSE)</f>
        <v>und</v>
      </c>
    </row>
    <row r="1185" spans="1:10" x14ac:dyDescent="0.25">
      <c r="A1185" s="350"/>
      <c r="B1185" s="352"/>
      <c r="C1185" s="352"/>
      <c r="D1185" s="360"/>
      <c r="E1185" s="360"/>
      <c r="F1185" s="352"/>
      <c r="G1185" s="352"/>
      <c r="H1185" s="352"/>
      <c r="I1185" s="352"/>
      <c r="J1185" s="369"/>
    </row>
    <row r="1186" spans="1:10" x14ac:dyDescent="0.25">
      <c r="A1186" s="358" t="s">
        <v>10886</v>
      </c>
      <c r="B1186" s="360" t="s">
        <v>21</v>
      </c>
      <c r="C1186" s="352"/>
      <c r="D1186" s="352"/>
      <c r="E1186" s="360" t="s">
        <v>10921</v>
      </c>
      <c r="F1186" s="360" t="s">
        <v>10930</v>
      </c>
      <c r="G1186" s="360" t="s">
        <v>10927</v>
      </c>
      <c r="H1186" s="370"/>
      <c r="I1186" s="431" t="s">
        <v>14</v>
      </c>
      <c r="J1186" s="452" t="s">
        <v>15</v>
      </c>
    </row>
    <row r="1187" spans="1:10" x14ac:dyDescent="0.25">
      <c r="A1187" s="409" t="s">
        <v>10939</v>
      </c>
      <c r="B1187" s="710" t="s">
        <v>11055</v>
      </c>
      <c r="C1187" s="710"/>
      <c r="D1187" s="710"/>
      <c r="E1187" s="367">
        <v>1.2</v>
      </c>
      <c r="F1187" s="222">
        <v>2.1</v>
      </c>
      <c r="G1187" s="367">
        <v>1</v>
      </c>
      <c r="H1187" s="367" t="s">
        <v>16</v>
      </c>
      <c r="I1187" s="222">
        <f>G1187</f>
        <v>1</v>
      </c>
      <c r="J1187" s="410" t="str">
        <f>$J$1184</f>
        <v>und</v>
      </c>
    </row>
    <row r="1188" spans="1:10" ht="15.75" thickBot="1" x14ac:dyDescent="0.3">
      <c r="A1188" s="350"/>
      <c r="B1188" s="352"/>
      <c r="C1188" s="352"/>
      <c r="D1188" s="352"/>
      <c r="E1188" s="352"/>
      <c r="F1188" s="352"/>
      <c r="G1188" s="352"/>
      <c r="H1188" s="352"/>
      <c r="I1188" s="352"/>
      <c r="J1188" s="369"/>
    </row>
    <row r="1189" spans="1:10" s="40" customFormat="1" ht="15.75" thickBot="1" x14ac:dyDescent="0.3">
      <c r="A1189" s="41" t="s">
        <v>12081</v>
      </c>
      <c r="B1189" s="42" t="str">
        <f>VLOOKUP(A1189,PO!$A$8:$K$425,4,FALSE)</f>
        <v>VERGAS E CONTRAVERGAS</v>
      </c>
      <c r="C1189" s="43"/>
      <c r="D1189" s="43"/>
      <c r="E1189" s="43"/>
      <c r="F1189" s="43"/>
      <c r="G1189" s="43"/>
      <c r="H1189" s="43"/>
      <c r="I1189" s="43"/>
      <c r="J1189" s="44"/>
    </row>
    <row r="1190" spans="1:10" s="40" customFormat="1" ht="15.75" thickBot="1" x14ac:dyDescent="0.3">
      <c r="A1190" s="347"/>
      <c r="B1190" s="205"/>
      <c r="C1190" s="205"/>
      <c r="D1190" s="348"/>
      <c r="E1190" s="205"/>
      <c r="F1190" s="237"/>
      <c r="G1190" s="208"/>
      <c r="H1190" s="208"/>
      <c r="I1190" s="208"/>
      <c r="J1190" s="349"/>
    </row>
    <row r="1191" spans="1:10" s="40" customFormat="1" ht="15.75" thickBot="1" x14ac:dyDescent="0.3">
      <c r="A1191" s="46" t="s">
        <v>12082</v>
      </c>
      <c r="B1191" s="60" t="str">
        <f>VLOOKUP(A1191,PO!$A$8:$K$433,4,FALSE)</f>
        <v xml:space="preserve">Verga pré-moldada para janelas com até de 1,5m de vão. </v>
      </c>
      <c r="C1191" s="47"/>
      <c r="D1191" s="48"/>
      <c r="E1191" s="47"/>
      <c r="F1191" s="49"/>
      <c r="G1191" s="50"/>
      <c r="H1191" s="50"/>
      <c r="I1191" s="50">
        <f>SUM(H1194:H1196)</f>
        <v>5.04</v>
      </c>
      <c r="J1191" s="284" t="str">
        <f>VLOOKUP(A1191,PO!$A$8:$K$433,5,FALSE)</f>
        <v>m</v>
      </c>
    </row>
    <row r="1192" spans="1:10" x14ac:dyDescent="0.25">
      <c r="A1192" s="350"/>
      <c r="B1192" s="352"/>
      <c r="C1192" s="352"/>
      <c r="D1192" s="360"/>
      <c r="E1192" s="360"/>
      <c r="F1192" s="352"/>
      <c r="G1192" s="352"/>
      <c r="H1192" s="352"/>
      <c r="I1192" s="352"/>
      <c r="J1192" s="369"/>
    </row>
    <row r="1193" spans="1:10" x14ac:dyDescent="0.25">
      <c r="A1193" s="358" t="s">
        <v>10886</v>
      </c>
      <c r="B1193" s="360" t="s">
        <v>21</v>
      </c>
      <c r="C1193" s="352"/>
      <c r="D1193" s="360" t="s">
        <v>10921</v>
      </c>
      <c r="E1193" s="360" t="s">
        <v>11056</v>
      </c>
      <c r="F1193" s="360" t="s">
        <v>10927</v>
      </c>
      <c r="G1193" s="370"/>
      <c r="H1193" s="431" t="s">
        <v>14</v>
      </c>
      <c r="I1193" s="431" t="s">
        <v>15</v>
      </c>
      <c r="J1193" s="369"/>
    </row>
    <row r="1194" spans="1:10" x14ac:dyDescent="0.25">
      <c r="A1194" s="417" t="s">
        <v>10938</v>
      </c>
      <c r="B1194" s="467" t="s">
        <v>10999</v>
      </c>
      <c r="C1194" s="467"/>
      <c r="D1194" s="376">
        <v>1.2</v>
      </c>
      <c r="E1194" s="370">
        <f>D1194/2.5</f>
        <v>0.48</v>
      </c>
      <c r="F1194" s="370">
        <v>1</v>
      </c>
      <c r="G1194" s="370" t="s">
        <v>16</v>
      </c>
      <c r="H1194" s="376">
        <f>(D1194+E1194)*F1194</f>
        <v>1.68</v>
      </c>
      <c r="I1194" s="377" t="str">
        <f>$J$1191</f>
        <v>m</v>
      </c>
      <c r="J1194" s="369"/>
    </row>
    <row r="1195" spans="1:10" x14ac:dyDescent="0.25">
      <c r="A1195" s="417" t="s">
        <v>10938</v>
      </c>
      <c r="B1195" s="467" t="s">
        <v>10997</v>
      </c>
      <c r="C1195" s="467"/>
      <c r="D1195" s="376">
        <v>1.2</v>
      </c>
      <c r="E1195" s="370">
        <f t="shared" ref="E1195:E1196" si="143">D1195/2.5</f>
        <v>0.48</v>
      </c>
      <c r="F1195" s="370">
        <v>1</v>
      </c>
      <c r="G1195" s="370" t="s">
        <v>16</v>
      </c>
      <c r="H1195" s="376">
        <f t="shared" ref="H1195:H1196" si="144">(D1195+E1195)*F1195</f>
        <v>1.68</v>
      </c>
      <c r="I1195" s="377" t="str">
        <f t="shared" ref="I1195:I1196" si="145">$J$1191</f>
        <v>m</v>
      </c>
      <c r="J1195" s="369"/>
    </row>
    <row r="1196" spans="1:10" x14ac:dyDescent="0.25">
      <c r="A1196" s="417" t="s">
        <v>10938</v>
      </c>
      <c r="B1196" s="467" t="s">
        <v>10998</v>
      </c>
      <c r="C1196" s="467"/>
      <c r="D1196" s="376">
        <v>1.2</v>
      </c>
      <c r="E1196" s="370">
        <f t="shared" si="143"/>
        <v>0.48</v>
      </c>
      <c r="F1196" s="370">
        <v>1</v>
      </c>
      <c r="G1196" s="370" t="s">
        <v>16</v>
      </c>
      <c r="H1196" s="376">
        <f t="shared" si="144"/>
        <v>1.68</v>
      </c>
      <c r="I1196" s="377" t="str">
        <f t="shared" si="145"/>
        <v>m</v>
      </c>
      <c r="J1196" s="369"/>
    </row>
    <row r="1197" spans="1:10" ht="15.75" thickBot="1" x14ac:dyDescent="0.3">
      <c r="A1197" s="350"/>
      <c r="B1197" s="352"/>
      <c r="C1197" s="352"/>
      <c r="D1197" s="352"/>
      <c r="E1197" s="352"/>
      <c r="F1197" s="352"/>
      <c r="G1197" s="352"/>
      <c r="H1197" s="352"/>
      <c r="I1197" s="352"/>
      <c r="J1197" s="369"/>
    </row>
    <row r="1198" spans="1:10" s="40" customFormat="1" ht="15.75" thickBot="1" x14ac:dyDescent="0.3">
      <c r="A1198" s="46" t="s">
        <v>12083</v>
      </c>
      <c r="B1198" s="60" t="str">
        <f>VLOOKUP(A1198,PO!$A$8:$K$433,4,FALSE)</f>
        <v>Verga pré-moldada para janelas com mais de 1,5m de vão.</v>
      </c>
      <c r="C1198" s="47"/>
      <c r="D1198" s="48"/>
      <c r="E1198" s="47"/>
      <c r="F1198" s="49"/>
      <c r="G1198" s="50"/>
      <c r="H1198" s="50"/>
      <c r="I1198" s="50">
        <f>SUM(H1201:H1202)</f>
        <v>10.57</v>
      </c>
      <c r="J1198" s="284" t="str">
        <f>VLOOKUP(A1198,PO!$A$8:$K$433,5,FALSE)</f>
        <v>m</v>
      </c>
    </row>
    <row r="1199" spans="1:10" x14ac:dyDescent="0.25">
      <c r="A1199" s="350"/>
      <c r="B1199" s="352"/>
      <c r="C1199" s="352"/>
      <c r="D1199" s="352"/>
      <c r="E1199" s="352"/>
      <c r="F1199" s="352"/>
      <c r="G1199" s="352"/>
      <c r="H1199" s="352"/>
      <c r="I1199" s="352"/>
      <c r="J1199" s="369"/>
    </row>
    <row r="1200" spans="1:10" x14ac:dyDescent="0.25">
      <c r="A1200" s="358" t="s">
        <v>10886</v>
      </c>
      <c r="B1200" s="360" t="s">
        <v>21</v>
      </c>
      <c r="C1200" s="352"/>
      <c r="D1200" s="360" t="s">
        <v>10921</v>
      </c>
      <c r="E1200" s="360" t="s">
        <v>11056</v>
      </c>
      <c r="F1200" s="360" t="s">
        <v>10927</v>
      </c>
      <c r="G1200" s="370"/>
      <c r="H1200" s="431" t="s">
        <v>14</v>
      </c>
      <c r="I1200" s="431" t="s">
        <v>15</v>
      </c>
      <c r="J1200" s="369"/>
    </row>
    <row r="1201" spans="1:10" x14ac:dyDescent="0.25">
      <c r="A1201" s="417" t="s">
        <v>11030</v>
      </c>
      <c r="B1201" s="467" t="s">
        <v>10987</v>
      </c>
      <c r="C1201" s="467"/>
      <c r="D1201" s="222">
        <v>3.85</v>
      </c>
      <c r="E1201" s="370">
        <f>D1201/2.5</f>
        <v>1.54</v>
      </c>
      <c r="F1201" s="370">
        <v>1</v>
      </c>
      <c r="G1201" s="367" t="s">
        <v>16</v>
      </c>
      <c r="H1201" s="222">
        <f>(D1201+E1201)*F1201</f>
        <v>5.3900000000000006</v>
      </c>
      <c r="I1201" s="368" t="str">
        <f>$J$1198</f>
        <v>m</v>
      </c>
      <c r="J1201" s="369"/>
    </row>
    <row r="1202" spans="1:10" x14ac:dyDescent="0.25">
      <c r="A1202" s="417" t="s">
        <v>11031</v>
      </c>
      <c r="B1202" s="467" t="s">
        <v>10987</v>
      </c>
      <c r="C1202" s="467"/>
      <c r="D1202" s="222">
        <v>3.7</v>
      </c>
      <c r="E1202" s="370">
        <f t="shared" ref="E1202" si="146">D1202/2.5</f>
        <v>1.48</v>
      </c>
      <c r="F1202" s="370">
        <v>1</v>
      </c>
      <c r="G1202" s="367" t="s">
        <v>16</v>
      </c>
      <c r="H1202" s="222">
        <f>(D1202+E1202)*F1202</f>
        <v>5.18</v>
      </c>
      <c r="I1202" s="368" t="str">
        <f>$J$1198</f>
        <v>m</v>
      </c>
      <c r="J1202" s="369"/>
    </row>
    <row r="1203" spans="1:10" ht="15.75" thickBot="1" x14ac:dyDescent="0.3">
      <c r="A1203" s="350"/>
      <c r="B1203" s="352"/>
      <c r="C1203" s="352"/>
      <c r="D1203" s="352"/>
      <c r="E1203" s="352"/>
      <c r="F1203" s="352"/>
      <c r="G1203" s="352"/>
      <c r="H1203" s="352"/>
      <c r="I1203" s="352"/>
      <c r="J1203" s="369"/>
    </row>
    <row r="1204" spans="1:10" s="40" customFormat="1" ht="15.75" thickBot="1" x14ac:dyDescent="0.3">
      <c r="A1204" s="46" t="s">
        <v>12084</v>
      </c>
      <c r="B1204" s="60" t="str">
        <f>VLOOKUP(A1204,PO!$A$8:$K$433,4,FALSE)</f>
        <v>Contraverga pré-moldada para vãos de até 1,5 m de comprimento.</v>
      </c>
      <c r="C1204" s="47"/>
      <c r="D1204" s="48"/>
      <c r="E1204" s="47"/>
      <c r="F1204" s="49"/>
      <c r="G1204" s="50"/>
      <c r="H1204" s="50"/>
      <c r="I1204" s="50">
        <f>SUM(H1207:H1209)</f>
        <v>5.04</v>
      </c>
      <c r="J1204" s="284" t="str">
        <f>VLOOKUP(A1204,PO!$A$8:$K$433,5,FALSE)</f>
        <v>m</v>
      </c>
    </row>
    <row r="1205" spans="1:10" x14ac:dyDescent="0.25">
      <c r="A1205" s="350"/>
      <c r="B1205" s="352"/>
      <c r="C1205" s="352"/>
      <c r="D1205" s="360"/>
      <c r="E1205" s="360"/>
      <c r="F1205" s="352"/>
      <c r="G1205" s="352"/>
      <c r="H1205" s="352"/>
      <c r="I1205" s="352"/>
      <c r="J1205" s="369"/>
    </row>
    <row r="1206" spans="1:10" x14ac:dyDescent="0.25">
      <c r="A1206" s="358" t="s">
        <v>10886</v>
      </c>
      <c r="B1206" s="360" t="s">
        <v>21</v>
      </c>
      <c r="C1206" s="352"/>
      <c r="D1206" s="360" t="s">
        <v>10921</v>
      </c>
      <c r="E1206" s="360" t="s">
        <v>11056</v>
      </c>
      <c r="F1206" s="360" t="s">
        <v>10927</v>
      </c>
      <c r="G1206" s="370"/>
      <c r="H1206" s="431" t="s">
        <v>14</v>
      </c>
      <c r="I1206" s="431" t="s">
        <v>15</v>
      </c>
      <c r="J1206" s="369"/>
    </row>
    <row r="1207" spans="1:10" x14ac:dyDescent="0.25">
      <c r="A1207" s="417" t="s">
        <v>10938</v>
      </c>
      <c r="B1207" s="467" t="s">
        <v>10999</v>
      </c>
      <c r="C1207" s="467"/>
      <c r="D1207" s="376">
        <v>1.2</v>
      </c>
      <c r="E1207" s="370">
        <f>D1207/2.5</f>
        <v>0.48</v>
      </c>
      <c r="F1207" s="370">
        <v>1</v>
      </c>
      <c r="G1207" s="370" t="s">
        <v>16</v>
      </c>
      <c r="H1207" s="376">
        <f>(D1207+E1207)*F1207</f>
        <v>1.68</v>
      </c>
      <c r="I1207" s="377" t="str">
        <f>$J$1204</f>
        <v>m</v>
      </c>
      <c r="J1207" s="369"/>
    </row>
    <row r="1208" spans="1:10" x14ac:dyDescent="0.25">
      <c r="A1208" s="417" t="s">
        <v>10938</v>
      </c>
      <c r="B1208" s="467" t="s">
        <v>10997</v>
      </c>
      <c r="C1208" s="467"/>
      <c r="D1208" s="376">
        <v>1.2</v>
      </c>
      <c r="E1208" s="370">
        <f t="shared" ref="E1208:E1209" si="147">D1208/2.5</f>
        <v>0.48</v>
      </c>
      <c r="F1208" s="370">
        <v>1</v>
      </c>
      <c r="G1208" s="370" t="s">
        <v>16</v>
      </c>
      <c r="H1208" s="376">
        <f t="shared" ref="H1208:H1209" si="148">(D1208+E1208)*F1208</f>
        <v>1.68</v>
      </c>
      <c r="I1208" s="377" t="str">
        <f t="shared" ref="I1208:I1209" si="149">$J$1204</f>
        <v>m</v>
      </c>
      <c r="J1208" s="369"/>
    </row>
    <row r="1209" spans="1:10" x14ac:dyDescent="0.25">
      <c r="A1209" s="417" t="s">
        <v>10938</v>
      </c>
      <c r="B1209" s="467" t="s">
        <v>10998</v>
      </c>
      <c r="C1209" s="467"/>
      <c r="D1209" s="376">
        <v>1.2</v>
      </c>
      <c r="E1209" s="370">
        <f t="shared" si="147"/>
        <v>0.48</v>
      </c>
      <c r="F1209" s="370">
        <v>1</v>
      </c>
      <c r="G1209" s="370" t="s">
        <v>16</v>
      </c>
      <c r="H1209" s="376">
        <f t="shared" si="148"/>
        <v>1.68</v>
      </c>
      <c r="I1209" s="377" t="str">
        <f t="shared" si="149"/>
        <v>m</v>
      </c>
      <c r="J1209" s="369"/>
    </row>
    <row r="1210" spans="1:10" ht="15.75" thickBot="1" x14ac:dyDescent="0.3">
      <c r="A1210" s="350"/>
      <c r="B1210" s="352"/>
      <c r="C1210" s="352"/>
      <c r="D1210" s="352"/>
      <c r="E1210" s="352"/>
      <c r="F1210" s="352"/>
      <c r="G1210" s="352"/>
      <c r="H1210" s="352"/>
      <c r="I1210" s="352"/>
      <c r="J1210" s="369"/>
    </row>
    <row r="1211" spans="1:10" s="40" customFormat="1" ht="15.75" thickBot="1" x14ac:dyDescent="0.3">
      <c r="A1211" s="46" t="s">
        <v>12085</v>
      </c>
      <c r="B1211" s="60" t="str">
        <f>VLOOKUP(A1211,PO!$A$8:$K$433,4,FALSE)</f>
        <v xml:space="preserve">Contraverga pré-moldada para vãos de mais de 1,5 m de comprimento. </v>
      </c>
      <c r="C1211" s="47"/>
      <c r="D1211" s="48"/>
      <c r="E1211" s="47"/>
      <c r="F1211" s="49"/>
      <c r="G1211" s="50"/>
      <c r="H1211" s="50"/>
      <c r="I1211" s="50">
        <f>SUM(H1214:H1215)</f>
        <v>10.57</v>
      </c>
      <c r="J1211" s="284" t="str">
        <f>VLOOKUP(A1211,PO!$A$8:$K$433,5,FALSE)</f>
        <v>m</v>
      </c>
    </row>
    <row r="1212" spans="1:10" x14ac:dyDescent="0.25">
      <c r="A1212" s="350"/>
      <c r="B1212" s="352"/>
      <c r="C1212" s="352"/>
      <c r="D1212" s="352"/>
      <c r="E1212" s="352"/>
      <c r="F1212" s="352"/>
      <c r="G1212" s="352"/>
      <c r="H1212" s="352"/>
      <c r="I1212" s="352"/>
      <c r="J1212" s="369"/>
    </row>
    <row r="1213" spans="1:10" x14ac:dyDescent="0.25">
      <c r="A1213" s="358" t="s">
        <v>10886</v>
      </c>
      <c r="B1213" s="360" t="s">
        <v>21</v>
      </c>
      <c r="C1213" s="352"/>
      <c r="D1213" s="360" t="s">
        <v>10921</v>
      </c>
      <c r="E1213" s="360" t="s">
        <v>11056</v>
      </c>
      <c r="F1213" s="360" t="s">
        <v>10927</v>
      </c>
      <c r="G1213" s="370"/>
      <c r="H1213" s="431" t="s">
        <v>14</v>
      </c>
      <c r="I1213" s="431" t="s">
        <v>15</v>
      </c>
      <c r="J1213" s="369"/>
    </row>
    <row r="1214" spans="1:10" x14ac:dyDescent="0.25">
      <c r="A1214" s="417" t="s">
        <v>11030</v>
      </c>
      <c r="B1214" s="467" t="s">
        <v>10987</v>
      </c>
      <c r="C1214" s="467"/>
      <c r="D1214" s="222">
        <v>3.85</v>
      </c>
      <c r="E1214" s="370">
        <f>D1214/2.5</f>
        <v>1.54</v>
      </c>
      <c r="F1214" s="370">
        <v>1</v>
      </c>
      <c r="G1214" s="367" t="s">
        <v>16</v>
      </c>
      <c r="H1214" s="222">
        <f>(D1214+E1214)*F1214</f>
        <v>5.3900000000000006</v>
      </c>
      <c r="I1214" s="368" t="str">
        <f>$J$1211</f>
        <v>m</v>
      </c>
      <c r="J1214" s="369"/>
    </row>
    <row r="1215" spans="1:10" x14ac:dyDescent="0.25">
      <c r="A1215" s="417" t="s">
        <v>11031</v>
      </c>
      <c r="B1215" s="467" t="s">
        <v>10987</v>
      </c>
      <c r="C1215" s="467"/>
      <c r="D1215" s="222">
        <v>3.7</v>
      </c>
      <c r="E1215" s="370">
        <f t="shared" ref="E1215" si="150">D1215/2.5</f>
        <v>1.48</v>
      </c>
      <c r="F1215" s="370">
        <v>1</v>
      </c>
      <c r="G1215" s="367" t="s">
        <v>16</v>
      </c>
      <c r="H1215" s="222">
        <f>(D1215+E1215)*F1215</f>
        <v>5.18</v>
      </c>
      <c r="I1215" s="368" t="str">
        <f>$J$1211</f>
        <v>m</v>
      </c>
      <c r="J1215" s="369"/>
    </row>
    <row r="1216" spans="1:10" ht="15.75" thickBot="1" x14ac:dyDescent="0.3">
      <c r="A1216" s="350"/>
      <c r="B1216" s="352"/>
      <c r="C1216" s="352"/>
      <c r="D1216" s="352"/>
      <c r="E1216" s="352"/>
      <c r="F1216" s="352"/>
      <c r="G1216" s="352"/>
      <c r="H1216" s="352"/>
      <c r="I1216" s="352"/>
      <c r="J1216" s="369"/>
    </row>
    <row r="1217" spans="1:10" s="40" customFormat="1" ht="15.75" thickBot="1" x14ac:dyDescent="0.3">
      <c r="A1217" s="46" t="s">
        <v>12086</v>
      </c>
      <c r="B1217" s="60" t="str">
        <f>VLOOKUP(A1217,PO!$A$8:$K$433,4,FALSE)</f>
        <v xml:space="preserve">Verga pré-moldada para portas  até 1,5m de vão. </v>
      </c>
      <c r="C1217" s="47"/>
      <c r="D1217" s="48"/>
      <c r="E1217" s="47"/>
      <c r="F1217" s="49"/>
      <c r="G1217" s="50"/>
      <c r="H1217" s="50"/>
      <c r="I1217" s="50">
        <f>SUM(I1220:I1233)</f>
        <v>23.100000000000005</v>
      </c>
      <c r="J1217" s="284" t="str">
        <f>VLOOKUP(A1217,PO!$A$8:$K$433,5,FALSE)</f>
        <v>m</v>
      </c>
    </row>
    <row r="1218" spans="1:10" x14ac:dyDescent="0.25">
      <c r="A1218" s="350"/>
      <c r="B1218" s="352"/>
      <c r="C1218" s="352"/>
      <c r="D1218" s="360"/>
      <c r="E1218" s="360"/>
      <c r="F1218" s="352"/>
      <c r="G1218" s="352"/>
      <c r="H1218" s="352"/>
      <c r="I1218" s="352"/>
      <c r="J1218" s="369"/>
    </row>
    <row r="1219" spans="1:10" x14ac:dyDescent="0.25">
      <c r="A1219" s="358" t="s">
        <v>10886</v>
      </c>
      <c r="B1219" s="360" t="s">
        <v>21</v>
      </c>
      <c r="C1219" s="352"/>
      <c r="D1219" s="352"/>
      <c r="E1219" s="360" t="s">
        <v>10921</v>
      </c>
      <c r="F1219" s="360" t="s">
        <v>11056</v>
      </c>
      <c r="G1219" s="360" t="s">
        <v>10927</v>
      </c>
      <c r="H1219" s="370"/>
      <c r="I1219" s="431" t="s">
        <v>14</v>
      </c>
      <c r="J1219" s="452" t="s">
        <v>15</v>
      </c>
    </row>
    <row r="1220" spans="1:10" ht="15" customHeight="1" x14ac:dyDescent="0.25">
      <c r="A1220" s="417" t="s">
        <v>11018</v>
      </c>
      <c r="B1220" s="467" t="s">
        <v>10987</v>
      </c>
      <c r="C1220" s="467"/>
      <c r="D1220" s="467"/>
      <c r="E1220" s="376">
        <v>0.9</v>
      </c>
      <c r="F1220" s="370">
        <f>E1220/2.5</f>
        <v>0.36</v>
      </c>
      <c r="G1220" s="370">
        <v>1</v>
      </c>
      <c r="H1220" s="370" t="s">
        <v>16</v>
      </c>
      <c r="I1220" s="376">
        <f>(E1220+F1220)*G1220</f>
        <v>1.26</v>
      </c>
      <c r="J1220" s="421" t="str">
        <f>$J$1217</f>
        <v>m</v>
      </c>
    </row>
    <row r="1221" spans="1:10" ht="27" customHeight="1" x14ac:dyDescent="0.25">
      <c r="A1221" s="409" t="s">
        <v>10950</v>
      </c>
      <c r="B1221" s="712" t="s">
        <v>10990</v>
      </c>
      <c r="C1221" s="712"/>
      <c r="D1221" s="712"/>
      <c r="E1221" s="222">
        <v>1.5</v>
      </c>
      <c r="F1221" s="370">
        <f t="shared" ref="F1221:F1233" si="151">E1221/2.5</f>
        <v>0.6</v>
      </c>
      <c r="G1221" s="367">
        <v>1</v>
      </c>
      <c r="H1221" s="367" t="s">
        <v>16</v>
      </c>
      <c r="I1221" s="376">
        <f t="shared" ref="I1221:I1233" si="152">(E1221+F1221)*G1221</f>
        <v>2.1</v>
      </c>
      <c r="J1221" s="421" t="str">
        <f t="shared" ref="J1221:J1233" si="153">$J$1217</f>
        <v>m</v>
      </c>
    </row>
    <row r="1222" spans="1:10" ht="33.75" customHeight="1" x14ac:dyDescent="0.25">
      <c r="A1222" s="409" t="s">
        <v>10950</v>
      </c>
      <c r="B1222" s="710" t="s">
        <v>10989</v>
      </c>
      <c r="C1222" s="710"/>
      <c r="D1222" s="710"/>
      <c r="E1222" s="222">
        <v>1.5</v>
      </c>
      <c r="F1222" s="370">
        <f t="shared" si="151"/>
        <v>0.6</v>
      </c>
      <c r="G1222" s="367">
        <v>1</v>
      </c>
      <c r="H1222" s="367" t="s">
        <v>16</v>
      </c>
      <c r="I1222" s="376">
        <f t="shared" si="152"/>
        <v>2.1</v>
      </c>
      <c r="J1222" s="421" t="str">
        <f t="shared" si="153"/>
        <v>m</v>
      </c>
    </row>
    <row r="1223" spans="1:10" x14ac:dyDescent="0.25">
      <c r="A1223" s="409" t="s">
        <v>10950</v>
      </c>
      <c r="B1223" s="710" t="s">
        <v>10993</v>
      </c>
      <c r="C1223" s="710"/>
      <c r="D1223" s="710"/>
      <c r="E1223" s="222">
        <v>1.5</v>
      </c>
      <c r="F1223" s="370">
        <f t="shared" si="151"/>
        <v>0.6</v>
      </c>
      <c r="G1223" s="367">
        <v>1</v>
      </c>
      <c r="H1223" s="367" t="s">
        <v>16</v>
      </c>
      <c r="I1223" s="376">
        <f t="shared" si="152"/>
        <v>2.1</v>
      </c>
      <c r="J1223" s="421" t="str">
        <f t="shared" si="153"/>
        <v>m</v>
      </c>
    </row>
    <row r="1224" spans="1:10" x14ac:dyDescent="0.25">
      <c r="A1224" s="409" t="s">
        <v>10950</v>
      </c>
      <c r="B1224" s="710" t="s">
        <v>10994</v>
      </c>
      <c r="C1224" s="710"/>
      <c r="D1224" s="710"/>
      <c r="E1224" s="222">
        <v>1.5</v>
      </c>
      <c r="F1224" s="370">
        <f t="shared" si="151"/>
        <v>0.6</v>
      </c>
      <c r="G1224" s="367">
        <v>1</v>
      </c>
      <c r="H1224" s="367" t="s">
        <v>16</v>
      </c>
      <c r="I1224" s="376">
        <f t="shared" si="152"/>
        <v>2.1</v>
      </c>
      <c r="J1224" s="421" t="str">
        <f t="shared" si="153"/>
        <v>m</v>
      </c>
    </row>
    <row r="1225" spans="1:10" x14ac:dyDescent="0.25">
      <c r="A1225" s="409" t="s">
        <v>10950</v>
      </c>
      <c r="B1225" s="710" t="s">
        <v>10995</v>
      </c>
      <c r="C1225" s="710"/>
      <c r="D1225" s="710"/>
      <c r="E1225" s="222">
        <v>1.5</v>
      </c>
      <c r="F1225" s="370">
        <f t="shared" si="151"/>
        <v>0.6</v>
      </c>
      <c r="G1225" s="367">
        <v>1</v>
      </c>
      <c r="H1225" s="367" t="s">
        <v>16</v>
      </c>
      <c r="I1225" s="376">
        <f t="shared" si="152"/>
        <v>2.1</v>
      </c>
      <c r="J1225" s="421" t="str">
        <f t="shared" si="153"/>
        <v>m</v>
      </c>
    </row>
    <row r="1226" spans="1:10" x14ac:dyDescent="0.25">
      <c r="A1226" s="409" t="s">
        <v>11013</v>
      </c>
      <c r="B1226" s="712" t="s">
        <v>10987</v>
      </c>
      <c r="C1226" s="712"/>
      <c r="D1226" s="712"/>
      <c r="E1226" s="222">
        <v>1.2</v>
      </c>
      <c r="F1226" s="370">
        <f t="shared" si="151"/>
        <v>0.48</v>
      </c>
      <c r="G1226" s="367">
        <v>1</v>
      </c>
      <c r="H1226" s="367" t="s">
        <v>16</v>
      </c>
      <c r="I1226" s="376">
        <f t="shared" si="152"/>
        <v>1.68</v>
      </c>
      <c r="J1226" s="421" t="str">
        <f t="shared" si="153"/>
        <v>m</v>
      </c>
    </row>
    <row r="1227" spans="1:10" ht="33.75" customHeight="1" x14ac:dyDescent="0.25">
      <c r="A1227" s="409" t="s">
        <v>11013</v>
      </c>
      <c r="B1227" s="710" t="s">
        <v>10990</v>
      </c>
      <c r="C1227" s="710"/>
      <c r="D1227" s="710"/>
      <c r="E1227" s="222">
        <v>1.2</v>
      </c>
      <c r="F1227" s="370">
        <f t="shared" si="151"/>
        <v>0.48</v>
      </c>
      <c r="G1227" s="367">
        <v>1</v>
      </c>
      <c r="H1227" s="367" t="s">
        <v>16</v>
      </c>
      <c r="I1227" s="376">
        <f t="shared" si="152"/>
        <v>1.68</v>
      </c>
      <c r="J1227" s="421" t="str">
        <f t="shared" si="153"/>
        <v>m</v>
      </c>
    </row>
    <row r="1228" spans="1:10" x14ac:dyDescent="0.25">
      <c r="A1228" s="409" t="s">
        <v>11013</v>
      </c>
      <c r="B1228" s="710" t="s">
        <v>10991</v>
      </c>
      <c r="C1228" s="710"/>
      <c r="D1228" s="710"/>
      <c r="E1228" s="222">
        <v>1.2</v>
      </c>
      <c r="F1228" s="370">
        <f t="shared" si="151"/>
        <v>0.48</v>
      </c>
      <c r="G1228" s="367">
        <v>1</v>
      </c>
      <c r="H1228" s="367" t="s">
        <v>16</v>
      </c>
      <c r="I1228" s="376">
        <f t="shared" si="152"/>
        <v>1.68</v>
      </c>
      <c r="J1228" s="421" t="str">
        <f t="shared" si="153"/>
        <v>m</v>
      </c>
    </row>
    <row r="1229" spans="1:10" x14ac:dyDescent="0.25">
      <c r="A1229" s="409" t="s">
        <v>11007</v>
      </c>
      <c r="B1229" s="710" t="s">
        <v>10999</v>
      </c>
      <c r="C1229" s="710"/>
      <c r="D1229" s="710"/>
      <c r="E1229" s="222">
        <v>0.9</v>
      </c>
      <c r="F1229" s="370">
        <f t="shared" si="151"/>
        <v>0.36</v>
      </c>
      <c r="G1229" s="367">
        <v>1</v>
      </c>
      <c r="H1229" s="367" t="s">
        <v>16</v>
      </c>
      <c r="I1229" s="376">
        <f t="shared" si="152"/>
        <v>1.26</v>
      </c>
      <c r="J1229" s="421" t="str">
        <f t="shared" si="153"/>
        <v>m</v>
      </c>
    </row>
    <row r="1230" spans="1:10" x14ac:dyDescent="0.25">
      <c r="A1230" s="409" t="s">
        <v>11012</v>
      </c>
      <c r="B1230" s="710" t="s">
        <v>10996</v>
      </c>
      <c r="C1230" s="710"/>
      <c r="D1230" s="710"/>
      <c r="E1230" s="222">
        <v>0.8</v>
      </c>
      <c r="F1230" s="370">
        <f t="shared" si="151"/>
        <v>0.32</v>
      </c>
      <c r="G1230" s="367">
        <v>1</v>
      </c>
      <c r="H1230" s="367" t="s">
        <v>16</v>
      </c>
      <c r="I1230" s="376">
        <f t="shared" si="152"/>
        <v>1.1200000000000001</v>
      </c>
      <c r="J1230" s="421" t="str">
        <f t="shared" si="153"/>
        <v>m</v>
      </c>
    </row>
    <row r="1231" spans="1:10" x14ac:dyDescent="0.25">
      <c r="A1231" s="409" t="s">
        <v>11012</v>
      </c>
      <c r="B1231" s="710" t="s">
        <v>10997</v>
      </c>
      <c r="C1231" s="710"/>
      <c r="D1231" s="710"/>
      <c r="E1231" s="222">
        <v>0.8</v>
      </c>
      <c r="F1231" s="370">
        <f t="shared" si="151"/>
        <v>0.32</v>
      </c>
      <c r="G1231" s="367">
        <v>1</v>
      </c>
      <c r="H1231" s="367" t="s">
        <v>16</v>
      </c>
      <c r="I1231" s="376">
        <f t="shared" si="152"/>
        <v>1.1200000000000001</v>
      </c>
      <c r="J1231" s="421" t="str">
        <f t="shared" si="153"/>
        <v>m</v>
      </c>
    </row>
    <row r="1232" spans="1:10" x14ac:dyDescent="0.25">
      <c r="A1232" s="409" t="s">
        <v>11012</v>
      </c>
      <c r="B1232" s="710" t="s">
        <v>10998</v>
      </c>
      <c r="C1232" s="710"/>
      <c r="D1232" s="710"/>
      <c r="E1232" s="222">
        <v>0.8</v>
      </c>
      <c r="F1232" s="370">
        <f t="shared" si="151"/>
        <v>0.32</v>
      </c>
      <c r="G1232" s="367">
        <v>1</v>
      </c>
      <c r="H1232" s="367" t="s">
        <v>16</v>
      </c>
      <c r="I1232" s="376">
        <f t="shared" si="152"/>
        <v>1.1200000000000001</v>
      </c>
      <c r="J1232" s="421" t="str">
        <f t="shared" si="153"/>
        <v>m</v>
      </c>
    </row>
    <row r="1233" spans="1:10" x14ac:dyDescent="0.25">
      <c r="A1233" s="409" t="s">
        <v>10939</v>
      </c>
      <c r="B1233" s="710" t="s">
        <v>11055</v>
      </c>
      <c r="C1233" s="710"/>
      <c r="D1233" s="710"/>
      <c r="E1233" s="222">
        <v>1.2</v>
      </c>
      <c r="F1233" s="370">
        <f t="shared" si="151"/>
        <v>0.48</v>
      </c>
      <c r="G1233" s="367">
        <v>1</v>
      </c>
      <c r="H1233" s="367" t="s">
        <v>16</v>
      </c>
      <c r="I1233" s="376">
        <f t="shared" si="152"/>
        <v>1.68</v>
      </c>
      <c r="J1233" s="421" t="str">
        <f t="shared" si="153"/>
        <v>m</v>
      </c>
    </row>
    <row r="1234" spans="1:10" ht="15.75" thickBot="1" x14ac:dyDescent="0.3">
      <c r="A1234" s="409"/>
      <c r="B1234" s="454"/>
      <c r="C1234" s="454"/>
      <c r="D1234" s="454"/>
      <c r="E1234" s="367"/>
      <c r="F1234" s="370"/>
      <c r="G1234" s="367"/>
      <c r="H1234" s="367"/>
      <c r="I1234" s="376"/>
      <c r="J1234" s="421"/>
    </row>
    <row r="1235" spans="1:10" s="40" customFormat="1" ht="15.75" thickBot="1" x14ac:dyDescent="0.3">
      <c r="A1235" s="46" t="s">
        <v>12087</v>
      </c>
      <c r="B1235" s="60" t="str">
        <f>VLOOKUP(A1235,PO!$A$8:$K$433,4,FALSE)</f>
        <v xml:space="preserve">Verga pré-moldada para portas com mais 1,5m de vão. </v>
      </c>
      <c r="C1235" s="47"/>
      <c r="D1235" s="48"/>
      <c r="E1235" s="47"/>
      <c r="F1235" s="49"/>
      <c r="G1235" s="50"/>
      <c r="H1235" s="50"/>
      <c r="I1235" s="50">
        <f>SUM(I1238:I1240)</f>
        <v>16.239999999999998</v>
      </c>
      <c r="J1235" s="284" t="str">
        <f>VLOOKUP(A1235,PO!$A$8:$K$433,5,FALSE)</f>
        <v>m</v>
      </c>
    </row>
    <row r="1236" spans="1:10" x14ac:dyDescent="0.25">
      <c r="A1236" s="409"/>
      <c r="B1236" s="454"/>
      <c r="C1236" s="454"/>
      <c r="D1236" s="454"/>
      <c r="E1236" s="367"/>
      <c r="F1236" s="370"/>
      <c r="G1236" s="367"/>
      <c r="H1236" s="367"/>
      <c r="I1236" s="376"/>
      <c r="J1236" s="421"/>
    </row>
    <row r="1237" spans="1:10" x14ac:dyDescent="0.25">
      <c r="A1237" s="358" t="s">
        <v>10886</v>
      </c>
      <c r="B1237" s="360" t="s">
        <v>21</v>
      </c>
      <c r="C1237" s="352"/>
      <c r="D1237" s="352"/>
      <c r="E1237" s="360" t="s">
        <v>10921</v>
      </c>
      <c r="F1237" s="360" t="s">
        <v>11056</v>
      </c>
      <c r="G1237" s="360" t="s">
        <v>10927</v>
      </c>
      <c r="H1237" s="370"/>
      <c r="I1237" s="431" t="s">
        <v>14</v>
      </c>
      <c r="J1237" s="452" t="s">
        <v>15</v>
      </c>
    </row>
    <row r="1238" spans="1:10" x14ac:dyDescent="0.25">
      <c r="A1238" s="417" t="s">
        <v>11008</v>
      </c>
      <c r="B1238" s="710" t="s">
        <v>10986</v>
      </c>
      <c r="C1238" s="710"/>
      <c r="D1238" s="710"/>
      <c r="E1238" s="376">
        <v>2.9</v>
      </c>
      <c r="F1238" s="370">
        <f>E1238/2.5</f>
        <v>1.1599999999999999</v>
      </c>
      <c r="G1238" s="370">
        <v>2</v>
      </c>
      <c r="H1238" s="370" t="s">
        <v>16</v>
      </c>
      <c r="I1238" s="376">
        <f>(E1238+F1238)*G1238</f>
        <v>8.1199999999999992</v>
      </c>
      <c r="J1238" s="421" t="str">
        <f>$J$1235</f>
        <v>m</v>
      </c>
    </row>
    <row r="1239" spans="1:10" ht="26.25" customHeight="1" x14ac:dyDescent="0.25">
      <c r="A1239" s="409" t="s">
        <v>11008</v>
      </c>
      <c r="B1239" s="712" t="s">
        <v>11003</v>
      </c>
      <c r="C1239" s="712"/>
      <c r="D1239" s="712"/>
      <c r="E1239" s="222">
        <v>2.9</v>
      </c>
      <c r="F1239" s="370">
        <f t="shared" ref="F1239:F1240" si="154">E1239/2.5</f>
        <v>1.1599999999999999</v>
      </c>
      <c r="G1239" s="367">
        <v>1</v>
      </c>
      <c r="H1239" s="370" t="s">
        <v>16</v>
      </c>
      <c r="I1239" s="376">
        <f t="shared" ref="I1239:I1240" si="155">(E1239+F1239)*G1239</f>
        <v>4.0599999999999996</v>
      </c>
      <c r="J1239" s="421" t="str">
        <f t="shared" ref="J1239:J1240" si="156">$J$1235</f>
        <v>m</v>
      </c>
    </row>
    <row r="1240" spans="1:10" x14ac:dyDescent="0.25">
      <c r="A1240" s="409" t="s">
        <v>11010</v>
      </c>
      <c r="B1240" s="712" t="s">
        <v>10990</v>
      </c>
      <c r="C1240" s="712"/>
      <c r="D1240" s="712"/>
      <c r="E1240" s="376">
        <v>2.9</v>
      </c>
      <c r="F1240" s="370">
        <f t="shared" si="154"/>
        <v>1.1599999999999999</v>
      </c>
      <c r="G1240" s="370">
        <v>1</v>
      </c>
      <c r="H1240" s="370" t="s">
        <v>16</v>
      </c>
      <c r="I1240" s="376">
        <f t="shared" si="155"/>
        <v>4.0599999999999996</v>
      </c>
      <c r="J1240" s="421" t="str">
        <f t="shared" si="156"/>
        <v>m</v>
      </c>
    </row>
    <row r="1241" spans="1:10" ht="15.75" thickBot="1" x14ac:dyDescent="0.3">
      <c r="A1241" s="409"/>
      <c r="B1241" s="454"/>
      <c r="C1241" s="454"/>
      <c r="D1241" s="454"/>
      <c r="E1241" s="367"/>
      <c r="F1241" s="370"/>
      <c r="G1241" s="367"/>
      <c r="H1241" s="367"/>
      <c r="I1241" s="376"/>
      <c r="J1241" s="421"/>
    </row>
    <row r="1242" spans="1:10" s="40" customFormat="1" ht="15.75" thickBot="1" x14ac:dyDescent="0.3">
      <c r="A1242" s="36" t="s">
        <v>90</v>
      </c>
      <c r="B1242" s="37" t="str">
        <f>VLOOKUP(A1242,PO!$A$8:$K$425,4,FALSE)</f>
        <v>PINTURA</v>
      </c>
      <c r="C1242" s="38"/>
      <c r="D1242" s="37"/>
      <c r="E1242" s="38"/>
      <c r="F1242" s="38"/>
      <c r="G1242" s="38"/>
      <c r="H1242" s="38"/>
      <c r="I1242" s="38"/>
      <c r="J1242" s="39"/>
    </row>
    <row r="1243" spans="1:10" ht="15.75" thickBot="1" x14ac:dyDescent="0.3">
      <c r="A1243" s="350"/>
      <c r="B1243" s="352"/>
      <c r="C1243" s="352"/>
      <c r="D1243" s="352"/>
      <c r="E1243" s="352"/>
      <c r="F1243" s="352"/>
      <c r="G1243" s="352"/>
      <c r="H1243" s="352"/>
      <c r="I1243" s="352"/>
      <c r="J1243" s="369"/>
    </row>
    <row r="1244" spans="1:10" s="40" customFormat="1" ht="15.75" thickBot="1" x14ac:dyDescent="0.3">
      <c r="A1244" s="41" t="s">
        <v>149</v>
      </c>
      <c r="B1244" s="42" t="str">
        <f>VLOOKUP(A1244,PO!$A$8:$K$425,4,FALSE)</f>
        <v>PAREDES</v>
      </c>
      <c r="C1244" s="43"/>
      <c r="D1244" s="43"/>
      <c r="E1244" s="43"/>
      <c r="F1244" s="43"/>
      <c r="G1244" s="43"/>
      <c r="H1244" s="43"/>
      <c r="I1244" s="43"/>
      <c r="J1244" s="44"/>
    </row>
    <row r="1245" spans="1:10" s="40" customFormat="1" ht="15.75" thickBot="1" x14ac:dyDescent="0.3">
      <c r="A1245" s="347"/>
      <c r="B1245" s="205"/>
      <c r="C1245" s="205"/>
      <c r="D1245" s="348"/>
      <c r="E1245" s="205"/>
      <c r="F1245" s="237"/>
      <c r="G1245" s="208"/>
      <c r="H1245" s="208"/>
      <c r="I1245" s="208"/>
      <c r="J1245" s="349"/>
    </row>
    <row r="1246" spans="1:10" s="40" customFormat="1" ht="15.75" thickBot="1" x14ac:dyDescent="0.3">
      <c r="A1246" s="46" t="s">
        <v>150</v>
      </c>
      <c r="B1246" s="60" t="str">
        <f>VLOOKUP(A1246,PO!$A$8:$K$433,4,FALSE)</f>
        <v>Aplicação manual de fundo selador acrilico em paredes, uma demão.</v>
      </c>
      <c r="C1246" s="47"/>
      <c r="D1246" s="48"/>
      <c r="E1246" s="47"/>
      <c r="F1246" s="49"/>
      <c r="G1246" s="50"/>
      <c r="H1246" s="50"/>
      <c r="I1246" s="50">
        <f>H1249</f>
        <v>1413.2536000000005</v>
      </c>
      <c r="J1246" s="284" t="str">
        <f>VLOOKUP(A1246,PO!$A$8:$K$433,5,FALSE)</f>
        <v>m²</v>
      </c>
    </row>
    <row r="1247" spans="1:10" s="40" customFormat="1" x14ac:dyDescent="0.25">
      <c r="A1247" s="347"/>
      <c r="B1247" s="204"/>
      <c r="C1247" s="205"/>
      <c r="D1247" s="206"/>
      <c r="E1247" s="205"/>
      <c r="F1247" s="237"/>
      <c r="G1247" s="208"/>
      <c r="H1247" s="208"/>
      <c r="I1247" s="208"/>
      <c r="J1247" s="473"/>
    </row>
    <row r="1248" spans="1:10" s="40" customFormat="1" x14ac:dyDescent="0.25">
      <c r="A1248" s="347"/>
      <c r="B1248" s="244" t="s">
        <v>21</v>
      </c>
      <c r="C1248" s="205"/>
      <c r="D1248" s="206"/>
      <c r="E1248" s="205"/>
      <c r="F1248" s="243" t="s">
        <v>10936</v>
      </c>
      <c r="G1248" s="370"/>
      <c r="H1248" s="431" t="s">
        <v>14</v>
      </c>
      <c r="I1248" s="431" t="s">
        <v>15</v>
      </c>
      <c r="J1248" s="473"/>
    </row>
    <row r="1249" spans="1:10" s="40" customFormat="1" x14ac:dyDescent="0.25">
      <c r="A1249" s="347"/>
      <c r="B1249" s="204" t="s">
        <v>11152</v>
      </c>
      <c r="C1249" s="205"/>
      <c r="D1249" s="206"/>
      <c r="E1249" s="205"/>
      <c r="F1249" s="376">
        <f>$I$1104</f>
        <v>1413.2536000000005</v>
      </c>
      <c r="G1249" s="237" t="s">
        <v>16</v>
      </c>
      <c r="H1249" s="237">
        <f>F1249</f>
        <v>1413.2536000000005</v>
      </c>
      <c r="I1249" s="237" t="str">
        <f>$J$1246</f>
        <v>m²</v>
      </c>
      <c r="J1249" s="473"/>
    </row>
    <row r="1250" spans="1:10" s="40" customFormat="1" ht="15.75" thickBot="1" x14ac:dyDescent="0.3">
      <c r="A1250" s="347"/>
      <c r="B1250" s="204"/>
      <c r="C1250" s="205"/>
      <c r="D1250" s="206"/>
      <c r="E1250" s="205"/>
      <c r="F1250" s="237"/>
      <c r="G1250" s="208"/>
      <c r="H1250" s="208"/>
      <c r="I1250" s="208"/>
      <c r="J1250" s="473"/>
    </row>
    <row r="1251" spans="1:10" s="40" customFormat="1" ht="15.75" thickBot="1" x14ac:dyDescent="0.3">
      <c r="A1251" s="46" t="s">
        <v>151</v>
      </c>
      <c r="B1251" s="60" t="str">
        <f>VLOOKUP(A1251,PO!$A$8:$K$433,4,FALSE)</f>
        <v>Aplicação manual de massa acrílica, duas demãos.</v>
      </c>
      <c r="C1251" s="47"/>
      <c r="D1251" s="48"/>
      <c r="E1251" s="47"/>
      <c r="F1251" s="49"/>
      <c r="G1251" s="50"/>
      <c r="H1251" s="50"/>
      <c r="I1251" s="50">
        <f>H1254</f>
        <v>1413.2536000000005</v>
      </c>
      <c r="J1251" s="284" t="str">
        <f>VLOOKUP(A1251,PO!$A$8:$K$433,5,FALSE)</f>
        <v>m²</v>
      </c>
    </row>
    <row r="1252" spans="1:10" s="40" customFormat="1" x14ac:dyDescent="0.25">
      <c r="A1252" s="347"/>
      <c r="B1252" s="204"/>
      <c r="C1252" s="205"/>
      <c r="D1252" s="206"/>
      <c r="E1252" s="205"/>
      <c r="F1252" s="237"/>
      <c r="G1252" s="208"/>
      <c r="H1252" s="208"/>
      <c r="I1252" s="208"/>
      <c r="J1252" s="473"/>
    </row>
    <row r="1253" spans="1:10" s="40" customFormat="1" x14ac:dyDescent="0.25">
      <c r="A1253" s="347"/>
      <c r="B1253" s="244" t="s">
        <v>21</v>
      </c>
      <c r="C1253" s="205"/>
      <c r="D1253" s="206"/>
      <c r="E1253" s="205"/>
      <c r="F1253" s="243" t="s">
        <v>10936</v>
      </c>
      <c r="G1253" s="370"/>
      <c r="H1253" s="431" t="s">
        <v>14</v>
      </c>
      <c r="I1253" s="431" t="s">
        <v>15</v>
      </c>
      <c r="J1253" s="473"/>
    </row>
    <row r="1254" spans="1:10" s="40" customFormat="1" x14ac:dyDescent="0.25">
      <c r="A1254" s="347"/>
      <c r="B1254" s="204" t="s">
        <v>11152</v>
      </c>
      <c r="C1254" s="205"/>
      <c r="D1254" s="206"/>
      <c r="E1254" s="205"/>
      <c r="F1254" s="376">
        <f>$I$1104</f>
        <v>1413.2536000000005</v>
      </c>
      <c r="G1254" s="237" t="s">
        <v>16</v>
      </c>
      <c r="H1254" s="237">
        <f>F1254</f>
        <v>1413.2536000000005</v>
      </c>
      <c r="I1254" s="237" t="str">
        <f>$J$1251</f>
        <v>m²</v>
      </c>
      <c r="J1254" s="473"/>
    </row>
    <row r="1255" spans="1:10" s="40" customFormat="1" ht="15.75" thickBot="1" x14ac:dyDescent="0.3">
      <c r="A1255" s="347"/>
      <c r="B1255" s="204"/>
      <c r="C1255" s="205"/>
      <c r="D1255" s="206"/>
      <c r="E1255" s="205"/>
      <c r="F1255" s="237"/>
      <c r="G1255" s="208"/>
      <c r="H1255" s="208"/>
      <c r="I1255" s="208"/>
      <c r="J1255" s="473"/>
    </row>
    <row r="1256" spans="1:10" s="40" customFormat="1" ht="15.75" thickBot="1" x14ac:dyDescent="0.3">
      <c r="A1256" s="46" t="s">
        <v>12088</v>
      </c>
      <c r="B1256" s="60" t="str">
        <f>VLOOKUP(A1256,PO!$A$8:$K$433,4,FALSE)</f>
        <v>Aplicação manual de tinta látex acrílica em paredes, duas demãos.</v>
      </c>
      <c r="C1256" s="47"/>
      <c r="D1256" s="48"/>
      <c r="E1256" s="47"/>
      <c r="F1256" s="49"/>
      <c r="G1256" s="50"/>
      <c r="H1256" s="50"/>
      <c r="I1256" s="50">
        <f>H1259</f>
        <v>1413.2536000000005</v>
      </c>
      <c r="J1256" s="284" t="str">
        <f>VLOOKUP(A1256,PO!$A$8:$K$433,5,FALSE)</f>
        <v>m²</v>
      </c>
    </row>
    <row r="1257" spans="1:10" s="40" customFormat="1" x14ac:dyDescent="0.25">
      <c r="A1257" s="347"/>
      <c r="B1257" s="204"/>
      <c r="C1257" s="205"/>
      <c r="D1257" s="206"/>
      <c r="E1257" s="205"/>
      <c r="F1257" s="237"/>
      <c r="G1257" s="208"/>
      <c r="H1257" s="208"/>
      <c r="I1257" s="208"/>
      <c r="J1257" s="473"/>
    </row>
    <row r="1258" spans="1:10" s="40" customFormat="1" x14ac:dyDescent="0.25">
      <c r="A1258" s="347"/>
      <c r="B1258" s="244" t="s">
        <v>21</v>
      </c>
      <c r="C1258" s="205"/>
      <c r="D1258" s="206"/>
      <c r="E1258" s="205"/>
      <c r="F1258" s="243" t="s">
        <v>10936</v>
      </c>
      <c r="G1258" s="370"/>
      <c r="H1258" s="431" t="s">
        <v>14</v>
      </c>
      <c r="I1258" s="431" t="s">
        <v>15</v>
      </c>
      <c r="J1258" s="473"/>
    </row>
    <row r="1259" spans="1:10" s="40" customFormat="1" x14ac:dyDescent="0.25">
      <c r="A1259" s="347"/>
      <c r="B1259" s="204" t="s">
        <v>11152</v>
      </c>
      <c r="C1259" s="205"/>
      <c r="D1259" s="206"/>
      <c r="E1259" s="205"/>
      <c r="F1259" s="376">
        <f>$I$1104</f>
        <v>1413.2536000000005</v>
      </c>
      <c r="G1259" s="237" t="s">
        <v>16</v>
      </c>
      <c r="H1259" s="237">
        <f>F1259</f>
        <v>1413.2536000000005</v>
      </c>
      <c r="I1259" s="237" t="str">
        <f>$J$1251</f>
        <v>m²</v>
      </c>
      <c r="J1259" s="473"/>
    </row>
    <row r="1260" spans="1:10" s="40" customFormat="1" ht="15.75" thickBot="1" x14ac:dyDescent="0.3">
      <c r="A1260" s="347"/>
      <c r="B1260" s="204"/>
      <c r="C1260" s="205"/>
      <c r="D1260" s="206"/>
      <c r="E1260" s="205"/>
      <c r="F1260" s="376"/>
      <c r="G1260" s="237"/>
      <c r="H1260" s="237"/>
      <c r="I1260" s="237"/>
      <c r="J1260" s="473"/>
    </row>
    <row r="1261" spans="1:10" s="40" customFormat="1" ht="15.75" thickBot="1" x14ac:dyDescent="0.3">
      <c r="A1261" s="41" t="s">
        <v>152</v>
      </c>
      <c r="B1261" s="42" t="str">
        <f>VLOOKUP(A1261,PO!$A$8:$K$425,4,FALSE)</f>
        <v>PORTAS</v>
      </c>
      <c r="C1261" s="43"/>
      <c r="D1261" s="43"/>
      <c r="E1261" s="43"/>
      <c r="F1261" s="43"/>
      <c r="G1261" s="43"/>
      <c r="H1261" s="43"/>
      <c r="I1261" s="43"/>
      <c r="J1261" s="44"/>
    </row>
    <row r="1262" spans="1:10" s="40" customFormat="1" ht="15.75" thickBot="1" x14ac:dyDescent="0.3">
      <c r="A1262" s="347"/>
      <c r="B1262" s="205"/>
      <c r="C1262" s="205"/>
      <c r="D1262" s="348"/>
      <c r="E1262" s="205"/>
      <c r="F1262" s="237"/>
      <c r="G1262" s="208"/>
      <c r="H1262" s="208"/>
      <c r="I1262" s="208"/>
      <c r="J1262" s="349"/>
    </row>
    <row r="1263" spans="1:10" s="40" customFormat="1" ht="15.75" thickBot="1" x14ac:dyDescent="0.3">
      <c r="A1263" s="46" t="s">
        <v>153</v>
      </c>
      <c r="B1263" s="60" t="str">
        <f>VLOOKUP(A1263,PO!$A$8:$K$433,4,FALSE)</f>
        <v>Pintura esmalte alto brilho, duas demãos, sobre superfície metálica</v>
      </c>
      <c r="C1263" s="47"/>
      <c r="D1263" s="48"/>
      <c r="E1263" s="47"/>
      <c r="F1263" s="49"/>
      <c r="G1263" s="50"/>
      <c r="H1263" s="50"/>
      <c r="I1263" s="50">
        <f>SUM(I1266:I1268)</f>
        <v>47.269999999999996</v>
      </c>
      <c r="J1263" s="284" t="str">
        <f>VLOOKUP(A1263,PO!$A$8:$K$433,5,FALSE)</f>
        <v>m²</v>
      </c>
    </row>
    <row r="1264" spans="1:10" x14ac:dyDescent="0.25">
      <c r="A1264" s="350"/>
      <c r="B1264" s="352"/>
      <c r="C1264" s="352"/>
      <c r="D1264" s="360"/>
      <c r="E1264" s="360"/>
      <c r="F1264" s="352"/>
      <c r="G1264" s="352"/>
      <c r="H1264" s="352"/>
      <c r="I1264" s="352"/>
      <c r="J1264" s="369"/>
    </row>
    <row r="1265" spans="1:10" x14ac:dyDescent="0.25">
      <c r="A1265" s="358" t="s">
        <v>10886</v>
      </c>
      <c r="B1265" s="360" t="s">
        <v>21</v>
      </c>
      <c r="C1265" s="352"/>
      <c r="D1265" s="352"/>
      <c r="E1265" s="360" t="s">
        <v>10921</v>
      </c>
      <c r="F1265" s="360" t="s">
        <v>10930</v>
      </c>
      <c r="G1265" s="360" t="s">
        <v>10927</v>
      </c>
      <c r="H1265" s="370"/>
      <c r="I1265" s="431" t="s">
        <v>14</v>
      </c>
      <c r="J1265" s="452" t="s">
        <v>15</v>
      </c>
    </row>
    <row r="1266" spans="1:10" x14ac:dyDescent="0.25">
      <c r="A1266" s="417" t="s">
        <v>11008</v>
      </c>
      <c r="B1266" s="710" t="s">
        <v>10986</v>
      </c>
      <c r="C1266" s="710"/>
      <c r="D1266" s="710"/>
      <c r="E1266" s="370">
        <v>2.9</v>
      </c>
      <c r="F1266" s="376">
        <v>4.5</v>
      </c>
      <c r="G1266" s="370">
        <v>2</v>
      </c>
      <c r="H1266" s="370" t="s">
        <v>16</v>
      </c>
      <c r="I1266" s="376">
        <f>E1266*F1266*G1266</f>
        <v>26.099999999999998</v>
      </c>
      <c r="J1266" s="421" t="str">
        <f>$J$1263</f>
        <v>m²</v>
      </c>
    </row>
    <row r="1267" spans="1:10" ht="26.25" customHeight="1" x14ac:dyDescent="0.25">
      <c r="A1267" s="409" t="s">
        <v>11008</v>
      </c>
      <c r="B1267" s="712" t="s">
        <v>11003</v>
      </c>
      <c r="C1267" s="712"/>
      <c r="D1267" s="712"/>
      <c r="E1267" s="367">
        <v>2.9</v>
      </c>
      <c r="F1267" s="222">
        <v>4.5</v>
      </c>
      <c r="G1267" s="367">
        <v>1</v>
      </c>
      <c r="H1267" s="370" t="s">
        <v>16</v>
      </c>
      <c r="I1267" s="376">
        <f t="shared" ref="I1267:I1268" si="157">E1267*F1267*G1267</f>
        <v>13.049999999999999</v>
      </c>
      <c r="J1267" s="421" t="str">
        <f t="shared" ref="J1267:J1268" si="158">$J$1263</f>
        <v>m²</v>
      </c>
    </row>
    <row r="1268" spans="1:10" x14ac:dyDescent="0.25">
      <c r="A1268" s="409" t="s">
        <v>11010</v>
      </c>
      <c r="B1268" s="712" t="s">
        <v>10990</v>
      </c>
      <c r="C1268" s="712"/>
      <c r="D1268" s="712"/>
      <c r="E1268" s="376">
        <v>2.9</v>
      </c>
      <c r="F1268" s="376">
        <v>2.8</v>
      </c>
      <c r="G1268" s="370">
        <v>1</v>
      </c>
      <c r="H1268" s="370" t="s">
        <v>16</v>
      </c>
      <c r="I1268" s="376">
        <f t="shared" si="157"/>
        <v>8.1199999999999992</v>
      </c>
      <c r="J1268" s="421" t="str">
        <f t="shared" si="158"/>
        <v>m²</v>
      </c>
    </row>
    <row r="1269" spans="1:10" ht="15.75" thickBot="1" x14ac:dyDescent="0.3">
      <c r="A1269" s="350"/>
      <c r="B1269" s="352"/>
      <c r="C1269" s="352"/>
      <c r="D1269" s="352"/>
      <c r="E1269" s="352"/>
      <c r="F1269" s="352"/>
      <c r="G1269" s="352"/>
      <c r="H1269" s="352"/>
      <c r="I1269" s="352"/>
      <c r="J1269" s="369"/>
    </row>
    <row r="1270" spans="1:10" s="40" customFormat="1" ht="15.75" thickBot="1" x14ac:dyDescent="0.3">
      <c r="A1270" s="41" t="s">
        <v>154</v>
      </c>
      <c r="B1270" s="42" t="str">
        <f>VLOOKUP(A1270,PO!$A$8:$K$425,4,FALSE)</f>
        <v>TETO</v>
      </c>
      <c r="C1270" s="43"/>
      <c r="D1270" s="43"/>
      <c r="E1270" s="43"/>
      <c r="F1270" s="43"/>
      <c r="G1270" s="43"/>
      <c r="H1270" s="43"/>
      <c r="I1270" s="43"/>
      <c r="J1270" s="44"/>
    </row>
    <row r="1271" spans="1:10" s="40" customFormat="1" ht="15.75" thickBot="1" x14ac:dyDescent="0.3">
      <c r="A1271" s="347"/>
      <c r="B1271" s="205"/>
      <c r="C1271" s="205"/>
      <c r="D1271" s="348"/>
      <c r="E1271" s="205"/>
      <c r="F1271" s="237"/>
      <c r="G1271" s="208"/>
      <c r="H1271" s="208"/>
      <c r="I1271" s="208"/>
      <c r="J1271" s="349"/>
    </row>
    <row r="1272" spans="1:10" s="40" customFormat="1" ht="15.75" thickBot="1" x14ac:dyDescent="0.3">
      <c r="A1272" s="46" t="s">
        <v>155</v>
      </c>
      <c r="B1272" s="60" t="str">
        <f>VLOOKUP(A1272,PO!$A$8:$K$433,4,FALSE)</f>
        <v>Aplicação manual de massa acrílica, duas demãos.</v>
      </c>
      <c r="C1272" s="47"/>
      <c r="D1272" s="48"/>
      <c r="E1272" s="47"/>
      <c r="F1272" s="49"/>
      <c r="G1272" s="50"/>
      <c r="H1272" s="50"/>
      <c r="I1272" s="50">
        <f>H1275</f>
        <v>466.55150000000003</v>
      </c>
      <c r="J1272" s="284" t="str">
        <f>VLOOKUP(A1272,PO!$A$8:$K$433,5,FALSE)</f>
        <v>m²</v>
      </c>
    </row>
    <row r="1273" spans="1:10" x14ac:dyDescent="0.25">
      <c r="A1273" s="350"/>
      <c r="B1273" s="352"/>
      <c r="C1273" s="352"/>
      <c r="D1273" s="360"/>
      <c r="E1273" s="360"/>
      <c r="F1273" s="352"/>
      <c r="G1273" s="352"/>
      <c r="H1273" s="352"/>
      <c r="I1273" s="352"/>
      <c r="J1273" s="369"/>
    </row>
    <row r="1274" spans="1:10" s="40" customFormat="1" x14ac:dyDescent="0.25">
      <c r="A1274" s="347"/>
      <c r="B1274" s="244" t="s">
        <v>21</v>
      </c>
      <c r="C1274" s="205"/>
      <c r="D1274" s="206"/>
      <c r="E1274" s="205"/>
      <c r="F1274" s="243" t="s">
        <v>10936</v>
      </c>
      <c r="G1274" s="370"/>
      <c r="H1274" s="431" t="s">
        <v>14</v>
      </c>
      <c r="I1274" s="431" t="s">
        <v>15</v>
      </c>
      <c r="J1274" s="473"/>
    </row>
    <row r="1275" spans="1:10" s="40" customFormat="1" x14ac:dyDescent="0.25">
      <c r="A1275" s="347"/>
      <c r="B1275" s="204" t="s">
        <v>11164</v>
      </c>
      <c r="C1275" s="205"/>
      <c r="D1275" s="206"/>
      <c r="E1275" s="205"/>
      <c r="F1275" s="376">
        <f>$I$838</f>
        <v>466.55150000000003</v>
      </c>
      <c r="G1275" s="237" t="s">
        <v>16</v>
      </c>
      <c r="H1275" s="237">
        <f>F1275</f>
        <v>466.55150000000003</v>
      </c>
      <c r="I1275" s="237" t="str">
        <f>$J$1246</f>
        <v>m²</v>
      </c>
      <c r="J1275" s="473"/>
    </row>
    <row r="1276" spans="1:10" ht="15.75" thickBot="1" x14ac:dyDescent="0.3">
      <c r="A1276" s="350"/>
      <c r="B1276" s="352"/>
      <c r="C1276" s="352"/>
      <c r="D1276" s="352"/>
      <c r="E1276" s="352"/>
      <c r="F1276" s="352"/>
      <c r="G1276" s="352"/>
      <c r="H1276" s="352"/>
      <c r="I1276" s="352"/>
      <c r="J1276" s="369"/>
    </row>
    <row r="1277" spans="1:10" ht="15.75" thickBot="1" x14ac:dyDescent="0.3">
      <c r="A1277" s="46" t="s">
        <v>156</v>
      </c>
      <c r="B1277" s="60" t="str">
        <f>VLOOKUP(A1277,PO!$A$8:$K$433,4,FALSE)</f>
        <v>Aplicação manual de tinta látex acrílica em teto, duas demãos.</v>
      </c>
      <c r="C1277" s="47"/>
      <c r="D1277" s="48"/>
      <c r="E1277" s="47"/>
      <c r="F1277" s="49"/>
      <c r="G1277" s="50"/>
      <c r="H1277" s="50"/>
      <c r="I1277" s="50">
        <f>H1280</f>
        <v>466.55150000000003</v>
      </c>
      <c r="J1277" s="284" t="str">
        <f>VLOOKUP(A1277,PO!$A$8:$K$433,5,FALSE)</f>
        <v>m²</v>
      </c>
    </row>
    <row r="1278" spans="1:10" x14ac:dyDescent="0.25">
      <c r="A1278" s="350"/>
      <c r="B1278" s="352"/>
      <c r="C1278" s="352"/>
      <c r="D1278" s="360"/>
      <c r="E1278" s="360"/>
      <c r="F1278" s="352"/>
      <c r="G1278" s="352"/>
      <c r="H1278" s="352"/>
      <c r="I1278" s="352"/>
      <c r="J1278" s="369"/>
    </row>
    <row r="1279" spans="1:10" s="40" customFormat="1" x14ac:dyDescent="0.25">
      <c r="A1279" s="347"/>
      <c r="B1279" s="244" t="s">
        <v>21</v>
      </c>
      <c r="C1279" s="205"/>
      <c r="D1279" s="206"/>
      <c r="E1279" s="205"/>
      <c r="F1279" s="243" t="s">
        <v>10936</v>
      </c>
      <c r="G1279" s="370"/>
      <c r="H1279" s="431" t="s">
        <v>14</v>
      </c>
      <c r="I1279" s="431" t="s">
        <v>15</v>
      </c>
      <c r="J1279" s="473"/>
    </row>
    <row r="1280" spans="1:10" s="40" customFormat="1" x14ac:dyDescent="0.25">
      <c r="A1280" s="347"/>
      <c r="B1280" s="204" t="s">
        <v>11164</v>
      </c>
      <c r="C1280" s="205"/>
      <c r="D1280" s="206"/>
      <c r="E1280" s="205"/>
      <c r="F1280" s="376">
        <f>$I$838</f>
        <v>466.55150000000003</v>
      </c>
      <c r="G1280" s="237" t="s">
        <v>16</v>
      </c>
      <c r="H1280" s="237">
        <f>F1280</f>
        <v>466.55150000000003</v>
      </c>
      <c r="I1280" s="237" t="str">
        <f>$J$1246</f>
        <v>m²</v>
      </c>
      <c r="J1280" s="473"/>
    </row>
    <row r="1281" spans="1:10" ht="15.75" thickBot="1" x14ac:dyDescent="0.3">
      <c r="A1281" s="350"/>
      <c r="B1281" s="352"/>
      <c r="C1281" s="352"/>
      <c r="D1281" s="352"/>
      <c r="E1281" s="352"/>
      <c r="F1281" s="352"/>
      <c r="G1281" s="352"/>
      <c r="H1281" s="352"/>
      <c r="I1281" s="352"/>
      <c r="J1281" s="369"/>
    </row>
    <row r="1282" spans="1:10" ht="15.75" thickBot="1" x14ac:dyDescent="0.3">
      <c r="A1282" s="36" t="s">
        <v>91</v>
      </c>
      <c r="B1282" s="37" t="str">
        <f>VLOOKUP(A1282,PO!$A$8:$K$425,4,FALSE)</f>
        <v>INSTALAÇÕES HIDROSSANITÁRIAS</v>
      </c>
      <c r="C1282" s="38"/>
      <c r="D1282" s="37"/>
      <c r="E1282" s="38"/>
      <c r="F1282" s="294"/>
      <c r="G1282" s="38"/>
      <c r="H1282" s="38"/>
      <c r="I1282" s="38"/>
      <c r="J1282" s="39"/>
    </row>
    <row r="1283" spans="1:10" ht="15.75" thickBot="1" x14ac:dyDescent="0.3">
      <c r="A1283" s="350"/>
      <c r="B1283" s="352"/>
      <c r="C1283" s="352"/>
      <c r="D1283" s="352"/>
      <c r="E1283" s="352"/>
      <c r="F1283" s="370"/>
      <c r="G1283" s="352"/>
      <c r="H1283" s="352"/>
      <c r="I1283" s="352"/>
      <c r="J1283" s="369"/>
    </row>
    <row r="1284" spans="1:10" ht="15.75" thickBot="1" x14ac:dyDescent="0.3">
      <c r="A1284" s="41" t="s">
        <v>157</v>
      </c>
      <c r="B1284" s="42" t="str">
        <f>VLOOKUP(A1284,PO!$A$8:$K$425,4,FALSE)</f>
        <v xml:space="preserve">TUBOS </v>
      </c>
      <c r="C1284" s="43"/>
      <c r="D1284" s="43"/>
      <c r="E1284" s="43"/>
      <c r="F1284" s="295"/>
      <c r="G1284" s="43"/>
      <c r="H1284" s="43"/>
      <c r="I1284" s="43"/>
      <c r="J1284" s="44"/>
    </row>
    <row r="1285" spans="1:10" ht="15.75" thickBot="1" x14ac:dyDescent="0.3">
      <c r="A1285" s="347"/>
      <c r="B1285" s="205"/>
      <c r="C1285" s="205"/>
      <c r="D1285" s="348"/>
      <c r="E1285" s="205"/>
      <c r="F1285" s="237"/>
      <c r="G1285" s="208"/>
      <c r="H1285" s="208"/>
      <c r="I1285" s="208"/>
      <c r="J1285" s="349"/>
    </row>
    <row r="1286" spans="1:10" s="40" customFormat="1" ht="15.75" thickBot="1" x14ac:dyDescent="0.3">
      <c r="A1286" s="46" t="s">
        <v>158</v>
      </c>
      <c r="B1286" s="60" t="str">
        <f>VLOOKUP(A1286,PO!$A$8:$K$433,4,FALSE)</f>
        <v xml:space="preserve">Tubo, PVC, soldável, DN 25mm, instalado em ramal de distribuição de água - fornecimento e instalação. </v>
      </c>
      <c r="C1286" s="47"/>
      <c r="D1286" s="48"/>
      <c r="E1286" s="47"/>
      <c r="F1286" s="49"/>
      <c r="G1286" s="50"/>
      <c r="H1286" s="50"/>
      <c r="I1286" s="50">
        <f>H1289</f>
        <v>62.94</v>
      </c>
      <c r="J1286" s="284" t="str">
        <f>VLOOKUP(A1286,PO!$A$8:$K$433,5,FALSE)</f>
        <v>m</v>
      </c>
    </row>
    <row r="1287" spans="1:10" x14ac:dyDescent="0.25">
      <c r="A1287" s="350"/>
      <c r="B1287" s="370"/>
      <c r="C1287" s="352"/>
      <c r="D1287" s="376"/>
      <c r="E1287" s="376"/>
      <c r="F1287" s="376"/>
      <c r="G1287" s="370"/>
      <c r="H1287" s="376"/>
      <c r="I1287" s="377"/>
      <c r="J1287" s="369"/>
    </row>
    <row r="1288" spans="1:10" x14ac:dyDescent="0.25">
      <c r="A1288" s="350"/>
      <c r="B1288" s="360" t="s">
        <v>10886</v>
      </c>
      <c r="C1288" s="352"/>
      <c r="D1288" s="406" t="s">
        <v>10933</v>
      </c>
      <c r="E1288" s="376"/>
      <c r="F1288" s="376"/>
      <c r="G1288" s="370"/>
      <c r="H1288" s="363" t="s">
        <v>14</v>
      </c>
      <c r="I1288" s="363" t="s">
        <v>15</v>
      </c>
      <c r="J1288" s="369"/>
    </row>
    <row r="1289" spans="1:10" x14ac:dyDescent="0.25">
      <c r="A1289" s="350"/>
      <c r="B1289" s="370" t="s">
        <v>11804</v>
      </c>
      <c r="C1289" s="352"/>
      <c r="D1289" s="376">
        <v>62.94</v>
      </c>
      <c r="E1289" s="376"/>
      <c r="F1289" s="376"/>
      <c r="G1289" s="370" t="s">
        <v>16</v>
      </c>
      <c r="H1289" s="376">
        <f>ROUND(D1289,2)</f>
        <v>62.94</v>
      </c>
      <c r="I1289" s="377" t="str">
        <f>$J$1286</f>
        <v>m</v>
      </c>
      <c r="J1289" s="369"/>
    </row>
    <row r="1290" spans="1:10" x14ac:dyDescent="0.25">
      <c r="A1290" s="350"/>
      <c r="B1290" s="370"/>
      <c r="C1290" s="352"/>
      <c r="D1290" s="376"/>
      <c r="E1290" s="376"/>
      <c r="F1290" s="376"/>
      <c r="G1290" s="370"/>
      <c r="H1290" s="376"/>
      <c r="I1290" s="377"/>
      <c r="J1290" s="369"/>
    </row>
    <row r="1291" spans="1:10" x14ac:dyDescent="0.25">
      <c r="A1291" s="350"/>
      <c r="B1291" s="370" t="s">
        <v>11806</v>
      </c>
      <c r="C1291" s="352"/>
      <c r="D1291" s="376"/>
      <c r="E1291" s="376"/>
      <c r="F1291" s="376"/>
      <c r="G1291" s="370"/>
      <c r="H1291" s="376"/>
      <c r="I1291" s="377"/>
      <c r="J1291" s="369"/>
    </row>
    <row r="1292" spans="1:10" ht="15.75" thickBot="1" x14ac:dyDescent="0.3">
      <c r="A1292" s="350"/>
      <c r="B1292" s="370"/>
      <c r="C1292" s="352"/>
      <c r="D1292" s="376"/>
      <c r="E1292" s="376"/>
      <c r="F1292" s="376"/>
      <c r="G1292" s="370"/>
      <c r="H1292" s="376"/>
      <c r="I1292" s="377"/>
      <c r="J1292" s="369"/>
    </row>
    <row r="1293" spans="1:10" s="40" customFormat="1" ht="15.75" thickBot="1" x14ac:dyDescent="0.3">
      <c r="A1293" s="46" t="s">
        <v>159</v>
      </c>
      <c r="B1293" s="60" t="str">
        <f>VLOOKUP(A1293,PO!$A$8:$K$433,4,FALSE)</f>
        <v>Tubo, PVC, Soldavel, DN 32mm, Instalado em Ramal ou Sub Ramal de Agua - Fornecimento e Instalação</v>
      </c>
      <c r="C1293" s="47"/>
      <c r="D1293" s="48"/>
      <c r="E1293" s="47"/>
      <c r="F1293" s="49"/>
      <c r="G1293" s="50"/>
      <c r="H1293" s="50"/>
      <c r="I1293" s="50">
        <f>H1296</f>
        <v>55.09</v>
      </c>
      <c r="J1293" s="284" t="str">
        <f>VLOOKUP(A1293,PO!$A$8:$K$433,5,FALSE)</f>
        <v>m</v>
      </c>
    </row>
    <row r="1294" spans="1:10" x14ac:dyDescent="0.25">
      <c r="A1294" s="350"/>
      <c r="B1294" s="370"/>
      <c r="C1294" s="352"/>
      <c r="D1294" s="376"/>
      <c r="E1294" s="376"/>
      <c r="F1294" s="376"/>
      <c r="G1294" s="370"/>
      <c r="H1294" s="376"/>
      <c r="I1294" s="377"/>
      <c r="J1294" s="369"/>
    </row>
    <row r="1295" spans="1:10" x14ac:dyDescent="0.25">
      <c r="A1295" s="350"/>
      <c r="B1295" s="360" t="s">
        <v>10886</v>
      </c>
      <c r="C1295" s="352"/>
      <c r="D1295" s="406" t="s">
        <v>10933</v>
      </c>
      <c r="E1295" s="376"/>
      <c r="F1295" s="376"/>
      <c r="G1295" s="370"/>
      <c r="H1295" s="363" t="s">
        <v>14</v>
      </c>
      <c r="I1295" s="363" t="s">
        <v>15</v>
      </c>
      <c r="J1295" s="369"/>
    </row>
    <row r="1296" spans="1:10" x14ac:dyDescent="0.25">
      <c r="A1296" s="350"/>
      <c r="B1296" s="370" t="s">
        <v>11804</v>
      </c>
      <c r="C1296" s="352"/>
      <c r="D1296" s="376">
        <v>55.09</v>
      </c>
      <c r="E1296" s="376"/>
      <c r="F1296" s="376"/>
      <c r="G1296" s="370" t="s">
        <v>16</v>
      </c>
      <c r="H1296" s="376">
        <f>ROUND(D1296,2)</f>
        <v>55.09</v>
      </c>
      <c r="I1296" s="377" t="str">
        <f>$J$1286</f>
        <v>m</v>
      </c>
      <c r="J1296" s="369"/>
    </row>
    <row r="1297" spans="1:10" x14ac:dyDescent="0.25">
      <c r="A1297" s="350"/>
      <c r="B1297" s="370"/>
      <c r="C1297" s="352"/>
      <c r="D1297" s="376"/>
      <c r="E1297" s="376"/>
      <c r="F1297" s="376"/>
      <c r="G1297" s="370"/>
      <c r="H1297" s="376"/>
      <c r="I1297" s="377"/>
      <c r="J1297" s="369"/>
    </row>
    <row r="1298" spans="1:10" x14ac:dyDescent="0.25">
      <c r="A1298" s="350"/>
      <c r="B1298" s="370" t="s">
        <v>11806</v>
      </c>
      <c r="C1298" s="352"/>
      <c r="D1298" s="376"/>
      <c r="E1298" s="376"/>
      <c r="F1298" s="376"/>
      <c r="G1298" s="370"/>
      <c r="H1298" s="376"/>
      <c r="I1298" s="377"/>
      <c r="J1298" s="369"/>
    </row>
    <row r="1299" spans="1:10" ht="15.75" thickBot="1" x14ac:dyDescent="0.3">
      <c r="A1299" s="350"/>
      <c r="B1299" s="370"/>
      <c r="C1299" s="352"/>
      <c r="D1299" s="376"/>
      <c r="E1299" s="376"/>
      <c r="F1299" s="376"/>
      <c r="G1299" s="370"/>
      <c r="H1299" s="376"/>
      <c r="I1299" s="377"/>
      <c r="J1299" s="369"/>
    </row>
    <row r="1300" spans="1:10" s="40" customFormat="1" ht="15.75" thickBot="1" x14ac:dyDescent="0.3">
      <c r="A1300" s="46" t="s">
        <v>191</v>
      </c>
      <c r="B1300" s="60" t="str">
        <f>VLOOKUP(A1300,PO!$A$8:$K$433,4,FALSE)</f>
        <v xml:space="preserve">Tubo, PVC, soldável, DN 40mm, instalado em prumada de água - fornecimento e instalação. </v>
      </c>
      <c r="C1300" s="47"/>
      <c r="D1300" s="48"/>
      <c r="E1300" s="47"/>
      <c r="F1300" s="49"/>
      <c r="G1300" s="50"/>
      <c r="H1300" s="50"/>
      <c r="I1300" s="50">
        <f>H1303</f>
        <v>0.9</v>
      </c>
      <c r="J1300" s="284" t="str">
        <f>VLOOKUP(A1300,PO!$A$8:$K$433,5,FALSE)</f>
        <v>m</v>
      </c>
    </row>
    <row r="1301" spans="1:10" x14ac:dyDescent="0.25">
      <c r="A1301" s="350"/>
      <c r="B1301" s="370"/>
      <c r="C1301" s="352"/>
      <c r="D1301" s="376"/>
      <c r="E1301" s="376"/>
      <c r="F1301" s="376"/>
      <c r="G1301" s="370"/>
      <c r="H1301" s="376"/>
      <c r="I1301" s="377"/>
      <c r="J1301" s="369"/>
    </row>
    <row r="1302" spans="1:10" x14ac:dyDescent="0.25">
      <c r="A1302" s="350"/>
      <c r="B1302" s="360" t="s">
        <v>10886</v>
      </c>
      <c r="C1302" s="352"/>
      <c r="D1302" s="406" t="s">
        <v>10933</v>
      </c>
      <c r="E1302" s="376"/>
      <c r="F1302" s="376"/>
      <c r="G1302" s="370"/>
      <c r="H1302" s="363" t="s">
        <v>14</v>
      </c>
      <c r="I1302" s="363" t="s">
        <v>15</v>
      </c>
      <c r="J1302" s="369"/>
    </row>
    <row r="1303" spans="1:10" x14ac:dyDescent="0.25">
      <c r="A1303" s="350"/>
      <c r="B1303" s="370" t="s">
        <v>11804</v>
      </c>
      <c r="C1303" s="352"/>
      <c r="D1303" s="376">
        <v>0.9</v>
      </c>
      <c r="E1303" s="376"/>
      <c r="F1303" s="376"/>
      <c r="G1303" s="370" t="s">
        <v>16</v>
      </c>
      <c r="H1303" s="376">
        <f>ROUND(D1303,2)</f>
        <v>0.9</v>
      </c>
      <c r="I1303" s="377" t="str">
        <f>$J$1286</f>
        <v>m</v>
      </c>
      <c r="J1303" s="369"/>
    </row>
    <row r="1304" spans="1:10" x14ac:dyDescent="0.25">
      <c r="A1304" s="350"/>
      <c r="B1304" s="370"/>
      <c r="C1304" s="352"/>
      <c r="D1304" s="376"/>
      <c r="E1304" s="376"/>
      <c r="F1304" s="376"/>
      <c r="G1304" s="370"/>
      <c r="H1304" s="376"/>
      <c r="I1304" s="377"/>
      <c r="J1304" s="369"/>
    </row>
    <row r="1305" spans="1:10" x14ac:dyDescent="0.25">
      <c r="A1305" s="350"/>
      <c r="B1305" s="370" t="s">
        <v>11806</v>
      </c>
      <c r="C1305" s="352"/>
      <c r="D1305" s="376"/>
      <c r="E1305" s="376"/>
      <c r="F1305" s="376"/>
      <c r="G1305" s="370"/>
      <c r="H1305" s="376"/>
      <c r="I1305" s="377"/>
      <c r="J1305" s="369"/>
    </row>
    <row r="1306" spans="1:10" ht="15.75" thickBot="1" x14ac:dyDescent="0.3">
      <c r="A1306" s="350"/>
      <c r="B1306" s="370"/>
      <c r="C1306" s="352"/>
      <c r="D1306" s="376"/>
      <c r="E1306" s="376"/>
      <c r="F1306" s="376"/>
      <c r="G1306" s="370"/>
      <c r="H1306" s="376"/>
      <c r="I1306" s="377"/>
      <c r="J1306" s="369"/>
    </row>
    <row r="1307" spans="1:10" s="40" customFormat="1" ht="15.75" thickBot="1" x14ac:dyDescent="0.3">
      <c r="A1307" s="46" t="s">
        <v>12089</v>
      </c>
      <c r="B1307" s="60" t="str">
        <f>VLOOKUP(A1307,PO!$A$8:$K$433,4,FALSE)</f>
        <v xml:space="preserve">Tubo, PVC, soldável, DN 50mm, instalado em prumada de água - fornecimento e instalação. </v>
      </c>
      <c r="C1307" s="47"/>
      <c r="D1307" s="48"/>
      <c r="E1307" s="47"/>
      <c r="F1307" s="49"/>
      <c r="G1307" s="50"/>
      <c r="H1307" s="50"/>
      <c r="I1307" s="50">
        <f>SUM(H1310:H1311)</f>
        <v>1.7200000000000002</v>
      </c>
      <c r="J1307" s="284" t="str">
        <f>VLOOKUP(A1307,PO!$A$8:$K$433,5,FALSE)</f>
        <v>m</v>
      </c>
    </row>
    <row r="1308" spans="1:10" x14ac:dyDescent="0.25">
      <c r="A1308" s="350"/>
      <c r="B1308" s="370"/>
      <c r="C1308" s="352"/>
      <c r="D1308" s="376"/>
      <c r="E1308" s="376"/>
      <c r="F1308" s="376"/>
      <c r="G1308" s="370"/>
      <c r="H1308" s="376"/>
      <c r="I1308" s="377"/>
      <c r="J1308" s="369"/>
    </row>
    <row r="1309" spans="1:10" x14ac:dyDescent="0.25">
      <c r="A1309" s="350"/>
      <c r="B1309" s="360" t="s">
        <v>10886</v>
      </c>
      <c r="C1309" s="352"/>
      <c r="D1309" s="406" t="s">
        <v>10933</v>
      </c>
      <c r="E1309" s="376"/>
      <c r="F1309" s="376"/>
      <c r="G1309" s="370"/>
      <c r="H1309" s="363" t="s">
        <v>14</v>
      </c>
      <c r="I1309" s="363" t="s">
        <v>15</v>
      </c>
      <c r="J1309" s="369"/>
    </row>
    <row r="1310" spans="1:10" x14ac:dyDescent="0.25">
      <c r="A1310" s="350"/>
      <c r="B1310" s="370" t="s">
        <v>11804</v>
      </c>
      <c r="C1310" s="352"/>
      <c r="D1310" s="376">
        <v>0.4</v>
      </c>
      <c r="E1310" s="376"/>
      <c r="F1310" s="376"/>
      <c r="G1310" s="370" t="s">
        <v>16</v>
      </c>
      <c r="H1310" s="376">
        <f>ROUND(D1310,2)</f>
        <v>0.4</v>
      </c>
      <c r="I1310" s="377" t="str">
        <f>$J$1286</f>
        <v>m</v>
      </c>
      <c r="J1310" s="369"/>
    </row>
    <row r="1311" spans="1:10" x14ac:dyDescent="0.25">
      <c r="A1311" s="350"/>
      <c r="B1311" s="370" t="s">
        <v>11807</v>
      </c>
      <c r="C1311" s="352"/>
      <c r="D1311" s="376">
        <v>1.32</v>
      </c>
      <c r="E1311" s="376"/>
      <c r="F1311" s="376"/>
      <c r="G1311" s="370" t="s">
        <v>16</v>
      </c>
      <c r="H1311" s="376">
        <f>ROUND(D1311,2)</f>
        <v>1.32</v>
      </c>
      <c r="I1311" s="377" t="str">
        <f>$J$1286</f>
        <v>m</v>
      </c>
      <c r="J1311" s="369"/>
    </row>
    <row r="1312" spans="1:10" x14ac:dyDescent="0.25">
      <c r="A1312" s="350"/>
      <c r="B1312" s="370"/>
      <c r="C1312" s="352"/>
      <c r="D1312" s="376"/>
      <c r="E1312" s="376"/>
      <c r="F1312" s="376"/>
      <c r="G1312" s="370"/>
      <c r="H1312" s="376"/>
      <c r="I1312" s="377"/>
      <c r="J1312" s="369"/>
    </row>
    <row r="1313" spans="1:10" x14ac:dyDescent="0.25">
      <c r="A1313" s="350"/>
      <c r="B1313" s="370" t="s">
        <v>11806</v>
      </c>
      <c r="C1313" s="352"/>
      <c r="D1313" s="376"/>
      <c r="E1313" s="376"/>
      <c r="F1313" s="376"/>
      <c r="G1313" s="370"/>
      <c r="H1313" s="376"/>
      <c r="I1313" s="377"/>
      <c r="J1313" s="369"/>
    </row>
    <row r="1314" spans="1:10" ht="15.75" thickBot="1" x14ac:dyDescent="0.3">
      <c r="A1314" s="350"/>
      <c r="B1314" s="370"/>
      <c r="C1314" s="352"/>
      <c r="D1314" s="376"/>
      <c r="E1314" s="376"/>
      <c r="F1314" s="376"/>
      <c r="G1314" s="370"/>
      <c r="H1314" s="376"/>
      <c r="I1314" s="377"/>
      <c r="J1314" s="369"/>
    </row>
    <row r="1315" spans="1:10" s="40" customFormat="1" ht="15.75" thickBot="1" x14ac:dyDescent="0.3">
      <c r="A1315" s="46" t="s">
        <v>12090</v>
      </c>
      <c r="B1315" s="60" t="str">
        <f>VLOOKUP(A1315,PO!$A$8:$K$433,4,FALSE)</f>
        <v>Tubo PVC, Serie Normal, Esgoto Predial, DN 40 mm, Fornecimento e Instalação em Ramal de Descarga ou Ramal de Esgoto Sanitário</v>
      </c>
      <c r="C1315" s="47"/>
      <c r="D1315" s="48"/>
      <c r="E1315" s="47"/>
      <c r="F1315" s="49"/>
      <c r="G1315" s="50"/>
      <c r="H1315" s="50"/>
      <c r="I1315" s="50">
        <f>SUM(H1318:H1318)</f>
        <v>17.809999999999999</v>
      </c>
      <c r="J1315" s="284" t="str">
        <f>VLOOKUP(A1315,PO!$A$8:$K$433,5,FALSE)</f>
        <v>m</v>
      </c>
    </row>
    <row r="1316" spans="1:10" x14ac:dyDescent="0.25">
      <c r="A1316" s="350"/>
      <c r="B1316" s="370"/>
      <c r="C1316" s="352"/>
      <c r="D1316" s="376"/>
      <c r="E1316" s="376"/>
      <c r="F1316" s="376"/>
      <c r="G1316" s="370"/>
      <c r="H1316" s="376"/>
      <c r="I1316" s="377"/>
      <c r="J1316" s="369"/>
    </row>
    <row r="1317" spans="1:10" x14ac:dyDescent="0.25">
      <c r="A1317" s="350"/>
      <c r="B1317" s="360" t="s">
        <v>10886</v>
      </c>
      <c r="C1317" s="352"/>
      <c r="D1317" s="406" t="s">
        <v>10933</v>
      </c>
      <c r="E1317" s="376"/>
      <c r="F1317" s="376"/>
      <c r="G1317" s="370"/>
      <c r="H1317" s="363" t="s">
        <v>14</v>
      </c>
      <c r="I1317" s="363" t="s">
        <v>15</v>
      </c>
      <c r="J1317" s="369"/>
    </row>
    <row r="1318" spans="1:10" x14ac:dyDescent="0.25">
      <c r="A1318" s="350"/>
      <c r="B1318" s="370" t="s">
        <v>11805</v>
      </c>
      <c r="C1318" s="352"/>
      <c r="D1318" s="376">
        <v>17.809999999999999</v>
      </c>
      <c r="E1318" s="376"/>
      <c r="F1318" s="376"/>
      <c r="G1318" s="370" t="s">
        <v>16</v>
      </c>
      <c r="H1318" s="376">
        <f>ROUND(D1318,2)</f>
        <v>17.809999999999999</v>
      </c>
      <c r="I1318" s="377" t="str">
        <f>$J$1286</f>
        <v>m</v>
      </c>
      <c r="J1318" s="369"/>
    </row>
    <row r="1319" spans="1:10" x14ac:dyDescent="0.25">
      <c r="A1319" s="350"/>
      <c r="B1319" s="370"/>
      <c r="C1319" s="352"/>
      <c r="D1319" s="376"/>
      <c r="E1319" s="376"/>
      <c r="F1319" s="376"/>
      <c r="G1319" s="370"/>
      <c r="H1319" s="376"/>
      <c r="I1319" s="377"/>
      <c r="J1319" s="369"/>
    </row>
    <row r="1320" spans="1:10" x14ac:dyDescent="0.25">
      <c r="A1320" s="350"/>
      <c r="B1320" s="370" t="s">
        <v>11821</v>
      </c>
      <c r="C1320" s="352"/>
      <c r="D1320" s="376"/>
      <c r="E1320" s="376"/>
      <c r="F1320" s="376"/>
      <c r="G1320" s="370"/>
      <c r="H1320" s="376"/>
      <c r="I1320" s="377"/>
      <c r="J1320" s="369"/>
    </row>
    <row r="1321" spans="1:10" ht="15.75" thickBot="1" x14ac:dyDescent="0.3">
      <c r="A1321" s="350"/>
      <c r="B1321" s="370"/>
      <c r="C1321" s="352"/>
      <c r="D1321" s="376"/>
      <c r="E1321" s="376"/>
      <c r="F1321" s="376"/>
      <c r="G1321" s="370"/>
      <c r="H1321" s="376"/>
      <c r="I1321" s="377"/>
      <c r="J1321" s="369"/>
    </row>
    <row r="1322" spans="1:10" s="40" customFormat="1" ht="15.75" thickBot="1" x14ac:dyDescent="0.3">
      <c r="A1322" s="46" t="s">
        <v>12091</v>
      </c>
      <c r="B1322" s="60" t="str">
        <f>VLOOKUP(A1322,PO!$A$8:$K$433,4,FALSE)</f>
        <v>Tubo PVC, Serie Normal, Esgoto Predial, DN 50 mm, Fornecimento e Instalação em Ramal de Descarga ou Ramal de Esgoto Sanitário</v>
      </c>
      <c r="C1322" s="47"/>
      <c r="D1322" s="48"/>
      <c r="E1322" s="47"/>
      <c r="F1322" s="49"/>
      <c r="G1322" s="50"/>
      <c r="H1322" s="50"/>
      <c r="I1322" s="50">
        <f>SUM(H1325:H1325)</f>
        <v>31.02</v>
      </c>
      <c r="J1322" s="284" t="str">
        <f>VLOOKUP(A1322,PO!$A$8:$K$433,5,FALSE)</f>
        <v>m</v>
      </c>
    </row>
    <row r="1323" spans="1:10" x14ac:dyDescent="0.25">
      <c r="A1323" s="350"/>
      <c r="B1323" s="370"/>
      <c r="C1323" s="352"/>
      <c r="D1323" s="376"/>
      <c r="E1323" s="376"/>
      <c r="F1323" s="376"/>
      <c r="G1323" s="370"/>
      <c r="H1323" s="376"/>
      <c r="I1323" s="377"/>
      <c r="J1323" s="369"/>
    </row>
    <row r="1324" spans="1:10" x14ac:dyDescent="0.25">
      <c r="A1324" s="350"/>
      <c r="B1324" s="360" t="s">
        <v>10886</v>
      </c>
      <c r="C1324" s="352"/>
      <c r="D1324" s="406" t="s">
        <v>10933</v>
      </c>
      <c r="E1324" s="376"/>
      <c r="F1324" s="376"/>
      <c r="G1324" s="370"/>
      <c r="H1324" s="363" t="s">
        <v>14</v>
      </c>
      <c r="I1324" s="363" t="s">
        <v>15</v>
      </c>
      <c r="J1324" s="369"/>
    </row>
    <row r="1325" spans="1:10" x14ac:dyDescent="0.25">
      <c r="A1325" s="350"/>
      <c r="B1325" s="370" t="s">
        <v>11805</v>
      </c>
      <c r="C1325" s="352"/>
      <c r="D1325" s="376">
        <v>31.02</v>
      </c>
      <c r="E1325" s="376"/>
      <c r="F1325" s="376"/>
      <c r="G1325" s="370" t="s">
        <v>16</v>
      </c>
      <c r="H1325" s="376">
        <f>ROUND(D1325,2)</f>
        <v>31.02</v>
      </c>
      <c r="I1325" s="377" t="str">
        <f>$J$1286</f>
        <v>m</v>
      </c>
      <c r="J1325" s="369"/>
    </row>
    <row r="1326" spans="1:10" x14ac:dyDescent="0.25">
      <c r="A1326" s="350"/>
      <c r="B1326" s="370"/>
      <c r="C1326" s="352"/>
      <c r="D1326" s="376"/>
      <c r="E1326" s="376"/>
      <c r="F1326" s="376"/>
      <c r="G1326" s="370"/>
      <c r="H1326" s="376"/>
      <c r="I1326" s="377"/>
      <c r="J1326" s="369"/>
    </row>
    <row r="1327" spans="1:10" x14ac:dyDescent="0.25">
      <c r="A1327" s="350"/>
      <c r="B1327" s="370" t="s">
        <v>11821</v>
      </c>
      <c r="C1327" s="352"/>
      <c r="D1327" s="376"/>
      <c r="E1327" s="376"/>
      <c r="F1327" s="376"/>
      <c r="G1327" s="370"/>
      <c r="H1327" s="376"/>
      <c r="I1327" s="377"/>
      <c r="J1327" s="369"/>
    </row>
    <row r="1328" spans="1:10" ht="15.75" thickBot="1" x14ac:dyDescent="0.3">
      <c r="A1328" s="350"/>
      <c r="B1328" s="370"/>
      <c r="C1328" s="352"/>
      <c r="D1328" s="376"/>
      <c r="E1328" s="376"/>
      <c r="F1328" s="376"/>
      <c r="G1328" s="370"/>
      <c r="H1328" s="376"/>
      <c r="I1328" s="377"/>
      <c r="J1328" s="369"/>
    </row>
    <row r="1329" spans="1:10" s="40" customFormat="1" ht="15.75" thickBot="1" x14ac:dyDescent="0.3">
      <c r="A1329" s="46" t="s">
        <v>12092</v>
      </c>
      <c r="B1329" s="60" t="str">
        <f>VLOOKUP(A1329,PO!$A$8:$K$433,4,FALSE)</f>
        <v>Tubo PVC, Serie Normal, Esgoto Predial, DN 100 mm, Fornecimento e Instalação em Ramal de Descarga ou Ramal de Esgoto Sanitário</v>
      </c>
      <c r="C1329" s="47"/>
      <c r="D1329" s="48"/>
      <c r="E1329" s="47"/>
      <c r="F1329" s="49"/>
      <c r="G1329" s="50"/>
      <c r="H1329" s="50"/>
      <c r="I1329" s="50">
        <f>SUM(H1332:H1332)</f>
        <v>119.64</v>
      </c>
      <c r="J1329" s="284" t="str">
        <f>VLOOKUP(A1329,PO!$A$8:$K$433,5,FALSE)</f>
        <v>m</v>
      </c>
    </row>
    <row r="1330" spans="1:10" x14ac:dyDescent="0.25">
      <c r="A1330" s="350"/>
      <c r="B1330" s="370"/>
      <c r="C1330" s="352"/>
      <c r="D1330" s="376"/>
      <c r="E1330" s="376"/>
      <c r="F1330" s="376"/>
      <c r="G1330" s="370"/>
      <c r="H1330" s="376"/>
      <c r="I1330" s="377"/>
      <c r="J1330" s="369"/>
    </row>
    <row r="1331" spans="1:10" x14ac:dyDescent="0.25">
      <c r="A1331" s="350"/>
      <c r="B1331" s="360" t="s">
        <v>10886</v>
      </c>
      <c r="C1331" s="352"/>
      <c r="D1331" s="406" t="s">
        <v>10933</v>
      </c>
      <c r="E1331" s="376"/>
      <c r="F1331" s="376"/>
      <c r="G1331" s="370"/>
      <c r="H1331" s="363" t="s">
        <v>14</v>
      </c>
      <c r="I1331" s="363" t="s">
        <v>15</v>
      </c>
      <c r="J1331" s="369"/>
    </row>
    <row r="1332" spans="1:10" x14ac:dyDescent="0.25">
      <c r="A1332" s="350"/>
      <c r="B1332" s="370" t="s">
        <v>11805</v>
      </c>
      <c r="C1332" s="352"/>
      <c r="D1332" s="376">
        <v>119.64</v>
      </c>
      <c r="E1332" s="376"/>
      <c r="F1332" s="376"/>
      <c r="G1332" s="370" t="s">
        <v>16</v>
      </c>
      <c r="H1332" s="376">
        <f>ROUND(D1332,2)</f>
        <v>119.64</v>
      </c>
      <c r="I1332" s="377" t="str">
        <f>$J$1286</f>
        <v>m</v>
      </c>
      <c r="J1332" s="369"/>
    </row>
    <row r="1333" spans="1:10" x14ac:dyDescent="0.25">
      <c r="A1333" s="350"/>
      <c r="B1333" s="370"/>
      <c r="C1333" s="352"/>
      <c r="D1333" s="376"/>
      <c r="E1333" s="376"/>
      <c r="F1333" s="376"/>
      <c r="G1333" s="370"/>
      <c r="H1333" s="376"/>
      <c r="I1333" s="377"/>
      <c r="J1333" s="369"/>
    </row>
    <row r="1334" spans="1:10" x14ac:dyDescent="0.25">
      <c r="A1334" s="350"/>
      <c r="B1334" s="370" t="s">
        <v>11821</v>
      </c>
      <c r="C1334" s="352"/>
      <c r="D1334" s="376"/>
      <c r="E1334" s="376"/>
      <c r="F1334" s="376"/>
      <c r="G1334" s="370"/>
      <c r="H1334" s="376"/>
      <c r="I1334" s="377"/>
      <c r="J1334" s="369"/>
    </row>
    <row r="1335" spans="1:10" ht="15.75" thickBot="1" x14ac:dyDescent="0.3">
      <c r="A1335" s="350"/>
      <c r="B1335" s="370"/>
      <c r="C1335" s="352"/>
      <c r="D1335" s="376"/>
      <c r="E1335" s="376"/>
      <c r="F1335" s="376"/>
      <c r="G1335" s="370"/>
      <c r="H1335" s="376"/>
      <c r="I1335" s="377"/>
      <c r="J1335" s="369"/>
    </row>
    <row r="1336" spans="1:10" ht="15.75" thickBot="1" x14ac:dyDescent="0.3">
      <c r="A1336" s="41" t="s">
        <v>161</v>
      </c>
      <c r="B1336" s="42" t="str">
        <f>VLOOKUP(A1336,PO!$A$8:$K$425,4,FALSE)</f>
        <v>CONEXÕES</v>
      </c>
      <c r="C1336" s="43"/>
      <c r="D1336" s="43"/>
      <c r="E1336" s="43"/>
      <c r="F1336" s="295"/>
      <c r="G1336" s="43"/>
      <c r="H1336" s="43"/>
      <c r="I1336" s="43"/>
      <c r="J1336" s="44"/>
    </row>
    <row r="1337" spans="1:10" ht="15.75" thickBot="1" x14ac:dyDescent="0.3">
      <c r="A1337" s="347"/>
      <c r="B1337" s="205"/>
      <c r="C1337" s="205"/>
      <c r="D1337" s="348"/>
      <c r="E1337" s="205"/>
      <c r="F1337" s="237"/>
      <c r="G1337" s="208"/>
      <c r="H1337" s="208"/>
      <c r="I1337" s="208"/>
      <c r="J1337" s="349"/>
    </row>
    <row r="1338" spans="1:10" s="40" customFormat="1" ht="15.75" thickBot="1" x14ac:dyDescent="0.3">
      <c r="A1338" s="46" t="s">
        <v>162</v>
      </c>
      <c r="B1338" s="60" t="str">
        <f>VLOOKUP(A1338,PO!$A$8:$K$433,4,FALSE)</f>
        <v>Bucha de redução, PVC, soldável, DN 32mm x 25mm, instalado em ramal ou sub-ramal de água - fornecimento e instalação.</v>
      </c>
      <c r="C1338" s="47"/>
      <c r="D1338" s="48"/>
      <c r="E1338" s="47"/>
      <c r="F1338" s="49"/>
      <c r="G1338" s="50"/>
      <c r="H1338" s="50"/>
      <c r="I1338" s="50">
        <f>H1341</f>
        <v>2</v>
      </c>
      <c r="J1338" s="284" t="str">
        <f>VLOOKUP(A1338,PO!$A$8:$K$433,5,FALSE)</f>
        <v>und</v>
      </c>
    </row>
    <row r="1339" spans="1:10" x14ac:dyDescent="0.25">
      <c r="A1339" s="350"/>
      <c r="B1339" s="370"/>
      <c r="C1339" s="352"/>
      <c r="D1339" s="376"/>
      <c r="E1339" s="376"/>
      <c r="F1339" s="376"/>
      <c r="G1339" s="370"/>
      <c r="H1339" s="376"/>
      <c r="I1339" s="377"/>
      <c r="J1339" s="369"/>
    </row>
    <row r="1340" spans="1:10" x14ac:dyDescent="0.25">
      <c r="A1340" s="350"/>
      <c r="B1340" s="360" t="s">
        <v>10886</v>
      </c>
      <c r="C1340" s="352"/>
      <c r="D1340" s="406" t="s">
        <v>10927</v>
      </c>
      <c r="E1340" s="376"/>
      <c r="F1340" s="376"/>
      <c r="G1340" s="370"/>
      <c r="H1340" s="363" t="s">
        <v>14</v>
      </c>
      <c r="I1340" s="363" t="s">
        <v>15</v>
      </c>
      <c r="J1340" s="369"/>
    </row>
    <row r="1341" spans="1:10" x14ac:dyDescent="0.25">
      <c r="A1341" s="350"/>
      <c r="B1341" s="370" t="s">
        <v>11804</v>
      </c>
      <c r="C1341" s="352"/>
      <c r="D1341" s="376">
        <v>2</v>
      </c>
      <c r="E1341" s="376"/>
      <c r="F1341" s="376"/>
      <c r="G1341" s="370" t="s">
        <v>16</v>
      </c>
      <c r="H1341" s="376">
        <f>ROUND(D1341,2)</f>
        <v>2</v>
      </c>
      <c r="I1341" s="377" t="str">
        <f>J1338</f>
        <v>und</v>
      </c>
      <c r="J1341" s="369"/>
    </row>
    <row r="1342" spans="1:10" x14ac:dyDescent="0.25">
      <c r="A1342" s="350"/>
      <c r="B1342" s="370"/>
      <c r="C1342" s="352"/>
      <c r="D1342" s="376"/>
      <c r="E1342" s="376"/>
      <c r="F1342" s="376"/>
      <c r="G1342" s="370"/>
      <c r="H1342" s="376"/>
      <c r="I1342" s="377"/>
      <c r="J1342" s="369"/>
    </row>
    <row r="1343" spans="1:10" x14ac:dyDescent="0.25">
      <c r="A1343" s="350"/>
      <c r="B1343" s="370" t="s">
        <v>11806</v>
      </c>
      <c r="C1343" s="352"/>
      <c r="D1343" s="376"/>
      <c r="E1343" s="376"/>
      <c r="F1343" s="376"/>
      <c r="G1343" s="370"/>
      <c r="H1343" s="376"/>
      <c r="I1343" s="377"/>
      <c r="J1343" s="369"/>
    </row>
    <row r="1344" spans="1:10" ht="15.75" thickBot="1" x14ac:dyDescent="0.3">
      <c r="A1344" s="350"/>
      <c r="B1344" s="370"/>
      <c r="C1344" s="352"/>
      <c r="D1344" s="376"/>
      <c r="E1344" s="376"/>
      <c r="F1344" s="376"/>
      <c r="G1344" s="370"/>
      <c r="H1344" s="376"/>
      <c r="I1344" s="377"/>
      <c r="J1344" s="369"/>
    </row>
    <row r="1345" spans="1:10" s="40" customFormat="1" ht="15.75" thickBot="1" x14ac:dyDescent="0.3">
      <c r="A1345" s="46" t="s">
        <v>12093</v>
      </c>
      <c r="B1345" s="60" t="str">
        <f>VLOOKUP(A1345,PO!$A$8:$K$433,4,FALSE)</f>
        <v>Bucha de redução, PVC, soldável, DN 40mm x 32mm, instalado em ramal ou sub-ramal de água - fornecimento e instalação.</v>
      </c>
      <c r="C1345" s="47"/>
      <c r="D1345" s="48"/>
      <c r="E1345" s="47"/>
      <c r="F1345" s="49"/>
      <c r="G1345" s="50"/>
      <c r="H1345" s="50"/>
      <c r="I1345" s="50">
        <f>H1348</f>
        <v>1</v>
      </c>
      <c r="J1345" s="284" t="str">
        <f>VLOOKUP(A1345,PO!$A$8:$K$433,5,FALSE)</f>
        <v>und</v>
      </c>
    </row>
    <row r="1346" spans="1:10" x14ac:dyDescent="0.25">
      <c r="A1346" s="350"/>
      <c r="B1346" s="370"/>
      <c r="C1346" s="352"/>
      <c r="D1346" s="376"/>
      <c r="E1346" s="376"/>
      <c r="F1346" s="376"/>
      <c r="G1346" s="370"/>
      <c r="H1346" s="376"/>
      <c r="I1346" s="377"/>
      <c r="J1346" s="369"/>
    </row>
    <row r="1347" spans="1:10" x14ac:dyDescent="0.25">
      <c r="A1347" s="350"/>
      <c r="B1347" s="360" t="s">
        <v>10886</v>
      </c>
      <c r="C1347" s="352"/>
      <c r="D1347" s="406" t="s">
        <v>10927</v>
      </c>
      <c r="E1347" s="376"/>
      <c r="F1347" s="376"/>
      <c r="G1347" s="370"/>
      <c r="H1347" s="363" t="s">
        <v>14</v>
      </c>
      <c r="I1347" s="363" t="s">
        <v>15</v>
      </c>
      <c r="J1347" s="369"/>
    </row>
    <row r="1348" spans="1:10" x14ac:dyDescent="0.25">
      <c r="A1348" s="350"/>
      <c r="B1348" s="370" t="s">
        <v>11804</v>
      </c>
      <c r="C1348" s="352"/>
      <c r="D1348" s="376">
        <v>1</v>
      </c>
      <c r="E1348" s="376"/>
      <c r="F1348" s="376"/>
      <c r="G1348" s="370" t="s">
        <v>16</v>
      </c>
      <c r="H1348" s="376">
        <f>ROUND(D1348,2)</f>
        <v>1</v>
      </c>
      <c r="I1348" s="377" t="str">
        <f>J1345</f>
        <v>und</v>
      </c>
      <c r="J1348" s="369"/>
    </row>
    <row r="1349" spans="1:10" x14ac:dyDescent="0.25">
      <c r="A1349" s="350"/>
      <c r="B1349" s="370"/>
      <c r="C1349" s="352"/>
      <c r="D1349" s="376"/>
      <c r="E1349" s="376"/>
      <c r="F1349" s="376"/>
      <c r="G1349" s="370"/>
      <c r="H1349" s="376"/>
      <c r="I1349" s="377"/>
      <c r="J1349" s="369"/>
    </row>
    <row r="1350" spans="1:10" x14ac:dyDescent="0.25">
      <c r="A1350" s="350"/>
      <c r="B1350" s="370" t="s">
        <v>11806</v>
      </c>
      <c r="C1350" s="352"/>
      <c r="D1350" s="376"/>
      <c r="E1350" s="376"/>
      <c r="F1350" s="376"/>
      <c r="G1350" s="370"/>
      <c r="H1350" s="376"/>
      <c r="I1350" s="377"/>
      <c r="J1350" s="369"/>
    </row>
    <row r="1351" spans="1:10" ht="15.75" thickBot="1" x14ac:dyDescent="0.3">
      <c r="A1351" s="350"/>
      <c r="B1351" s="370"/>
      <c r="C1351" s="352"/>
      <c r="D1351" s="376"/>
      <c r="E1351" s="376"/>
      <c r="F1351" s="376"/>
      <c r="G1351" s="370"/>
      <c r="H1351" s="376"/>
      <c r="I1351" s="377"/>
      <c r="J1351" s="369"/>
    </row>
    <row r="1352" spans="1:10" s="40" customFormat="1" ht="15.75" thickBot="1" x14ac:dyDescent="0.3">
      <c r="A1352" s="46" t="s">
        <v>12094</v>
      </c>
      <c r="B1352" s="60" t="str">
        <f>VLOOKUP(A1352,PO!$A$8:$K$433,4,FALSE)</f>
        <v>Bucha de redução, PVC, soldável, DN 50mm x 40mm, instalado em ramal ou sub-ramal de água - fornecimento e instalação.</v>
      </c>
      <c r="C1352" s="47"/>
      <c r="D1352" s="48"/>
      <c r="E1352" s="47"/>
      <c r="F1352" s="49"/>
      <c r="G1352" s="50"/>
      <c r="H1352" s="50"/>
      <c r="I1352" s="50">
        <f>H1355</f>
        <v>2</v>
      </c>
      <c r="J1352" s="284" t="str">
        <f>VLOOKUP(A1352,PO!$A$8:$K$433,5,FALSE)</f>
        <v>und</v>
      </c>
    </row>
    <row r="1353" spans="1:10" x14ac:dyDescent="0.25">
      <c r="A1353" s="350"/>
      <c r="B1353" s="370"/>
      <c r="C1353" s="352"/>
      <c r="D1353" s="376"/>
      <c r="E1353" s="376"/>
      <c r="F1353" s="376"/>
      <c r="G1353" s="370"/>
      <c r="H1353" s="376"/>
      <c r="I1353" s="377"/>
      <c r="J1353" s="369"/>
    </row>
    <row r="1354" spans="1:10" x14ac:dyDescent="0.25">
      <c r="A1354" s="350"/>
      <c r="B1354" s="360" t="s">
        <v>10886</v>
      </c>
      <c r="C1354" s="352"/>
      <c r="D1354" s="406" t="s">
        <v>10927</v>
      </c>
      <c r="E1354" s="376"/>
      <c r="F1354" s="376"/>
      <c r="G1354" s="370"/>
      <c r="H1354" s="363" t="s">
        <v>14</v>
      </c>
      <c r="I1354" s="363" t="s">
        <v>15</v>
      </c>
      <c r="J1354" s="369"/>
    </row>
    <row r="1355" spans="1:10" x14ac:dyDescent="0.25">
      <c r="A1355" s="350"/>
      <c r="B1355" s="370" t="s">
        <v>11804</v>
      </c>
      <c r="C1355" s="352"/>
      <c r="D1355" s="376">
        <v>2</v>
      </c>
      <c r="E1355" s="376"/>
      <c r="F1355" s="376"/>
      <c r="G1355" s="370" t="s">
        <v>16</v>
      </c>
      <c r="H1355" s="376">
        <f>ROUND(D1355,2)</f>
        <v>2</v>
      </c>
      <c r="I1355" s="377" t="str">
        <f>J1352</f>
        <v>und</v>
      </c>
      <c r="J1355" s="369"/>
    </row>
    <row r="1356" spans="1:10" x14ac:dyDescent="0.25">
      <c r="A1356" s="350"/>
      <c r="B1356" s="370"/>
      <c r="C1356" s="352"/>
      <c r="D1356" s="376"/>
      <c r="E1356" s="376"/>
      <c r="F1356" s="376"/>
      <c r="G1356" s="370"/>
      <c r="H1356" s="376"/>
      <c r="I1356" s="377"/>
      <c r="J1356" s="369"/>
    </row>
    <row r="1357" spans="1:10" x14ac:dyDescent="0.25">
      <c r="A1357" s="350"/>
      <c r="B1357" s="370" t="s">
        <v>11806</v>
      </c>
      <c r="C1357" s="352"/>
      <c r="D1357" s="376"/>
      <c r="E1357" s="376"/>
      <c r="F1357" s="376"/>
      <c r="G1357" s="370"/>
      <c r="H1357" s="376"/>
      <c r="I1357" s="377"/>
      <c r="J1357" s="369"/>
    </row>
    <row r="1358" spans="1:10" ht="15.75" thickBot="1" x14ac:dyDescent="0.3">
      <c r="A1358" s="350"/>
      <c r="B1358" s="370"/>
      <c r="C1358" s="352"/>
      <c r="D1358" s="376"/>
      <c r="E1358" s="376"/>
      <c r="F1358" s="376"/>
      <c r="G1358" s="370"/>
      <c r="H1358" s="376"/>
      <c r="I1358" s="377"/>
      <c r="J1358" s="369"/>
    </row>
    <row r="1359" spans="1:10" s="40" customFormat="1" ht="15.75" thickBot="1" x14ac:dyDescent="0.3">
      <c r="A1359" s="46" t="s">
        <v>12095</v>
      </c>
      <c r="B1359" s="60" t="str">
        <f>VLOOKUP(A1359,PO!$A$8:$K$433,4,FALSE)</f>
        <v>Joelho de 90 graus, PVC, Soldável, DN 25mm, Instalado em Ramal ou Sub-Ramal de Água - Fornecimento e Instalação</v>
      </c>
      <c r="C1359" s="47"/>
      <c r="D1359" s="48"/>
      <c r="E1359" s="47"/>
      <c r="F1359" s="49"/>
      <c r="G1359" s="50"/>
      <c r="H1359" s="50"/>
      <c r="I1359" s="50">
        <f>SUM(H1362:H1362)</f>
        <v>25</v>
      </c>
      <c r="J1359" s="284" t="str">
        <f>VLOOKUP(A1359,PO!$A$8:$K$433,5,FALSE)</f>
        <v>und</v>
      </c>
    </row>
    <row r="1360" spans="1:10" x14ac:dyDescent="0.25">
      <c r="A1360" s="350"/>
      <c r="B1360" s="370"/>
      <c r="C1360" s="352"/>
      <c r="D1360" s="376"/>
      <c r="E1360" s="376"/>
      <c r="F1360" s="376"/>
      <c r="G1360" s="370"/>
      <c r="H1360" s="376"/>
      <c r="I1360" s="377"/>
      <c r="J1360" s="369"/>
    </row>
    <row r="1361" spans="1:10" x14ac:dyDescent="0.25">
      <c r="A1361" s="350"/>
      <c r="B1361" s="360" t="s">
        <v>10886</v>
      </c>
      <c r="C1361" s="352"/>
      <c r="D1361" s="406" t="s">
        <v>10927</v>
      </c>
      <c r="E1361" s="376"/>
      <c r="F1361" s="376"/>
      <c r="G1361" s="370"/>
      <c r="H1361" s="363" t="s">
        <v>14</v>
      </c>
      <c r="I1361" s="363" t="s">
        <v>15</v>
      </c>
      <c r="J1361" s="369"/>
    </row>
    <row r="1362" spans="1:10" x14ac:dyDescent="0.25">
      <c r="A1362" s="350"/>
      <c r="B1362" s="370" t="s">
        <v>11804</v>
      </c>
      <c r="C1362" s="352"/>
      <c r="D1362" s="376">
        <v>25</v>
      </c>
      <c r="E1362" s="376"/>
      <c r="F1362" s="376"/>
      <c r="G1362" s="370" t="s">
        <v>16</v>
      </c>
      <c r="H1362" s="376">
        <f>ROUND(D1362,2)</f>
        <v>25</v>
      </c>
      <c r="I1362" s="377" t="str">
        <f>J1359</f>
        <v>und</v>
      </c>
      <c r="J1362" s="369"/>
    </row>
    <row r="1363" spans="1:10" x14ac:dyDescent="0.25">
      <c r="A1363" s="350"/>
      <c r="B1363" s="370"/>
      <c r="C1363" s="352"/>
      <c r="D1363" s="376"/>
      <c r="E1363" s="376"/>
      <c r="F1363" s="376"/>
      <c r="G1363" s="370"/>
      <c r="H1363" s="376"/>
      <c r="I1363" s="377"/>
      <c r="J1363" s="369"/>
    </row>
    <row r="1364" spans="1:10" x14ac:dyDescent="0.25">
      <c r="A1364" s="350"/>
      <c r="B1364" s="370" t="s">
        <v>11806</v>
      </c>
      <c r="C1364" s="352"/>
      <c r="D1364" s="376"/>
      <c r="E1364" s="376"/>
      <c r="F1364" s="376"/>
      <c r="G1364" s="370"/>
      <c r="H1364" s="376"/>
      <c r="I1364" s="377"/>
      <c r="J1364" s="369"/>
    </row>
    <row r="1365" spans="1:10" ht="15.75" thickBot="1" x14ac:dyDescent="0.3">
      <c r="A1365" s="350"/>
      <c r="B1365" s="370"/>
      <c r="C1365" s="352"/>
      <c r="D1365" s="376"/>
      <c r="E1365" s="376"/>
      <c r="F1365" s="376"/>
      <c r="G1365" s="370"/>
      <c r="H1365" s="376"/>
      <c r="I1365" s="377"/>
      <c r="J1365" s="369"/>
    </row>
    <row r="1366" spans="1:10" s="40" customFormat="1" ht="15.75" thickBot="1" x14ac:dyDescent="0.3">
      <c r="A1366" s="46" t="s">
        <v>12096</v>
      </c>
      <c r="B1366" s="60" t="str">
        <f>VLOOKUP(A1366,PO!$A$8:$K$433,4,FALSE)</f>
        <v>Joelho de 90 graus, PVC, Soldável, DN 32mm, Instalado em Ramal ou Sub-Ramal de Água - Fornecimento e Instalação</v>
      </c>
      <c r="C1366" s="47"/>
      <c r="D1366" s="48"/>
      <c r="E1366" s="47"/>
      <c r="F1366" s="49"/>
      <c r="G1366" s="50"/>
      <c r="H1366" s="50"/>
      <c r="I1366" s="50">
        <f>SUM(H1369:H1369)</f>
        <v>11</v>
      </c>
      <c r="J1366" s="284" t="str">
        <f>VLOOKUP(A1366,PO!$A$8:$K$433,5,FALSE)</f>
        <v>und</v>
      </c>
    </row>
    <row r="1367" spans="1:10" x14ac:dyDescent="0.25">
      <c r="A1367" s="350"/>
      <c r="B1367" s="370"/>
      <c r="C1367" s="352"/>
      <c r="D1367" s="376"/>
      <c r="E1367" s="376"/>
      <c r="F1367" s="376"/>
      <c r="G1367" s="370"/>
      <c r="H1367" s="376"/>
      <c r="I1367" s="377"/>
      <c r="J1367" s="369"/>
    </row>
    <row r="1368" spans="1:10" x14ac:dyDescent="0.25">
      <c r="A1368" s="350"/>
      <c r="B1368" s="360" t="s">
        <v>10886</v>
      </c>
      <c r="C1368" s="352"/>
      <c r="D1368" s="406" t="s">
        <v>10927</v>
      </c>
      <c r="E1368" s="376"/>
      <c r="F1368" s="376"/>
      <c r="G1368" s="370"/>
      <c r="H1368" s="363" t="s">
        <v>14</v>
      </c>
      <c r="I1368" s="363" t="s">
        <v>15</v>
      </c>
      <c r="J1368" s="369"/>
    </row>
    <row r="1369" spans="1:10" x14ac:dyDescent="0.25">
      <c r="A1369" s="350"/>
      <c r="B1369" s="370" t="s">
        <v>11804</v>
      </c>
      <c r="C1369" s="352"/>
      <c r="D1369" s="376">
        <v>11</v>
      </c>
      <c r="E1369" s="376"/>
      <c r="F1369" s="376"/>
      <c r="G1369" s="370" t="s">
        <v>16</v>
      </c>
      <c r="H1369" s="376">
        <f>ROUND(D1369,2)</f>
        <v>11</v>
      </c>
      <c r="I1369" s="377" t="str">
        <f>J1366</f>
        <v>und</v>
      </c>
      <c r="J1369" s="369"/>
    </row>
    <row r="1370" spans="1:10" x14ac:dyDescent="0.25">
      <c r="A1370" s="350"/>
      <c r="B1370" s="370"/>
      <c r="C1370" s="352"/>
      <c r="D1370" s="376"/>
      <c r="E1370" s="376"/>
      <c r="F1370" s="376"/>
      <c r="G1370" s="370"/>
      <c r="H1370" s="376"/>
      <c r="I1370" s="377"/>
      <c r="J1370" s="369"/>
    </row>
    <row r="1371" spans="1:10" x14ac:dyDescent="0.25">
      <c r="A1371" s="350"/>
      <c r="B1371" s="370" t="s">
        <v>11806</v>
      </c>
      <c r="C1371" s="352"/>
      <c r="D1371" s="376"/>
      <c r="E1371" s="376"/>
      <c r="F1371" s="376"/>
      <c r="G1371" s="370"/>
      <c r="H1371" s="376"/>
      <c r="I1371" s="377"/>
      <c r="J1371" s="369"/>
    </row>
    <row r="1372" spans="1:10" ht="15.75" thickBot="1" x14ac:dyDescent="0.3">
      <c r="A1372" s="350"/>
      <c r="B1372" s="370"/>
      <c r="C1372" s="352"/>
      <c r="D1372" s="376"/>
      <c r="E1372" s="376"/>
      <c r="F1372" s="376"/>
      <c r="G1372" s="370"/>
      <c r="H1372" s="376"/>
      <c r="I1372" s="377"/>
      <c r="J1372" s="369"/>
    </row>
    <row r="1373" spans="1:10" s="40" customFormat="1" ht="15.75" thickBot="1" x14ac:dyDescent="0.3">
      <c r="A1373" s="46" t="s">
        <v>12097</v>
      </c>
      <c r="B1373" s="60" t="str">
        <f>VLOOKUP(A1373,PO!$A$8:$K$433,4,FALSE)</f>
        <v>Joelho 90 graus, PVC, soldável, DN 40mm, instalado em prumada de água - fornecimento e instalação.</v>
      </c>
      <c r="C1373" s="47"/>
      <c r="D1373" s="48"/>
      <c r="E1373" s="47"/>
      <c r="F1373" s="49"/>
      <c r="G1373" s="50"/>
      <c r="H1373" s="50"/>
      <c r="I1373" s="50">
        <f>SUM(H1376:H1376)</f>
        <v>1</v>
      </c>
      <c r="J1373" s="284" t="str">
        <f>VLOOKUP(A1373,PO!$A$8:$K$433,5,FALSE)</f>
        <v>und</v>
      </c>
    </row>
    <row r="1374" spans="1:10" x14ac:dyDescent="0.25">
      <c r="A1374" s="350"/>
      <c r="B1374" s="370"/>
      <c r="C1374" s="352"/>
      <c r="D1374" s="376"/>
      <c r="E1374" s="376"/>
      <c r="F1374" s="376"/>
      <c r="G1374" s="370"/>
      <c r="H1374" s="376"/>
      <c r="I1374" s="377"/>
      <c r="J1374" s="369"/>
    </row>
    <row r="1375" spans="1:10" x14ac:dyDescent="0.25">
      <c r="A1375" s="350"/>
      <c r="B1375" s="360" t="s">
        <v>10886</v>
      </c>
      <c r="C1375" s="352"/>
      <c r="D1375" s="406" t="s">
        <v>10927</v>
      </c>
      <c r="E1375" s="376"/>
      <c r="F1375" s="376"/>
      <c r="G1375" s="370"/>
      <c r="H1375" s="363" t="s">
        <v>14</v>
      </c>
      <c r="I1375" s="363" t="s">
        <v>15</v>
      </c>
      <c r="J1375" s="369"/>
    </row>
    <row r="1376" spans="1:10" x14ac:dyDescent="0.25">
      <c r="A1376" s="350"/>
      <c r="B1376" s="370" t="s">
        <v>11804</v>
      </c>
      <c r="C1376" s="352"/>
      <c r="D1376" s="376">
        <v>1</v>
      </c>
      <c r="E1376" s="376"/>
      <c r="F1376" s="376"/>
      <c r="G1376" s="370" t="s">
        <v>16</v>
      </c>
      <c r="H1376" s="376">
        <f>ROUND(D1376,2)</f>
        <v>1</v>
      </c>
      <c r="I1376" s="377" t="str">
        <f>J1373</f>
        <v>und</v>
      </c>
      <c r="J1376" s="369"/>
    </row>
    <row r="1377" spans="1:10" x14ac:dyDescent="0.25">
      <c r="A1377" s="350"/>
      <c r="B1377" s="370"/>
      <c r="C1377" s="352"/>
      <c r="D1377" s="376"/>
      <c r="E1377" s="376"/>
      <c r="F1377" s="376"/>
      <c r="G1377" s="370"/>
      <c r="H1377" s="376"/>
      <c r="I1377" s="377"/>
      <c r="J1377" s="369"/>
    </row>
    <row r="1378" spans="1:10" x14ac:dyDescent="0.25">
      <c r="A1378" s="350"/>
      <c r="B1378" s="370" t="s">
        <v>11806</v>
      </c>
      <c r="C1378" s="352"/>
      <c r="D1378" s="376"/>
      <c r="E1378" s="376"/>
      <c r="F1378" s="376"/>
      <c r="G1378" s="370"/>
      <c r="H1378" s="376"/>
      <c r="I1378" s="377"/>
      <c r="J1378" s="369"/>
    </row>
    <row r="1379" spans="1:10" ht="15.75" thickBot="1" x14ac:dyDescent="0.3">
      <c r="A1379" s="350"/>
      <c r="B1379" s="370"/>
      <c r="C1379" s="352"/>
      <c r="D1379" s="376"/>
      <c r="E1379" s="376"/>
      <c r="F1379" s="376"/>
      <c r="G1379" s="370"/>
      <c r="H1379" s="376"/>
      <c r="I1379" s="377"/>
      <c r="J1379" s="369"/>
    </row>
    <row r="1380" spans="1:10" s="40" customFormat="1" ht="15.75" thickBot="1" x14ac:dyDescent="0.3">
      <c r="A1380" s="46" t="s">
        <v>12098</v>
      </c>
      <c r="B1380" s="60" t="str">
        <f>VLOOKUP(A1380,PO!$A$8:$K$433,4,FALSE)</f>
        <v>Joelho 90 graus, PVC, soldável, DN 50mm, instalado em prumada de água - fornecimento e instalação.</v>
      </c>
      <c r="C1380" s="47"/>
      <c r="D1380" s="48"/>
      <c r="E1380" s="47"/>
      <c r="F1380" s="49"/>
      <c r="G1380" s="50"/>
      <c r="H1380" s="50"/>
      <c r="I1380" s="50">
        <f>SUM(H1383:H1383)</f>
        <v>1</v>
      </c>
      <c r="J1380" s="284" t="str">
        <f>VLOOKUP(A1380,PO!$A$8:$K$433,5,FALSE)</f>
        <v>und</v>
      </c>
    </row>
    <row r="1381" spans="1:10" x14ac:dyDescent="0.25">
      <c r="A1381" s="350"/>
      <c r="B1381" s="370"/>
      <c r="C1381" s="352"/>
      <c r="D1381" s="376"/>
      <c r="E1381" s="376"/>
      <c r="F1381" s="376"/>
      <c r="G1381" s="370"/>
      <c r="H1381" s="376"/>
      <c r="I1381" s="377"/>
      <c r="J1381" s="369"/>
    </row>
    <row r="1382" spans="1:10" x14ac:dyDescent="0.25">
      <c r="A1382" s="350"/>
      <c r="B1382" s="360" t="s">
        <v>10886</v>
      </c>
      <c r="C1382" s="352"/>
      <c r="D1382" s="406" t="s">
        <v>10927</v>
      </c>
      <c r="E1382" s="376"/>
      <c r="F1382" s="376"/>
      <c r="G1382" s="370"/>
      <c r="H1382" s="363" t="s">
        <v>14</v>
      </c>
      <c r="I1382" s="363" t="s">
        <v>15</v>
      </c>
      <c r="J1382" s="369"/>
    </row>
    <row r="1383" spans="1:10" x14ac:dyDescent="0.25">
      <c r="A1383" s="350"/>
      <c r="B1383" s="370" t="s">
        <v>11804</v>
      </c>
      <c r="C1383" s="352"/>
      <c r="D1383" s="376">
        <v>1</v>
      </c>
      <c r="E1383" s="376"/>
      <c r="F1383" s="376"/>
      <c r="G1383" s="370" t="s">
        <v>16</v>
      </c>
      <c r="H1383" s="376">
        <f>ROUND(D1383,2)</f>
        <v>1</v>
      </c>
      <c r="I1383" s="377" t="str">
        <f>J1380</f>
        <v>und</v>
      </c>
      <c r="J1383" s="369"/>
    </row>
    <row r="1384" spans="1:10" x14ac:dyDescent="0.25">
      <c r="A1384" s="350"/>
      <c r="B1384" s="370"/>
      <c r="C1384" s="352"/>
      <c r="D1384" s="376"/>
      <c r="E1384" s="376"/>
      <c r="F1384" s="376"/>
      <c r="G1384" s="370"/>
      <c r="H1384" s="376"/>
      <c r="I1384" s="377"/>
      <c r="J1384" s="369"/>
    </row>
    <row r="1385" spans="1:10" x14ac:dyDescent="0.25">
      <c r="A1385" s="350"/>
      <c r="B1385" s="370" t="s">
        <v>11806</v>
      </c>
      <c r="C1385" s="352"/>
      <c r="D1385" s="376"/>
      <c r="E1385" s="376"/>
      <c r="F1385" s="376"/>
      <c r="G1385" s="370"/>
      <c r="H1385" s="376"/>
      <c r="I1385" s="377"/>
      <c r="J1385" s="369"/>
    </row>
    <row r="1386" spans="1:10" ht="15.75" thickBot="1" x14ac:dyDescent="0.3">
      <c r="A1386" s="350"/>
      <c r="B1386" s="370"/>
      <c r="C1386" s="352"/>
      <c r="D1386" s="376"/>
      <c r="E1386" s="376"/>
      <c r="F1386" s="376"/>
      <c r="G1386" s="370"/>
      <c r="H1386" s="376"/>
      <c r="I1386" s="377"/>
      <c r="J1386" s="369"/>
    </row>
    <row r="1387" spans="1:10" s="40" customFormat="1" ht="15.75" thickBot="1" x14ac:dyDescent="0.3">
      <c r="A1387" s="46" t="s">
        <v>12099</v>
      </c>
      <c r="B1387" s="60" t="str">
        <f>VLOOKUP(A1387,PO!$A$8:$K$433,4,FALSE)</f>
        <v>Joelho 90° graus com bucha de latão, PVC, soldável, DN 25mm, x 1/2 em ramal ou sub-ramal de água - fornecimento e instalação.</v>
      </c>
      <c r="C1387" s="47"/>
      <c r="D1387" s="48"/>
      <c r="E1387" s="47"/>
      <c r="F1387" s="49"/>
      <c r="G1387" s="50"/>
      <c r="H1387" s="50"/>
      <c r="I1387" s="50">
        <f>SUM(H1390:H1390)</f>
        <v>16</v>
      </c>
      <c r="J1387" s="284" t="str">
        <f>VLOOKUP(A1387,PO!$A$8:$K$433,5,FALSE)</f>
        <v>und</v>
      </c>
    </row>
    <row r="1388" spans="1:10" x14ac:dyDescent="0.25">
      <c r="A1388" s="350"/>
      <c r="B1388" s="370"/>
      <c r="C1388" s="352"/>
      <c r="D1388" s="376"/>
      <c r="E1388" s="376"/>
      <c r="F1388" s="376"/>
      <c r="G1388" s="370"/>
      <c r="H1388" s="376"/>
      <c r="I1388" s="377"/>
      <c r="J1388" s="369"/>
    </row>
    <row r="1389" spans="1:10" x14ac:dyDescent="0.25">
      <c r="A1389" s="350"/>
      <c r="B1389" s="360" t="s">
        <v>10886</v>
      </c>
      <c r="C1389" s="352"/>
      <c r="D1389" s="406" t="s">
        <v>10927</v>
      </c>
      <c r="E1389" s="376"/>
      <c r="F1389" s="376"/>
      <c r="G1389" s="370"/>
      <c r="H1389" s="363" t="s">
        <v>14</v>
      </c>
      <c r="I1389" s="363" t="s">
        <v>15</v>
      </c>
      <c r="J1389" s="369"/>
    </row>
    <row r="1390" spans="1:10" x14ac:dyDescent="0.25">
      <c r="A1390" s="350"/>
      <c r="B1390" s="370" t="s">
        <v>11804</v>
      </c>
      <c r="C1390" s="352"/>
      <c r="D1390" s="376">
        <v>16</v>
      </c>
      <c r="E1390" s="376"/>
      <c r="F1390" s="376"/>
      <c r="G1390" s="370" t="s">
        <v>16</v>
      </c>
      <c r="H1390" s="376">
        <f>ROUND(D1390,2)</f>
        <v>16</v>
      </c>
      <c r="I1390" s="377" t="str">
        <f>J1387</f>
        <v>und</v>
      </c>
      <c r="J1390" s="369"/>
    </row>
    <row r="1391" spans="1:10" x14ac:dyDescent="0.25">
      <c r="A1391" s="350"/>
      <c r="B1391" s="370"/>
      <c r="C1391" s="352"/>
      <c r="D1391" s="376"/>
      <c r="E1391" s="376"/>
      <c r="F1391" s="376"/>
      <c r="G1391" s="370"/>
      <c r="H1391" s="376"/>
      <c r="I1391" s="377"/>
      <c r="J1391" s="369"/>
    </row>
    <row r="1392" spans="1:10" x14ac:dyDescent="0.25">
      <c r="A1392" s="350"/>
      <c r="B1392" s="370" t="s">
        <v>11806</v>
      </c>
      <c r="C1392" s="352"/>
      <c r="D1392" s="376"/>
      <c r="E1392" s="376"/>
      <c r="F1392" s="376"/>
      <c r="G1392" s="370"/>
      <c r="H1392" s="376"/>
      <c r="I1392" s="377"/>
      <c r="J1392" s="369"/>
    </row>
    <row r="1393" spans="1:10" ht="15.75" thickBot="1" x14ac:dyDescent="0.3">
      <c r="A1393" s="350"/>
      <c r="B1393" s="370"/>
      <c r="C1393" s="352"/>
      <c r="D1393" s="376"/>
      <c r="E1393" s="376"/>
      <c r="F1393" s="376"/>
      <c r="G1393" s="370"/>
      <c r="H1393" s="376"/>
      <c r="I1393" s="377"/>
      <c r="J1393" s="369"/>
    </row>
    <row r="1394" spans="1:10" s="40" customFormat="1" ht="15.75" thickBot="1" x14ac:dyDescent="0.3">
      <c r="A1394" s="46" t="s">
        <v>12100</v>
      </c>
      <c r="B1394" s="60" t="str">
        <f>VLOOKUP(A1394,PO!$A$8:$K$433,4,FALSE)</f>
        <v>Joelho 90° de redução soldável PVC Ø 32 x 25 mm  - fornecimento e instalação.</v>
      </c>
      <c r="C1394" s="47"/>
      <c r="D1394" s="48"/>
      <c r="E1394" s="47"/>
      <c r="F1394" s="49"/>
      <c r="G1394" s="50"/>
      <c r="H1394" s="50"/>
      <c r="I1394" s="50">
        <f>SUM(H1397:H1397)</f>
        <v>2</v>
      </c>
      <c r="J1394" s="284" t="str">
        <f>VLOOKUP(A1394,PO!$A$8:$K$433,5,FALSE)</f>
        <v>und</v>
      </c>
    </row>
    <row r="1395" spans="1:10" x14ac:dyDescent="0.25">
      <c r="A1395" s="350"/>
      <c r="B1395" s="370"/>
      <c r="C1395" s="352"/>
      <c r="D1395" s="376"/>
      <c r="E1395" s="376"/>
      <c r="F1395" s="376"/>
      <c r="G1395" s="370"/>
      <c r="H1395" s="376"/>
      <c r="I1395" s="377"/>
      <c r="J1395" s="369"/>
    </row>
    <row r="1396" spans="1:10" x14ac:dyDescent="0.25">
      <c r="A1396" s="350"/>
      <c r="B1396" s="360" t="s">
        <v>10886</v>
      </c>
      <c r="C1396" s="352"/>
      <c r="D1396" s="406" t="s">
        <v>10927</v>
      </c>
      <c r="E1396" s="376"/>
      <c r="F1396" s="376"/>
      <c r="G1396" s="370"/>
      <c r="H1396" s="363" t="s">
        <v>14</v>
      </c>
      <c r="I1396" s="363" t="s">
        <v>15</v>
      </c>
      <c r="J1396" s="369"/>
    </row>
    <row r="1397" spans="1:10" x14ac:dyDescent="0.25">
      <c r="A1397" s="350"/>
      <c r="B1397" s="370" t="s">
        <v>11804</v>
      </c>
      <c r="C1397" s="352"/>
      <c r="D1397" s="376">
        <v>2</v>
      </c>
      <c r="E1397" s="376"/>
      <c r="F1397" s="376"/>
      <c r="G1397" s="370" t="s">
        <v>16</v>
      </c>
      <c r="H1397" s="376">
        <f>ROUND(D1397,2)</f>
        <v>2</v>
      </c>
      <c r="I1397" s="377" t="str">
        <f>J1394</f>
        <v>und</v>
      </c>
      <c r="J1397" s="369"/>
    </row>
    <row r="1398" spans="1:10" x14ac:dyDescent="0.25">
      <c r="A1398" s="350"/>
      <c r="B1398" s="370"/>
      <c r="C1398" s="352"/>
      <c r="D1398" s="376"/>
      <c r="E1398" s="376"/>
      <c r="F1398" s="376"/>
      <c r="G1398" s="370"/>
      <c r="H1398" s="376"/>
      <c r="I1398" s="377"/>
      <c r="J1398" s="369"/>
    </row>
    <row r="1399" spans="1:10" x14ac:dyDescent="0.25">
      <c r="A1399" s="350"/>
      <c r="B1399" s="370" t="s">
        <v>11806</v>
      </c>
      <c r="C1399" s="352"/>
      <c r="D1399" s="376"/>
      <c r="E1399" s="376"/>
      <c r="F1399" s="376"/>
      <c r="G1399" s="370"/>
      <c r="H1399" s="376"/>
      <c r="I1399" s="377"/>
      <c r="J1399" s="369"/>
    </row>
    <row r="1400" spans="1:10" ht="15.75" thickBot="1" x14ac:dyDescent="0.3">
      <c r="A1400" s="350"/>
      <c r="B1400" s="370"/>
      <c r="C1400" s="352"/>
      <c r="D1400" s="376"/>
      <c r="E1400" s="376"/>
      <c r="F1400" s="376"/>
      <c r="G1400" s="370"/>
      <c r="H1400" s="376"/>
      <c r="I1400" s="377"/>
      <c r="J1400" s="369"/>
    </row>
    <row r="1401" spans="1:10" s="40" customFormat="1" ht="15.75" thickBot="1" x14ac:dyDescent="0.3">
      <c r="A1401" s="46" t="s">
        <v>12101</v>
      </c>
      <c r="B1401" s="60" t="str">
        <f>VLOOKUP(A1401,PO!$A$8:$K$433,4,FALSE)</f>
        <v>Tê de redução, PVC, soldável, DN 32mm x 25mm, instalado em prumada de água - fornecimento e instalação.</v>
      </c>
      <c r="C1401" s="47"/>
      <c r="D1401" s="48"/>
      <c r="E1401" s="47"/>
      <c r="F1401" s="49"/>
      <c r="G1401" s="50"/>
      <c r="H1401" s="50"/>
      <c r="I1401" s="50">
        <f>SUM(H1404:H1404)</f>
        <v>4</v>
      </c>
      <c r="J1401" s="284" t="str">
        <f>VLOOKUP(A1401,PO!$A$8:$K$433,5,FALSE)</f>
        <v>und</v>
      </c>
    </row>
    <row r="1402" spans="1:10" x14ac:dyDescent="0.25">
      <c r="A1402" s="350"/>
      <c r="B1402" s="370"/>
      <c r="C1402" s="352"/>
      <c r="D1402" s="376"/>
      <c r="E1402" s="376"/>
      <c r="F1402" s="376"/>
      <c r="G1402" s="370"/>
      <c r="H1402" s="376"/>
      <c r="I1402" s="377"/>
      <c r="J1402" s="369"/>
    </row>
    <row r="1403" spans="1:10" x14ac:dyDescent="0.25">
      <c r="A1403" s="350"/>
      <c r="B1403" s="360" t="s">
        <v>10886</v>
      </c>
      <c r="C1403" s="352"/>
      <c r="D1403" s="406" t="s">
        <v>10927</v>
      </c>
      <c r="E1403" s="376"/>
      <c r="F1403" s="376"/>
      <c r="G1403" s="370"/>
      <c r="H1403" s="363" t="s">
        <v>14</v>
      </c>
      <c r="I1403" s="363" t="s">
        <v>15</v>
      </c>
      <c r="J1403" s="369"/>
    </row>
    <row r="1404" spans="1:10" x14ac:dyDescent="0.25">
      <c r="A1404" s="350"/>
      <c r="B1404" s="370" t="s">
        <v>11804</v>
      </c>
      <c r="C1404" s="352"/>
      <c r="D1404" s="376">
        <v>4</v>
      </c>
      <c r="E1404" s="376"/>
      <c r="F1404" s="376"/>
      <c r="G1404" s="370" t="s">
        <v>16</v>
      </c>
      <c r="H1404" s="376">
        <f>ROUND(D1404,2)</f>
        <v>4</v>
      </c>
      <c r="I1404" s="377" t="str">
        <f>J1401</f>
        <v>und</v>
      </c>
      <c r="J1404" s="369"/>
    </row>
    <row r="1405" spans="1:10" x14ac:dyDescent="0.25">
      <c r="A1405" s="350"/>
      <c r="B1405" s="370"/>
      <c r="C1405" s="352"/>
      <c r="D1405" s="376"/>
      <c r="E1405" s="376"/>
      <c r="F1405" s="376"/>
      <c r="G1405" s="370"/>
      <c r="H1405" s="376"/>
      <c r="I1405" s="377"/>
      <c r="J1405" s="369"/>
    </row>
    <row r="1406" spans="1:10" x14ac:dyDescent="0.25">
      <c r="A1406" s="350"/>
      <c r="B1406" s="370" t="s">
        <v>11806</v>
      </c>
      <c r="C1406" s="352"/>
      <c r="D1406" s="376"/>
      <c r="E1406" s="376"/>
      <c r="F1406" s="376"/>
      <c r="G1406" s="370"/>
      <c r="H1406" s="376"/>
      <c r="I1406" s="377"/>
      <c r="J1406" s="369"/>
    </row>
    <row r="1407" spans="1:10" ht="15.75" thickBot="1" x14ac:dyDescent="0.3">
      <c r="A1407" s="350"/>
      <c r="B1407" s="370"/>
      <c r="C1407" s="352"/>
      <c r="D1407" s="376"/>
      <c r="E1407" s="376"/>
      <c r="F1407" s="376"/>
      <c r="G1407" s="370"/>
      <c r="H1407" s="376"/>
      <c r="I1407" s="377"/>
      <c r="J1407" s="369"/>
    </row>
    <row r="1408" spans="1:10" s="40" customFormat="1" ht="15.75" thickBot="1" x14ac:dyDescent="0.3">
      <c r="A1408" s="46" t="s">
        <v>12102</v>
      </c>
      <c r="B1408" s="60" t="str">
        <f>VLOOKUP(A1408,PO!$A$8:$K$433,4,FALSE)</f>
        <v>Tê de redução, PVC, soldável, DN 50mm x 40mm, instalado em prumada de água - fornecimento e instalação.</v>
      </c>
      <c r="C1408" s="47"/>
      <c r="D1408" s="48"/>
      <c r="E1408" s="47"/>
      <c r="F1408" s="49"/>
      <c r="G1408" s="50"/>
      <c r="H1408" s="50"/>
      <c r="I1408" s="50">
        <f>SUM(H1411:H1411)</f>
        <v>1</v>
      </c>
      <c r="J1408" s="284" t="str">
        <f>VLOOKUP(A1408,PO!$A$8:$K$433,5,FALSE)</f>
        <v>und</v>
      </c>
    </row>
    <row r="1409" spans="1:10" x14ac:dyDescent="0.25">
      <c r="A1409" s="350"/>
      <c r="B1409" s="370"/>
      <c r="C1409" s="352"/>
      <c r="D1409" s="376"/>
      <c r="E1409" s="376"/>
      <c r="F1409" s="376"/>
      <c r="G1409" s="370"/>
      <c r="H1409" s="376"/>
      <c r="I1409" s="377"/>
      <c r="J1409" s="369"/>
    </row>
    <row r="1410" spans="1:10" x14ac:dyDescent="0.25">
      <c r="A1410" s="350"/>
      <c r="B1410" s="360" t="s">
        <v>10886</v>
      </c>
      <c r="C1410" s="352"/>
      <c r="D1410" s="406" t="s">
        <v>10927</v>
      </c>
      <c r="E1410" s="376"/>
      <c r="F1410" s="376"/>
      <c r="G1410" s="370"/>
      <c r="H1410" s="363" t="s">
        <v>14</v>
      </c>
      <c r="I1410" s="363" t="s">
        <v>15</v>
      </c>
      <c r="J1410" s="369"/>
    </row>
    <row r="1411" spans="1:10" x14ac:dyDescent="0.25">
      <c r="A1411" s="350"/>
      <c r="B1411" s="370" t="s">
        <v>11804</v>
      </c>
      <c r="C1411" s="352"/>
      <c r="D1411" s="376">
        <v>1</v>
      </c>
      <c r="E1411" s="376"/>
      <c r="F1411" s="376"/>
      <c r="G1411" s="370" t="s">
        <v>16</v>
      </c>
      <c r="H1411" s="376">
        <f>ROUND(D1411,2)</f>
        <v>1</v>
      </c>
      <c r="I1411" s="377" t="str">
        <f>J1408</f>
        <v>und</v>
      </c>
      <c r="J1411" s="369"/>
    </row>
    <row r="1412" spans="1:10" x14ac:dyDescent="0.25">
      <c r="A1412" s="350"/>
      <c r="B1412" s="370"/>
      <c r="C1412" s="352"/>
      <c r="D1412" s="376"/>
      <c r="E1412" s="376"/>
      <c r="F1412" s="376"/>
      <c r="G1412" s="370"/>
      <c r="H1412" s="376"/>
      <c r="I1412" s="377"/>
      <c r="J1412" s="369"/>
    </row>
    <row r="1413" spans="1:10" x14ac:dyDescent="0.25">
      <c r="A1413" s="350"/>
      <c r="B1413" s="370" t="s">
        <v>11806</v>
      </c>
      <c r="C1413" s="352"/>
      <c r="D1413" s="376"/>
      <c r="E1413" s="376"/>
      <c r="F1413" s="376"/>
      <c r="G1413" s="370"/>
      <c r="H1413" s="376"/>
      <c r="I1413" s="377"/>
      <c r="J1413" s="369"/>
    </row>
    <row r="1414" spans="1:10" ht="15.75" thickBot="1" x14ac:dyDescent="0.3">
      <c r="A1414" s="350"/>
      <c r="B1414" s="370"/>
      <c r="C1414" s="352"/>
      <c r="D1414" s="376"/>
      <c r="E1414" s="376"/>
      <c r="F1414" s="376"/>
      <c r="G1414" s="370"/>
      <c r="H1414" s="376"/>
      <c r="I1414" s="377"/>
      <c r="J1414" s="369"/>
    </row>
    <row r="1415" spans="1:10" s="40" customFormat="1" ht="15.75" thickBot="1" x14ac:dyDescent="0.3">
      <c r="A1415" s="46" t="s">
        <v>12103</v>
      </c>
      <c r="B1415" s="60" t="str">
        <f>VLOOKUP(A1415,PO!$A$8:$K$433,4,FALSE)</f>
        <v>TÊ, PVC, Soldável, DN 25 mm Instalado em Ramal ou Sub-Ramal de Água Fornecimento e Instalação</v>
      </c>
      <c r="C1415" s="47"/>
      <c r="D1415" s="48"/>
      <c r="E1415" s="47"/>
      <c r="F1415" s="49"/>
      <c r="G1415" s="50"/>
      <c r="H1415" s="50"/>
      <c r="I1415" s="50">
        <f>SUM(H1418:H1418)</f>
        <v>9</v>
      </c>
      <c r="J1415" s="284" t="str">
        <f>VLOOKUP(A1415,PO!$A$8:$K$433,5,FALSE)</f>
        <v>und</v>
      </c>
    </row>
    <row r="1416" spans="1:10" x14ac:dyDescent="0.25">
      <c r="A1416" s="350"/>
      <c r="B1416" s="370"/>
      <c r="C1416" s="352"/>
      <c r="D1416" s="376"/>
      <c r="E1416" s="376"/>
      <c r="F1416" s="376"/>
      <c r="G1416" s="370"/>
      <c r="H1416" s="376"/>
      <c r="I1416" s="377"/>
      <c r="J1416" s="369"/>
    </row>
    <row r="1417" spans="1:10" x14ac:dyDescent="0.25">
      <c r="A1417" s="350"/>
      <c r="B1417" s="360" t="s">
        <v>10886</v>
      </c>
      <c r="C1417" s="352"/>
      <c r="D1417" s="406" t="s">
        <v>10927</v>
      </c>
      <c r="E1417" s="376"/>
      <c r="F1417" s="376"/>
      <c r="G1417" s="370"/>
      <c r="H1417" s="363" t="s">
        <v>14</v>
      </c>
      <c r="I1417" s="363" t="s">
        <v>15</v>
      </c>
      <c r="J1417" s="369"/>
    </row>
    <row r="1418" spans="1:10" x14ac:dyDescent="0.25">
      <c r="A1418" s="350"/>
      <c r="B1418" s="370" t="s">
        <v>11804</v>
      </c>
      <c r="C1418" s="352"/>
      <c r="D1418" s="376">
        <v>9</v>
      </c>
      <c r="E1418" s="376"/>
      <c r="F1418" s="376"/>
      <c r="G1418" s="370" t="s">
        <v>16</v>
      </c>
      <c r="H1418" s="376">
        <f>ROUND(D1418,2)</f>
        <v>9</v>
      </c>
      <c r="I1418" s="377" t="str">
        <f>J1415</f>
        <v>und</v>
      </c>
      <c r="J1418" s="369"/>
    </row>
    <row r="1419" spans="1:10" x14ac:dyDescent="0.25">
      <c r="A1419" s="350"/>
      <c r="B1419" s="370"/>
      <c r="C1419" s="352"/>
      <c r="D1419" s="376"/>
      <c r="E1419" s="376"/>
      <c r="F1419" s="376"/>
      <c r="G1419" s="370"/>
      <c r="H1419" s="376"/>
      <c r="I1419" s="377"/>
      <c r="J1419" s="369"/>
    </row>
    <row r="1420" spans="1:10" x14ac:dyDescent="0.25">
      <c r="A1420" s="350"/>
      <c r="B1420" s="370" t="s">
        <v>11806</v>
      </c>
      <c r="C1420" s="352"/>
      <c r="D1420" s="376"/>
      <c r="E1420" s="376"/>
      <c r="F1420" s="376"/>
      <c r="G1420" s="370"/>
      <c r="H1420" s="376"/>
      <c r="I1420" s="377"/>
      <c r="J1420" s="369"/>
    </row>
    <row r="1421" spans="1:10" ht="15.75" thickBot="1" x14ac:dyDescent="0.3">
      <c r="A1421" s="350"/>
      <c r="B1421" s="370"/>
      <c r="C1421" s="352"/>
      <c r="D1421" s="376"/>
      <c r="E1421" s="376"/>
      <c r="F1421" s="376"/>
      <c r="G1421" s="370"/>
      <c r="H1421" s="376"/>
      <c r="I1421" s="377"/>
      <c r="J1421" s="369"/>
    </row>
    <row r="1422" spans="1:10" s="40" customFormat="1" ht="15.75" thickBot="1" x14ac:dyDescent="0.3">
      <c r="A1422" s="46" t="s">
        <v>12104</v>
      </c>
      <c r="B1422" s="60" t="str">
        <f>VLOOKUP(A1422,PO!$A$8:$K$433,4,FALSE)</f>
        <v>TÊ, PVC, Soldável, DN 32 mm Instalado em Ramal ou Sub-Ramal de Água Fornecimento e Instalação</v>
      </c>
      <c r="C1422" s="47"/>
      <c r="D1422" s="48"/>
      <c r="E1422" s="47"/>
      <c r="F1422" s="49"/>
      <c r="G1422" s="50"/>
      <c r="H1422" s="50"/>
      <c r="I1422" s="50">
        <f>SUM(H1425:H1425)</f>
        <v>3</v>
      </c>
      <c r="J1422" s="284" t="str">
        <f>VLOOKUP(A1422,PO!$A$8:$K$433,5,FALSE)</f>
        <v>und</v>
      </c>
    </row>
    <row r="1423" spans="1:10" x14ac:dyDescent="0.25">
      <c r="A1423" s="350"/>
      <c r="B1423" s="370"/>
      <c r="C1423" s="352"/>
      <c r="D1423" s="376"/>
      <c r="E1423" s="376"/>
      <c r="F1423" s="376"/>
      <c r="G1423" s="370"/>
      <c r="H1423" s="376"/>
      <c r="I1423" s="377"/>
      <c r="J1423" s="369"/>
    </row>
    <row r="1424" spans="1:10" x14ac:dyDescent="0.25">
      <c r="A1424" s="350"/>
      <c r="B1424" s="360" t="s">
        <v>10886</v>
      </c>
      <c r="C1424" s="352"/>
      <c r="D1424" s="406" t="s">
        <v>10927</v>
      </c>
      <c r="E1424" s="376"/>
      <c r="F1424" s="376"/>
      <c r="G1424" s="370"/>
      <c r="H1424" s="363" t="s">
        <v>14</v>
      </c>
      <c r="I1424" s="363" t="s">
        <v>15</v>
      </c>
      <c r="J1424" s="369"/>
    </row>
    <row r="1425" spans="1:10" x14ac:dyDescent="0.25">
      <c r="A1425" s="350"/>
      <c r="B1425" s="370" t="s">
        <v>11804</v>
      </c>
      <c r="C1425" s="352"/>
      <c r="D1425" s="376">
        <v>3</v>
      </c>
      <c r="E1425" s="376"/>
      <c r="F1425" s="376"/>
      <c r="G1425" s="370" t="s">
        <v>16</v>
      </c>
      <c r="H1425" s="376">
        <f>ROUND(D1425,2)</f>
        <v>3</v>
      </c>
      <c r="I1425" s="377" t="str">
        <f>J1422</f>
        <v>und</v>
      </c>
      <c r="J1425" s="369"/>
    </row>
    <row r="1426" spans="1:10" x14ac:dyDescent="0.25">
      <c r="A1426" s="350"/>
      <c r="B1426" s="370"/>
      <c r="C1426" s="352"/>
      <c r="D1426" s="376"/>
      <c r="E1426" s="376"/>
      <c r="F1426" s="376"/>
      <c r="G1426" s="370"/>
      <c r="H1426" s="376"/>
      <c r="I1426" s="377"/>
      <c r="J1426" s="369"/>
    </row>
    <row r="1427" spans="1:10" x14ac:dyDescent="0.25">
      <c r="A1427" s="350"/>
      <c r="B1427" s="370" t="s">
        <v>11806</v>
      </c>
      <c r="C1427" s="352"/>
      <c r="D1427" s="376"/>
      <c r="E1427" s="376"/>
      <c r="F1427" s="376"/>
      <c r="G1427" s="370"/>
      <c r="H1427" s="376"/>
      <c r="I1427" s="377"/>
      <c r="J1427" s="369"/>
    </row>
    <row r="1428" spans="1:10" ht="15.75" thickBot="1" x14ac:dyDescent="0.3">
      <c r="A1428" s="350"/>
      <c r="B1428" s="370"/>
      <c r="C1428" s="352"/>
      <c r="D1428" s="376"/>
      <c r="E1428" s="376"/>
      <c r="F1428" s="376"/>
      <c r="G1428" s="370"/>
      <c r="H1428" s="376"/>
      <c r="I1428" s="377"/>
      <c r="J1428" s="369"/>
    </row>
    <row r="1429" spans="1:10" s="40" customFormat="1" ht="15.75" thickBot="1" x14ac:dyDescent="0.3">
      <c r="A1429" s="46" t="s">
        <v>12105</v>
      </c>
      <c r="B1429" s="60" t="str">
        <f>VLOOKUP(A1429,PO!$A$8:$K$433,4,FALSE)</f>
        <v xml:space="preserve">Tê com bucha de latão na bolsa central, pvc, soldável, dn 25mm x ¾”, instalado em ramal ou sub-ramal de água - fornecimento e instalação. </v>
      </c>
      <c r="C1429" s="47"/>
      <c r="D1429" s="48"/>
      <c r="E1429" s="47"/>
      <c r="F1429" s="49"/>
      <c r="G1429" s="50"/>
      <c r="H1429" s="50"/>
      <c r="I1429" s="50">
        <f>SUM(H1432:H1432)</f>
        <v>1</v>
      </c>
      <c r="J1429" s="284" t="str">
        <f>VLOOKUP(A1429,PO!$A$8:$K$433,5,FALSE)</f>
        <v>und</v>
      </c>
    </row>
    <row r="1430" spans="1:10" x14ac:dyDescent="0.25">
      <c r="A1430" s="350"/>
      <c r="B1430" s="370"/>
      <c r="C1430" s="352"/>
      <c r="D1430" s="376"/>
      <c r="E1430" s="376"/>
      <c r="F1430" s="376"/>
      <c r="G1430" s="370"/>
      <c r="H1430" s="376"/>
      <c r="I1430" s="377"/>
      <c r="J1430" s="369"/>
    </row>
    <row r="1431" spans="1:10" x14ac:dyDescent="0.25">
      <c r="A1431" s="350"/>
      <c r="B1431" s="360" t="s">
        <v>10886</v>
      </c>
      <c r="C1431" s="352"/>
      <c r="D1431" s="406" t="s">
        <v>10927</v>
      </c>
      <c r="E1431" s="376"/>
      <c r="F1431" s="376"/>
      <c r="G1431" s="370"/>
      <c r="H1431" s="363" t="s">
        <v>14</v>
      </c>
      <c r="I1431" s="363" t="s">
        <v>15</v>
      </c>
      <c r="J1431" s="369"/>
    </row>
    <row r="1432" spans="1:10" x14ac:dyDescent="0.25">
      <c r="A1432" s="350"/>
      <c r="B1432" s="370" t="s">
        <v>11804</v>
      </c>
      <c r="C1432" s="352"/>
      <c r="D1432" s="376">
        <v>1</v>
      </c>
      <c r="E1432" s="376"/>
      <c r="F1432" s="376"/>
      <c r="G1432" s="370" t="s">
        <v>16</v>
      </c>
      <c r="H1432" s="376">
        <f>ROUND(D1432,2)</f>
        <v>1</v>
      </c>
      <c r="I1432" s="377" t="str">
        <f>J1429</f>
        <v>und</v>
      </c>
      <c r="J1432" s="369"/>
    </row>
    <row r="1433" spans="1:10" x14ac:dyDescent="0.25">
      <c r="A1433" s="350"/>
      <c r="B1433" s="370"/>
      <c r="C1433" s="352"/>
      <c r="D1433" s="376"/>
      <c r="E1433" s="376"/>
      <c r="F1433" s="376"/>
      <c r="G1433" s="370"/>
      <c r="H1433" s="376"/>
      <c r="I1433" s="377"/>
      <c r="J1433" s="369"/>
    </row>
    <row r="1434" spans="1:10" x14ac:dyDescent="0.25">
      <c r="A1434" s="350"/>
      <c r="B1434" s="370" t="s">
        <v>11806</v>
      </c>
      <c r="C1434" s="352"/>
      <c r="D1434" s="376"/>
      <c r="E1434" s="376"/>
      <c r="F1434" s="376"/>
      <c r="G1434" s="370"/>
      <c r="H1434" s="376"/>
      <c r="I1434" s="377"/>
      <c r="J1434" s="369"/>
    </row>
    <row r="1435" spans="1:10" ht="15.75" thickBot="1" x14ac:dyDescent="0.3">
      <c r="A1435" s="350"/>
      <c r="B1435" s="370"/>
      <c r="C1435" s="352"/>
      <c r="D1435" s="376"/>
      <c r="E1435" s="376"/>
      <c r="F1435" s="376"/>
      <c r="G1435" s="370"/>
      <c r="H1435" s="376"/>
      <c r="I1435" s="377"/>
      <c r="J1435" s="369"/>
    </row>
    <row r="1436" spans="1:10" s="40" customFormat="1" ht="15.75" thickBot="1" x14ac:dyDescent="0.3">
      <c r="A1436" s="46" t="s">
        <v>12106</v>
      </c>
      <c r="B1436" s="60" t="str">
        <f>VLOOKUP(A1436,PO!$A$8:$K$433,4,FALSE)</f>
        <v xml:space="preserve">Joelho 45 graus, PVC, serie normal, esgoto predial, DN 40 mm, junta soldável, fornecido e instalado em ramal de descarga ou ramal de esgoto sanitário. </v>
      </c>
      <c r="C1436" s="47"/>
      <c r="D1436" s="48"/>
      <c r="E1436" s="47"/>
      <c r="F1436" s="49"/>
      <c r="G1436" s="50"/>
      <c r="H1436" s="50"/>
      <c r="I1436" s="50">
        <f>SUM(H1439:H1439)</f>
        <v>6</v>
      </c>
      <c r="J1436" s="284" t="str">
        <f>VLOOKUP(A1436,PO!$A$8:$K$433,5,FALSE)</f>
        <v>und</v>
      </c>
    </row>
    <row r="1437" spans="1:10" x14ac:dyDescent="0.25">
      <c r="A1437" s="350"/>
      <c r="B1437" s="370"/>
      <c r="C1437" s="352"/>
      <c r="D1437" s="376"/>
      <c r="E1437" s="376"/>
      <c r="F1437" s="376"/>
      <c r="G1437" s="370"/>
      <c r="H1437" s="376"/>
      <c r="I1437" s="377"/>
      <c r="J1437" s="369"/>
    </row>
    <row r="1438" spans="1:10" x14ac:dyDescent="0.25">
      <c r="A1438" s="350"/>
      <c r="B1438" s="360" t="s">
        <v>10886</v>
      </c>
      <c r="C1438" s="352"/>
      <c r="D1438" s="406" t="s">
        <v>10927</v>
      </c>
      <c r="E1438" s="376"/>
      <c r="F1438" s="376"/>
      <c r="G1438" s="370"/>
      <c r="H1438" s="363" t="s">
        <v>14</v>
      </c>
      <c r="I1438" s="363" t="s">
        <v>15</v>
      </c>
      <c r="J1438" s="369"/>
    </row>
    <row r="1439" spans="1:10" x14ac:dyDescent="0.25">
      <c r="A1439" s="350"/>
      <c r="B1439" s="370" t="s">
        <v>11805</v>
      </c>
      <c r="C1439" s="352"/>
      <c r="D1439" s="376">
        <v>6</v>
      </c>
      <c r="E1439" s="376"/>
      <c r="F1439" s="376"/>
      <c r="G1439" s="370" t="s">
        <v>16</v>
      </c>
      <c r="H1439" s="376">
        <f>ROUND(D1439,2)</f>
        <v>6</v>
      </c>
      <c r="I1439" s="377" t="str">
        <f>J1436</f>
        <v>und</v>
      </c>
      <c r="J1439" s="369"/>
    </row>
    <row r="1440" spans="1:10" x14ac:dyDescent="0.25">
      <c r="A1440" s="350"/>
      <c r="B1440" s="370"/>
      <c r="C1440" s="352"/>
      <c r="D1440" s="376"/>
      <c r="E1440" s="376"/>
      <c r="F1440" s="376"/>
      <c r="G1440" s="370"/>
      <c r="H1440" s="376"/>
      <c r="I1440" s="377"/>
      <c r="J1440" s="369"/>
    </row>
    <row r="1441" spans="1:10" x14ac:dyDescent="0.25">
      <c r="A1441" s="350"/>
      <c r="B1441" s="370" t="s">
        <v>11821</v>
      </c>
      <c r="C1441" s="352"/>
      <c r="D1441" s="376"/>
      <c r="E1441" s="376"/>
      <c r="F1441" s="376"/>
      <c r="G1441" s="370"/>
      <c r="H1441" s="376"/>
      <c r="I1441" s="377"/>
      <c r="J1441" s="369"/>
    </row>
    <row r="1442" spans="1:10" ht="15.75" thickBot="1" x14ac:dyDescent="0.3">
      <c r="A1442" s="350"/>
      <c r="B1442" s="370"/>
      <c r="C1442" s="352"/>
      <c r="D1442" s="376"/>
      <c r="E1442" s="376"/>
      <c r="F1442" s="376"/>
      <c r="G1442" s="370"/>
      <c r="H1442" s="376"/>
      <c r="I1442" s="377"/>
      <c r="J1442" s="369"/>
    </row>
    <row r="1443" spans="1:10" s="40" customFormat="1" ht="15.75" thickBot="1" x14ac:dyDescent="0.3">
      <c r="A1443" s="46" t="s">
        <v>12107</v>
      </c>
      <c r="B1443" s="60" t="str">
        <f>VLOOKUP(A1443,PO!$A$8:$K$433,4,FALSE)</f>
        <v xml:space="preserve">Joelho 45 graus, PVC, serie normal, esgoto predial, DN 50 mm, junta soldável, fornecido e instalado em prumada de esgoto sanitário ou ventilação. </v>
      </c>
      <c r="C1443" s="47"/>
      <c r="D1443" s="48"/>
      <c r="E1443" s="47"/>
      <c r="F1443" s="49"/>
      <c r="G1443" s="50"/>
      <c r="H1443" s="50"/>
      <c r="I1443" s="50">
        <f>SUM(H1446:H1446)</f>
        <v>1</v>
      </c>
      <c r="J1443" s="284" t="str">
        <f>VLOOKUP(A1443,PO!$A$8:$K$433,5,FALSE)</f>
        <v>und</v>
      </c>
    </row>
    <row r="1444" spans="1:10" x14ac:dyDescent="0.25">
      <c r="A1444" s="350"/>
      <c r="B1444" s="370"/>
      <c r="C1444" s="352"/>
      <c r="D1444" s="376"/>
      <c r="E1444" s="376"/>
      <c r="F1444" s="376"/>
      <c r="G1444" s="370"/>
      <c r="H1444" s="376"/>
      <c r="I1444" s="377"/>
      <c r="J1444" s="369"/>
    </row>
    <row r="1445" spans="1:10" x14ac:dyDescent="0.25">
      <c r="A1445" s="350"/>
      <c r="B1445" s="360" t="s">
        <v>10886</v>
      </c>
      <c r="C1445" s="352"/>
      <c r="D1445" s="406" t="s">
        <v>10927</v>
      </c>
      <c r="E1445" s="376"/>
      <c r="F1445" s="376"/>
      <c r="G1445" s="370"/>
      <c r="H1445" s="363" t="s">
        <v>14</v>
      </c>
      <c r="I1445" s="363" t="s">
        <v>15</v>
      </c>
      <c r="J1445" s="369"/>
    </row>
    <row r="1446" spans="1:10" x14ac:dyDescent="0.25">
      <c r="A1446" s="350"/>
      <c r="B1446" s="370" t="s">
        <v>11805</v>
      </c>
      <c r="C1446" s="352"/>
      <c r="D1446" s="376">
        <v>1</v>
      </c>
      <c r="E1446" s="376"/>
      <c r="F1446" s="376"/>
      <c r="G1446" s="370" t="s">
        <v>16</v>
      </c>
      <c r="H1446" s="376">
        <f>ROUND(D1446,2)</f>
        <v>1</v>
      </c>
      <c r="I1446" s="377" t="str">
        <f>J1443</f>
        <v>und</v>
      </c>
      <c r="J1446" s="369"/>
    </row>
    <row r="1447" spans="1:10" x14ac:dyDescent="0.25">
      <c r="A1447" s="350"/>
      <c r="B1447" s="370"/>
      <c r="C1447" s="352"/>
      <c r="D1447" s="376"/>
      <c r="E1447" s="376"/>
      <c r="F1447" s="376"/>
      <c r="G1447" s="370"/>
      <c r="H1447" s="376"/>
      <c r="I1447" s="377"/>
      <c r="J1447" s="369"/>
    </row>
    <row r="1448" spans="1:10" x14ac:dyDescent="0.25">
      <c r="A1448" s="350"/>
      <c r="B1448" s="370" t="s">
        <v>11821</v>
      </c>
      <c r="C1448" s="352"/>
      <c r="D1448" s="376"/>
      <c r="E1448" s="376"/>
      <c r="F1448" s="376"/>
      <c r="G1448" s="370"/>
      <c r="H1448" s="376"/>
      <c r="I1448" s="377"/>
      <c r="J1448" s="369"/>
    </row>
    <row r="1449" spans="1:10" ht="15.75" thickBot="1" x14ac:dyDescent="0.3">
      <c r="A1449" s="350"/>
      <c r="B1449" s="370"/>
      <c r="C1449" s="352"/>
      <c r="D1449" s="376"/>
      <c r="E1449" s="376"/>
      <c r="F1449" s="376"/>
      <c r="G1449" s="370"/>
      <c r="H1449" s="376"/>
      <c r="I1449" s="377"/>
      <c r="J1449" s="369"/>
    </row>
    <row r="1450" spans="1:10" s="40" customFormat="1" ht="15.75" thickBot="1" x14ac:dyDescent="0.3">
      <c r="A1450" s="46" t="s">
        <v>12108</v>
      </c>
      <c r="B1450" s="60" t="str">
        <f>VLOOKUP(A1450,PO!$A$8:$K$433,4,FALSE)</f>
        <v xml:space="preserve">Joelho 45 graus, pvc, serie normal, esgoto predial, dn 100 mm, junta elástica, fornecido e instalado em prumada de esgoto sanitário ou ventilação. </v>
      </c>
      <c r="C1450" s="47"/>
      <c r="D1450" s="48"/>
      <c r="E1450" s="47"/>
      <c r="F1450" s="49"/>
      <c r="G1450" s="50"/>
      <c r="H1450" s="50"/>
      <c r="I1450" s="50">
        <f>SUM(H1453:H1453)</f>
        <v>1</v>
      </c>
      <c r="J1450" s="284" t="str">
        <f>VLOOKUP(A1450,PO!$A$8:$K$433,5,FALSE)</f>
        <v>und</v>
      </c>
    </row>
    <row r="1451" spans="1:10" x14ac:dyDescent="0.25">
      <c r="A1451" s="350"/>
      <c r="B1451" s="370"/>
      <c r="C1451" s="352"/>
      <c r="D1451" s="376"/>
      <c r="E1451" s="376"/>
      <c r="F1451" s="376"/>
      <c r="G1451" s="370"/>
      <c r="H1451" s="376"/>
      <c r="I1451" s="377"/>
      <c r="J1451" s="369"/>
    </row>
    <row r="1452" spans="1:10" x14ac:dyDescent="0.25">
      <c r="A1452" s="350"/>
      <c r="B1452" s="360" t="s">
        <v>10886</v>
      </c>
      <c r="C1452" s="352"/>
      <c r="D1452" s="406" t="s">
        <v>10927</v>
      </c>
      <c r="E1452" s="376"/>
      <c r="F1452" s="376"/>
      <c r="G1452" s="370"/>
      <c r="H1452" s="363" t="s">
        <v>14</v>
      </c>
      <c r="I1452" s="363" t="s">
        <v>15</v>
      </c>
      <c r="J1452" s="369"/>
    </row>
    <row r="1453" spans="1:10" x14ac:dyDescent="0.25">
      <c r="A1453" s="350"/>
      <c r="B1453" s="370" t="s">
        <v>11805</v>
      </c>
      <c r="C1453" s="352"/>
      <c r="D1453" s="376">
        <v>1</v>
      </c>
      <c r="E1453" s="376"/>
      <c r="F1453" s="376"/>
      <c r="G1453" s="370" t="s">
        <v>16</v>
      </c>
      <c r="H1453" s="376">
        <f>ROUND(D1453,2)</f>
        <v>1</v>
      </c>
      <c r="I1453" s="377" t="str">
        <f>J1450</f>
        <v>und</v>
      </c>
      <c r="J1453" s="369"/>
    </row>
    <row r="1454" spans="1:10" x14ac:dyDescent="0.25">
      <c r="A1454" s="350"/>
      <c r="B1454" s="370"/>
      <c r="C1454" s="352"/>
      <c r="D1454" s="376"/>
      <c r="E1454" s="376"/>
      <c r="F1454" s="376"/>
      <c r="G1454" s="370"/>
      <c r="H1454" s="376"/>
      <c r="I1454" s="377"/>
      <c r="J1454" s="369"/>
    </row>
    <row r="1455" spans="1:10" x14ac:dyDescent="0.25">
      <c r="A1455" s="350"/>
      <c r="B1455" s="370" t="s">
        <v>11821</v>
      </c>
      <c r="C1455" s="352"/>
      <c r="D1455" s="376"/>
      <c r="E1455" s="376"/>
      <c r="F1455" s="376"/>
      <c r="G1455" s="370"/>
      <c r="H1455" s="376"/>
      <c r="I1455" s="377"/>
      <c r="J1455" s="369"/>
    </row>
    <row r="1456" spans="1:10" ht="15.75" thickBot="1" x14ac:dyDescent="0.3">
      <c r="A1456" s="350"/>
      <c r="B1456" s="370"/>
      <c r="C1456" s="352"/>
      <c r="D1456" s="376"/>
      <c r="E1456" s="376"/>
      <c r="F1456" s="376"/>
      <c r="G1456" s="370"/>
      <c r="H1456" s="376"/>
      <c r="I1456" s="377"/>
      <c r="J1456" s="369"/>
    </row>
    <row r="1457" spans="1:10" s="40" customFormat="1" ht="15.75" thickBot="1" x14ac:dyDescent="0.3">
      <c r="A1457" s="46" t="s">
        <v>12109</v>
      </c>
      <c r="B1457" s="60" t="str">
        <f>VLOOKUP(A1457,PO!$A$8:$K$433,4,FALSE)</f>
        <v xml:space="preserve">Joelho 90 graus, PVC, serie normal, esgoto predial, DN 40 mm, junta soldável, fornecido e instalado em ramal de descarga ou ramal de esgoto sanitário. </v>
      </c>
      <c r="C1457" s="47"/>
      <c r="D1457" s="48"/>
      <c r="E1457" s="47"/>
      <c r="F1457" s="49"/>
      <c r="G1457" s="50"/>
      <c r="H1457" s="50"/>
      <c r="I1457" s="50">
        <f>SUM(H1460:H1460)</f>
        <v>6</v>
      </c>
      <c r="J1457" s="284" t="str">
        <f>VLOOKUP(A1457,PO!$A$8:$K$433,5,FALSE)</f>
        <v>und</v>
      </c>
    </row>
    <row r="1458" spans="1:10" x14ac:dyDescent="0.25">
      <c r="A1458" s="350"/>
      <c r="B1458" s="370"/>
      <c r="C1458" s="352"/>
      <c r="D1458" s="376"/>
      <c r="E1458" s="376"/>
      <c r="F1458" s="376"/>
      <c r="G1458" s="370"/>
      <c r="H1458" s="376"/>
      <c r="I1458" s="377"/>
      <c r="J1458" s="369"/>
    </row>
    <row r="1459" spans="1:10" x14ac:dyDescent="0.25">
      <c r="A1459" s="350"/>
      <c r="B1459" s="360" t="s">
        <v>10886</v>
      </c>
      <c r="C1459" s="352"/>
      <c r="D1459" s="406" t="s">
        <v>10927</v>
      </c>
      <c r="E1459" s="376"/>
      <c r="F1459" s="376"/>
      <c r="G1459" s="370"/>
      <c r="H1459" s="363" t="s">
        <v>14</v>
      </c>
      <c r="I1459" s="363" t="s">
        <v>15</v>
      </c>
      <c r="J1459" s="369"/>
    </row>
    <row r="1460" spans="1:10" x14ac:dyDescent="0.25">
      <c r="A1460" s="350"/>
      <c r="B1460" s="370" t="s">
        <v>11805</v>
      </c>
      <c r="C1460" s="352"/>
      <c r="D1460" s="376">
        <v>6</v>
      </c>
      <c r="E1460" s="376"/>
      <c r="F1460" s="376"/>
      <c r="G1460" s="370" t="s">
        <v>16</v>
      </c>
      <c r="H1460" s="376">
        <f>ROUND(D1460,2)</f>
        <v>6</v>
      </c>
      <c r="I1460" s="377" t="str">
        <f>J1457</f>
        <v>und</v>
      </c>
      <c r="J1460" s="369"/>
    </row>
    <row r="1461" spans="1:10" x14ac:dyDescent="0.25">
      <c r="A1461" s="350"/>
      <c r="B1461" s="370"/>
      <c r="C1461" s="352"/>
      <c r="D1461" s="376"/>
      <c r="E1461" s="376"/>
      <c r="F1461" s="376"/>
      <c r="G1461" s="370"/>
      <c r="H1461" s="376"/>
      <c r="I1461" s="377"/>
      <c r="J1461" s="369"/>
    </row>
    <row r="1462" spans="1:10" x14ac:dyDescent="0.25">
      <c r="A1462" s="350"/>
      <c r="B1462" s="370" t="s">
        <v>11821</v>
      </c>
      <c r="C1462" s="352"/>
      <c r="D1462" s="376"/>
      <c r="E1462" s="376"/>
      <c r="F1462" s="376"/>
      <c r="G1462" s="370"/>
      <c r="H1462" s="376"/>
      <c r="I1462" s="377"/>
      <c r="J1462" s="369"/>
    </row>
    <row r="1463" spans="1:10" ht="15.75" thickBot="1" x14ac:dyDescent="0.3">
      <c r="A1463" s="350"/>
      <c r="B1463" s="370"/>
      <c r="C1463" s="352"/>
      <c r="D1463" s="376"/>
      <c r="E1463" s="376"/>
      <c r="F1463" s="376"/>
      <c r="G1463" s="370"/>
      <c r="H1463" s="376"/>
      <c r="I1463" s="377"/>
      <c r="J1463" s="369"/>
    </row>
    <row r="1464" spans="1:10" s="40" customFormat="1" ht="15.75" thickBot="1" x14ac:dyDescent="0.3">
      <c r="A1464" s="46" t="s">
        <v>12110</v>
      </c>
      <c r="B1464" s="60" t="str">
        <f>VLOOKUP(A1464,PO!$A$8:$K$433,4,FALSE)</f>
        <v xml:space="preserve">Joelho 90 graus, PVC, serie normal, esgoto predial, DN 50 mm, junta soldável, fornecido e instalado em prumada de esgoto sanitário ou ventilação. </v>
      </c>
      <c r="C1464" s="47"/>
      <c r="D1464" s="48"/>
      <c r="E1464" s="47"/>
      <c r="F1464" s="49"/>
      <c r="G1464" s="50"/>
      <c r="H1464" s="50"/>
      <c r="I1464" s="50">
        <f>SUM(H1467:H1467)</f>
        <v>9</v>
      </c>
      <c r="J1464" s="284" t="str">
        <f>VLOOKUP(A1464,PO!$A$8:$K$433,5,FALSE)</f>
        <v>und</v>
      </c>
    </row>
    <row r="1465" spans="1:10" x14ac:dyDescent="0.25">
      <c r="A1465" s="350"/>
      <c r="B1465" s="370"/>
      <c r="C1465" s="352"/>
      <c r="D1465" s="376"/>
      <c r="E1465" s="376"/>
      <c r="F1465" s="376"/>
      <c r="G1465" s="370"/>
      <c r="H1465" s="376"/>
      <c r="I1465" s="377"/>
      <c r="J1465" s="369"/>
    </row>
    <row r="1466" spans="1:10" x14ac:dyDescent="0.25">
      <c r="A1466" s="350"/>
      <c r="B1466" s="360" t="s">
        <v>10886</v>
      </c>
      <c r="C1466" s="352"/>
      <c r="D1466" s="406" t="s">
        <v>10927</v>
      </c>
      <c r="E1466" s="376"/>
      <c r="F1466" s="376"/>
      <c r="G1466" s="370"/>
      <c r="H1466" s="363" t="s">
        <v>14</v>
      </c>
      <c r="I1466" s="363" t="s">
        <v>15</v>
      </c>
      <c r="J1466" s="369"/>
    </row>
    <row r="1467" spans="1:10" x14ac:dyDescent="0.25">
      <c r="A1467" s="350"/>
      <c r="B1467" s="370" t="s">
        <v>11805</v>
      </c>
      <c r="C1467" s="352"/>
      <c r="D1467" s="376">
        <v>9</v>
      </c>
      <c r="E1467" s="376"/>
      <c r="F1467" s="376"/>
      <c r="G1467" s="370" t="s">
        <v>16</v>
      </c>
      <c r="H1467" s="376">
        <f>ROUND(D1467,2)</f>
        <v>9</v>
      </c>
      <c r="I1467" s="377" t="str">
        <f>J1464</f>
        <v>und</v>
      </c>
      <c r="J1467" s="369"/>
    </row>
    <row r="1468" spans="1:10" x14ac:dyDescent="0.25">
      <c r="A1468" s="350"/>
      <c r="B1468" s="370"/>
      <c r="C1468" s="352"/>
      <c r="D1468" s="376"/>
      <c r="E1468" s="376"/>
      <c r="F1468" s="376"/>
      <c r="G1468" s="370"/>
      <c r="H1468" s="376"/>
      <c r="I1468" s="377"/>
      <c r="J1468" s="369"/>
    </row>
    <row r="1469" spans="1:10" x14ac:dyDescent="0.25">
      <c r="A1469" s="350"/>
      <c r="B1469" s="370" t="s">
        <v>11821</v>
      </c>
      <c r="C1469" s="352"/>
      <c r="D1469" s="376"/>
      <c r="E1469" s="376"/>
      <c r="F1469" s="376"/>
      <c r="G1469" s="370"/>
      <c r="H1469" s="376"/>
      <c r="I1469" s="377"/>
      <c r="J1469" s="369"/>
    </row>
    <row r="1470" spans="1:10" ht="15.75" thickBot="1" x14ac:dyDescent="0.3">
      <c r="A1470" s="350"/>
      <c r="B1470" s="370"/>
      <c r="C1470" s="352"/>
      <c r="D1470" s="376"/>
      <c r="E1470" s="376"/>
      <c r="F1470" s="376"/>
      <c r="G1470" s="370"/>
      <c r="H1470" s="376"/>
      <c r="I1470" s="377"/>
      <c r="J1470" s="369"/>
    </row>
    <row r="1471" spans="1:10" s="40" customFormat="1" ht="15.75" thickBot="1" x14ac:dyDescent="0.3">
      <c r="A1471" s="46" t="s">
        <v>12111</v>
      </c>
      <c r="B1471" s="60" t="str">
        <f>VLOOKUP(A1471,PO!$A$8:$K$433,4,FALSE)</f>
        <v xml:space="preserve">Joelho 90 graus, PVC, serie normal, esgoto predial, DN 100 mm, junta elástica, fornecido e instalado em prumada de esgoto sanitário ou ventilação. </v>
      </c>
      <c r="C1471" s="47"/>
      <c r="D1471" s="48"/>
      <c r="E1471" s="47"/>
      <c r="F1471" s="49"/>
      <c r="G1471" s="50"/>
      <c r="H1471" s="50"/>
      <c r="I1471" s="50">
        <f>SUM(H1474:H1474)</f>
        <v>3</v>
      </c>
      <c r="J1471" s="284" t="str">
        <f>VLOOKUP(A1471,PO!$A$8:$K$433,5,FALSE)</f>
        <v>und</v>
      </c>
    </row>
    <row r="1472" spans="1:10" x14ac:dyDescent="0.25">
      <c r="A1472" s="350"/>
      <c r="B1472" s="370"/>
      <c r="C1472" s="352"/>
      <c r="D1472" s="376"/>
      <c r="E1472" s="376"/>
      <c r="F1472" s="376"/>
      <c r="G1472" s="370"/>
      <c r="H1472" s="376"/>
      <c r="I1472" s="377"/>
      <c r="J1472" s="369"/>
    </row>
    <row r="1473" spans="1:10" x14ac:dyDescent="0.25">
      <c r="A1473" s="350"/>
      <c r="B1473" s="360" t="s">
        <v>10886</v>
      </c>
      <c r="C1473" s="352"/>
      <c r="D1473" s="406" t="s">
        <v>10927</v>
      </c>
      <c r="E1473" s="376"/>
      <c r="F1473" s="376"/>
      <c r="G1473" s="370"/>
      <c r="H1473" s="363" t="s">
        <v>14</v>
      </c>
      <c r="I1473" s="363" t="s">
        <v>15</v>
      </c>
      <c r="J1473" s="369"/>
    </row>
    <row r="1474" spans="1:10" x14ac:dyDescent="0.25">
      <c r="A1474" s="350"/>
      <c r="B1474" s="370" t="s">
        <v>11805</v>
      </c>
      <c r="C1474" s="352"/>
      <c r="D1474" s="376">
        <v>3</v>
      </c>
      <c r="E1474" s="376"/>
      <c r="F1474" s="376"/>
      <c r="G1474" s="370" t="s">
        <v>16</v>
      </c>
      <c r="H1474" s="376">
        <f>ROUND(D1474,2)</f>
        <v>3</v>
      </c>
      <c r="I1474" s="377" t="str">
        <f>J1471</f>
        <v>und</v>
      </c>
      <c r="J1474" s="369"/>
    </row>
    <row r="1475" spans="1:10" x14ac:dyDescent="0.25">
      <c r="A1475" s="350"/>
      <c r="B1475" s="370"/>
      <c r="C1475" s="352"/>
      <c r="D1475" s="376"/>
      <c r="E1475" s="376"/>
      <c r="F1475" s="376"/>
      <c r="G1475" s="370"/>
      <c r="H1475" s="376"/>
      <c r="I1475" s="377"/>
      <c r="J1475" s="369"/>
    </row>
    <row r="1476" spans="1:10" x14ac:dyDescent="0.25">
      <c r="A1476" s="350"/>
      <c r="B1476" s="370" t="s">
        <v>11821</v>
      </c>
      <c r="C1476" s="352"/>
      <c r="D1476" s="376"/>
      <c r="E1476" s="376"/>
      <c r="F1476" s="376"/>
      <c r="G1476" s="370"/>
      <c r="H1476" s="376"/>
      <c r="I1476" s="377"/>
      <c r="J1476" s="369"/>
    </row>
    <row r="1477" spans="1:10" ht="15.75" thickBot="1" x14ac:dyDescent="0.3">
      <c r="A1477" s="350"/>
      <c r="B1477" s="370"/>
      <c r="C1477" s="352"/>
      <c r="D1477" s="376"/>
      <c r="E1477" s="376"/>
      <c r="F1477" s="376"/>
      <c r="G1477" s="370"/>
      <c r="H1477" s="376"/>
      <c r="I1477" s="377"/>
      <c r="J1477" s="369"/>
    </row>
    <row r="1478" spans="1:10" s="40" customFormat="1" ht="15.75" thickBot="1" x14ac:dyDescent="0.3">
      <c r="A1478" s="46" t="s">
        <v>12112</v>
      </c>
      <c r="B1478" s="60" t="str">
        <f>VLOOKUP(A1478,PO!$A$8:$K$433,4,FALSE)</f>
        <v>Joelho 90° PVCØ 40 mm com anel - Fornecido e instalado</v>
      </c>
      <c r="C1478" s="47"/>
      <c r="D1478" s="48"/>
      <c r="E1478" s="47"/>
      <c r="F1478" s="49"/>
      <c r="G1478" s="50"/>
      <c r="H1478" s="50"/>
      <c r="I1478" s="50">
        <f>SUM(H1481:H1481)</f>
        <v>6</v>
      </c>
      <c r="J1478" s="284" t="str">
        <f>VLOOKUP(A1478,PO!$A$8:$K$433,5,FALSE)</f>
        <v>und</v>
      </c>
    </row>
    <row r="1479" spans="1:10" x14ac:dyDescent="0.25">
      <c r="A1479" s="350"/>
      <c r="B1479" s="370"/>
      <c r="C1479" s="352"/>
      <c r="D1479" s="376"/>
      <c r="E1479" s="376"/>
      <c r="F1479" s="376"/>
      <c r="G1479" s="370"/>
      <c r="H1479" s="376"/>
      <c r="I1479" s="377"/>
      <c r="J1479" s="369"/>
    </row>
    <row r="1480" spans="1:10" x14ac:dyDescent="0.25">
      <c r="A1480" s="350"/>
      <c r="B1480" s="360" t="s">
        <v>10886</v>
      </c>
      <c r="C1480" s="352"/>
      <c r="D1480" s="406" t="s">
        <v>10927</v>
      </c>
      <c r="E1480" s="376"/>
      <c r="F1480" s="376"/>
      <c r="G1480" s="370"/>
      <c r="H1480" s="363" t="s">
        <v>14</v>
      </c>
      <c r="I1480" s="363" t="s">
        <v>15</v>
      </c>
      <c r="J1480" s="369"/>
    </row>
    <row r="1481" spans="1:10" x14ac:dyDescent="0.25">
      <c r="A1481" s="350"/>
      <c r="B1481" s="370" t="s">
        <v>11805</v>
      </c>
      <c r="C1481" s="352"/>
      <c r="D1481" s="376">
        <v>6</v>
      </c>
      <c r="E1481" s="376"/>
      <c r="F1481" s="376"/>
      <c r="G1481" s="370" t="s">
        <v>16</v>
      </c>
      <c r="H1481" s="376">
        <f>ROUND(D1481,2)</f>
        <v>6</v>
      </c>
      <c r="I1481" s="377" t="str">
        <f>J1478</f>
        <v>und</v>
      </c>
      <c r="J1481" s="369"/>
    </row>
    <row r="1482" spans="1:10" x14ac:dyDescent="0.25">
      <c r="A1482" s="350"/>
      <c r="B1482" s="370"/>
      <c r="C1482" s="352"/>
      <c r="D1482" s="376"/>
      <c r="E1482" s="376"/>
      <c r="F1482" s="376"/>
      <c r="G1482" s="370"/>
      <c r="H1482" s="376"/>
      <c r="I1482" s="377"/>
      <c r="J1482" s="369"/>
    </row>
    <row r="1483" spans="1:10" x14ac:dyDescent="0.25">
      <c r="A1483" s="350"/>
      <c r="B1483" s="370" t="s">
        <v>11821</v>
      </c>
      <c r="C1483" s="352"/>
      <c r="D1483" s="376"/>
      <c r="E1483" s="376"/>
      <c r="F1483" s="376"/>
      <c r="G1483" s="370"/>
      <c r="H1483" s="376"/>
      <c r="I1483" s="377"/>
      <c r="J1483" s="369"/>
    </row>
    <row r="1484" spans="1:10" ht="15.75" thickBot="1" x14ac:dyDescent="0.3">
      <c r="A1484" s="350"/>
      <c r="B1484" s="370"/>
      <c r="C1484" s="352"/>
      <c r="D1484" s="376"/>
      <c r="E1484" s="376"/>
      <c r="F1484" s="376"/>
      <c r="G1484" s="370"/>
      <c r="H1484" s="376"/>
      <c r="I1484" s="377"/>
      <c r="J1484" s="369"/>
    </row>
    <row r="1485" spans="1:10" s="40" customFormat="1" ht="15.75" thickBot="1" x14ac:dyDescent="0.3">
      <c r="A1485" s="46" t="s">
        <v>12113</v>
      </c>
      <c r="B1485" s="60" t="str">
        <f>VLOOKUP(A1485,PO!$A$8:$K$433,4,FALSE)</f>
        <v>Junção Simples 100 x 50mm, Esgoto Série Normal.</v>
      </c>
      <c r="C1485" s="47"/>
      <c r="D1485" s="48"/>
      <c r="E1485" s="47"/>
      <c r="F1485" s="49"/>
      <c r="G1485" s="50"/>
      <c r="H1485" s="50"/>
      <c r="I1485" s="50">
        <f>SUM(H1488:H1488)</f>
        <v>3</v>
      </c>
      <c r="J1485" s="284" t="str">
        <f>VLOOKUP(A1485,PO!$A$8:$K$433,5,FALSE)</f>
        <v>und</v>
      </c>
    </row>
    <row r="1486" spans="1:10" x14ac:dyDescent="0.25">
      <c r="A1486" s="350"/>
      <c r="B1486" s="370"/>
      <c r="C1486" s="352"/>
      <c r="D1486" s="376"/>
      <c r="E1486" s="376"/>
      <c r="F1486" s="376"/>
      <c r="G1486" s="370"/>
      <c r="H1486" s="376"/>
      <c r="I1486" s="377"/>
      <c r="J1486" s="369"/>
    </row>
    <row r="1487" spans="1:10" x14ac:dyDescent="0.25">
      <c r="A1487" s="350"/>
      <c r="B1487" s="360" t="s">
        <v>10886</v>
      </c>
      <c r="C1487" s="352"/>
      <c r="D1487" s="406" t="s">
        <v>10927</v>
      </c>
      <c r="E1487" s="376"/>
      <c r="F1487" s="376"/>
      <c r="G1487" s="370"/>
      <c r="H1487" s="363" t="s">
        <v>14</v>
      </c>
      <c r="I1487" s="363" t="s">
        <v>15</v>
      </c>
      <c r="J1487" s="369"/>
    </row>
    <row r="1488" spans="1:10" x14ac:dyDescent="0.25">
      <c r="A1488" s="350"/>
      <c r="B1488" s="370" t="s">
        <v>11805</v>
      </c>
      <c r="C1488" s="352"/>
      <c r="D1488" s="376">
        <v>3</v>
      </c>
      <c r="E1488" s="376"/>
      <c r="F1488" s="376"/>
      <c r="G1488" s="370" t="s">
        <v>16</v>
      </c>
      <c r="H1488" s="376">
        <f>ROUND(D1488,2)</f>
        <v>3</v>
      </c>
      <c r="I1488" s="377" t="str">
        <f>J1485</f>
        <v>und</v>
      </c>
      <c r="J1488" s="369"/>
    </row>
    <row r="1489" spans="1:10" x14ac:dyDescent="0.25">
      <c r="A1489" s="350"/>
      <c r="B1489" s="370"/>
      <c r="C1489" s="352"/>
      <c r="D1489" s="376"/>
      <c r="E1489" s="376"/>
      <c r="F1489" s="376"/>
      <c r="G1489" s="370"/>
      <c r="H1489" s="376"/>
      <c r="I1489" s="377"/>
      <c r="J1489" s="369"/>
    </row>
    <row r="1490" spans="1:10" x14ac:dyDescent="0.25">
      <c r="A1490" s="350"/>
      <c r="B1490" s="370" t="s">
        <v>11821</v>
      </c>
      <c r="C1490" s="352"/>
      <c r="D1490" s="376"/>
      <c r="E1490" s="376"/>
      <c r="F1490" s="376"/>
      <c r="G1490" s="370"/>
      <c r="H1490" s="376"/>
      <c r="I1490" s="377"/>
      <c r="J1490" s="369"/>
    </row>
    <row r="1491" spans="1:10" ht="15.75" thickBot="1" x14ac:dyDescent="0.3">
      <c r="A1491" s="350"/>
      <c r="B1491" s="370"/>
      <c r="C1491" s="352"/>
      <c r="D1491" s="376"/>
      <c r="E1491" s="376"/>
      <c r="F1491" s="376"/>
      <c r="G1491" s="370"/>
      <c r="H1491" s="376"/>
      <c r="I1491" s="377"/>
      <c r="J1491" s="369"/>
    </row>
    <row r="1492" spans="1:10" s="40" customFormat="1" ht="15.75" thickBot="1" x14ac:dyDescent="0.3">
      <c r="A1492" s="46" t="s">
        <v>12114</v>
      </c>
      <c r="B1492" s="60" t="str">
        <f>VLOOKUP(A1492,PO!$A$8:$K$433,4,FALSE)</f>
        <v>Terminal de ventilacao, 50 mm, serie normal, esgoto predial - fornecimento e instalação.</v>
      </c>
      <c r="C1492" s="47"/>
      <c r="D1492" s="48"/>
      <c r="E1492" s="47"/>
      <c r="F1492" s="49"/>
      <c r="G1492" s="50"/>
      <c r="H1492" s="50"/>
      <c r="I1492" s="50">
        <f>SUM(H1495:H1495)</f>
        <v>2</v>
      </c>
      <c r="J1492" s="284" t="str">
        <f>VLOOKUP(A1492,PO!$A$8:$K$433,5,FALSE)</f>
        <v>und</v>
      </c>
    </row>
    <row r="1493" spans="1:10" x14ac:dyDescent="0.25">
      <c r="A1493" s="350"/>
      <c r="B1493" s="370"/>
      <c r="C1493" s="352"/>
      <c r="D1493" s="376"/>
      <c r="E1493" s="376"/>
      <c r="F1493" s="376"/>
      <c r="G1493" s="370"/>
      <c r="H1493" s="376"/>
      <c r="I1493" s="377"/>
      <c r="J1493" s="369"/>
    </row>
    <row r="1494" spans="1:10" x14ac:dyDescent="0.25">
      <c r="A1494" s="350"/>
      <c r="B1494" s="360" t="s">
        <v>10886</v>
      </c>
      <c r="C1494" s="352"/>
      <c r="D1494" s="406" t="s">
        <v>10927</v>
      </c>
      <c r="E1494" s="376"/>
      <c r="F1494" s="376"/>
      <c r="G1494" s="370"/>
      <c r="H1494" s="363" t="s">
        <v>14</v>
      </c>
      <c r="I1494" s="363" t="s">
        <v>15</v>
      </c>
      <c r="J1494" s="369"/>
    </row>
    <row r="1495" spans="1:10" x14ac:dyDescent="0.25">
      <c r="A1495" s="350"/>
      <c r="B1495" s="370" t="s">
        <v>11805</v>
      </c>
      <c r="C1495" s="352"/>
      <c r="D1495" s="376">
        <v>2</v>
      </c>
      <c r="E1495" s="376"/>
      <c r="F1495" s="376"/>
      <c r="G1495" s="370" t="s">
        <v>16</v>
      </c>
      <c r="H1495" s="376">
        <f>ROUND(D1495,2)</f>
        <v>2</v>
      </c>
      <c r="I1495" s="377" t="str">
        <f>J1492</f>
        <v>und</v>
      </c>
      <c r="J1495" s="369"/>
    </row>
    <row r="1496" spans="1:10" x14ac:dyDescent="0.25">
      <c r="A1496" s="350"/>
      <c r="B1496" s="370"/>
      <c r="C1496" s="352"/>
      <c r="D1496" s="376"/>
      <c r="E1496" s="376"/>
      <c r="F1496" s="376"/>
      <c r="G1496" s="370"/>
      <c r="H1496" s="376"/>
      <c r="I1496" s="377"/>
      <c r="J1496" s="369"/>
    </row>
    <row r="1497" spans="1:10" x14ac:dyDescent="0.25">
      <c r="A1497" s="350"/>
      <c r="B1497" s="370" t="s">
        <v>11821</v>
      </c>
      <c r="C1497" s="352"/>
      <c r="D1497" s="376"/>
      <c r="E1497" s="376"/>
      <c r="F1497" s="376"/>
      <c r="G1497" s="370"/>
      <c r="H1497" s="376"/>
      <c r="I1497" s="377"/>
      <c r="J1497" s="369"/>
    </row>
    <row r="1498" spans="1:10" ht="15.75" thickBot="1" x14ac:dyDescent="0.3">
      <c r="A1498" s="350"/>
      <c r="B1498" s="370"/>
      <c r="C1498" s="352"/>
      <c r="D1498" s="376"/>
      <c r="E1498" s="376"/>
      <c r="F1498" s="376"/>
      <c r="G1498" s="370"/>
      <c r="H1498" s="376"/>
      <c r="I1498" s="377"/>
      <c r="J1498" s="369"/>
    </row>
    <row r="1499" spans="1:10" s="40" customFormat="1" ht="15.75" thickBot="1" x14ac:dyDescent="0.3">
      <c r="A1499" s="46" t="s">
        <v>12115</v>
      </c>
      <c r="B1499" s="60" t="str">
        <f>VLOOKUP(A1499,PO!$A$8:$K$433,4,FALSE)</f>
        <v>TÊ, PVC, Serie Normal, Esgoto Predial, DN 50 X 50mm, Junta Elástica, Fornecido e Instalado em Ramal de Descarga ou Ramal de Esgoto Sanitário.</v>
      </c>
      <c r="C1499" s="47"/>
      <c r="D1499" s="48"/>
      <c r="E1499" s="47"/>
      <c r="F1499" s="49"/>
      <c r="G1499" s="50"/>
      <c r="H1499" s="50"/>
      <c r="I1499" s="50">
        <f>SUM(H1502:H1502)</f>
        <v>4</v>
      </c>
      <c r="J1499" s="284" t="str">
        <f>VLOOKUP(A1499,PO!$A$8:$K$433,5,FALSE)</f>
        <v>und</v>
      </c>
    </row>
    <row r="1500" spans="1:10" x14ac:dyDescent="0.25">
      <c r="A1500" s="350"/>
      <c r="B1500" s="370"/>
      <c r="C1500" s="352"/>
      <c r="D1500" s="376"/>
      <c r="E1500" s="376"/>
      <c r="F1500" s="376"/>
      <c r="G1500" s="370"/>
      <c r="H1500" s="376"/>
      <c r="I1500" s="377"/>
      <c r="J1500" s="369"/>
    </row>
    <row r="1501" spans="1:10" x14ac:dyDescent="0.25">
      <c r="A1501" s="350"/>
      <c r="B1501" s="360" t="s">
        <v>10886</v>
      </c>
      <c r="C1501" s="352"/>
      <c r="D1501" s="406" t="s">
        <v>10927</v>
      </c>
      <c r="E1501" s="376"/>
      <c r="F1501" s="376"/>
      <c r="G1501" s="370"/>
      <c r="H1501" s="363" t="s">
        <v>14</v>
      </c>
      <c r="I1501" s="363" t="s">
        <v>15</v>
      </c>
      <c r="J1501" s="369"/>
    </row>
    <row r="1502" spans="1:10" x14ac:dyDescent="0.25">
      <c r="A1502" s="350"/>
      <c r="B1502" s="370" t="s">
        <v>11805</v>
      </c>
      <c r="C1502" s="352"/>
      <c r="D1502" s="376">
        <v>4</v>
      </c>
      <c r="E1502" s="376"/>
      <c r="F1502" s="376"/>
      <c r="G1502" s="370" t="s">
        <v>16</v>
      </c>
      <c r="H1502" s="376">
        <f>ROUND(D1502,2)</f>
        <v>4</v>
      </c>
      <c r="I1502" s="377" t="str">
        <f>J1499</f>
        <v>und</v>
      </c>
      <c r="J1502" s="369"/>
    </row>
    <row r="1503" spans="1:10" x14ac:dyDescent="0.25">
      <c r="A1503" s="350"/>
      <c r="B1503" s="370"/>
      <c r="C1503" s="352"/>
      <c r="D1503" s="376"/>
      <c r="E1503" s="376"/>
      <c r="F1503" s="376"/>
      <c r="G1503" s="370"/>
      <c r="H1503" s="376"/>
      <c r="I1503" s="377"/>
      <c r="J1503" s="369"/>
    </row>
    <row r="1504" spans="1:10" x14ac:dyDescent="0.25">
      <c r="A1504" s="350"/>
      <c r="B1504" s="370" t="s">
        <v>11821</v>
      </c>
      <c r="C1504" s="352"/>
      <c r="D1504" s="376"/>
      <c r="E1504" s="376"/>
      <c r="F1504" s="376"/>
      <c r="G1504" s="370"/>
      <c r="H1504" s="376"/>
      <c r="I1504" s="377"/>
      <c r="J1504" s="369"/>
    </row>
    <row r="1505" spans="1:10" ht="15.75" thickBot="1" x14ac:dyDescent="0.3">
      <c r="A1505" s="350"/>
      <c r="B1505" s="370"/>
      <c r="C1505" s="352"/>
      <c r="D1505" s="376"/>
      <c r="E1505" s="376"/>
      <c r="F1505" s="376"/>
      <c r="G1505" s="370"/>
      <c r="H1505" s="376"/>
      <c r="I1505" s="377"/>
      <c r="J1505" s="369"/>
    </row>
    <row r="1506" spans="1:10" ht="15.75" thickBot="1" x14ac:dyDescent="0.3">
      <c r="A1506" s="41" t="s">
        <v>11146</v>
      </c>
      <c r="B1506" s="42" t="str">
        <f>VLOOKUP(A1506,PO!$A$8:$K$425,4,FALSE)</f>
        <v>REGISTROS E ADAPTADORES</v>
      </c>
      <c r="C1506" s="43"/>
      <c r="D1506" s="43"/>
      <c r="E1506" s="43"/>
      <c r="F1506" s="295"/>
      <c r="G1506" s="43"/>
      <c r="H1506" s="43"/>
      <c r="I1506" s="43"/>
      <c r="J1506" s="44"/>
    </row>
    <row r="1507" spans="1:10" ht="15.75" thickBot="1" x14ac:dyDescent="0.3">
      <c r="A1507" s="347"/>
      <c r="B1507" s="205"/>
      <c r="C1507" s="205"/>
      <c r="D1507" s="348"/>
      <c r="E1507" s="205"/>
      <c r="F1507" s="237"/>
      <c r="G1507" s="208"/>
      <c r="H1507" s="208"/>
      <c r="I1507" s="208"/>
      <c r="J1507" s="349"/>
    </row>
    <row r="1508" spans="1:10" s="40" customFormat="1" ht="15.75" thickBot="1" x14ac:dyDescent="0.3">
      <c r="A1508" s="46" t="s">
        <v>11147</v>
      </c>
      <c r="B1508" s="60" t="str">
        <f>VLOOKUP(A1508,PO!$A$8:$K$433,4,FALSE)</f>
        <v>Registro de pressão com canopla Ø 25 mm - 1".</v>
      </c>
      <c r="C1508" s="47"/>
      <c r="D1508" s="48"/>
      <c r="E1508" s="47"/>
      <c r="F1508" s="49"/>
      <c r="G1508" s="50"/>
      <c r="H1508" s="50"/>
      <c r="I1508" s="50">
        <f>H1511</f>
        <v>5</v>
      </c>
      <c r="J1508" s="284" t="str">
        <f>VLOOKUP(A1508,PO!$A$8:$K$433,5,FALSE)</f>
        <v>und</v>
      </c>
    </row>
    <row r="1509" spans="1:10" x14ac:dyDescent="0.25">
      <c r="A1509" s="350"/>
      <c r="B1509" s="370"/>
      <c r="C1509" s="352"/>
      <c r="D1509" s="376"/>
      <c r="E1509" s="376"/>
      <c r="F1509" s="376"/>
      <c r="G1509" s="370"/>
      <c r="H1509" s="376"/>
      <c r="I1509" s="377"/>
      <c r="J1509" s="369"/>
    </row>
    <row r="1510" spans="1:10" x14ac:dyDescent="0.25">
      <c r="A1510" s="350"/>
      <c r="B1510" s="360" t="s">
        <v>10886</v>
      </c>
      <c r="C1510" s="352"/>
      <c r="D1510" s="406" t="s">
        <v>10927</v>
      </c>
      <c r="E1510" s="376"/>
      <c r="F1510" s="376"/>
      <c r="G1510" s="370"/>
      <c r="H1510" s="363" t="s">
        <v>14</v>
      </c>
      <c r="I1510" s="363" t="s">
        <v>15</v>
      </c>
      <c r="J1510" s="369"/>
    </row>
    <row r="1511" spans="1:10" x14ac:dyDescent="0.25">
      <c r="A1511" s="350"/>
      <c r="B1511" s="370" t="s">
        <v>11804</v>
      </c>
      <c r="C1511" s="352"/>
      <c r="D1511" s="376">
        <v>5</v>
      </c>
      <c r="E1511" s="376"/>
      <c r="F1511" s="376"/>
      <c r="G1511" s="370" t="s">
        <v>16</v>
      </c>
      <c r="H1511" s="376">
        <f>ROUND(D1511,2)</f>
        <v>5</v>
      </c>
      <c r="I1511" s="377" t="str">
        <f>J1508</f>
        <v>und</v>
      </c>
      <c r="J1511" s="369"/>
    </row>
    <row r="1512" spans="1:10" x14ac:dyDescent="0.25">
      <c r="A1512" s="350"/>
      <c r="B1512" s="370"/>
      <c r="C1512" s="352"/>
      <c r="D1512" s="376"/>
      <c r="E1512" s="376"/>
      <c r="F1512" s="376"/>
      <c r="G1512" s="370"/>
      <c r="H1512" s="376"/>
      <c r="I1512" s="377"/>
      <c r="J1512" s="369"/>
    </row>
    <row r="1513" spans="1:10" x14ac:dyDescent="0.25">
      <c r="A1513" s="350"/>
      <c r="B1513" s="370" t="s">
        <v>11806</v>
      </c>
      <c r="C1513" s="352"/>
      <c r="D1513" s="376"/>
      <c r="E1513" s="376"/>
      <c r="F1513" s="376"/>
      <c r="G1513" s="370"/>
      <c r="H1513" s="376"/>
      <c r="I1513" s="377"/>
      <c r="J1513" s="369"/>
    </row>
    <row r="1514" spans="1:10" ht="15.75" thickBot="1" x14ac:dyDescent="0.3">
      <c r="A1514" s="350"/>
      <c r="B1514" s="370"/>
      <c r="C1514" s="352"/>
      <c r="D1514" s="376"/>
      <c r="E1514" s="376"/>
      <c r="F1514" s="376"/>
      <c r="G1514" s="370"/>
      <c r="H1514" s="376"/>
      <c r="I1514" s="377"/>
      <c r="J1514" s="369"/>
    </row>
    <row r="1515" spans="1:10" s="40" customFormat="1" ht="15.75" thickBot="1" x14ac:dyDescent="0.3">
      <c r="A1515" s="46" t="s">
        <v>11148</v>
      </c>
      <c r="B1515" s="60" t="str">
        <f>VLOOKUP(A1515,PO!$A$8:$K$433,4,FALSE)</f>
        <v xml:space="preserve">Registro de gaveta bruto, latão, roscável,Ø 25 mm - 1", com acabamento e canopla cromados. Fornecido e instalado em ramal de água. </v>
      </c>
      <c r="C1515" s="47"/>
      <c r="D1515" s="48"/>
      <c r="E1515" s="47"/>
      <c r="F1515" s="49"/>
      <c r="G1515" s="50"/>
      <c r="H1515" s="50"/>
      <c r="I1515" s="50">
        <f>H1518</f>
        <v>7</v>
      </c>
      <c r="J1515" s="284" t="str">
        <f>VLOOKUP(A1515,PO!$A$8:$K$433,5,FALSE)</f>
        <v>und</v>
      </c>
    </row>
    <row r="1516" spans="1:10" x14ac:dyDescent="0.25">
      <c r="A1516" s="350"/>
      <c r="B1516" s="370"/>
      <c r="C1516" s="352"/>
      <c r="D1516" s="376"/>
      <c r="E1516" s="376"/>
      <c r="F1516" s="376"/>
      <c r="G1516" s="370"/>
      <c r="H1516" s="376"/>
      <c r="I1516" s="377"/>
      <c r="J1516" s="369"/>
    </row>
    <row r="1517" spans="1:10" x14ac:dyDescent="0.25">
      <c r="A1517" s="350"/>
      <c r="B1517" s="360" t="s">
        <v>10886</v>
      </c>
      <c r="C1517" s="352"/>
      <c r="D1517" s="406" t="s">
        <v>10927</v>
      </c>
      <c r="E1517" s="376"/>
      <c r="F1517" s="376"/>
      <c r="G1517" s="370"/>
      <c r="H1517" s="363" t="s">
        <v>14</v>
      </c>
      <c r="I1517" s="363" t="s">
        <v>15</v>
      </c>
      <c r="J1517" s="369"/>
    </row>
    <row r="1518" spans="1:10" x14ac:dyDescent="0.25">
      <c r="A1518" s="350"/>
      <c r="B1518" s="370" t="s">
        <v>11804</v>
      </c>
      <c r="C1518" s="352"/>
      <c r="D1518" s="376">
        <v>7</v>
      </c>
      <c r="E1518" s="376"/>
      <c r="F1518" s="376"/>
      <c r="G1518" s="370" t="s">
        <v>16</v>
      </c>
      <c r="H1518" s="376">
        <f>ROUND(D1518,2)</f>
        <v>7</v>
      </c>
      <c r="I1518" s="377" t="str">
        <f>J1515</f>
        <v>und</v>
      </c>
      <c r="J1518" s="369"/>
    </row>
    <row r="1519" spans="1:10" x14ac:dyDescent="0.25">
      <c r="A1519" s="350"/>
      <c r="B1519" s="370"/>
      <c r="C1519" s="352"/>
      <c r="D1519" s="376"/>
      <c r="E1519" s="376"/>
      <c r="F1519" s="376"/>
      <c r="G1519" s="370"/>
      <c r="H1519" s="376"/>
      <c r="I1519" s="377"/>
      <c r="J1519" s="369"/>
    </row>
    <row r="1520" spans="1:10" x14ac:dyDescent="0.25">
      <c r="A1520" s="350"/>
      <c r="B1520" s="370" t="s">
        <v>11806</v>
      </c>
      <c r="C1520" s="352"/>
      <c r="D1520" s="376"/>
      <c r="E1520" s="376"/>
      <c r="F1520" s="376"/>
      <c r="G1520" s="370"/>
      <c r="H1520" s="376"/>
      <c r="I1520" s="377"/>
      <c r="J1520" s="369"/>
    </row>
    <row r="1521" spans="1:10" ht="15.75" thickBot="1" x14ac:dyDescent="0.3">
      <c r="A1521" s="350"/>
      <c r="B1521" s="370"/>
      <c r="C1521" s="352"/>
      <c r="D1521" s="376"/>
      <c r="E1521" s="376"/>
      <c r="F1521" s="376"/>
      <c r="G1521" s="370"/>
      <c r="H1521" s="376"/>
      <c r="I1521" s="377"/>
      <c r="J1521" s="369"/>
    </row>
    <row r="1522" spans="1:10" s="40" customFormat="1" ht="15.75" thickBot="1" x14ac:dyDescent="0.3">
      <c r="A1522" s="46" t="s">
        <v>12116</v>
      </c>
      <c r="B1522" s="60" t="str">
        <f>VLOOKUP(A1522,PO!$A$8:$K$433,4,FALSE)</f>
        <v>Registro de esfera em PVC soldável Ø 32 mm - Fornecimento e instalação</v>
      </c>
      <c r="C1522" s="47"/>
      <c r="D1522" s="48"/>
      <c r="E1522" s="47"/>
      <c r="F1522" s="49"/>
      <c r="G1522" s="50"/>
      <c r="H1522" s="50"/>
      <c r="I1522" s="50">
        <f>H1525</f>
        <v>1</v>
      </c>
      <c r="J1522" s="284" t="str">
        <f>VLOOKUP(A1522,PO!$A$8:$K$433,5,FALSE)</f>
        <v>und</v>
      </c>
    </row>
    <row r="1523" spans="1:10" x14ac:dyDescent="0.25">
      <c r="A1523" s="350"/>
      <c r="B1523" s="370"/>
      <c r="C1523" s="352"/>
      <c r="D1523" s="376"/>
      <c r="E1523" s="376"/>
      <c r="F1523" s="376"/>
      <c r="G1523" s="370"/>
      <c r="H1523" s="376"/>
      <c r="I1523" s="377"/>
      <c r="J1523" s="369"/>
    </row>
    <row r="1524" spans="1:10" x14ac:dyDescent="0.25">
      <c r="A1524" s="350"/>
      <c r="B1524" s="360" t="s">
        <v>10886</v>
      </c>
      <c r="C1524" s="352"/>
      <c r="D1524" s="406" t="s">
        <v>10927</v>
      </c>
      <c r="E1524" s="376"/>
      <c r="F1524" s="376"/>
      <c r="G1524" s="370"/>
      <c r="H1524" s="363" t="s">
        <v>14</v>
      </c>
      <c r="I1524" s="363" t="s">
        <v>15</v>
      </c>
      <c r="J1524" s="369"/>
    </row>
    <row r="1525" spans="1:10" x14ac:dyDescent="0.25">
      <c r="A1525" s="350"/>
      <c r="B1525" s="370" t="s">
        <v>11804</v>
      </c>
      <c r="C1525" s="352"/>
      <c r="D1525" s="376">
        <v>1</v>
      </c>
      <c r="E1525" s="376"/>
      <c r="F1525" s="376"/>
      <c r="G1525" s="370" t="s">
        <v>16</v>
      </c>
      <c r="H1525" s="376">
        <f>ROUND(D1525,2)</f>
        <v>1</v>
      </c>
      <c r="I1525" s="377" t="str">
        <f>J1522</f>
        <v>und</v>
      </c>
      <c r="J1525" s="369"/>
    </row>
    <row r="1526" spans="1:10" x14ac:dyDescent="0.25">
      <c r="A1526" s="350"/>
      <c r="B1526" s="370"/>
      <c r="C1526" s="352"/>
      <c r="D1526" s="376"/>
      <c r="E1526" s="376"/>
      <c r="F1526" s="376"/>
      <c r="G1526" s="370"/>
      <c r="H1526" s="376"/>
      <c r="I1526" s="377"/>
      <c r="J1526" s="369"/>
    </row>
    <row r="1527" spans="1:10" x14ac:dyDescent="0.25">
      <c r="A1527" s="350"/>
      <c r="B1527" s="370" t="s">
        <v>11806</v>
      </c>
      <c r="C1527" s="352"/>
      <c r="D1527" s="376"/>
      <c r="E1527" s="376"/>
      <c r="F1527" s="376"/>
      <c r="G1527" s="370"/>
      <c r="H1527" s="376"/>
      <c r="I1527" s="377"/>
      <c r="J1527" s="369"/>
    </row>
    <row r="1528" spans="1:10" ht="15.75" thickBot="1" x14ac:dyDescent="0.3">
      <c r="A1528" s="350"/>
      <c r="B1528" s="370"/>
      <c r="C1528" s="352"/>
      <c r="D1528" s="376"/>
      <c r="E1528" s="376"/>
      <c r="F1528" s="376"/>
      <c r="G1528" s="370"/>
      <c r="H1528" s="376"/>
      <c r="I1528" s="377"/>
      <c r="J1528" s="369"/>
    </row>
    <row r="1529" spans="1:10" s="40" customFormat="1" ht="15.75" thickBot="1" x14ac:dyDescent="0.3">
      <c r="A1529" s="46" t="s">
        <v>12117</v>
      </c>
      <c r="B1529" s="60" t="str">
        <f>VLOOKUP(A1529,PO!$A$8:$K$433,4,FALSE)</f>
        <v>Registro de esfera em PVC soldável Ø 50 mm - Fornecimento e instalação</v>
      </c>
      <c r="C1529" s="47"/>
      <c r="D1529" s="48"/>
      <c r="E1529" s="47"/>
      <c r="F1529" s="49"/>
      <c r="G1529" s="50"/>
      <c r="H1529" s="50"/>
      <c r="I1529" s="50">
        <f>H1532</f>
        <v>1</v>
      </c>
      <c r="J1529" s="284" t="str">
        <f>VLOOKUP(A1529,PO!$A$8:$K$433,5,FALSE)</f>
        <v>und</v>
      </c>
    </row>
    <row r="1530" spans="1:10" x14ac:dyDescent="0.25">
      <c r="A1530" s="350"/>
      <c r="B1530" s="370"/>
      <c r="C1530" s="352"/>
      <c r="D1530" s="376"/>
      <c r="E1530" s="376"/>
      <c r="F1530" s="376"/>
      <c r="G1530" s="370"/>
      <c r="H1530" s="376"/>
      <c r="I1530" s="377"/>
      <c r="J1530" s="369"/>
    </row>
    <row r="1531" spans="1:10" x14ac:dyDescent="0.25">
      <c r="A1531" s="350"/>
      <c r="B1531" s="360" t="s">
        <v>10886</v>
      </c>
      <c r="C1531" s="352"/>
      <c r="D1531" s="406" t="s">
        <v>10927</v>
      </c>
      <c r="E1531" s="376"/>
      <c r="F1531" s="376"/>
      <c r="G1531" s="370"/>
      <c r="H1531" s="363" t="s">
        <v>14</v>
      </c>
      <c r="I1531" s="363" t="s">
        <v>15</v>
      </c>
      <c r="J1531" s="369"/>
    </row>
    <row r="1532" spans="1:10" x14ac:dyDescent="0.25">
      <c r="A1532" s="350"/>
      <c r="B1532" s="370" t="s">
        <v>11804</v>
      </c>
      <c r="C1532" s="352"/>
      <c r="D1532" s="376">
        <v>1</v>
      </c>
      <c r="E1532" s="376"/>
      <c r="F1532" s="376"/>
      <c r="G1532" s="370" t="s">
        <v>16</v>
      </c>
      <c r="H1532" s="376">
        <f>ROUND(D1532,2)</f>
        <v>1</v>
      </c>
      <c r="I1532" s="377" t="str">
        <f>J1529</f>
        <v>und</v>
      </c>
      <c r="J1532" s="369"/>
    </row>
    <row r="1533" spans="1:10" x14ac:dyDescent="0.25">
      <c r="A1533" s="350"/>
      <c r="B1533" s="370"/>
      <c r="C1533" s="352"/>
      <c r="D1533" s="376"/>
      <c r="E1533" s="376"/>
      <c r="F1533" s="376"/>
      <c r="G1533" s="370"/>
      <c r="H1533" s="376"/>
      <c r="I1533" s="377"/>
      <c r="J1533" s="369"/>
    </row>
    <row r="1534" spans="1:10" x14ac:dyDescent="0.25">
      <c r="A1534" s="350"/>
      <c r="B1534" s="370" t="s">
        <v>11806</v>
      </c>
      <c r="C1534" s="352"/>
      <c r="D1534" s="376"/>
      <c r="E1534" s="376"/>
      <c r="F1534" s="376"/>
      <c r="G1534" s="370"/>
      <c r="H1534" s="376"/>
      <c r="I1534" s="377"/>
      <c r="J1534" s="369"/>
    </row>
    <row r="1535" spans="1:10" ht="15.75" thickBot="1" x14ac:dyDescent="0.3">
      <c r="A1535" s="350"/>
      <c r="B1535" s="370"/>
      <c r="C1535" s="352"/>
      <c r="D1535" s="376"/>
      <c r="E1535" s="376"/>
      <c r="F1535" s="376"/>
      <c r="G1535" s="370"/>
      <c r="H1535" s="376"/>
      <c r="I1535" s="377"/>
      <c r="J1535" s="369"/>
    </row>
    <row r="1536" spans="1:10" ht="15.75" thickBot="1" x14ac:dyDescent="0.3">
      <c r="A1536" s="41" t="s">
        <v>12118</v>
      </c>
      <c r="B1536" s="42" t="str">
        <f>VLOOKUP(A1536,PO!$A$8:$K$425,4,FALSE)</f>
        <v>APARELHOS SANITÁRIOS, LOUÇAS E METAIS</v>
      </c>
      <c r="C1536" s="43"/>
      <c r="D1536" s="43"/>
      <c r="E1536" s="43"/>
      <c r="F1536" s="295"/>
      <c r="G1536" s="43"/>
      <c r="H1536" s="43"/>
      <c r="I1536" s="43"/>
      <c r="J1536" s="44"/>
    </row>
    <row r="1537" spans="1:10" ht="15.75" thickBot="1" x14ac:dyDescent="0.3">
      <c r="A1537" s="347"/>
      <c r="B1537" s="205"/>
      <c r="C1537" s="205"/>
      <c r="D1537" s="348"/>
      <c r="E1537" s="205"/>
      <c r="F1537" s="237"/>
      <c r="G1537" s="208"/>
      <c r="H1537" s="208"/>
      <c r="I1537" s="208"/>
      <c r="J1537" s="349"/>
    </row>
    <row r="1538" spans="1:10" s="40" customFormat="1" ht="15.75" thickBot="1" x14ac:dyDescent="0.3">
      <c r="A1538" s="46" t="s">
        <v>12119</v>
      </c>
      <c r="B1538" s="60" t="str">
        <f>VLOOKUP(A1538,PO!$A$8:$K$433,4,FALSE)</f>
        <v>Lavatório louça branca com coluna, 45 x 55cm ou equivalente, padrão médio, incluso sifão tipo garrafa, válvula e engate flexível de 40cm em metal cromado, com torneira cromada de mesa, padrão médio – fornecimento e instalação.</v>
      </c>
      <c r="C1538" s="47"/>
      <c r="D1538" s="324"/>
      <c r="E1538" s="47"/>
      <c r="F1538" s="49"/>
      <c r="G1538" s="50"/>
      <c r="H1538" s="50"/>
      <c r="I1538" s="50">
        <f>H1541</f>
        <v>5</v>
      </c>
      <c r="J1538" s="284" t="str">
        <f>VLOOKUP(A1538,PO!$A$8:$K$433,5,FALSE)</f>
        <v>und</v>
      </c>
    </row>
    <row r="1539" spans="1:10" x14ac:dyDescent="0.25">
      <c r="A1539" s="344"/>
      <c r="B1539" s="365"/>
      <c r="C1539" s="345"/>
      <c r="D1539" s="432"/>
      <c r="E1539" s="432"/>
      <c r="F1539" s="432"/>
      <c r="G1539" s="365"/>
      <c r="H1539" s="432"/>
      <c r="I1539" s="471"/>
      <c r="J1539" s="346"/>
    </row>
    <row r="1540" spans="1:10" x14ac:dyDescent="0.25">
      <c r="A1540" s="344"/>
      <c r="B1540" s="431" t="s">
        <v>10886</v>
      </c>
      <c r="C1540" s="345"/>
      <c r="D1540" s="476" t="s">
        <v>10927</v>
      </c>
      <c r="E1540" s="432"/>
      <c r="F1540" s="432"/>
      <c r="G1540" s="365"/>
      <c r="H1540" s="351" t="s">
        <v>14</v>
      </c>
      <c r="I1540" s="351" t="s">
        <v>15</v>
      </c>
      <c r="J1540" s="346"/>
    </row>
    <row r="1541" spans="1:10" x14ac:dyDescent="0.25">
      <c r="A1541" s="344"/>
      <c r="B1541" s="365" t="s">
        <v>11804</v>
      </c>
      <c r="C1541" s="345"/>
      <c r="D1541" s="432">
        <v>5</v>
      </c>
      <c r="E1541" s="432"/>
      <c r="F1541" s="432"/>
      <c r="G1541" s="365" t="s">
        <v>16</v>
      </c>
      <c r="H1541" s="432">
        <f>ROUND(D1541,2)</f>
        <v>5</v>
      </c>
      <c r="I1541" s="471" t="str">
        <f>J1538</f>
        <v>und</v>
      </c>
      <c r="J1541" s="346"/>
    </row>
    <row r="1542" spans="1:10" x14ac:dyDescent="0.25">
      <c r="A1542" s="344"/>
      <c r="B1542" s="365"/>
      <c r="C1542" s="345"/>
      <c r="D1542" s="432"/>
      <c r="E1542" s="432"/>
      <c r="F1542" s="432"/>
      <c r="G1542" s="365"/>
      <c r="H1542" s="432"/>
      <c r="I1542" s="471"/>
      <c r="J1542" s="346"/>
    </row>
    <row r="1543" spans="1:10" x14ac:dyDescent="0.25">
      <c r="A1543" s="344"/>
      <c r="B1543" s="365" t="s">
        <v>12067</v>
      </c>
      <c r="C1543" s="345"/>
      <c r="D1543" s="432"/>
      <c r="E1543" s="432"/>
      <c r="F1543" s="432"/>
      <c r="G1543" s="365"/>
      <c r="H1543" s="432"/>
      <c r="I1543" s="471"/>
      <c r="J1543" s="346"/>
    </row>
    <row r="1544" spans="1:10" ht="15.75" thickBot="1" x14ac:dyDescent="0.3">
      <c r="A1544" s="344"/>
      <c r="B1544" s="365"/>
      <c r="C1544" s="345"/>
      <c r="D1544" s="432"/>
      <c r="E1544" s="432"/>
      <c r="F1544" s="432"/>
      <c r="G1544" s="365"/>
      <c r="H1544" s="432"/>
      <c r="I1544" s="471"/>
      <c r="J1544" s="346"/>
    </row>
    <row r="1545" spans="1:10" s="40" customFormat="1" ht="15.75" thickBot="1" x14ac:dyDescent="0.3">
      <c r="A1545" s="46" t="s">
        <v>12120</v>
      </c>
      <c r="B1545" s="60" t="str">
        <f>VLOOKUP(A1545,PO!$A$8:$K$433,4,FALSE)</f>
        <v xml:space="preserve">Torneira cromada longa, de parede, 1/2" ou 3/4", para pia de cozinha, padrão popular - fornecimento e instalação. </v>
      </c>
      <c r="C1545" s="47"/>
      <c r="D1545" s="324"/>
      <c r="E1545" s="47"/>
      <c r="F1545" s="49"/>
      <c r="G1545" s="50"/>
      <c r="H1545" s="50"/>
      <c r="I1545" s="50">
        <f>H1548</f>
        <v>1</v>
      </c>
      <c r="J1545" s="284" t="str">
        <f>VLOOKUP(A1545,PO!$A$8:$K$433,5,FALSE)</f>
        <v>und</v>
      </c>
    </row>
    <row r="1546" spans="1:10" x14ac:dyDescent="0.25">
      <c r="A1546" s="344"/>
      <c r="B1546" s="365"/>
      <c r="C1546" s="345"/>
      <c r="D1546" s="432"/>
      <c r="E1546" s="432"/>
      <c r="F1546" s="432"/>
      <c r="G1546" s="365"/>
      <c r="H1546" s="432"/>
      <c r="I1546" s="471"/>
      <c r="J1546" s="346"/>
    </row>
    <row r="1547" spans="1:10" x14ac:dyDescent="0.25">
      <c r="A1547" s="344"/>
      <c r="B1547" s="431" t="s">
        <v>10886</v>
      </c>
      <c r="C1547" s="345"/>
      <c r="D1547" s="476" t="s">
        <v>10927</v>
      </c>
      <c r="E1547" s="432"/>
      <c r="F1547" s="432"/>
      <c r="G1547" s="365"/>
      <c r="H1547" s="351" t="s">
        <v>14</v>
      </c>
      <c r="I1547" s="351" t="s">
        <v>15</v>
      </c>
      <c r="J1547" s="346"/>
    </row>
    <row r="1548" spans="1:10" x14ac:dyDescent="0.25">
      <c r="A1548" s="344"/>
      <c r="B1548" s="365" t="s">
        <v>11804</v>
      </c>
      <c r="C1548" s="345"/>
      <c r="D1548" s="432">
        <v>1</v>
      </c>
      <c r="E1548" s="432"/>
      <c r="F1548" s="432"/>
      <c r="G1548" s="365" t="s">
        <v>16</v>
      </c>
      <c r="H1548" s="432">
        <f>ROUND(D1548,2)</f>
        <v>1</v>
      </c>
      <c r="I1548" s="471" t="str">
        <f>J1545</f>
        <v>und</v>
      </c>
      <c r="J1548" s="346"/>
    </row>
    <row r="1549" spans="1:10" x14ac:dyDescent="0.25">
      <c r="A1549" s="344"/>
      <c r="B1549" s="365"/>
      <c r="C1549" s="345"/>
      <c r="D1549" s="432"/>
      <c r="E1549" s="432"/>
      <c r="F1549" s="432"/>
      <c r="G1549" s="365"/>
      <c r="H1549" s="432"/>
      <c r="I1549" s="471"/>
      <c r="J1549" s="346"/>
    </row>
    <row r="1550" spans="1:10" x14ac:dyDescent="0.25">
      <c r="A1550" s="344"/>
      <c r="B1550" s="365" t="s">
        <v>12067</v>
      </c>
      <c r="C1550" s="345"/>
      <c r="D1550" s="432"/>
      <c r="E1550" s="432"/>
      <c r="F1550" s="432"/>
      <c r="G1550" s="365"/>
      <c r="H1550" s="432"/>
      <c r="I1550" s="471"/>
      <c r="J1550" s="346"/>
    </row>
    <row r="1551" spans="1:10" ht="15.75" thickBot="1" x14ac:dyDescent="0.3">
      <c r="A1551" s="344"/>
      <c r="B1551" s="365"/>
      <c r="C1551" s="345"/>
      <c r="D1551" s="432"/>
      <c r="E1551" s="432"/>
      <c r="F1551" s="432"/>
      <c r="G1551" s="365"/>
      <c r="H1551" s="432"/>
      <c r="I1551" s="471"/>
      <c r="J1551" s="346"/>
    </row>
    <row r="1552" spans="1:10" s="40" customFormat="1" ht="15.75" thickBot="1" x14ac:dyDescent="0.3">
      <c r="A1552" s="46" t="s">
        <v>12121</v>
      </c>
      <c r="B1552" s="60" t="str">
        <f>VLOOKUP(A1552,PO!$A$8:$K$433,4,FALSE)</f>
        <v xml:space="preserve">Tanque de louça branca com coluna, 30l ou equivalente, incluso sifão flexível em PVC, válvula metálica e torneira de metal cromado padrão médio - fornecimento e instalação. </v>
      </c>
      <c r="C1552" s="47"/>
      <c r="D1552" s="324"/>
      <c r="E1552" s="47"/>
      <c r="F1552" s="49"/>
      <c r="G1552" s="50"/>
      <c r="H1552" s="50"/>
      <c r="I1552" s="50">
        <f>H1555</f>
        <v>1</v>
      </c>
      <c r="J1552" s="284" t="str">
        <f>VLOOKUP(A1552,PO!$A$8:$K$433,5,FALSE)</f>
        <v>und</v>
      </c>
    </row>
    <row r="1553" spans="1:10" x14ac:dyDescent="0.25">
      <c r="A1553" s="344"/>
      <c r="B1553" s="365"/>
      <c r="C1553" s="345"/>
      <c r="D1553" s="432"/>
      <c r="E1553" s="432"/>
      <c r="F1553" s="432"/>
      <c r="G1553" s="365"/>
      <c r="H1553" s="432"/>
      <c r="I1553" s="471"/>
      <c r="J1553" s="346"/>
    </row>
    <row r="1554" spans="1:10" x14ac:dyDescent="0.25">
      <c r="A1554" s="344"/>
      <c r="B1554" s="431" t="s">
        <v>10886</v>
      </c>
      <c r="C1554" s="345"/>
      <c r="D1554" s="476" t="s">
        <v>10927</v>
      </c>
      <c r="E1554" s="432"/>
      <c r="F1554" s="432"/>
      <c r="G1554" s="365"/>
      <c r="H1554" s="351" t="s">
        <v>14</v>
      </c>
      <c r="I1554" s="351" t="s">
        <v>15</v>
      </c>
      <c r="J1554" s="346"/>
    </row>
    <row r="1555" spans="1:10" x14ac:dyDescent="0.25">
      <c r="A1555" s="344"/>
      <c r="B1555" s="365" t="s">
        <v>11804</v>
      </c>
      <c r="C1555" s="345"/>
      <c r="D1555" s="432">
        <v>1</v>
      </c>
      <c r="E1555" s="432"/>
      <c r="F1555" s="432"/>
      <c r="G1555" s="365" t="s">
        <v>16</v>
      </c>
      <c r="H1555" s="432">
        <f>ROUND(D1555,2)</f>
        <v>1</v>
      </c>
      <c r="I1555" s="471" t="str">
        <f>J1552</f>
        <v>und</v>
      </c>
      <c r="J1555" s="346"/>
    </row>
    <row r="1556" spans="1:10" x14ac:dyDescent="0.25">
      <c r="A1556" s="344"/>
      <c r="B1556" s="365"/>
      <c r="C1556" s="345"/>
      <c r="D1556" s="432"/>
      <c r="E1556" s="432"/>
      <c r="F1556" s="432"/>
      <c r="G1556" s="365"/>
      <c r="H1556" s="432"/>
      <c r="I1556" s="471"/>
      <c r="J1556" s="346"/>
    </row>
    <row r="1557" spans="1:10" x14ac:dyDescent="0.25">
      <c r="A1557" s="344"/>
      <c r="B1557" s="365" t="s">
        <v>12067</v>
      </c>
      <c r="C1557" s="345"/>
      <c r="D1557" s="432"/>
      <c r="E1557" s="432"/>
      <c r="F1557" s="432"/>
      <c r="G1557" s="365"/>
      <c r="H1557" s="432"/>
      <c r="I1557" s="471"/>
      <c r="J1557" s="346"/>
    </row>
    <row r="1558" spans="1:10" ht="15.75" thickBot="1" x14ac:dyDescent="0.3">
      <c r="A1558" s="344"/>
      <c r="B1558" s="365"/>
      <c r="C1558" s="345"/>
      <c r="D1558" s="432"/>
      <c r="E1558" s="432"/>
      <c r="F1558" s="432"/>
      <c r="G1558" s="365"/>
      <c r="H1558" s="432"/>
      <c r="I1558" s="471"/>
      <c r="J1558" s="346"/>
    </row>
    <row r="1559" spans="1:10" s="40" customFormat="1" ht="15.75" thickBot="1" x14ac:dyDescent="0.3">
      <c r="A1559" s="46" t="s">
        <v>12122</v>
      </c>
      <c r="B1559" s="60" t="str">
        <f>VLOOKUP(A1559,PO!$A$8:$K$433,4,FALSE)</f>
        <v>Ducha manual - fornecimento e instalação.</v>
      </c>
      <c r="C1559" s="47"/>
      <c r="D1559" s="324"/>
      <c r="E1559" s="47"/>
      <c r="F1559" s="49"/>
      <c r="G1559" s="50"/>
      <c r="H1559" s="50"/>
      <c r="I1559" s="50">
        <f>H1562</f>
        <v>6</v>
      </c>
      <c r="J1559" s="284" t="str">
        <f>VLOOKUP(A1559,PO!$A$8:$K$433,5,FALSE)</f>
        <v>und</v>
      </c>
    </row>
    <row r="1560" spans="1:10" x14ac:dyDescent="0.25">
      <c r="A1560" s="344"/>
      <c r="B1560" s="365"/>
      <c r="C1560" s="345"/>
      <c r="D1560" s="432"/>
      <c r="E1560" s="432"/>
      <c r="F1560" s="432"/>
      <c r="G1560" s="365"/>
      <c r="H1560" s="432"/>
      <c r="I1560" s="471"/>
      <c r="J1560" s="346"/>
    </row>
    <row r="1561" spans="1:10" x14ac:dyDescent="0.25">
      <c r="A1561" s="344"/>
      <c r="B1561" s="431" t="s">
        <v>10886</v>
      </c>
      <c r="C1561" s="345"/>
      <c r="D1561" s="476" t="s">
        <v>10927</v>
      </c>
      <c r="E1561" s="432"/>
      <c r="F1561" s="432"/>
      <c r="G1561" s="365"/>
      <c r="H1561" s="351" t="s">
        <v>14</v>
      </c>
      <c r="I1561" s="351" t="s">
        <v>15</v>
      </c>
      <c r="J1561" s="346"/>
    </row>
    <row r="1562" spans="1:10" x14ac:dyDescent="0.25">
      <c r="A1562" s="344"/>
      <c r="B1562" s="365" t="s">
        <v>11804</v>
      </c>
      <c r="C1562" s="345"/>
      <c r="D1562" s="432">
        <v>6</v>
      </c>
      <c r="E1562" s="432"/>
      <c r="F1562" s="432"/>
      <c r="G1562" s="365" t="s">
        <v>16</v>
      </c>
      <c r="H1562" s="432">
        <f>ROUND(D1562,2)</f>
        <v>6</v>
      </c>
      <c r="I1562" s="471" t="str">
        <f>J1559</f>
        <v>und</v>
      </c>
      <c r="J1562" s="346"/>
    </row>
    <row r="1563" spans="1:10" x14ac:dyDescent="0.25">
      <c r="A1563" s="344"/>
      <c r="B1563" s="365"/>
      <c r="C1563" s="345"/>
      <c r="D1563" s="432"/>
      <c r="E1563" s="432"/>
      <c r="F1563" s="432"/>
      <c r="G1563" s="365"/>
      <c r="H1563" s="432"/>
      <c r="I1563" s="471"/>
      <c r="J1563" s="346"/>
    </row>
    <row r="1564" spans="1:10" x14ac:dyDescent="0.25">
      <c r="A1564" s="344"/>
      <c r="B1564" s="365" t="s">
        <v>12067</v>
      </c>
      <c r="C1564" s="345"/>
      <c r="D1564" s="432"/>
      <c r="E1564" s="432"/>
      <c r="F1564" s="432"/>
      <c r="G1564" s="365"/>
      <c r="H1564" s="432"/>
      <c r="I1564" s="471"/>
      <c r="J1564" s="346"/>
    </row>
    <row r="1565" spans="1:10" ht="15.75" thickBot="1" x14ac:dyDescent="0.3">
      <c r="A1565" s="344"/>
      <c r="B1565" s="365"/>
      <c r="C1565" s="345"/>
      <c r="D1565" s="432"/>
      <c r="E1565" s="432"/>
      <c r="F1565" s="432"/>
      <c r="G1565" s="365"/>
      <c r="H1565" s="432"/>
      <c r="I1565" s="471"/>
      <c r="J1565" s="346"/>
    </row>
    <row r="1566" spans="1:10" s="40" customFormat="1" ht="15.75" thickBot="1" x14ac:dyDescent="0.3">
      <c r="A1566" s="46" t="s">
        <v>12123</v>
      </c>
      <c r="B1566" s="60" t="str">
        <f>VLOOKUP(A1566,PO!$A$8:$K$433,4,FALSE)</f>
        <v>Vaso Sanitario Sinfonado com Caixa Acoplada Louça Branca - Padrão Medio, Incluso Engate Flexivel em Plastico Branco, 1/2" X 40 cm - Fornecimento e Insatalação.</v>
      </c>
      <c r="C1566" s="47"/>
      <c r="D1566" s="324"/>
      <c r="E1566" s="47"/>
      <c r="F1566" s="49"/>
      <c r="G1566" s="50"/>
      <c r="H1566" s="50"/>
      <c r="I1566" s="50">
        <f>H1569</f>
        <v>3</v>
      </c>
      <c r="J1566" s="284" t="str">
        <f>VLOOKUP(A1566,PO!$A$8:$K$433,5,FALSE)</f>
        <v>und</v>
      </c>
    </row>
    <row r="1567" spans="1:10" x14ac:dyDescent="0.25">
      <c r="A1567" s="344"/>
      <c r="B1567" s="365"/>
      <c r="C1567" s="345"/>
      <c r="D1567" s="432"/>
      <c r="E1567" s="432"/>
      <c r="F1567" s="432"/>
      <c r="G1567" s="365"/>
      <c r="H1567" s="432"/>
      <c r="I1567" s="471"/>
      <c r="J1567" s="346"/>
    </row>
    <row r="1568" spans="1:10" x14ac:dyDescent="0.25">
      <c r="A1568" s="344"/>
      <c r="B1568" s="431" t="s">
        <v>10886</v>
      </c>
      <c r="C1568" s="345"/>
      <c r="D1568" s="476" t="s">
        <v>10927</v>
      </c>
      <c r="E1568" s="432"/>
      <c r="F1568" s="432"/>
      <c r="G1568" s="365"/>
      <c r="H1568" s="351" t="s">
        <v>14</v>
      </c>
      <c r="I1568" s="351" t="s">
        <v>15</v>
      </c>
      <c r="J1568" s="346"/>
    </row>
    <row r="1569" spans="1:10" x14ac:dyDescent="0.25">
      <c r="A1569" s="344"/>
      <c r="B1569" s="365" t="s">
        <v>11804</v>
      </c>
      <c r="C1569" s="345"/>
      <c r="D1569" s="432">
        <v>3</v>
      </c>
      <c r="E1569" s="432"/>
      <c r="F1569" s="432"/>
      <c r="G1569" s="365" t="s">
        <v>16</v>
      </c>
      <c r="H1569" s="432">
        <f>ROUND(D1569,2)</f>
        <v>3</v>
      </c>
      <c r="I1569" s="471" t="str">
        <f>J1566</f>
        <v>und</v>
      </c>
      <c r="J1569" s="346"/>
    </row>
    <row r="1570" spans="1:10" x14ac:dyDescent="0.25">
      <c r="A1570" s="344"/>
      <c r="B1570" s="365"/>
      <c r="C1570" s="345"/>
      <c r="D1570" s="432"/>
      <c r="E1570" s="432"/>
      <c r="F1570" s="432"/>
      <c r="G1570" s="365"/>
      <c r="H1570" s="432"/>
      <c r="I1570" s="471"/>
      <c r="J1570" s="346"/>
    </row>
    <row r="1571" spans="1:10" x14ac:dyDescent="0.25">
      <c r="A1571" s="344"/>
      <c r="B1571" s="365" t="s">
        <v>12067</v>
      </c>
      <c r="C1571" s="345"/>
      <c r="D1571" s="432"/>
      <c r="E1571" s="432"/>
      <c r="F1571" s="432"/>
      <c r="G1571" s="365"/>
      <c r="H1571" s="432"/>
      <c r="I1571" s="471"/>
      <c r="J1571" s="346"/>
    </row>
    <row r="1572" spans="1:10" ht="15.75" thickBot="1" x14ac:dyDescent="0.3">
      <c r="A1572" s="344"/>
      <c r="B1572" s="365"/>
      <c r="C1572" s="345"/>
      <c r="D1572" s="432"/>
      <c r="E1572" s="432"/>
      <c r="F1572" s="432"/>
      <c r="G1572" s="365"/>
      <c r="H1572" s="432"/>
      <c r="I1572" s="471"/>
      <c r="J1572" s="346"/>
    </row>
    <row r="1573" spans="1:10" s="40" customFormat="1" ht="15.75" thickBot="1" x14ac:dyDescent="0.3">
      <c r="A1573" s="46" t="s">
        <v>12124</v>
      </c>
      <c r="B1573" s="60" t="str">
        <f>VLOOKUP(A1573,PO!$A$8:$K$433,4,FALSE)</f>
        <v>Chuveiro comum corpo plástico tipo ducha, fornecimento e instalação.</v>
      </c>
      <c r="C1573" s="47"/>
      <c r="D1573" s="324"/>
      <c r="E1573" s="47"/>
      <c r="F1573" s="49"/>
      <c r="G1573" s="50"/>
      <c r="H1573" s="50"/>
      <c r="I1573" s="50">
        <f>H1576</f>
        <v>5</v>
      </c>
      <c r="J1573" s="284" t="str">
        <f>VLOOKUP(A1573,PO!$A$8:$K$433,5,FALSE)</f>
        <v>und</v>
      </c>
    </row>
    <row r="1574" spans="1:10" x14ac:dyDescent="0.25">
      <c r="A1574" s="344"/>
      <c r="B1574" s="365"/>
      <c r="C1574" s="345"/>
      <c r="D1574" s="432"/>
      <c r="E1574" s="432"/>
      <c r="F1574" s="432"/>
      <c r="G1574" s="365"/>
      <c r="H1574" s="432"/>
      <c r="I1574" s="471"/>
      <c r="J1574" s="346"/>
    </row>
    <row r="1575" spans="1:10" x14ac:dyDescent="0.25">
      <c r="A1575" s="344"/>
      <c r="B1575" s="431" t="s">
        <v>10886</v>
      </c>
      <c r="C1575" s="345"/>
      <c r="D1575" s="476" t="s">
        <v>10927</v>
      </c>
      <c r="E1575" s="432"/>
      <c r="F1575" s="432"/>
      <c r="G1575" s="365"/>
      <c r="H1575" s="351" t="s">
        <v>14</v>
      </c>
      <c r="I1575" s="351" t="s">
        <v>15</v>
      </c>
      <c r="J1575" s="346"/>
    </row>
    <row r="1576" spans="1:10" x14ac:dyDescent="0.25">
      <c r="A1576" s="344"/>
      <c r="B1576" s="365" t="s">
        <v>11804</v>
      </c>
      <c r="C1576" s="345"/>
      <c r="D1576" s="432">
        <v>5</v>
      </c>
      <c r="E1576" s="432"/>
      <c r="F1576" s="432"/>
      <c r="G1576" s="365" t="s">
        <v>16</v>
      </c>
      <c r="H1576" s="432">
        <f>ROUND(D1576,2)</f>
        <v>5</v>
      </c>
      <c r="I1576" s="471" t="str">
        <f>J1573</f>
        <v>und</v>
      </c>
      <c r="J1576" s="346"/>
    </row>
    <row r="1577" spans="1:10" x14ac:dyDescent="0.25">
      <c r="A1577" s="344"/>
      <c r="B1577" s="365"/>
      <c r="C1577" s="345"/>
      <c r="D1577" s="432"/>
      <c r="E1577" s="432"/>
      <c r="F1577" s="432"/>
      <c r="G1577" s="365"/>
      <c r="H1577" s="432"/>
      <c r="I1577" s="471"/>
      <c r="J1577" s="346"/>
    </row>
    <row r="1578" spans="1:10" x14ac:dyDescent="0.25">
      <c r="A1578" s="344"/>
      <c r="B1578" s="365" t="s">
        <v>12067</v>
      </c>
      <c r="C1578" s="345"/>
      <c r="D1578" s="432"/>
      <c r="E1578" s="432"/>
      <c r="F1578" s="432"/>
      <c r="G1578" s="365"/>
      <c r="H1578" s="432"/>
      <c r="I1578" s="471"/>
      <c r="J1578" s="346"/>
    </row>
    <row r="1579" spans="1:10" ht="15.75" thickBot="1" x14ac:dyDescent="0.3">
      <c r="A1579" s="350"/>
      <c r="B1579" s="370"/>
      <c r="C1579" s="352"/>
      <c r="D1579" s="376"/>
      <c r="E1579" s="376"/>
      <c r="F1579" s="376"/>
      <c r="G1579" s="370"/>
      <c r="H1579" s="376"/>
      <c r="I1579" s="377"/>
      <c r="J1579" s="369"/>
    </row>
    <row r="1580" spans="1:10" ht="15.75" thickBot="1" x14ac:dyDescent="0.3">
      <c r="A1580" s="41" t="s">
        <v>12125</v>
      </c>
      <c r="B1580" s="42" t="str">
        <f>VLOOKUP(A1580,PO!$A$8:$K$425,4,FALSE)</f>
        <v>RALOS E CAIXAS</v>
      </c>
      <c r="C1580" s="43"/>
      <c r="D1580" s="43"/>
      <c r="E1580" s="43"/>
      <c r="F1580" s="295"/>
      <c r="G1580" s="43"/>
      <c r="H1580" s="43"/>
      <c r="I1580" s="43"/>
      <c r="J1580" s="44"/>
    </row>
    <row r="1581" spans="1:10" ht="15.75" thickBot="1" x14ac:dyDescent="0.3">
      <c r="A1581" s="347"/>
      <c r="B1581" s="205"/>
      <c r="C1581" s="205"/>
      <c r="D1581" s="348"/>
      <c r="E1581" s="205"/>
      <c r="F1581" s="237"/>
      <c r="G1581" s="208"/>
      <c r="H1581" s="208"/>
      <c r="I1581" s="208"/>
      <c r="J1581" s="349"/>
    </row>
    <row r="1582" spans="1:10" s="40" customFormat="1" ht="15.75" thickBot="1" x14ac:dyDescent="0.3">
      <c r="A1582" s="46" t="s">
        <v>12126</v>
      </c>
      <c r="B1582" s="60" t="str">
        <f>VLOOKUP(A1582,PO!$A$8:$K$433,4,FALSE)</f>
        <v>Caixa PVC sifonada Ø 100 mm, altura 140 mm, entrada Ø 40 mm, saída Ø 50 mm, com corpo giratório, grelha redonda,  5 entradas, para esgoto sanitário - Fornecimento e instalação</v>
      </c>
      <c r="C1582" s="47"/>
      <c r="D1582" s="48"/>
      <c r="E1582" s="47"/>
      <c r="F1582" s="49"/>
      <c r="G1582" s="50"/>
      <c r="H1582" s="50"/>
      <c r="I1582" s="50">
        <f>H1585</f>
        <v>5</v>
      </c>
      <c r="J1582" s="284" t="str">
        <f>VLOOKUP(A1582,PO!$A$8:$K$433,5,FALSE)</f>
        <v>und</v>
      </c>
    </row>
    <row r="1583" spans="1:10" x14ac:dyDescent="0.25">
      <c r="A1583" s="350"/>
      <c r="B1583" s="370"/>
      <c r="C1583" s="352"/>
      <c r="D1583" s="376"/>
      <c r="E1583" s="376"/>
      <c r="F1583" s="376"/>
      <c r="G1583" s="370"/>
      <c r="H1583" s="376"/>
      <c r="I1583" s="377"/>
      <c r="J1583" s="369"/>
    </row>
    <row r="1584" spans="1:10" x14ac:dyDescent="0.25">
      <c r="A1584" s="350"/>
      <c r="B1584" s="360" t="s">
        <v>10886</v>
      </c>
      <c r="C1584" s="352"/>
      <c r="D1584" s="406" t="s">
        <v>10927</v>
      </c>
      <c r="E1584" s="376"/>
      <c r="F1584" s="376"/>
      <c r="G1584" s="370"/>
      <c r="H1584" s="363" t="s">
        <v>14</v>
      </c>
      <c r="I1584" s="363" t="s">
        <v>15</v>
      </c>
      <c r="J1584" s="369"/>
    </row>
    <row r="1585" spans="1:10" x14ac:dyDescent="0.25">
      <c r="A1585" s="350"/>
      <c r="B1585" s="370" t="s">
        <v>11805</v>
      </c>
      <c r="C1585" s="352"/>
      <c r="D1585" s="376">
        <v>5</v>
      </c>
      <c r="E1585" s="376"/>
      <c r="F1585" s="376"/>
      <c r="G1585" s="370" t="s">
        <v>16</v>
      </c>
      <c r="H1585" s="376">
        <f>ROUND(D1585,2)</f>
        <v>5</v>
      </c>
      <c r="I1585" s="377" t="str">
        <f>J1582</f>
        <v>und</v>
      </c>
      <c r="J1585" s="369"/>
    </row>
    <row r="1586" spans="1:10" x14ac:dyDescent="0.25">
      <c r="A1586" s="350"/>
      <c r="B1586" s="370"/>
      <c r="C1586" s="352"/>
      <c r="D1586" s="376"/>
      <c r="E1586" s="376"/>
      <c r="F1586" s="376"/>
      <c r="G1586" s="370"/>
      <c r="H1586" s="376"/>
      <c r="I1586" s="377"/>
      <c r="J1586" s="369"/>
    </row>
    <row r="1587" spans="1:10" x14ac:dyDescent="0.25">
      <c r="A1587" s="350"/>
      <c r="B1587" s="370" t="s">
        <v>11821</v>
      </c>
      <c r="C1587" s="352"/>
      <c r="D1587" s="376"/>
      <c r="E1587" s="376"/>
      <c r="F1587" s="376"/>
      <c r="G1587" s="370"/>
      <c r="H1587" s="376"/>
      <c r="I1587" s="377"/>
      <c r="J1587" s="369"/>
    </row>
    <row r="1588" spans="1:10" ht="15.75" thickBot="1" x14ac:dyDescent="0.3">
      <c r="A1588" s="350"/>
      <c r="B1588" s="370"/>
      <c r="C1588" s="352"/>
      <c r="D1588" s="376"/>
      <c r="E1588" s="376"/>
      <c r="F1588" s="376"/>
      <c r="G1588" s="370"/>
      <c r="H1588" s="376"/>
      <c r="I1588" s="377"/>
      <c r="J1588" s="369"/>
    </row>
    <row r="1589" spans="1:10" s="40" customFormat="1" ht="15.75" thickBot="1" x14ac:dyDescent="0.3">
      <c r="A1589" s="46" t="s">
        <v>12127</v>
      </c>
      <c r="B1589" s="60" t="str">
        <f>VLOOKUP(A1589,PO!$A$8:$K$433,4,FALSE)</f>
        <v>Caixa Sifonada Montada com Grelha e Porta Grelha Quadrados 150 x 150 x 50mm, para esgoto sanitário - Fornecimento e instalação.</v>
      </c>
      <c r="C1589" s="47"/>
      <c r="D1589" s="48"/>
      <c r="E1589" s="47"/>
      <c r="F1589" s="49"/>
      <c r="G1589" s="50"/>
      <c r="H1589" s="50"/>
      <c r="I1589" s="50">
        <f>H1592</f>
        <v>1</v>
      </c>
      <c r="J1589" s="284" t="str">
        <f>VLOOKUP(A1589,PO!$A$8:$K$433,5,FALSE)</f>
        <v>und</v>
      </c>
    </row>
    <row r="1590" spans="1:10" x14ac:dyDescent="0.25">
      <c r="A1590" s="350"/>
      <c r="B1590" s="370"/>
      <c r="C1590" s="352"/>
      <c r="D1590" s="376"/>
      <c r="E1590" s="376"/>
      <c r="F1590" s="376"/>
      <c r="G1590" s="370"/>
      <c r="H1590" s="376"/>
      <c r="I1590" s="377"/>
      <c r="J1590" s="369"/>
    </row>
    <row r="1591" spans="1:10" x14ac:dyDescent="0.25">
      <c r="A1591" s="350"/>
      <c r="B1591" s="360" t="s">
        <v>10886</v>
      </c>
      <c r="C1591" s="352"/>
      <c r="D1591" s="406" t="s">
        <v>10927</v>
      </c>
      <c r="E1591" s="376"/>
      <c r="F1591" s="376"/>
      <c r="G1591" s="370"/>
      <c r="H1591" s="363" t="s">
        <v>14</v>
      </c>
      <c r="I1591" s="363" t="s">
        <v>15</v>
      </c>
      <c r="J1591" s="369"/>
    </row>
    <row r="1592" spans="1:10" x14ac:dyDescent="0.25">
      <c r="A1592" s="350"/>
      <c r="B1592" s="370" t="s">
        <v>11805</v>
      </c>
      <c r="C1592" s="352"/>
      <c r="D1592" s="376">
        <v>1</v>
      </c>
      <c r="E1592" s="376"/>
      <c r="F1592" s="376"/>
      <c r="G1592" s="370" t="s">
        <v>16</v>
      </c>
      <c r="H1592" s="376">
        <f>ROUND(D1592,2)</f>
        <v>1</v>
      </c>
      <c r="I1592" s="377" t="str">
        <f>J1589</f>
        <v>und</v>
      </c>
      <c r="J1592" s="369"/>
    </row>
    <row r="1593" spans="1:10" x14ac:dyDescent="0.25">
      <c r="A1593" s="350"/>
      <c r="B1593" s="370"/>
      <c r="C1593" s="352"/>
      <c r="D1593" s="376"/>
      <c r="E1593" s="376"/>
      <c r="F1593" s="376"/>
      <c r="G1593" s="370"/>
      <c r="H1593" s="376"/>
      <c r="I1593" s="377"/>
      <c r="J1593" s="369"/>
    </row>
    <row r="1594" spans="1:10" x14ac:dyDescent="0.25">
      <c r="A1594" s="350"/>
      <c r="B1594" s="370" t="s">
        <v>11821</v>
      </c>
      <c r="C1594" s="352"/>
      <c r="D1594" s="376"/>
      <c r="E1594" s="376"/>
      <c r="F1594" s="376"/>
      <c r="G1594" s="370"/>
      <c r="H1594" s="376"/>
      <c r="I1594" s="377"/>
      <c r="J1594" s="369"/>
    </row>
    <row r="1595" spans="1:10" ht="15.75" thickBot="1" x14ac:dyDescent="0.3">
      <c r="A1595" s="350"/>
      <c r="B1595" s="370"/>
      <c r="C1595" s="352"/>
      <c r="D1595" s="376"/>
      <c r="E1595" s="376"/>
      <c r="F1595" s="376"/>
      <c r="G1595" s="370"/>
      <c r="H1595" s="376"/>
      <c r="I1595" s="377"/>
      <c r="J1595" s="369"/>
    </row>
    <row r="1596" spans="1:10" s="40" customFormat="1" ht="15.75" thickBot="1" x14ac:dyDescent="0.3">
      <c r="A1596" s="46" t="s">
        <v>12128</v>
      </c>
      <c r="B1596" s="60" t="str">
        <f>VLOOKUP(A1596,PO!$A$8:$K$433,4,FALSE)</f>
        <v>Ralo sifonado, PVC, DN 100 x 40 mm, junta soldável, fornecido e instalado em ramal de descarga ou em ramal de esgoto sanitário.</v>
      </c>
      <c r="C1596" s="47"/>
      <c r="D1596" s="48"/>
      <c r="E1596" s="47"/>
      <c r="F1596" s="49"/>
      <c r="G1596" s="50"/>
      <c r="H1596" s="50"/>
      <c r="I1596" s="50">
        <f>H1599</f>
        <v>3</v>
      </c>
      <c r="J1596" s="284" t="str">
        <f>VLOOKUP(A1596,PO!$A$8:$K$433,5,FALSE)</f>
        <v>und</v>
      </c>
    </row>
    <row r="1597" spans="1:10" x14ac:dyDescent="0.25">
      <c r="A1597" s="350"/>
      <c r="B1597" s="370"/>
      <c r="C1597" s="352"/>
      <c r="D1597" s="376"/>
      <c r="E1597" s="376"/>
      <c r="F1597" s="376"/>
      <c r="G1597" s="370"/>
      <c r="H1597" s="376"/>
      <c r="I1597" s="377"/>
      <c r="J1597" s="369"/>
    </row>
    <row r="1598" spans="1:10" x14ac:dyDescent="0.25">
      <c r="A1598" s="350"/>
      <c r="B1598" s="360" t="s">
        <v>10886</v>
      </c>
      <c r="C1598" s="352"/>
      <c r="D1598" s="406" t="s">
        <v>10927</v>
      </c>
      <c r="E1598" s="376"/>
      <c r="F1598" s="376"/>
      <c r="G1598" s="370"/>
      <c r="H1598" s="363" t="s">
        <v>14</v>
      </c>
      <c r="I1598" s="363" t="s">
        <v>15</v>
      </c>
      <c r="J1598" s="369"/>
    </row>
    <row r="1599" spans="1:10" x14ac:dyDescent="0.25">
      <c r="A1599" s="350"/>
      <c r="B1599" s="370" t="s">
        <v>11805</v>
      </c>
      <c r="C1599" s="352"/>
      <c r="D1599" s="376">
        <v>3</v>
      </c>
      <c r="E1599" s="376"/>
      <c r="F1599" s="376"/>
      <c r="G1599" s="370" t="s">
        <v>16</v>
      </c>
      <c r="H1599" s="376">
        <f>ROUND(D1599,2)</f>
        <v>3</v>
      </c>
      <c r="I1599" s="377" t="str">
        <f>J1596</f>
        <v>und</v>
      </c>
      <c r="J1599" s="369"/>
    </row>
    <row r="1600" spans="1:10" x14ac:dyDescent="0.25">
      <c r="A1600" s="350"/>
      <c r="B1600" s="370"/>
      <c r="C1600" s="352"/>
      <c r="D1600" s="376"/>
      <c r="E1600" s="376"/>
      <c r="F1600" s="376"/>
      <c r="G1600" s="370"/>
      <c r="H1600" s="376"/>
      <c r="I1600" s="377"/>
      <c r="J1600" s="369"/>
    </row>
    <row r="1601" spans="1:10" x14ac:dyDescent="0.25">
      <c r="A1601" s="350"/>
      <c r="B1601" s="370" t="s">
        <v>11821</v>
      </c>
      <c r="C1601" s="352"/>
      <c r="D1601" s="376"/>
      <c r="E1601" s="376"/>
      <c r="F1601" s="376"/>
      <c r="G1601" s="370"/>
      <c r="H1601" s="376"/>
      <c r="I1601" s="377"/>
      <c r="J1601" s="369"/>
    </row>
    <row r="1602" spans="1:10" ht="15.75" thickBot="1" x14ac:dyDescent="0.3">
      <c r="A1602" s="350"/>
      <c r="B1602" s="370"/>
      <c r="C1602" s="352"/>
      <c r="D1602" s="376"/>
      <c r="E1602" s="376"/>
      <c r="F1602" s="376"/>
      <c r="G1602" s="370"/>
      <c r="H1602" s="376"/>
      <c r="I1602" s="377"/>
      <c r="J1602" s="369"/>
    </row>
    <row r="1603" spans="1:10" s="40" customFormat="1" ht="15.75" thickBot="1" x14ac:dyDescent="0.3">
      <c r="A1603" s="46" t="s">
        <v>12129</v>
      </c>
      <c r="B1603" s="60" t="str">
        <f>VLOOKUP(A1603,PO!$A$8:$K$433,4,FALSE)</f>
        <v xml:space="preserve">Caixa enterrada hidráulica retangular em alvenaria com tijolos cerâmicos maciços, dimensões internas: 0,6x0,6x0,6 m para rede de esgoto. </v>
      </c>
      <c r="C1603" s="47"/>
      <c r="D1603" s="48"/>
      <c r="E1603" s="47"/>
      <c r="F1603" s="49"/>
      <c r="G1603" s="50"/>
      <c r="H1603" s="50"/>
      <c r="I1603" s="50">
        <f>H1606</f>
        <v>11</v>
      </c>
      <c r="J1603" s="284" t="str">
        <f>VLOOKUP(A1603,PO!$A$8:$K$433,5,FALSE)</f>
        <v>und</v>
      </c>
    </row>
    <row r="1604" spans="1:10" x14ac:dyDescent="0.25">
      <c r="A1604" s="350"/>
      <c r="B1604" s="370"/>
      <c r="C1604" s="352"/>
      <c r="D1604" s="376"/>
      <c r="E1604" s="376"/>
      <c r="F1604" s="376"/>
      <c r="G1604" s="370"/>
      <c r="H1604" s="376"/>
      <c r="I1604" s="377"/>
      <c r="J1604" s="369"/>
    </row>
    <row r="1605" spans="1:10" x14ac:dyDescent="0.25">
      <c r="A1605" s="350"/>
      <c r="B1605" s="360" t="s">
        <v>10886</v>
      </c>
      <c r="C1605" s="352"/>
      <c r="D1605" s="406" t="s">
        <v>10927</v>
      </c>
      <c r="E1605" s="376"/>
      <c r="F1605" s="376"/>
      <c r="G1605" s="370"/>
      <c r="H1605" s="363" t="s">
        <v>14</v>
      </c>
      <c r="I1605" s="363" t="s">
        <v>15</v>
      </c>
      <c r="J1605" s="369"/>
    </row>
    <row r="1606" spans="1:10" x14ac:dyDescent="0.25">
      <c r="A1606" s="350"/>
      <c r="B1606" s="370" t="s">
        <v>11805</v>
      </c>
      <c r="C1606" s="352"/>
      <c r="D1606" s="376">
        <v>11</v>
      </c>
      <c r="E1606" s="376"/>
      <c r="F1606" s="376"/>
      <c r="G1606" s="370" t="s">
        <v>16</v>
      </c>
      <c r="H1606" s="376">
        <f>ROUND(D1606,2)</f>
        <v>11</v>
      </c>
      <c r="I1606" s="377" t="str">
        <f>J1603</f>
        <v>und</v>
      </c>
      <c r="J1606" s="369"/>
    </row>
    <row r="1607" spans="1:10" x14ac:dyDescent="0.25">
      <c r="A1607" s="350"/>
      <c r="B1607" s="370"/>
      <c r="C1607" s="352"/>
      <c r="D1607" s="376"/>
      <c r="E1607" s="376"/>
      <c r="F1607" s="376"/>
      <c r="G1607" s="370"/>
      <c r="H1607" s="376"/>
      <c r="I1607" s="377"/>
      <c r="J1607" s="369"/>
    </row>
    <row r="1608" spans="1:10" x14ac:dyDescent="0.25">
      <c r="A1608" s="350"/>
      <c r="B1608" s="370" t="s">
        <v>11821</v>
      </c>
      <c r="C1608" s="352"/>
      <c r="D1608" s="376"/>
      <c r="E1608" s="376"/>
      <c r="F1608" s="376"/>
      <c r="G1608" s="370"/>
      <c r="H1608" s="376"/>
      <c r="I1608" s="377"/>
      <c r="J1608" s="369"/>
    </row>
    <row r="1609" spans="1:10" ht="15.75" thickBot="1" x14ac:dyDescent="0.3">
      <c r="A1609" s="350"/>
      <c r="B1609" s="370"/>
      <c r="C1609" s="352"/>
      <c r="D1609" s="376"/>
      <c r="E1609" s="376"/>
      <c r="F1609" s="376"/>
      <c r="G1609" s="370"/>
      <c r="H1609" s="376"/>
      <c r="I1609" s="377"/>
      <c r="J1609" s="369"/>
    </row>
    <row r="1610" spans="1:10" ht="15.75" thickBot="1" x14ac:dyDescent="0.3">
      <c r="A1610" s="41" t="s">
        <v>12130</v>
      </c>
      <c r="B1610" s="42" t="str">
        <f>VLOOKUP(A1610,PO!$A$8:$K$425,4,FALSE)</f>
        <v>CAIXA D'ÁGUA</v>
      </c>
      <c r="C1610" s="43"/>
      <c r="D1610" s="43"/>
      <c r="E1610" s="43"/>
      <c r="F1610" s="295"/>
      <c r="G1610" s="43"/>
      <c r="H1610" s="43"/>
      <c r="I1610" s="43"/>
      <c r="J1610" s="44"/>
    </row>
    <row r="1611" spans="1:10" ht="15.75" thickBot="1" x14ac:dyDescent="0.3">
      <c r="A1611" s="347"/>
      <c r="B1611" s="205"/>
      <c r="C1611" s="205"/>
      <c r="D1611" s="348"/>
      <c r="E1611" s="205"/>
      <c r="F1611" s="237"/>
      <c r="G1611" s="208"/>
      <c r="H1611" s="208"/>
      <c r="I1611" s="208"/>
      <c r="J1611" s="349"/>
    </row>
    <row r="1612" spans="1:10" s="40" customFormat="1" ht="15.75" thickBot="1" x14ac:dyDescent="0.3">
      <c r="A1612" s="46" t="s">
        <v>12131</v>
      </c>
      <c r="B1612" s="60" t="str">
        <f>VLOOKUP(A1612,PO!$A$8:$K$433,4,FALSE)</f>
        <v>Caixa D'Agua em Polietileno, 1000 Litros, com Acessórios - fornecimento e instalação</v>
      </c>
      <c r="C1612" s="47"/>
      <c r="D1612" s="48"/>
      <c r="E1612" s="47"/>
      <c r="F1612" s="49"/>
      <c r="G1612" s="50"/>
      <c r="H1612" s="50"/>
      <c r="I1612" s="50">
        <f>H1615</f>
        <v>1</v>
      </c>
      <c r="J1612" s="284" t="str">
        <f>VLOOKUP(A1612,PO!$A$8:$K$433,5,FALSE)</f>
        <v>und.</v>
      </c>
    </row>
    <row r="1613" spans="1:10" x14ac:dyDescent="0.25">
      <c r="A1613" s="350"/>
      <c r="B1613" s="370"/>
      <c r="C1613" s="352"/>
      <c r="D1613" s="376"/>
      <c r="E1613" s="376"/>
      <c r="F1613" s="376"/>
      <c r="G1613" s="370"/>
      <c r="H1613" s="376"/>
      <c r="I1613" s="377"/>
      <c r="J1613" s="369"/>
    </row>
    <row r="1614" spans="1:10" x14ac:dyDescent="0.25">
      <c r="A1614" s="350"/>
      <c r="B1614" s="360" t="s">
        <v>10886</v>
      </c>
      <c r="C1614" s="352"/>
      <c r="D1614" s="406" t="s">
        <v>10927</v>
      </c>
      <c r="E1614" s="376"/>
      <c r="F1614" s="376"/>
      <c r="G1614" s="370"/>
      <c r="H1614" s="363" t="s">
        <v>14</v>
      </c>
      <c r="I1614" s="363" t="s">
        <v>15</v>
      </c>
      <c r="J1614" s="369"/>
    </row>
    <row r="1615" spans="1:10" x14ac:dyDescent="0.25">
      <c r="A1615" s="350"/>
      <c r="B1615" s="370" t="s">
        <v>11804</v>
      </c>
      <c r="C1615" s="352"/>
      <c r="D1615" s="376">
        <v>1</v>
      </c>
      <c r="E1615" s="376"/>
      <c r="F1615" s="376"/>
      <c r="G1615" s="370" t="s">
        <v>16</v>
      </c>
      <c r="H1615" s="376">
        <f>ROUND(D1615,2)</f>
        <v>1</v>
      </c>
      <c r="I1615" s="377" t="str">
        <f>J1612</f>
        <v>und.</v>
      </c>
      <c r="J1615" s="369"/>
    </row>
    <row r="1616" spans="1:10" x14ac:dyDescent="0.25">
      <c r="A1616" s="350"/>
      <c r="B1616" s="370"/>
      <c r="C1616" s="352"/>
      <c r="D1616" s="376"/>
      <c r="E1616" s="376"/>
      <c r="F1616" s="376"/>
      <c r="G1616" s="370"/>
      <c r="H1616" s="376"/>
      <c r="I1616" s="377"/>
      <c r="J1616" s="369"/>
    </row>
    <row r="1617" spans="1:10" x14ac:dyDescent="0.25">
      <c r="A1617" s="350"/>
      <c r="B1617" s="370" t="s">
        <v>11806</v>
      </c>
      <c r="C1617" s="352"/>
      <c r="D1617" s="376"/>
      <c r="E1617" s="376"/>
      <c r="F1617" s="376"/>
      <c r="G1617" s="370"/>
      <c r="H1617" s="376"/>
      <c r="I1617" s="377"/>
      <c r="J1617" s="369"/>
    </row>
    <row r="1618" spans="1:10" ht="15.75" thickBot="1" x14ac:dyDescent="0.3">
      <c r="A1618" s="350"/>
      <c r="B1618" s="370"/>
      <c r="C1618" s="352"/>
      <c r="D1618" s="376"/>
      <c r="E1618" s="376"/>
      <c r="F1618" s="376"/>
      <c r="G1618" s="370"/>
      <c r="H1618" s="376"/>
      <c r="I1618" s="377"/>
      <c r="J1618" s="369"/>
    </row>
    <row r="1619" spans="1:10" s="40" customFormat="1" ht="15.75" thickBot="1" x14ac:dyDescent="0.3">
      <c r="A1619" s="46" t="s">
        <v>12132</v>
      </c>
      <c r="B1619" s="60" t="str">
        <f>VLOOKUP(A1619,PO!$A$8:$K$433,4,FALSE)</f>
        <v>Torneira de boia, roscável, ½", fornecida e instalada em reservação de água.</v>
      </c>
      <c r="C1619" s="47"/>
      <c r="D1619" s="48"/>
      <c r="E1619" s="47"/>
      <c r="F1619" s="49"/>
      <c r="G1619" s="50"/>
      <c r="H1619" s="50"/>
      <c r="I1619" s="50">
        <f>H1622</f>
        <v>1</v>
      </c>
      <c r="J1619" s="284" t="str">
        <f>VLOOKUP(A1619,PO!$A$8:$K$433,5,FALSE)</f>
        <v>und.</v>
      </c>
    </row>
    <row r="1620" spans="1:10" x14ac:dyDescent="0.25">
      <c r="A1620" s="350"/>
      <c r="B1620" s="370"/>
      <c r="C1620" s="352"/>
      <c r="D1620" s="376"/>
      <c r="E1620" s="376"/>
      <c r="F1620" s="376"/>
      <c r="G1620" s="370"/>
      <c r="H1620" s="376"/>
      <c r="I1620" s="377"/>
      <c r="J1620" s="369"/>
    </row>
    <row r="1621" spans="1:10" x14ac:dyDescent="0.25">
      <c r="A1621" s="350"/>
      <c r="B1621" s="360" t="s">
        <v>10886</v>
      </c>
      <c r="C1621" s="352"/>
      <c r="D1621" s="406" t="s">
        <v>10927</v>
      </c>
      <c r="E1621" s="376"/>
      <c r="F1621" s="376"/>
      <c r="G1621" s="370"/>
      <c r="H1621" s="363" t="s">
        <v>14</v>
      </c>
      <c r="I1621" s="363" t="s">
        <v>15</v>
      </c>
      <c r="J1621" s="369"/>
    </row>
    <row r="1622" spans="1:10" x14ac:dyDescent="0.25">
      <c r="A1622" s="350"/>
      <c r="B1622" s="370" t="s">
        <v>11804</v>
      </c>
      <c r="C1622" s="352"/>
      <c r="D1622" s="376">
        <v>1</v>
      </c>
      <c r="E1622" s="376"/>
      <c r="F1622" s="376"/>
      <c r="G1622" s="370" t="s">
        <v>16</v>
      </c>
      <c r="H1622" s="376">
        <f>ROUND(D1622,2)</f>
        <v>1</v>
      </c>
      <c r="I1622" s="377" t="str">
        <f>J1619</f>
        <v>und.</v>
      </c>
      <c r="J1622" s="369"/>
    </row>
    <row r="1623" spans="1:10" x14ac:dyDescent="0.25">
      <c r="A1623" s="350"/>
      <c r="B1623" s="370"/>
      <c r="C1623" s="352"/>
      <c r="D1623" s="376"/>
      <c r="E1623" s="376"/>
      <c r="F1623" s="376"/>
      <c r="G1623" s="370"/>
      <c r="H1623" s="376"/>
      <c r="I1623" s="377"/>
      <c r="J1623" s="369"/>
    </row>
    <row r="1624" spans="1:10" x14ac:dyDescent="0.25">
      <c r="A1624" s="350"/>
      <c r="B1624" s="370" t="s">
        <v>11806</v>
      </c>
      <c r="C1624" s="352"/>
      <c r="D1624" s="376"/>
      <c r="E1624" s="376"/>
      <c r="F1624" s="376"/>
      <c r="G1624" s="370"/>
      <c r="H1624" s="376"/>
      <c r="I1624" s="377"/>
      <c r="J1624" s="369"/>
    </row>
    <row r="1625" spans="1:10" ht="15.75" thickBot="1" x14ac:dyDescent="0.3">
      <c r="A1625" s="350"/>
      <c r="B1625" s="370"/>
      <c r="C1625" s="352"/>
      <c r="D1625" s="376"/>
      <c r="E1625" s="376"/>
      <c r="F1625" s="376"/>
      <c r="G1625" s="370"/>
      <c r="H1625" s="376"/>
      <c r="I1625" s="377"/>
      <c r="J1625" s="369"/>
    </row>
    <row r="1626" spans="1:10" ht="15.75" thickBot="1" x14ac:dyDescent="0.3">
      <c r="A1626" s="41" t="s">
        <v>12133</v>
      </c>
      <c r="B1626" s="42" t="str">
        <f>VLOOKUP(A1626,PO!$A$8:$K$425,4,FALSE)</f>
        <v>RASGO E FECHAMENTO DE RASGO EM ALVENARIA</v>
      </c>
      <c r="C1626" s="43"/>
      <c r="D1626" s="43"/>
      <c r="E1626" s="43"/>
      <c r="F1626" s="295"/>
      <c r="G1626" s="43"/>
      <c r="H1626" s="43"/>
      <c r="I1626" s="43"/>
      <c r="J1626" s="44"/>
    </row>
    <row r="1627" spans="1:10" ht="15.75" thickBot="1" x14ac:dyDescent="0.3">
      <c r="A1627" s="347"/>
      <c r="B1627" s="205"/>
      <c r="C1627" s="205"/>
      <c r="D1627" s="348"/>
      <c r="E1627" s="205"/>
      <c r="F1627" s="237"/>
      <c r="G1627" s="208"/>
      <c r="H1627" s="208"/>
      <c r="I1627" s="208"/>
      <c r="J1627" s="349"/>
    </row>
    <row r="1628" spans="1:10" s="40" customFormat="1" ht="15.75" thickBot="1" x14ac:dyDescent="0.3">
      <c r="A1628" s="46" t="s">
        <v>12134</v>
      </c>
      <c r="B1628" s="60" t="str">
        <f>VLOOKUP(A1628,PO!$A$8:$K$433,4,FALSE)</f>
        <v>Rasgo em alvenaria para ramais/ distribuição com diâmetros menores ou iguais a 40 mm</v>
      </c>
      <c r="C1628" s="47"/>
      <c r="D1628" s="48"/>
      <c r="E1628" s="47"/>
      <c r="F1628" s="49"/>
      <c r="G1628" s="50"/>
      <c r="H1628" s="50"/>
      <c r="I1628" s="50">
        <f>SUM(H1631:H1632)</f>
        <v>120.93</v>
      </c>
      <c r="J1628" s="284" t="str">
        <f>VLOOKUP(A1628,PO!$A$8:$K$433,5,FALSE)</f>
        <v>m</v>
      </c>
    </row>
    <row r="1629" spans="1:10" x14ac:dyDescent="0.25">
      <c r="A1629" s="350"/>
      <c r="B1629" s="370"/>
      <c r="C1629" s="352"/>
      <c r="D1629" s="376"/>
      <c r="E1629" s="376"/>
      <c r="F1629" s="376"/>
      <c r="G1629" s="370"/>
      <c r="H1629" s="376"/>
      <c r="I1629" s="377"/>
      <c r="J1629" s="369"/>
    </row>
    <row r="1630" spans="1:10" x14ac:dyDescent="0.25">
      <c r="A1630" s="350"/>
      <c r="B1630" s="360" t="s">
        <v>10886</v>
      </c>
      <c r="C1630" s="352"/>
      <c r="D1630" s="406" t="s">
        <v>10927</v>
      </c>
      <c r="E1630" s="376"/>
      <c r="F1630" s="376"/>
      <c r="G1630" s="370"/>
      <c r="H1630" s="363" t="s">
        <v>14</v>
      </c>
      <c r="I1630" s="363" t="s">
        <v>15</v>
      </c>
      <c r="J1630" s="369"/>
    </row>
    <row r="1631" spans="1:10" x14ac:dyDescent="0.25">
      <c r="A1631" s="350"/>
      <c r="B1631" s="370" t="s">
        <v>11804</v>
      </c>
      <c r="C1631" s="352"/>
      <c r="D1631" s="376">
        <f>I1286+I1293+I1300</f>
        <v>118.93</v>
      </c>
      <c r="E1631" s="376"/>
      <c r="F1631" s="376"/>
      <c r="G1631" s="370" t="s">
        <v>16</v>
      </c>
      <c r="H1631" s="376">
        <f>ROUND(D1631,2)</f>
        <v>118.93</v>
      </c>
      <c r="I1631" s="377" t="str">
        <f>J1628</f>
        <v>m</v>
      </c>
      <c r="J1631" s="369"/>
    </row>
    <row r="1632" spans="1:10" x14ac:dyDescent="0.25">
      <c r="A1632" s="350"/>
      <c r="B1632" s="370" t="s">
        <v>11840</v>
      </c>
      <c r="C1632" s="352"/>
      <c r="D1632" s="376">
        <f>(0.5*4)</f>
        <v>2</v>
      </c>
      <c r="E1632" s="376"/>
      <c r="F1632" s="376"/>
      <c r="G1632" s="370" t="s">
        <v>16</v>
      </c>
      <c r="H1632" s="376">
        <f>ROUND(D1632,2)</f>
        <v>2</v>
      </c>
      <c r="I1632" s="377" t="str">
        <f>I1631</f>
        <v>m</v>
      </c>
      <c r="J1632" s="369"/>
    </row>
    <row r="1633" spans="1:10" x14ac:dyDescent="0.25">
      <c r="A1633" s="350"/>
      <c r="B1633" s="370"/>
      <c r="C1633" s="352"/>
      <c r="D1633" s="376"/>
      <c r="E1633" s="376"/>
      <c r="F1633" s="376"/>
      <c r="G1633" s="370"/>
      <c r="H1633" s="376"/>
      <c r="I1633" s="377"/>
      <c r="J1633" s="369"/>
    </row>
    <row r="1634" spans="1:10" x14ac:dyDescent="0.25">
      <c r="A1634" s="350"/>
      <c r="B1634" s="370" t="s">
        <v>11839</v>
      </c>
      <c r="C1634" s="352"/>
      <c r="D1634" s="376"/>
      <c r="E1634" s="376"/>
      <c r="F1634" s="376"/>
      <c r="G1634" s="370"/>
      <c r="H1634" s="376"/>
      <c r="I1634" s="377"/>
      <c r="J1634" s="369"/>
    </row>
    <row r="1635" spans="1:10" ht="15.75" thickBot="1" x14ac:dyDescent="0.3">
      <c r="A1635" s="350"/>
      <c r="B1635" s="370"/>
      <c r="C1635" s="352"/>
      <c r="D1635" s="376"/>
      <c r="E1635" s="376"/>
      <c r="F1635" s="376"/>
      <c r="G1635" s="370"/>
      <c r="H1635" s="376"/>
      <c r="I1635" s="377"/>
      <c r="J1635" s="369"/>
    </row>
    <row r="1636" spans="1:10" s="40" customFormat="1" ht="15.75" thickBot="1" x14ac:dyDescent="0.3">
      <c r="A1636" s="46" t="s">
        <v>12135</v>
      </c>
      <c r="B1636" s="60" t="str">
        <f>VLOOKUP(A1636,PO!$A$8:$K$433,4,FALSE)</f>
        <v xml:space="preserve">Rasgo em alvenaria para ramais/ distribuição com diâmetros maiores que 40 mm e menores ou iguais a 75 mm. </v>
      </c>
      <c r="C1636" s="47"/>
      <c r="D1636" s="48"/>
      <c r="E1636" s="47"/>
      <c r="F1636" s="49"/>
      <c r="G1636" s="50"/>
      <c r="H1636" s="50"/>
      <c r="I1636" s="50">
        <f>SUM(H1639:H1640)</f>
        <v>15.72</v>
      </c>
      <c r="J1636" s="284" t="str">
        <f>VLOOKUP(A1636,PO!$A$8:$K$433,5,FALSE)</f>
        <v>m</v>
      </c>
    </row>
    <row r="1637" spans="1:10" x14ac:dyDescent="0.25">
      <c r="A1637" s="350"/>
      <c r="B1637" s="370"/>
      <c r="C1637" s="352"/>
      <c r="D1637" s="376"/>
      <c r="E1637" s="376"/>
      <c r="F1637" s="376"/>
      <c r="G1637" s="370"/>
      <c r="H1637" s="376"/>
      <c r="I1637" s="377"/>
      <c r="J1637" s="369"/>
    </row>
    <row r="1638" spans="1:10" x14ac:dyDescent="0.25">
      <c r="A1638" s="350"/>
      <c r="B1638" s="360" t="s">
        <v>10886</v>
      </c>
      <c r="C1638" s="352"/>
      <c r="D1638" s="406" t="s">
        <v>10927</v>
      </c>
      <c r="E1638" s="376"/>
      <c r="F1638" s="376"/>
      <c r="G1638" s="370"/>
      <c r="H1638" s="363" t="s">
        <v>14</v>
      </c>
      <c r="I1638" s="363" t="s">
        <v>15</v>
      </c>
      <c r="J1638" s="369"/>
    </row>
    <row r="1639" spans="1:10" x14ac:dyDescent="0.25">
      <c r="A1639" s="350"/>
      <c r="B1639" s="370" t="s">
        <v>11804</v>
      </c>
      <c r="C1639" s="352"/>
      <c r="D1639" s="376">
        <f>I1307</f>
        <v>1.7200000000000002</v>
      </c>
      <c r="E1639" s="376"/>
      <c r="F1639" s="376"/>
      <c r="G1639" s="370" t="s">
        <v>16</v>
      </c>
      <c r="H1639" s="376">
        <f>ROUND(D1639,2)</f>
        <v>1.72</v>
      </c>
      <c r="I1639" s="377" t="str">
        <f>J1636</f>
        <v>m</v>
      </c>
      <c r="J1639" s="369"/>
    </row>
    <row r="1640" spans="1:10" x14ac:dyDescent="0.25">
      <c r="A1640" s="350"/>
      <c r="B1640" s="370" t="s">
        <v>11841</v>
      </c>
      <c r="C1640" s="352"/>
      <c r="D1640" s="376">
        <f>14</f>
        <v>14</v>
      </c>
      <c r="E1640" s="376"/>
      <c r="F1640" s="376"/>
      <c r="G1640" s="370" t="s">
        <v>16</v>
      </c>
      <c r="H1640" s="376">
        <f>ROUND(D1640,2)</f>
        <v>14</v>
      </c>
      <c r="I1640" s="377" t="str">
        <f>I1639</f>
        <v>m</v>
      </c>
      <c r="J1640" s="369"/>
    </row>
    <row r="1641" spans="1:10" x14ac:dyDescent="0.25">
      <c r="A1641" s="350"/>
      <c r="B1641" s="370"/>
      <c r="C1641" s="352"/>
      <c r="D1641" s="376"/>
      <c r="E1641" s="376"/>
      <c r="F1641" s="376"/>
      <c r="G1641" s="370"/>
      <c r="H1641" s="376"/>
      <c r="I1641" s="377"/>
      <c r="J1641" s="369"/>
    </row>
    <row r="1642" spans="1:10" x14ac:dyDescent="0.25">
      <c r="A1642" s="350"/>
      <c r="B1642" s="370" t="s">
        <v>11839</v>
      </c>
      <c r="C1642" s="352"/>
      <c r="D1642" s="376"/>
      <c r="E1642" s="376"/>
      <c r="F1642" s="376"/>
      <c r="G1642" s="370"/>
      <c r="H1642" s="376"/>
      <c r="I1642" s="377"/>
      <c r="J1642" s="369"/>
    </row>
    <row r="1643" spans="1:10" ht="15.75" thickBot="1" x14ac:dyDescent="0.3">
      <c r="A1643" s="350"/>
      <c r="B1643" s="370"/>
      <c r="C1643" s="352"/>
      <c r="D1643" s="376"/>
      <c r="E1643" s="376"/>
      <c r="F1643" s="376"/>
      <c r="G1643" s="370"/>
      <c r="H1643" s="376"/>
      <c r="I1643" s="377"/>
      <c r="J1643" s="369"/>
    </row>
    <row r="1644" spans="1:10" s="40" customFormat="1" ht="15.75" thickBot="1" x14ac:dyDescent="0.3">
      <c r="A1644" s="46" t="s">
        <v>12136</v>
      </c>
      <c r="B1644" s="60" t="str">
        <f>VLOOKUP(A1644,PO!$A$8:$K$433,4,FALSE)</f>
        <v>Enchimento de rasgo em alvenaria com argamassa mista traço 1:4, para tubulação de 1/2" a 25 mm</v>
      </c>
      <c r="C1644" s="47"/>
      <c r="D1644" s="48"/>
      <c r="E1644" s="47"/>
      <c r="F1644" s="49"/>
      <c r="G1644" s="50"/>
      <c r="H1644" s="50"/>
      <c r="I1644" s="50">
        <f>H1647</f>
        <v>62.94</v>
      </c>
      <c r="J1644" s="284" t="str">
        <f>VLOOKUP(A1644,PO!$A$8:$K$433,5,FALSE)</f>
        <v>m</v>
      </c>
    </row>
    <row r="1645" spans="1:10" x14ac:dyDescent="0.25">
      <c r="A1645" s="350"/>
      <c r="B1645" s="370"/>
      <c r="C1645" s="352"/>
      <c r="D1645" s="376"/>
      <c r="E1645" s="376"/>
      <c r="F1645" s="376"/>
      <c r="G1645" s="370"/>
      <c r="H1645" s="376"/>
      <c r="I1645" s="377"/>
      <c r="J1645" s="369"/>
    </row>
    <row r="1646" spans="1:10" x14ac:dyDescent="0.25">
      <c r="A1646" s="350"/>
      <c r="B1646" s="360" t="s">
        <v>10886</v>
      </c>
      <c r="C1646" s="352"/>
      <c r="D1646" s="406" t="s">
        <v>10927</v>
      </c>
      <c r="E1646" s="376"/>
      <c r="F1646" s="376"/>
      <c r="G1646" s="370"/>
      <c r="H1646" s="363" t="s">
        <v>14</v>
      </c>
      <c r="I1646" s="363" t="s">
        <v>15</v>
      </c>
      <c r="J1646" s="369"/>
    </row>
    <row r="1647" spans="1:10" x14ac:dyDescent="0.25">
      <c r="A1647" s="350"/>
      <c r="B1647" s="370" t="s">
        <v>11804</v>
      </c>
      <c r="C1647" s="352"/>
      <c r="D1647" s="376">
        <f>I1286</f>
        <v>62.94</v>
      </c>
      <c r="E1647" s="376"/>
      <c r="F1647" s="376"/>
      <c r="G1647" s="370" t="s">
        <v>16</v>
      </c>
      <c r="H1647" s="376">
        <f>ROUND(D1647,2)</f>
        <v>62.94</v>
      </c>
      <c r="I1647" s="377" t="str">
        <f>J1644</f>
        <v>m</v>
      </c>
      <c r="J1647" s="369"/>
    </row>
    <row r="1648" spans="1:10" x14ac:dyDescent="0.25">
      <c r="A1648" s="350"/>
      <c r="B1648" s="370"/>
      <c r="C1648" s="352"/>
      <c r="D1648" s="376"/>
      <c r="E1648" s="376"/>
      <c r="F1648" s="376"/>
      <c r="G1648" s="370"/>
      <c r="H1648" s="376"/>
      <c r="I1648" s="377"/>
      <c r="J1648" s="369"/>
    </row>
    <row r="1649" spans="1:10" x14ac:dyDescent="0.25">
      <c r="A1649" s="350"/>
      <c r="B1649" s="370" t="s">
        <v>11806</v>
      </c>
      <c r="C1649" s="352"/>
      <c r="D1649" s="376"/>
      <c r="E1649" s="376"/>
      <c r="F1649" s="376"/>
      <c r="G1649" s="370"/>
      <c r="H1649" s="376"/>
      <c r="I1649" s="377"/>
      <c r="J1649" s="369"/>
    </row>
    <row r="1650" spans="1:10" ht="15.75" thickBot="1" x14ac:dyDescent="0.3">
      <c r="A1650" s="350"/>
      <c r="B1650" s="370"/>
      <c r="C1650" s="352"/>
      <c r="D1650" s="376"/>
      <c r="E1650" s="376"/>
      <c r="F1650" s="376"/>
      <c r="G1650" s="370"/>
      <c r="H1650" s="376"/>
      <c r="I1650" s="377"/>
      <c r="J1650" s="369"/>
    </row>
    <row r="1651" spans="1:10" s="40" customFormat="1" ht="15.75" thickBot="1" x14ac:dyDescent="0.3">
      <c r="A1651" s="46" t="s">
        <v>12137</v>
      </c>
      <c r="B1651" s="60" t="str">
        <f>VLOOKUP(A1651,PO!$A$8:$K$433,4,FALSE)</f>
        <v>Enchimento de rasgo em alvenaria com argamassa mista de cal hidratada e areia traço 1:4 com adição de 150 kg de cimento, para tubulação Ø 32 mm - 1 1/4" a 50 mm - 2"</v>
      </c>
      <c r="C1651" s="47"/>
      <c r="D1651" s="48"/>
      <c r="E1651" s="47"/>
      <c r="F1651" s="49"/>
      <c r="G1651" s="50"/>
      <c r="H1651" s="50"/>
      <c r="I1651" s="50">
        <f>SUM(H1654:H1655)</f>
        <v>87.71</v>
      </c>
      <c r="J1651" s="284" t="str">
        <f>VLOOKUP(A1651,PO!$A$8:$K$433,5,FALSE)</f>
        <v>m</v>
      </c>
    </row>
    <row r="1652" spans="1:10" x14ac:dyDescent="0.25">
      <c r="A1652" s="350"/>
      <c r="B1652" s="370"/>
      <c r="C1652" s="352"/>
      <c r="D1652" s="376"/>
      <c r="E1652" s="376"/>
      <c r="F1652" s="376"/>
      <c r="G1652" s="370"/>
      <c r="H1652" s="376"/>
      <c r="I1652" s="377"/>
      <c r="J1652" s="369"/>
    </row>
    <row r="1653" spans="1:10" x14ac:dyDescent="0.25">
      <c r="A1653" s="350"/>
      <c r="B1653" s="360" t="s">
        <v>10886</v>
      </c>
      <c r="C1653" s="352"/>
      <c r="D1653" s="406" t="s">
        <v>10927</v>
      </c>
      <c r="E1653" s="376"/>
      <c r="F1653" s="376"/>
      <c r="G1653" s="370"/>
      <c r="H1653" s="363" t="s">
        <v>14</v>
      </c>
      <c r="I1653" s="363" t="s">
        <v>15</v>
      </c>
      <c r="J1653" s="369"/>
    </row>
    <row r="1654" spans="1:10" x14ac:dyDescent="0.25">
      <c r="A1654" s="350"/>
      <c r="B1654" s="370" t="s">
        <v>11804</v>
      </c>
      <c r="C1654" s="352"/>
      <c r="D1654" s="376">
        <f>I1293+I1300+I1307+14</f>
        <v>71.710000000000008</v>
      </c>
      <c r="E1654" s="376"/>
      <c r="F1654" s="376"/>
      <c r="G1654" s="370" t="s">
        <v>16</v>
      </c>
      <c r="H1654" s="376">
        <f>ROUND(D1654,2)</f>
        <v>71.709999999999994</v>
      </c>
      <c r="I1654" s="377" t="str">
        <f>J1651</f>
        <v>m</v>
      </c>
      <c r="J1654" s="369"/>
    </row>
    <row r="1655" spans="1:10" x14ac:dyDescent="0.25">
      <c r="A1655" s="350"/>
      <c r="B1655" s="370" t="s">
        <v>11805</v>
      </c>
      <c r="C1655" s="352"/>
      <c r="D1655" s="376">
        <f>D1632+D1640</f>
        <v>16</v>
      </c>
      <c r="E1655" s="376"/>
      <c r="F1655" s="376"/>
      <c r="G1655" s="370" t="s">
        <v>16</v>
      </c>
      <c r="H1655" s="376">
        <f>ROUND(D1655,2)</f>
        <v>16</v>
      </c>
      <c r="I1655" s="377" t="str">
        <f>I1654</f>
        <v>m</v>
      </c>
      <c r="J1655" s="369"/>
    </row>
    <row r="1656" spans="1:10" x14ac:dyDescent="0.25">
      <c r="A1656" s="350"/>
      <c r="B1656" s="370"/>
      <c r="C1656" s="352"/>
      <c r="D1656" s="376"/>
      <c r="E1656" s="376"/>
      <c r="F1656" s="376"/>
      <c r="G1656" s="370"/>
      <c r="H1656" s="376"/>
      <c r="I1656" s="377"/>
      <c r="J1656" s="369"/>
    </row>
    <row r="1657" spans="1:10" x14ac:dyDescent="0.25">
      <c r="A1657" s="350"/>
      <c r="B1657" s="370" t="s">
        <v>11839</v>
      </c>
      <c r="C1657" s="352"/>
      <c r="D1657" s="376"/>
      <c r="E1657" s="376"/>
      <c r="F1657" s="376"/>
      <c r="G1657" s="370"/>
      <c r="H1657" s="376"/>
      <c r="I1657" s="377"/>
      <c r="J1657" s="369"/>
    </row>
    <row r="1658" spans="1:10" ht="15.75" thickBot="1" x14ac:dyDescent="0.3">
      <c r="A1658" s="350"/>
      <c r="B1658" s="370"/>
      <c r="C1658" s="352"/>
      <c r="D1658" s="376"/>
      <c r="E1658" s="376"/>
      <c r="F1658" s="376"/>
      <c r="G1658" s="370"/>
      <c r="H1658" s="376"/>
      <c r="I1658" s="377"/>
      <c r="J1658" s="369"/>
    </row>
    <row r="1659" spans="1:10" ht="15.75" thickBot="1" x14ac:dyDescent="0.3">
      <c r="A1659" s="41" t="s">
        <v>12138</v>
      </c>
      <c r="B1659" s="42" t="str">
        <f>VLOOKUP(A1659,PO!$A$8:$K$425,4,FALSE)</f>
        <v>ESCAVAÇÃO E REATERRO DE VALA PARA TUBOS SANITÁRIOS</v>
      </c>
      <c r="C1659" s="43"/>
      <c r="D1659" s="43"/>
      <c r="E1659" s="43"/>
      <c r="F1659" s="295"/>
      <c r="G1659" s="43"/>
      <c r="H1659" s="43"/>
      <c r="I1659" s="43"/>
      <c r="J1659" s="44"/>
    </row>
    <row r="1660" spans="1:10" ht="15.75" thickBot="1" x14ac:dyDescent="0.3">
      <c r="A1660" s="347"/>
      <c r="B1660" s="205"/>
      <c r="C1660" s="205"/>
      <c r="D1660" s="348"/>
      <c r="E1660" s="205"/>
      <c r="F1660" s="237"/>
      <c r="G1660" s="208"/>
      <c r="H1660" s="208"/>
      <c r="I1660" s="208"/>
      <c r="J1660" s="349"/>
    </row>
    <row r="1661" spans="1:10" s="40" customFormat="1" ht="15.75" thickBot="1" x14ac:dyDescent="0.3">
      <c r="A1661" s="46" t="s">
        <v>12139</v>
      </c>
      <c r="B1661" s="60" t="str">
        <f>VLOOKUP(A1661,PO!$A$8:$K$433,4,FALSE)</f>
        <v xml:space="preserve">Escavação manual de vala com profundidade menor ou igual a 1,30 m. </v>
      </c>
      <c r="C1661" s="47"/>
      <c r="D1661" s="48"/>
      <c r="E1661" s="47"/>
      <c r="F1661" s="49"/>
      <c r="G1661" s="50"/>
      <c r="H1661" s="50"/>
      <c r="I1661" s="50">
        <f>SUM(H1664:H1666)</f>
        <v>9.15</v>
      </c>
      <c r="J1661" s="284" t="str">
        <f>VLOOKUP(A1661,PO!$A$8:$K$433,5,FALSE)</f>
        <v>m³</v>
      </c>
    </row>
    <row r="1662" spans="1:10" x14ac:dyDescent="0.25">
      <c r="A1662" s="350"/>
      <c r="B1662" s="370"/>
      <c r="C1662" s="352"/>
      <c r="D1662" s="376"/>
      <c r="E1662" s="376"/>
      <c r="F1662" s="376"/>
      <c r="G1662" s="370"/>
      <c r="H1662" s="376"/>
      <c r="I1662" s="377"/>
      <c r="J1662" s="369"/>
    </row>
    <row r="1663" spans="1:10" x14ac:dyDescent="0.25">
      <c r="A1663" s="350"/>
      <c r="B1663" s="360" t="s">
        <v>10886</v>
      </c>
      <c r="C1663" s="352"/>
      <c r="D1663" s="406" t="s">
        <v>10927</v>
      </c>
      <c r="E1663" s="406" t="s">
        <v>11843</v>
      </c>
      <c r="F1663" s="406" t="s">
        <v>10921</v>
      </c>
      <c r="G1663" s="370"/>
      <c r="H1663" s="363" t="s">
        <v>14</v>
      </c>
      <c r="I1663" s="363" t="s">
        <v>15</v>
      </c>
      <c r="J1663" s="369"/>
    </row>
    <row r="1664" spans="1:10" x14ac:dyDescent="0.25">
      <c r="A1664" s="350"/>
      <c r="B1664" s="370" t="s">
        <v>11840</v>
      </c>
      <c r="C1664" s="352"/>
      <c r="D1664" s="376">
        <f>I1315-D1632</f>
        <v>15.809999999999999</v>
      </c>
      <c r="E1664" s="376">
        <f>0.2+0.1</f>
        <v>0.30000000000000004</v>
      </c>
      <c r="F1664" s="376">
        <v>0.2</v>
      </c>
      <c r="G1664" s="370" t="s">
        <v>16</v>
      </c>
      <c r="H1664" s="376">
        <f>ROUND(D1664*E1664*F1664,2)</f>
        <v>0.95</v>
      </c>
      <c r="I1664" s="377" t="str">
        <f>J1661</f>
        <v>m³</v>
      </c>
      <c r="J1664" s="369"/>
    </row>
    <row r="1665" spans="1:10" x14ac:dyDescent="0.25">
      <c r="A1665" s="350"/>
      <c r="B1665" s="370" t="s">
        <v>11841</v>
      </c>
      <c r="C1665" s="352"/>
      <c r="D1665" s="376">
        <f>I1322-D1640</f>
        <v>17.02</v>
      </c>
      <c r="E1665" s="376">
        <f t="shared" ref="E1665:E1666" si="159">0.2+0.1</f>
        <v>0.30000000000000004</v>
      </c>
      <c r="F1665" s="376">
        <v>0.2</v>
      </c>
      <c r="G1665" s="370" t="s">
        <v>16</v>
      </c>
      <c r="H1665" s="376">
        <f t="shared" ref="H1665:H1666" si="160">ROUND(D1665*E1665*F1665,2)</f>
        <v>1.02</v>
      </c>
      <c r="I1665" s="377" t="str">
        <f>I1664</f>
        <v>m³</v>
      </c>
      <c r="J1665" s="369"/>
    </row>
    <row r="1666" spans="1:10" x14ac:dyDescent="0.25">
      <c r="A1666" s="350"/>
      <c r="B1666" s="370" t="s">
        <v>11842</v>
      </c>
      <c r="C1666" s="352"/>
      <c r="D1666" s="376">
        <f>I1329</f>
        <v>119.64</v>
      </c>
      <c r="E1666" s="376">
        <f t="shared" si="159"/>
        <v>0.30000000000000004</v>
      </c>
      <c r="F1666" s="376">
        <v>0.2</v>
      </c>
      <c r="G1666" s="370" t="s">
        <v>16</v>
      </c>
      <c r="H1666" s="376">
        <f t="shared" si="160"/>
        <v>7.18</v>
      </c>
      <c r="I1666" s="377" t="str">
        <f>I1665</f>
        <v>m³</v>
      </c>
      <c r="J1666" s="369"/>
    </row>
    <row r="1667" spans="1:10" x14ac:dyDescent="0.25">
      <c r="A1667" s="350"/>
      <c r="B1667" s="370"/>
      <c r="C1667" s="352"/>
      <c r="D1667" s="376"/>
      <c r="E1667" s="376"/>
      <c r="F1667" s="376"/>
      <c r="G1667" s="370"/>
      <c r="H1667" s="376"/>
      <c r="I1667" s="377"/>
      <c r="J1667" s="369"/>
    </row>
    <row r="1668" spans="1:10" x14ac:dyDescent="0.25">
      <c r="A1668" s="350"/>
      <c r="B1668" s="370" t="s">
        <v>11821</v>
      </c>
      <c r="C1668" s="352"/>
      <c r="D1668" s="376"/>
      <c r="E1668" s="376"/>
      <c r="F1668" s="376"/>
      <c r="G1668" s="370"/>
      <c r="H1668" s="376"/>
      <c r="I1668" s="377"/>
      <c r="J1668" s="369"/>
    </row>
    <row r="1669" spans="1:10" ht="15.75" thickBot="1" x14ac:dyDescent="0.3">
      <c r="A1669" s="350"/>
      <c r="B1669" s="370"/>
      <c r="C1669" s="352"/>
      <c r="D1669" s="376"/>
      <c r="E1669" s="376"/>
      <c r="F1669" s="376"/>
      <c r="G1669" s="370"/>
      <c r="H1669" s="376"/>
      <c r="I1669" s="377"/>
      <c r="J1669" s="369"/>
    </row>
    <row r="1670" spans="1:10" s="40" customFormat="1" ht="15.75" thickBot="1" x14ac:dyDescent="0.3">
      <c r="A1670" s="46" t="s">
        <v>12140</v>
      </c>
      <c r="B1670" s="60" t="str">
        <f>VLOOKUP(A1670,PO!$A$8:$K$433,4,FALSE)</f>
        <v>Reaterro manual de valas com compactação mecanizada.</v>
      </c>
      <c r="C1670" s="47"/>
      <c r="D1670" s="48"/>
      <c r="E1670" s="47"/>
      <c r="F1670" s="49"/>
      <c r="G1670" s="50"/>
      <c r="H1670" s="50"/>
      <c r="I1670" s="50">
        <f>SUM(H1673)-SUM(H1678:H1680)</f>
        <v>8.16</v>
      </c>
      <c r="J1670" s="284" t="str">
        <f>VLOOKUP(A1670,PO!$A$8:$K$433,5,FALSE)</f>
        <v>m³</v>
      </c>
    </row>
    <row r="1671" spans="1:10" x14ac:dyDescent="0.25">
      <c r="A1671" s="350"/>
      <c r="B1671" s="370"/>
      <c r="C1671" s="352"/>
      <c r="D1671" s="376"/>
      <c r="E1671" s="376"/>
      <c r="F1671" s="376"/>
      <c r="G1671" s="370"/>
      <c r="H1671" s="376"/>
      <c r="I1671" s="377"/>
      <c r="J1671" s="369"/>
    </row>
    <row r="1672" spans="1:10" x14ac:dyDescent="0.25">
      <c r="A1672" s="350"/>
      <c r="B1672" s="360" t="s">
        <v>10886</v>
      </c>
      <c r="C1672" s="352"/>
      <c r="D1672" s="406"/>
      <c r="E1672" s="406"/>
      <c r="F1672" s="406" t="s">
        <v>11118</v>
      </c>
      <c r="G1672" s="370"/>
      <c r="H1672" s="363" t="s">
        <v>14</v>
      </c>
      <c r="I1672" s="363" t="s">
        <v>15</v>
      </c>
      <c r="J1672" s="369"/>
    </row>
    <row r="1673" spans="1:10" x14ac:dyDescent="0.25">
      <c r="A1673" s="350"/>
      <c r="B1673" s="370" t="s">
        <v>11844</v>
      </c>
      <c r="C1673" s="352"/>
      <c r="D1673" s="376"/>
      <c r="E1673" s="376"/>
      <c r="F1673" s="376">
        <f>I1661</f>
        <v>9.15</v>
      </c>
      <c r="G1673" s="370" t="s">
        <v>16</v>
      </c>
      <c r="H1673" s="376">
        <f>ROUND(F1673,2)</f>
        <v>9.15</v>
      </c>
      <c r="I1673" s="377" t="str">
        <f>J1670</f>
        <v>m³</v>
      </c>
      <c r="J1673" s="369"/>
    </row>
    <row r="1674" spans="1:10" x14ac:dyDescent="0.25">
      <c r="A1674" s="350"/>
      <c r="B1674" s="370"/>
      <c r="C1674" s="352"/>
      <c r="D1674" s="376"/>
      <c r="E1674" s="376"/>
      <c r="F1674" s="376"/>
      <c r="G1674" s="370"/>
      <c r="H1674" s="376"/>
      <c r="I1674" s="377"/>
      <c r="J1674" s="369"/>
    </row>
    <row r="1675" spans="1:10" x14ac:dyDescent="0.25">
      <c r="A1675" s="707" t="s">
        <v>11845</v>
      </c>
      <c r="B1675" s="708"/>
      <c r="C1675" s="708"/>
      <c r="D1675" s="708"/>
      <c r="E1675" s="708"/>
      <c r="F1675" s="708"/>
      <c r="G1675" s="708"/>
      <c r="H1675" s="708"/>
      <c r="I1675" s="708"/>
      <c r="J1675" s="709"/>
    </row>
    <row r="1676" spans="1:10" x14ac:dyDescent="0.25">
      <c r="A1676" s="350"/>
      <c r="B1676" s="370"/>
      <c r="C1676" s="352"/>
      <c r="D1676" s="376"/>
      <c r="E1676" s="376"/>
      <c r="F1676" s="376"/>
      <c r="G1676" s="370"/>
      <c r="H1676" s="376"/>
      <c r="I1676" s="377"/>
      <c r="J1676" s="369"/>
    </row>
    <row r="1677" spans="1:10" x14ac:dyDescent="0.25">
      <c r="A1677" s="350"/>
      <c r="B1677" s="360" t="s">
        <v>10886</v>
      </c>
      <c r="C1677" s="352"/>
      <c r="D1677" s="406" t="s">
        <v>10933</v>
      </c>
      <c r="E1677" s="406" t="s">
        <v>11846</v>
      </c>
      <c r="F1677" s="406" t="s">
        <v>11847</v>
      </c>
      <c r="G1677" s="370"/>
      <c r="H1677" s="363" t="s">
        <v>14</v>
      </c>
      <c r="I1677" s="363" t="s">
        <v>15</v>
      </c>
      <c r="J1677" s="369"/>
    </row>
    <row r="1678" spans="1:10" x14ac:dyDescent="0.25">
      <c r="A1678" s="350"/>
      <c r="B1678" s="370" t="s">
        <v>11840</v>
      </c>
      <c r="C1678" s="352"/>
      <c r="D1678" s="376">
        <f>D1664</f>
        <v>15.809999999999999</v>
      </c>
      <c r="E1678" s="376">
        <f>0.04/2</f>
        <v>0.02</v>
      </c>
      <c r="F1678" s="376">
        <v>3.1415926535900001</v>
      </c>
      <c r="G1678" s="370" t="s">
        <v>16</v>
      </c>
      <c r="H1678" s="376">
        <f>ROUND(D1678*(E1678^2)*F1678,2)</f>
        <v>0.02</v>
      </c>
      <c r="I1678" s="377" t="str">
        <f>J1670</f>
        <v>m³</v>
      </c>
      <c r="J1678" s="369"/>
    </row>
    <row r="1679" spans="1:10" x14ac:dyDescent="0.25">
      <c r="A1679" s="350"/>
      <c r="B1679" s="370" t="s">
        <v>11841</v>
      </c>
      <c r="C1679" s="352"/>
      <c r="D1679" s="376">
        <f t="shared" ref="D1679:D1680" si="161">D1665</f>
        <v>17.02</v>
      </c>
      <c r="E1679" s="376">
        <f>0.05/2</f>
        <v>2.5000000000000001E-2</v>
      </c>
      <c r="F1679" s="376">
        <v>3.1415926535900001</v>
      </c>
      <c r="G1679" s="370" t="s">
        <v>16</v>
      </c>
      <c r="H1679" s="376">
        <f t="shared" ref="H1679:H1680" si="162">ROUND(D1679*(E1679^2)*F1679,2)</f>
        <v>0.03</v>
      </c>
      <c r="I1679" s="377" t="str">
        <f>I1678</f>
        <v>m³</v>
      </c>
      <c r="J1679" s="369"/>
    </row>
    <row r="1680" spans="1:10" x14ac:dyDescent="0.25">
      <c r="A1680" s="350"/>
      <c r="B1680" s="370" t="s">
        <v>11842</v>
      </c>
      <c r="C1680" s="352"/>
      <c r="D1680" s="376">
        <f t="shared" si="161"/>
        <v>119.64</v>
      </c>
      <c r="E1680" s="376">
        <f>0.1/2</f>
        <v>0.05</v>
      </c>
      <c r="F1680" s="376">
        <v>3.1415926535900001</v>
      </c>
      <c r="G1680" s="370" t="s">
        <v>16</v>
      </c>
      <c r="H1680" s="376">
        <f t="shared" si="162"/>
        <v>0.94</v>
      </c>
      <c r="I1680" s="377" t="str">
        <f>I1679</f>
        <v>m³</v>
      </c>
      <c r="J1680" s="369"/>
    </row>
    <row r="1681" spans="1:10" ht="15.75" thickBot="1" x14ac:dyDescent="0.3">
      <c r="A1681" s="350"/>
      <c r="B1681" s="370"/>
      <c r="C1681" s="352"/>
      <c r="D1681" s="376"/>
      <c r="E1681" s="376"/>
      <c r="F1681" s="376"/>
      <c r="G1681" s="370"/>
      <c r="H1681" s="376"/>
      <c r="I1681" s="377"/>
      <c r="J1681" s="369"/>
    </row>
    <row r="1682" spans="1:10" ht="15.75" thickBot="1" x14ac:dyDescent="0.3">
      <c r="A1682" s="36" t="s">
        <v>92</v>
      </c>
      <c r="B1682" s="37" t="str">
        <f>VLOOKUP(A1682,PO!$A$8:$K$425,4,FALSE)</f>
        <v>DRENAGEM</v>
      </c>
      <c r="C1682" s="38"/>
      <c r="D1682" s="37"/>
      <c r="E1682" s="38"/>
      <c r="F1682" s="294"/>
      <c r="G1682" s="38"/>
      <c r="H1682" s="38"/>
      <c r="I1682" s="38"/>
      <c r="J1682" s="39"/>
    </row>
    <row r="1683" spans="1:10" ht="15.75" thickBot="1" x14ac:dyDescent="0.3">
      <c r="A1683" s="350"/>
      <c r="B1683" s="352"/>
      <c r="C1683" s="352"/>
      <c r="D1683" s="352"/>
      <c r="E1683" s="352"/>
      <c r="F1683" s="370"/>
      <c r="G1683" s="352"/>
      <c r="H1683" s="352"/>
      <c r="I1683" s="352"/>
      <c r="J1683" s="369"/>
    </row>
    <row r="1684" spans="1:10" ht="15.75" thickBot="1" x14ac:dyDescent="0.3">
      <c r="A1684" s="41" t="s">
        <v>192</v>
      </c>
      <c r="B1684" s="42" t="str">
        <f>VLOOKUP(A1684,PO!$A$8:$K$425,4,FALSE)</f>
        <v xml:space="preserve">TUBOS </v>
      </c>
      <c r="C1684" s="43"/>
      <c r="D1684" s="43"/>
      <c r="E1684" s="43"/>
      <c r="F1684" s="295"/>
      <c r="G1684" s="43"/>
      <c r="H1684" s="43"/>
      <c r="I1684" s="43"/>
      <c r="J1684" s="44"/>
    </row>
    <row r="1685" spans="1:10" ht="15.75" thickBot="1" x14ac:dyDescent="0.3">
      <c r="A1685" s="347"/>
      <c r="B1685" s="205"/>
      <c r="C1685" s="205"/>
      <c r="D1685" s="348"/>
      <c r="E1685" s="205"/>
      <c r="F1685" s="237"/>
      <c r="G1685" s="208"/>
      <c r="H1685" s="208"/>
      <c r="I1685" s="208"/>
      <c r="J1685" s="349"/>
    </row>
    <row r="1686" spans="1:10" s="40" customFormat="1" ht="15.75" thickBot="1" x14ac:dyDescent="0.3">
      <c r="A1686" s="46" t="s">
        <v>193</v>
      </c>
      <c r="B1686" s="60" t="str">
        <f>VLOOKUP(A1686,PO!$A$8:$K$433,4,FALSE)</f>
        <v xml:space="preserve">Tubo PVC, Serie Normal, Esgoto Predial, DN 75 mm, Fornecimento e Instalação </v>
      </c>
      <c r="C1686" s="47"/>
      <c r="D1686" s="48"/>
      <c r="E1686" s="47"/>
      <c r="F1686" s="49"/>
      <c r="G1686" s="50"/>
      <c r="H1686" s="50"/>
      <c r="I1686" s="50">
        <f>H1689</f>
        <v>13.43</v>
      </c>
      <c r="J1686" s="284" t="str">
        <f>VLOOKUP(A1686,PO!$A$8:$K$433,5,FALSE)</f>
        <v>m</v>
      </c>
    </row>
    <row r="1687" spans="1:10" x14ac:dyDescent="0.25">
      <c r="A1687" s="350"/>
      <c r="B1687" s="370"/>
      <c r="C1687" s="352"/>
      <c r="D1687" s="376"/>
      <c r="E1687" s="376"/>
      <c r="F1687" s="376"/>
      <c r="G1687" s="370"/>
      <c r="H1687" s="376"/>
      <c r="I1687" s="377"/>
      <c r="J1687" s="369"/>
    </row>
    <row r="1688" spans="1:10" x14ac:dyDescent="0.25">
      <c r="A1688" s="350"/>
      <c r="B1688" s="360" t="s">
        <v>10886</v>
      </c>
      <c r="C1688" s="352"/>
      <c r="D1688" s="406" t="s">
        <v>10933</v>
      </c>
      <c r="E1688" s="376"/>
      <c r="F1688" s="376"/>
      <c r="G1688" s="370"/>
      <c r="H1688" s="363" t="s">
        <v>14</v>
      </c>
      <c r="I1688" s="363" t="s">
        <v>15</v>
      </c>
      <c r="J1688" s="369"/>
    </row>
    <row r="1689" spans="1:10" x14ac:dyDescent="0.25">
      <c r="A1689" s="350"/>
      <c r="B1689" s="370" t="s">
        <v>11849</v>
      </c>
      <c r="C1689" s="352"/>
      <c r="D1689" s="376">
        <v>13.43</v>
      </c>
      <c r="E1689" s="376"/>
      <c r="F1689" s="376"/>
      <c r="G1689" s="370" t="s">
        <v>16</v>
      </c>
      <c r="H1689" s="376">
        <f>ROUND(D1689,2)</f>
        <v>13.43</v>
      </c>
      <c r="I1689" s="377" t="str">
        <f>$J$1286</f>
        <v>m</v>
      </c>
      <c r="J1689" s="369"/>
    </row>
    <row r="1690" spans="1:10" x14ac:dyDescent="0.25">
      <c r="A1690" s="350"/>
      <c r="B1690" s="370"/>
      <c r="C1690" s="352"/>
      <c r="D1690" s="376"/>
      <c r="E1690" s="376"/>
      <c r="F1690" s="376"/>
      <c r="G1690" s="370"/>
      <c r="H1690" s="376"/>
      <c r="I1690" s="377"/>
      <c r="J1690" s="369"/>
    </row>
    <row r="1691" spans="1:10" x14ac:dyDescent="0.25">
      <c r="A1691" s="350"/>
      <c r="B1691" s="370" t="s">
        <v>11850</v>
      </c>
      <c r="C1691" s="352"/>
      <c r="D1691" s="376"/>
      <c r="E1691" s="376"/>
      <c r="F1691" s="376"/>
      <c r="G1691" s="370"/>
      <c r="H1691" s="376"/>
      <c r="I1691" s="377"/>
      <c r="J1691" s="369"/>
    </row>
    <row r="1692" spans="1:10" ht="15.75" thickBot="1" x14ac:dyDescent="0.3">
      <c r="A1692" s="350"/>
      <c r="B1692" s="370"/>
      <c r="C1692" s="352"/>
      <c r="D1692" s="376"/>
      <c r="E1692" s="376"/>
      <c r="F1692" s="376"/>
      <c r="G1692" s="370"/>
      <c r="H1692" s="376"/>
      <c r="I1692" s="377"/>
      <c r="J1692" s="369"/>
    </row>
    <row r="1693" spans="1:10" s="40" customFormat="1" ht="15.75" thickBot="1" x14ac:dyDescent="0.3">
      <c r="A1693" s="46" t="s">
        <v>194</v>
      </c>
      <c r="B1693" s="60" t="str">
        <f>VLOOKUP(A1693,PO!$A$8:$K$433,4,FALSE)</f>
        <v>Tubo PVC, Serie Normal, Esgoto Predial, DN 100 mm, Fornecimento e Instalação</v>
      </c>
      <c r="C1693" s="47"/>
      <c r="D1693" s="48"/>
      <c r="E1693" s="47"/>
      <c r="F1693" s="49"/>
      <c r="G1693" s="50"/>
      <c r="H1693" s="50"/>
      <c r="I1693" s="50">
        <f>H1696</f>
        <v>190.09</v>
      </c>
      <c r="J1693" s="284" t="str">
        <f>VLOOKUP(A1693,PO!$A$8:$K$433,5,FALSE)</f>
        <v>m</v>
      </c>
    </row>
    <row r="1694" spans="1:10" x14ac:dyDescent="0.25">
      <c r="A1694" s="350"/>
      <c r="B1694" s="370"/>
      <c r="C1694" s="352"/>
      <c r="D1694" s="376"/>
      <c r="E1694" s="376"/>
      <c r="F1694" s="376"/>
      <c r="G1694" s="370"/>
      <c r="H1694" s="376"/>
      <c r="I1694" s="377"/>
      <c r="J1694" s="369"/>
    </row>
    <row r="1695" spans="1:10" x14ac:dyDescent="0.25">
      <c r="A1695" s="350"/>
      <c r="B1695" s="360" t="s">
        <v>10886</v>
      </c>
      <c r="C1695" s="352"/>
      <c r="D1695" s="406" t="s">
        <v>10933</v>
      </c>
      <c r="E1695" s="376"/>
      <c r="F1695" s="376"/>
      <c r="G1695" s="370"/>
      <c r="H1695" s="363" t="s">
        <v>14</v>
      </c>
      <c r="I1695" s="363" t="s">
        <v>15</v>
      </c>
      <c r="J1695" s="369"/>
    </row>
    <row r="1696" spans="1:10" x14ac:dyDescent="0.25">
      <c r="A1696" s="350"/>
      <c r="B1696" s="370" t="s">
        <v>11849</v>
      </c>
      <c r="C1696" s="352"/>
      <c r="D1696" s="376">
        <v>190.09</v>
      </c>
      <c r="E1696" s="376"/>
      <c r="F1696" s="376"/>
      <c r="G1696" s="370" t="s">
        <v>16</v>
      </c>
      <c r="H1696" s="376">
        <f>ROUND(D1696,2)</f>
        <v>190.09</v>
      </c>
      <c r="I1696" s="377" t="str">
        <f>$J$1286</f>
        <v>m</v>
      </c>
      <c r="J1696" s="369"/>
    </row>
    <row r="1697" spans="1:10" x14ac:dyDescent="0.25">
      <c r="A1697" s="350"/>
      <c r="B1697" s="370"/>
      <c r="C1697" s="352"/>
      <c r="D1697" s="376"/>
      <c r="E1697" s="376"/>
      <c r="F1697" s="376"/>
      <c r="G1697" s="370"/>
      <c r="H1697" s="376"/>
      <c r="I1697" s="377"/>
      <c r="J1697" s="369"/>
    </row>
    <row r="1698" spans="1:10" x14ac:dyDescent="0.25">
      <c r="A1698" s="350"/>
      <c r="B1698" s="370" t="s">
        <v>11850</v>
      </c>
      <c r="C1698" s="352"/>
      <c r="D1698" s="376"/>
      <c r="E1698" s="376"/>
      <c r="F1698" s="376"/>
      <c r="G1698" s="370"/>
      <c r="H1698" s="376"/>
      <c r="I1698" s="377"/>
      <c r="J1698" s="369"/>
    </row>
    <row r="1699" spans="1:10" ht="15.75" thickBot="1" x14ac:dyDescent="0.3">
      <c r="A1699" s="350"/>
      <c r="B1699" s="370"/>
      <c r="C1699" s="352"/>
      <c r="D1699" s="376"/>
      <c r="E1699" s="376"/>
      <c r="F1699" s="376"/>
      <c r="G1699" s="370"/>
      <c r="H1699" s="376"/>
      <c r="I1699" s="377"/>
      <c r="J1699" s="369"/>
    </row>
    <row r="1700" spans="1:10" s="40" customFormat="1" ht="15.75" thickBot="1" x14ac:dyDescent="0.3">
      <c r="A1700" s="46" t="s">
        <v>195</v>
      </c>
      <c r="B1700" s="60" t="str">
        <f>VLOOKUP(A1700,PO!$A$8:$K$433,4,FALSE)</f>
        <v>Tubo, PVC, soldável, DN 25mm, instalado em dreno de ar-condicionado - fornecimento e instalação</v>
      </c>
      <c r="C1700" s="47"/>
      <c r="D1700" s="48"/>
      <c r="E1700" s="47"/>
      <c r="F1700" s="49"/>
      <c r="G1700" s="50"/>
      <c r="H1700" s="50"/>
      <c r="I1700" s="50">
        <f>H1703</f>
        <v>9.84</v>
      </c>
      <c r="J1700" s="284" t="str">
        <f>VLOOKUP(A1700,PO!$A$8:$K$433,5,FALSE)</f>
        <v>m</v>
      </c>
    </row>
    <row r="1701" spans="1:10" x14ac:dyDescent="0.25">
      <c r="A1701" s="350"/>
      <c r="B1701" s="370"/>
      <c r="C1701" s="352"/>
      <c r="D1701" s="376"/>
      <c r="E1701" s="376"/>
      <c r="F1701" s="376"/>
      <c r="G1701" s="370"/>
      <c r="H1701" s="376"/>
      <c r="I1701" s="377"/>
      <c r="J1701" s="369"/>
    </row>
    <row r="1702" spans="1:10" x14ac:dyDescent="0.25">
      <c r="A1702" s="350"/>
      <c r="B1702" s="360" t="s">
        <v>10886</v>
      </c>
      <c r="C1702" s="352"/>
      <c r="D1702" s="406" t="s">
        <v>10933</v>
      </c>
      <c r="E1702" s="376"/>
      <c r="F1702" s="376"/>
      <c r="G1702" s="370"/>
      <c r="H1702" s="363" t="s">
        <v>14</v>
      </c>
      <c r="I1702" s="363" t="s">
        <v>15</v>
      </c>
      <c r="J1702" s="369"/>
    </row>
    <row r="1703" spans="1:10" x14ac:dyDescent="0.25">
      <c r="A1703" s="350"/>
      <c r="B1703" s="370" t="s">
        <v>11851</v>
      </c>
      <c r="C1703" s="352"/>
      <c r="D1703" s="376">
        <v>9.84</v>
      </c>
      <c r="E1703" s="376"/>
      <c r="F1703" s="376"/>
      <c r="G1703" s="370" t="s">
        <v>16</v>
      </c>
      <c r="H1703" s="376">
        <f>ROUND(D1703,2)</f>
        <v>9.84</v>
      </c>
      <c r="I1703" s="377" t="str">
        <f>$J$1286</f>
        <v>m</v>
      </c>
      <c r="J1703" s="369"/>
    </row>
    <row r="1704" spans="1:10" x14ac:dyDescent="0.25">
      <c r="A1704" s="350"/>
      <c r="B1704" s="370"/>
      <c r="C1704" s="352"/>
      <c r="D1704" s="376"/>
      <c r="E1704" s="376"/>
      <c r="F1704" s="376"/>
      <c r="G1704" s="370"/>
      <c r="H1704" s="376"/>
      <c r="I1704" s="377"/>
      <c r="J1704" s="369"/>
    </row>
    <row r="1705" spans="1:10" x14ac:dyDescent="0.25">
      <c r="A1705" s="350"/>
      <c r="B1705" s="370" t="s">
        <v>11850</v>
      </c>
      <c r="C1705" s="352"/>
      <c r="D1705" s="376"/>
      <c r="E1705" s="376"/>
      <c r="F1705" s="376"/>
      <c r="G1705" s="370"/>
      <c r="H1705" s="376"/>
      <c r="I1705" s="377"/>
      <c r="J1705" s="369"/>
    </row>
    <row r="1706" spans="1:10" ht="15.75" thickBot="1" x14ac:dyDescent="0.3">
      <c r="A1706" s="350"/>
      <c r="B1706" s="370"/>
      <c r="C1706" s="352"/>
      <c r="D1706" s="376"/>
      <c r="E1706" s="376"/>
      <c r="F1706" s="376"/>
      <c r="G1706" s="370"/>
      <c r="H1706" s="376"/>
      <c r="I1706" s="377"/>
      <c r="J1706" s="369"/>
    </row>
    <row r="1707" spans="1:10" s="40" customFormat="1" ht="15.75" thickBot="1" x14ac:dyDescent="0.3">
      <c r="A1707" s="46" t="s">
        <v>196</v>
      </c>
      <c r="B1707" s="60" t="str">
        <f>VLOOKUP(A1707,PO!$A$8:$K$433,4,FALSE)</f>
        <v>Tubo, PVC, Soldavel, DN 32mm - Fornecimento e Instalação</v>
      </c>
      <c r="C1707" s="47"/>
      <c r="D1707" s="48"/>
      <c r="E1707" s="47"/>
      <c r="F1707" s="49"/>
      <c r="G1707" s="50"/>
      <c r="H1707" s="50"/>
      <c r="I1707" s="50">
        <f>H1710</f>
        <v>30.84</v>
      </c>
      <c r="J1707" s="284" t="str">
        <f>VLOOKUP(A1707,PO!$A$8:$K$433,5,FALSE)</f>
        <v>m</v>
      </c>
    </row>
    <row r="1708" spans="1:10" x14ac:dyDescent="0.25">
      <c r="A1708" s="350"/>
      <c r="B1708" s="370"/>
      <c r="C1708" s="352"/>
      <c r="D1708" s="376"/>
      <c r="E1708" s="376"/>
      <c r="F1708" s="376"/>
      <c r="G1708" s="370"/>
      <c r="H1708" s="376"/>
      <c r="I1708" s="377"/>
      <c r="J1708" s="369"/>
    </row>
    <row r="1709" spans="1:10" x14ac:dyDescent="0.25">
      <c r="A1709" s="350"/>
      <c r="B1709" s="360" t="s">
        <v>10886</v>
      </c>
      <c r="C1709" s="352"/>
      <c r="D1709" s="406" t="s">
        <v>10933</v>
      </c>
      <c r="E1709" s="376"/>
      <c r="F1709" s="376"/>
      <c r="G1709" s="370"/>
      <c r="H1709" s="363" t="s">
        <v>14</v>
      </c>
      <c r="I1709" s="363" t="s">
        <v>15</v>
      </c>
      <c r="J1709" s="369"/>
    </row>
    <row r="1710" spans="1:10" x14ac:dyDescent="0.25">
      <c r="A1710" s="350"/>
      <c r="B1710" s="370" t="s">
        <v>11851</v>
      </c>
      <c r="C1710" s="352"/>
      <c r="D1710" s="376">
        <v>30.84</v>
      </c>
      <c r="E1710" s="376"/>
      <c r="F1710" s="376"/>
      <c r="G1710" s="370" t="s">
        <v>16</v>
      </c>
      <c r="H1710" s="376">
        <f>ROUND(D1710,2)</f>
        <v>30.84</v>
      </c>
      <c r="I1710" s="377" t="str">
        <f>$J$1286</f>
        <v>m</v>
      </c>
      <c r="J1710" s="369"/>
    </row>
    <row r="1711" spans="1:10" x14ac:dyDescent="0.25">
      <c r="A1711" s="350"/>
      <c r="B1711" s="370"/>
      <c r="C1711" s="352"/>
      <c r="D1711" s="376"/>
      <c r="E1711" s="376"/>
      <c r="F1711" s="376"/>
      <c r="G1711" s="370"/>
      <c r="H1711" s="376"/>
      <c r="I1711" s="377"/>
      <c r="J1711" s="369"/>
    </row>
    <row r="1712" spans="1:10" x14ac:dyDescent="0.25">
      <c r="A1712" s="350"/>
      <c r="B1712" s="370" t="s">
        <v>11850</v>
      </c>
      <c r="C1712" s="352"/>
      <c r="D1712" s="376"/>
      <c r="E1712" s="376"/>
      <c r="F1712" s="376"/>
      <c r="G1712" s="370"/>
      <c r="H1712" s="376"/>
      <c r="I1712" s="377"/>
      <c r="J1712" s="369"/>
    </row>
    <row r="1713" spans="1:10" ht="15.75" thickBot="1" x14ac:dyDescent="0.3">
      <c r="A1713" s="350"/>
      <c r="B1713" s="370"/>
      <c r="C1713" s="352"/>
      <c r="D1713" s="376"/>
      <c r="E1713" s="376"/>
      <c r="F1713" s="376"/>
      <c r="G1713" s="370"/>
      <c r="H1713" s="376"/>
      <c r="I1713" s="377"/>
      <c r="J1713" s="369"/>
    </row>
    <row r="1714" spans="1:10" ht="15.75" thickBot="1" x14ac:dyDescent="0.3">
      <c r="A1714" s="41" t="s">
        <v>200</v>
      </c>
      <c r="B1714" s="42" t="str">
        <f>VLOOKUP(A1714,PO!$A$8:$K$425,4,FALSE)</f>
        <v>CONEXÕES</v>
      </c>
      <c r="C1714" s="43"/>
      <c r="D1714" s="43"/>
      <c r="E1714" s="43"/>
      <c r="F1714" s="295"/>
      <c r="G1714" s="43"/>
      <c r="H1714" s="43"/>
      <c r="I1714" s="43"/>
      <c r="J1714" s="44"/>
    </row>
    <row r="1715" spans="1:10" ht="15.75" thickBot="1" x14ac:dyDescent="0.3">
      <c r="A1715" s="347"/>
      <c r="B1715" s="205"/>
      <c r="C1715" s="205"/>
      <c r="D1715" s="348"/>
      <c r="E1715" s="205"/>
      <c r="F1715" s="237"/>
      <c r="G1715" s="208"/>
      <c r="H1715" s="208"/>
      <c r="I1715" s="208"/>
      <c r="J1715" s="349"/>
    </row>
    <row r="1716" spans="1:10" s="40" customFormat="1" ht="15.75" thickBot="1" x14ac:dyDescent="0.3">
      <c r="A1716" s="46" t="s">
        <v>201</v>
      </c>
      <c r="B1716" s="60" t="str">
        <f>VLOOKUP(A1716,PO!$A$8:$K$433,4,FALSE)</f>
        <v xml:space="preserve">Joelho 45 graus, PVC, serie R, água pluvial, DN 75 mm, junta elástica, fornecido e instalado em condutores verticais de águas pluviais. </v>
      </c>
      <c r="C1716" s="47"/>
      <c r="D1716" s="48"/>
      <c r="E1716" s="47"/>
      <c r="F1716" s="49"/>
      <c r="G1716" s="50"/>
      <c r="H1716" s="50"/>
      <c r="I1716" s="50">
        <f>H1719</f>
        <v>4</v>
      </c>
      <c r="J1716" s="284" t="str">
        <f>VLOOKUP(A1716,PO!$A$8:$K$433,5,FALSE)</f>
        <v>und</v>
      </c>
    </row>
    <row r="1717" spans="1:10" x14ac:dyDescent="0.25">
      <c r="A1717" s="350"/>
      <c r="B1717" s="370"/>
      <c r="C1717" s="352"/>
      <c r="D1717" s="376"/>
      <c r="E1717" s="376"/>
      <c r="F1717" s="376"/>
      <c r="G1717" s="370"/>
      <c r="H1717" s="376"/>
      <c r="I1717" s="377"/>
      <c r="J1717" s="369"/>
    </row>
    <row r="1718" spans="1:10" x14ac:dyDescent="0.25">
      <c r="A1718" s="350"/>
      <c r="B1718" s="360" t="s">
        <v>10886</v>
      </c>
      <c r="C1718" s="352"/>
      <c r="D1718" s="406" t="s">
        <v>10927</v>
      </c>
      <c r="E1718" s="376"/>
      <c r="F1718" s="376"/>
      <c r="G1718" s="370"/>
      <c r="H1718" s="363" t="s">
        <v>14</v>
      </c>
      <c r="I1718" s="363" t="s">
        <v>15</v>
      </c>
      <c r="J1718" s="369"/>
    </row>
    <row r="1719" spans="1:10" x14ac:dyDescent="0.25">
      <c r="A1719" s="350"/>
      <c r="B1719" s="370" t="s">
        <v>11849</v>
      </c>
      <c r="C1719" s="352"/>
      <c r="D1719" s="376">
        <v>4</v>
      </c>
      <c r="E1719" s="376"/>
      <c r="F1719" s="376"/>
      <c r="G1719" s="370" t="s">
        <v>16</v>
      </c>
      <c r="H1719" s="376">
        <f>ROUND(D1719,2)</f>
        <v>4</v>
      </c>
      <c r="I1719" s="377" t="str">
        <f>J1716</f>
        <v>und</v>
      </c>
      <c r="J1719" s="369"/>
    </row>
    <row r="1720" spans="1:10" x14ac:dyDescent="0.25">
      <c r="A1720" s="350"/>
      <c r="B1720" s="370"/>
      <c r="C1720" s="352"/>
      <c r="D1720" s="376"/>
      <c r="E1720" s="376"/>
      <c r="F1720" s="376"/>
      <c r="G1720" s="370"/>
      <c r="H1720" s="376"/>
      <c r="I1720" s="377"/>
      <c r="J1720" s="369"/>
    </row>
    <row r="1721" spans="1:10" x14ac:dyDescent="0.25">
      <c r="A1721" s="350"/>
      <c r="B1721" s="370" t="s">
        <v>11850</v>
      </c>
      <c r="C1721" s="352"/>
      <c r="D1721" s="376"/>
      <c r="E1721" s="376"/>
      <c r="F1721" s="376"/>
      <c r="G1721" s="370"/>
      <c r="H1721" s="376"/>
      <c r="I1721" s="377"/>
      <c r="J1721" s="369"/>
    </row>
    <row r="1722" spans="1:10" ht="15.75" thickBot="1" x14ac:dyDescent="0.3">
      <c r="A1722" s="350"/>
      <c r="B1722" s="370"/>
      <c r="C1722" s="352"/>
      <c r="D1722" s="376"/>
      <c r="E1722" s="376"/>
      <c r="F1722" s="376"/>
      <c r="G1722" s="370"/>
      <c r="H1722" s="376"/>
      <c r="I1722" s="377"/>
      <c r="J1722" s="369"/>
    </row>
    <row r="1723" spans="1:10" s="40" customFormat="1" ht="15.75" thickBot="1" x14ac:dyDescent="0.3">
      <c r="A1723" s="46" t="s">
        <v>202</v>
      </c>
      <c r="B1723" s="60" t="str">
        <f>VLOOKUP(A1723,PO!$A$8:$K$433,4,FALSE)</f>
        <v xml:space="preserve">Joelho 45 graus, PVC, serie R, água pluvial, DN 100 mm, junta elástica, fornecido e instalado em condutores verticais de águas pluviais. </v>
      </c>
      <c r="C1723" s="47"/>
      <c r="D1723" s="48"/>
      <c r="E1723" s="47"/>
      <c r="F1723" s="49"/>
      <c r="G1723" s="50"/>
      <c r="H1723" s="50"/>
      <c r="I1723" s="50">
        <f>H1726</f>
        <v>3</v>
      </c>
      <c r="J1723" s="284" t="str">
        <f>VLOOKUP(A1723,PO!$A$8:$K$433,5,FALSE)</f>
        <v>und</v>
      </c>
    </row>
    <row r="1724" spans="1:10" x14ac:dyDescent="0.25">
      <c r="A1724" s="350"/>
      <c r="B1724" s="370"/>
      <c r="C1724" s="352"/>
      <c r="D1724" s="376"/>
      <c r="E1724" s="376"/>
      <c r="F1724" s="376"/>
      <c r="G1724" s="370"/>
      <c r="H1724" s="376"/>
      <c r="I1724" s="377"/>
      <c r="J1724" s="369"/>
    </row>
    <row r="1725" spans="1:10" x14ac:dyDescent="0.25">
      <c r="A1725" s="350"/>
      <c r="B1725" s="360" t="s">
        <v>10886</v>
      </c>
      <c r="C1725" s="352"/>
      <c r="D1725" s="406" t="s">
        <v>10927</v>
      </c>
      <c r="E1725" s="376"/>
      <c r="F1725" s="376"/>
      <c r="G1725" s="370"/>
      <c r="H1725" s="363" t="s">
        <v>14</v>
      </c>
      <c r="I1725" s="363" t="s">
        <v>15</v>
      </c>
      <c r="J1725" s="369"/>
    </row>
    <row r="1726" spans="1:10" x14ac:dyDescent="0.25">
      <c r="A1726" s="350"/>
      <c r="B1726" s="370" t="s">
        <v>11849</v>
      </c>
      <c r="C1726" s="352"/>
      <c r="D1726" s="376">
        <v>3</v>
      </c>
      <c r="E1726" s="376"/>
      <c r="F1726" s="376"/>
      <c r="G1726" s="370" t="s">
        <v>16</v>
      </c>
      <c r="H1726" s="376">
        <f>ROUND(D1726,2)</f>
        <v>3</v>
      </c>
      <c r="I1726" s="377" t="str">
        <f>J1723</f>
        <v>und</v>
      </c>
      <c r="J1726" s="369"/>
    </row>
    <row r="1727" spans="1:10" x14ac:dyDescent="0.25">
      <c r="A1727" s="350"/>
      <c r="B1727" s="370"/>
      <c r="C1727" s="352"/>
      <c r="D1727" s="376"/>
      <c r="E1727" s="376"/>
      <c r="F1727" s="376"/>
      <c r="G1727" s="370"/>
      <c r="H1727" s="376"/>
      <c r="I1727" s="377"/>
      <c r="J1727" s="369"/>
    </row>
    <row r="1728" spans="1:10" x14ac:dyDescent="0.25">
      <c r="A1728" s="350"/>
      <c r="B1728" s="370" t="s">
        <v>11850</v>
      </c>
      <c r="C1728" s="352"/>
      <c r="D1728" s="376"/>
      <c r="E1728" s="376"/>
      <c r="F1728" s="376"/>
      <c r="G1728" s="370"/>
      <c r="H1728" s="376"/>
      <c r="I1728" s="377"/>
      <c r="J1728" s="369"/>
    </row>
    <row r="1729" spans="1:10" ht="15.75" thickBot="1" x14ac:dyDescent="0.3">
      <c r="A1729" s="350"/>
      <c r="B1729" s="370"/>
      <c r="C1729" s="352"/>
      <c r="D1729" s="376"/>
      <c r="E1729" s="376"/>
      <c r="F1729" s="376"/>
      <c r="G1729" s="370"/>
      <c r="H1729" s="376"/>
      <c r="I1729" s="377"/>
      <c r="J1729" s="369"/>
    </row>
    <row r="1730" spans="1:10" s="40" customFormat="1" ht="15.75" thickBot="1" x14ac:dyDescent="0.3">
      <c r="A1730" s="46" t="s">
        <v>203</v>
      </c>
      <c r="B1730" s="60" t="str">
        <f>VLOOKUP(A1730,PO!$A$8:$K$433,4,FALSE)</f>
        <v>Joelho 90 graus, PVC, serie R, água pluvial, DN 75 mm, junta elástica, fornecido e instalado em ramal de encaminhamento.</v>
      </c>
      <c r="C1730" s="47"/>
      <c r="D1730" s="48"/>
      <c r="E1730" s="47"/>
      <c r="F1730" s="49"/>
      <c r="G1730" s="50"/>
      <c r="H1730" s="50"/>
      <c r="I1730" s="50">
        <f>H1733</f>
        <v>2</v>
      </c>
      <c r="J1730" s="284" t="str">
        <f>VLOOKUP(A1730,PO!$A$8:$K$433,5,FALSE)</f>
        <v>und</v>
      </c>
    </row>
    <row r="1731" spans="1:10" x14ac:dyDescent="0.25">
      <c r="A1731" s="350"/>
      <c r="B1731" s="370"/>
      <c r="C1731" s="352"/>
      <c r="D1731" s="376"/>
      <c r="E1731" s="376"/>
      <c r="F1731" s="376"/>
      <c r="G1731" s="370"/>
      <c r="H1731" s="376"/>
      <c r="I1731" s="377"/>
      <c r="J1731" s="369"/>
    </row>
    <row r="1732" spans="1:10" x14ac:dyDescent="0.25">
      <c r="A1732" s="350"/>
      <c r="B1732" s="360" t="s">
        <v>10886</v>
      </c>
      <c r="C1732" s="352"/>
      <c r="D1732" s="406" t="s">
        <v>10927</v>
      </c>
      <c r="E1732" s="376"/>
      <c r="F1732" s="376"/>
      <c r="G1732" s="370"/>
      <c r="H1732" s="363" t="s">
        <v>14</v>
      </c>
      <c r="I1732" s="363" t="s">
        <v>15</v>
      </c>
      <c r="J1732" s="369"/>
    </row>
    <row r="1733" spans="1:10" x14ac:dyDescent="0.25">
      <c r="A1733" s="350"/>
      <c r="B1733" s="370" t="s">
        <v>11849</v>
      </c>
      <c r="C1733" s="352"/>
      <c r="D1733" s="376">
        <v>2</v>
      </c>
      <c r="E1733" s="376"/>
      <c r="F1733" s="376"/>
      <c r="G1733" s="370" t="s">
        <v>16</v>
      </c>
      <c r="H1733" s="376">
        <f>ROUND(D1733,2)</f>
        <v>2</v>
      </c>
      <c r="I1733" s="377" t="str">
        <f>J1730</f>
        <v>und</v>
      </c>
      <c r="J1733" s="369"/>
    </row>
    <row r="1734" spans="1:10" x14ac:dyDescent="0.25">
      <c r="A1734" s="350"/>
      <c r="B1734" s="370"/>
      <c r="C1734" s="352"/>
      <c r="D1734" s="376"/>
      <c r="E1734" s="376"/>
      <c r="F1734" s="376"/>
      <c r="G1734" s="370"/>
      <c r="H1734" s="376"/>
      <c r="I1734" s="377"/>
      <c r="J1734" s="369"/>
    </row>
    <row r="1735" spans="1:10" x14ac:dyDescent="0.25">
      <c r="A1735" s="350"/>
      <c r="B1735" s="370" t="s">
        <v>11850</v>
      </c>
      <c r="C1735" s="352"/>
      <c r="D1735" s="376"/>
      <c r="E1735" s="376"/>
      <c r="F1735" s="376"/>
      <c r="G1735" s="370"/>
      <c r="H1735" s="376"/>
      <c r="I1735" s="377"/>
      <c r="J1735" s="369"/>
    </row>
    <row r="1736" spans="1:10" ht="15.75" thickBot="1" x14ac:dyDescent="0.3">
      <c r="A1736" s="350"/>
      <c r="B1736" s="370"/>
      <c r="C1736" s="352"/>
      <c r="D1736" s="376"/>
      <c r="E1736" s="376"/>
      <c r="F1736" s="376"/>
      <c r="G1736" s="370"/>
      <c r="H1736" s="376"/>
      <c r="I1736" s="377"/>
      <c r="J1736" s="369"/>
    </row>
    <row r="1737" spans="1:10" s="40" customFormat="1" ht="15.75" thickBot="1" x14ac:dyDescent="0.3">
      <c r="A1737" s="46" t="s">
        <v>204</v>
      </c>
      <c r="B1737" s="60" t="str">
        <f>VLOOKUP(A1737,PO!$A$8:$K$433,4,FALSE)</f>
        <v xml:space="preserve">Joelho 90 graus, PVC, serie R, água pluvial, DN 100 mm, junta elástica, fornecido e instalado em condutores verticais de águas pluviais. </v>
      </c>
      <c r="C1737" s="47"/>
      <c r="D1737" s="48"/>
      <c r="E1737" s="47"/>
      <c r="F1737" s="49"/>
      <c r="G1737" s="50"/>
      <c r="H1737" s="50"/>
      <c r="I1737" s="50">
        <f>H1740</f>
        <v>10</v>
      </c>
      <c r="J1737" s="284" t="str">
        <f>VLOOKUP(A1737,PO!$A$8:$K$433,5,FALSE)</f>
        <v>und</v>
      </c>
    </row>
    <row r="1738" spans="1:10" x14ac:dyDescent="0.25">
      <c r="A1738" s="350"/>
      <c r="B1738" s="370"/>
      <c r="C1738" s="352"/>
      <c r="D1738" s="376"/>
      <c r="E1738" s="376"/>
      <c r="F1738" s="376"/>
      <c r="G1738" s="370"/>
      <c r="H1738" s="376"/>
      <c r="I1738" s="377"/>
      <c r="J1738" s="369"/>
    </row>
    <row r="1739" spans="1:10" x14ac:dyDescent="0.25">
      <c r="A1739" s="350"/>
      <c r="B1739" s="360" t="s">
        <v>10886</v>
      </c>
      <c r="C1739" s="352"/>
      <c r="D1739" s="406" t="s">
        <v>10927</v>
      </c>
      <c r="E1739" s="376"/>
      <c r="F1739" s="376"/>
      <c r="G1739" s="370"/>
      <c r="H1739" s="363" t="s">
        <v>14</v>
      </c>
      <c r="I1739" s="363" t="s">
        <v>15</v>
      </c>
      <c r="J1739" s="369"/>
    </row>
    <row r="1740" spans="1:10" x14ac:dyDescent="0.25">
      <c r="A1740" s="350"/>
      <c r="B1740" s="370" t="s">
        <v>11849</v>
      </c>
      <c r="C1740" s="352"/>
      <c r="D1740" s="376">
        <v>10</v>
      </c>
      <c r="E1740" s="376"/>
      <c r="F1740" s="376"/>
      <c r="G1740" s="370" t="s">
        <v>16</v>
      </c>
      <c r="H1740" s="376">
        <f>ROUND(D1740,2)</f>
        <v>10</v>
      </c>
      <c r="I1740" s="377" t="str">
        <f>J1737</f>
        <v>und</v>
      </c>
      <c r="J1740" s="369"/>
    </row>
    <row r="1741" spans="1:10" x14ac:dyDescent="0.25">
      <c r="A1741" s="350"/>
      <c r="B1741" s="370"/>
      <c r="C1741" s="352"/>
      <c r="D1741" s="376"/>
      <c r="E1741" s="376"/>
      <c r="F1741" s="376"/>
      <c r="G1741" s="370"/>
      <c r="H1741" s="376"/>
      <c r="I1741" s="377"/>
      <c r="J1741" s="369"/>
    </row>
    <row r="1742" spans="1:10" x14ac:dyDescent="0.25">
      <c r="A1742" s="350"/>
      <c r="B1742" s="370" t="s">
        <v>11850</v>
      </c>
      <c r="C1742" s="352"/>
      <c r="D1742" s="376"/>
      <c r="E1742" s="376"/>
      <c r="F1742" s="376"/>
      <c r="G1742" s="370"/>
      <c r="H1742" s="376"/>
      <c r="I1742" s="377"/>
      <c r="J1742" s="369"/>
    </row>
    <row r="1743" spans="1:10" ht="15.75" thickBot="1" x14ac:dyDescent="0.3">
      <c r="A1743" s="350"/>
      <c r="B1743" s="370"/>
      <c r="C1743" s="352"/>
      <c r="D1743" s="376"/>
      <c r="E1743" s="376"/>
      <c r="F1743" s="376"/>
      <c r="G1743" s="370"/>
      <c r="H1743" s="376"/>
      <c r="I1743" s="377"/>
      <c r="J1743" s="369"/>
    </row>
    <row r="1744" spans="1:10" s="40" customFormat="1" ht="15.75" thickBot="1" x14ac:dyDescent="0.3">
      <c r="A1744" s="46" t="s">
        <v>205</v>
      </c>
      <c r="B1744" s="60" t="str">
        <f>VLOOKUP(A1744,PO!$A$8:$K$433,4,FALSE)</f>
        <v>Joelho 45 graus, pvc, soldável, dn 25mm, instalado em dreno de ar-condicionado - fornecimento e instalação.</v>
      </c>
      <c r="C1744" s="47"/>
      <c r="D1744" s="48"/>
      <c r="E1744" s="47"/>
      <c r="F1744" s="49"/>
      <c r="G1744" s="50"/>
      <c r="H1744" s="50"/>
      <c r="I1744" s="50">
        <f>H1747</f>
        <v>2</v>
      </c>
      <c r="J1744" s="284" t="str">
        <f>VLOOKUP(A1744,PO!$A$8:$K$433,5,FALSE)</f>
        <v>und</v>
      </c>
    </row>
    <row r="1745" spans="1:10" x14ac:dyDescent="0.25">
      <c r="A1745" s="350"/>
      <c r="B1745" s="370"/>
      <c r="C1745" s="352"/>
      <c r="D1745" s="376"/>
      <c r="E1745" s="376"/>
      <c r="F1745" s="376"/>
      <c r="G1745" s="370"/>
      <c r="H1745" s="376"/>
      <c r="I1745" s="377"/>
      <c r="J1745" s="369"/>
    </row>
    <row r="1746" spans="1:10" x14ac:dyDescent="0.25">
      <c r="A1746" s="350"/>
      <c r="B1746" s="360" t="s">
        <v>10886</v>
      </c>
      <c r="C1746" s="352"/>
      <c r="D1746" s="406" t="s">
        <v>10927</v>
      </c>
      <c r="E1746" s="376"/>
      <c r="F1746" s="376"/>
      <c r="G1746" s="370"/>
      <c r="H1746" s="363" t="s">
        <v>14</v>
      </c>
      <c r="I1746" s="363" t="s">
        <v>15</v>
      </c>
      <c r="J1746" s="369"/>
    </row>
    <row r="1747" spans="1:10" x14ac:dyDescent="0.25">
      <c r="A1747" s="350"/>
      <c r="B1747" s="370" t="s">
        <v>11851</v>
      </c>
      <c r="C1747" s="352"/>
      <c r="D1747" s="376">
        <v>2</v>
      </c>
      <c r="E1747" s="376"/>
      <c r="F1747" s="376"/>
      <c r="G1747" s="370" t="s">
        <v>16</v>
      </c>
      <c r="H1747" s="376">
        <f>ROUND(D1747,2)</f>
        <v>2</v>
      </c>
      <c r="I1747" s="377" t="str">
        <f>J1744</f>
        <v>und</v>
      </c>
      <c r="J1747" s="369"/>
    </row>
    <row r="1748" spans="1:10" x14ac:dyDescent="0.25">
      <c r="A1748" s="350"/>
      <c r="B1748" s="370"/>
      <c r="C1748" s="352"/>
      <c r="D1748" s="376"/>
      <c r="E1748" s="376"/>
      <c r="F1748" s="376"/>
      <c r="G1748" s="370"/>
      <c r="H1748" s="376"/>
      <c r="I1748" s="377"/>
      <c r="J1748" s="369"/>
    </row>
    <row r="1749" spans="1:10" x14ac:dyDescent="0.25">
      <c r="A1749" s="350"/>
      <c r="B1749" s="370" t="s">
        <v>11850</v>
      </c>
      <c r="C1749" s="352"/>
      <c r="D1749" s="376"/>
      <c r="E1749" s="376"/>
      <c r="F1749" s="376"/>
      <c r="G1749" s="370"/>
      <c r="H1749" s="376"/>
      <c r="I1749" s="377"/>
      <c r="J1749" s="369"/>
    </row>
    <row r="1750" spans="1:10" ht="15.75" thickBot="1" x14ac:dyDescent="0.3">
      <c r="A1750" s="350"/>
      <c r="B1750" s="370"/>
      <c r="C1750" s="352"/>
      <c r="D1750" s="376"/>
      <c r="E1750" s="376"/>
      <c r="F1750" s="376"/>
      <c r="G1750" s="370"/>
      <c r="H1750" s="376"/>
      <c r="I1750" s="377"/>
      <c r="J1750" s="369"/>
    </row>
    <row r="1751" spans="1:10" s="40" customFormat="1" ht="15.75" thickBot="1" x14ac:dyDescent="0.3">
      <c r="A1751" s="46" t="s">
        <v>206</v>
      </c>
      <c r="B1751" s="60" t="str">
        <f>VLOOKUP(A1751,PO!$A$8:$K$433,4,FALSE)</f>
        <v xml:space="preserve">Joelho 45 graus, pvc, soldável, dn 32mm, instalado em ramal ou sub-ramal de água - fornecimento e instalação. </v>
      </c>
      <c r="C1751" s="47"/>
      <c r="D1751" s="48"/>
      <c r="E1751" s="47"/>
      <c r="F1751" s="49"/>
      <c r="G1751" s="50"/>
      <c r="H1751" s="50"/>
      <c r="I1751" s="50">
        <f>H1754</f>
        <v>1</v>
      </c>
      <c r="J1751" s="284" t="str">
        <f>VLOOKUP(A1751,PO!$A$8:$K$433,5,FALSE)</f>
        <v>und</v>
      </c>
    </row>
    <row r="1752" spans="1:10" x14ac:dyDescent="0.25">
      <c r="A1752" s="350"/>
      <c r="B1752" s="370"/>
      <c r="C1752" s="352"/>
      <c r="D1752" s="376"/>
      <c r="E1752" s="376"/>
      <c r="F1752" s="376"/>
      <c r="G1752" s="370"/>
      <c r="H1752" s="376"/>
      <c r="I1752" s="377"/>
      <c r="J1752" s="369"/>
    </row>
    <row r="1753" spans="1:10" x14ac:dyDescent="0.25">
      <c r="A1753" s="350"/>
      <c r="B1753" s="360" t="s">
        <v>10886</v>
      </c>
      <c r="C1753" s="352"/>
      <c r="D1753" s="406" t="s">
        <v>10927</v>
      </c>
      <c r="E1753" s="376"/>
      <c r="F1753" s="376"/>
      <c r="G1753" s="370"/>
      <c r="H1753" s="363" t="s">
        <v>14</v>
      </c>
      <c r="I1753" s="363" t="s">
        <v>15</v>
      </c>
      <c r="J1753" s="369"/>
    </row>
    <row r="1754" spans="1:10" x14ac:dyDescent="0.25">
      <c r="A1754" s="350"/>
      <c r="B1754" s="370" t="s">
        <v>11851</v>
      </c>
      <c r="C1754" s="352"/>
      <c r="D1754" s="376">
        <v>1</v>
      </c>
      <c r="E1754" s="376"/>
      <c r="F1754" s="376"/>
      <c r="G1754" s="370" t="s">
        <v>16</v>
      </c>
      <c r="H1754" s="376">
        <f>ROUND(D1754,2)</f>
        <v>1</v>
      </c>
      <c r="I1754" s="377" t="str">
        <f>J1751</f>
        <v>und</v>
      </c>
      <c r="J1754" s="369"/>
    </row>
    <row r="1755" spans="1:10" x14ac:dyDescent="0.25">
      <c r="A1755" s="350"/>
      <c r="B1755" s="370"/>
      <c r="C1755" s="352"/>
      <c r="D1755" s="376"/>
      <c r="E1755" s="376"/>
      <c r="F1755" s="376"/>
      <c r="G1755" s="370"/>
      <c r="H1755" s="376"/>
      <c r="I1755" s="377"/>
      <c r="J1755" s="369"/>
    </row>
    <row r="1756" spans="1:10" x14ac:dyDescent="0.25">
      <c r="A1756" s="350"/>
      <c r="B1756" s="370" t="s">
        <v>11850</v>
      </c>
      <c r="C1756" s="352"/>
      <c r="D1756" s="376"/>
      <c r="E1756" s="376"/>
      <c r="F1756" s="376"/>
      <c r="G1756" s="370"/>
      <c r="H1756" s="376"/>
      <c r="I1756" s="377"/>
      <c r="J1756" s="369"/>
    </row>
    <row r="1757" spans="1:10" ht="15.75" thickBot="1" x14ac:dyDescent="0.3">
      <c r="A1757" s="350"/>
      <c r="B1757" s="370"/>
      <c r="C1757" s="352"/>
      <c r="D1757" s="376"/>
      <c r="E1757" s="376"/>
      <c r="F1757" s="376"/>
      <c r="G1757" s="370"/>
      <c r="H1757" s="376"/>
      <c r="I1757" s="377"/>
      <c r="J1757" s="369"/>
    </row>
    <row r="1758" spans="1:10" s="40" customFormat="1" ht="15.75" thickBot="1" x14ac:dyDescent="0.3">
      <c r="A1758" s="46" t="s">
        <v>207</v>
      </c>
      <c r="B1758" s="60" t="str">
        <f>VLOOKUP(A1758,PO!$A$8:$K$433,4,FALSE)</f>
        <v xml:space="preserve">Joelho 90 graus, pvc, soldável, dn 25mm, instalado em dreno de ar-condicionado - fornecimento e instalação. </v>
      </c>
      <c r="C1758" s="47"/>
      <c r="D1758" s="48"/>
      <c r="E1758" s="47"/>
      <c r="F1758" s="49"/>
      <c r="G1758" s="50"/>
      <c r="H1758" s="50"/>
      <c r="I1758" s="50">
        <f>H1761</f>
        <v>5</v>
      </c>
      <c r="J1758" s="284" t="str">
        <f>VLOOKUP(A1758,PO!$A$8:$K$433,5,FALSE)</f>
        <v>und</v>
      </c>
    </row>
    <row r="1759" spans="1:10" x14ac:dyDescent="0.25">
      <c r="A1759" s="350"/>
      <c r="B1759" s="370"/>
      <c r="C1759" s="352"/>
      <c r="D1759" s="376"/>
      <c r="E1759" s="376"/>
      <c r="F1759" s="376"/>
      <c r="G1759" s="370"/>
      <c r="H1759" s="376"/>
      <c r="I1759" s="377"/>
      <c r="J1759" s="369"/>
    </row>
    <row r="1760" spans="1:10" x14ac:dyDescent="0.25">
      <c r="A1760" s="350"/>
      <c r="B1760" s="360" t="s">
        <v>10886</v>
      </c>
      <c r="C1760" s="352"/>
      <c r="D1760" s="406" t="s">
        <v>10927</v>
      </c>
      <c r="E1760" s="376"/>
      <c r="F1760" s="376"/>
      <c r="G1760" s="370"/>
      <c r="H1760" s="363" t="s">
        <v>14</v>
      </c>
      <c r="I1760" s="363" t="s">
        <v>15</v>
      </c>
      <c r="J1760" s="369"/>
    </row>
    <row r="1761" spans="1:10" x14ac:dyDescent="0.25">
      <c r="A1761" s="350"/>
      <c r="B1761" s="370" t="s">
        <v>11851</v>
      </c>
      <c r="C1761" s="352"/>
      <c r="D1761" s="376">
        <v>5</v>
      </c>
      <c r="E1761" s="376"/>
      <c r="F1761" s="376"/>
      <c r="G1761" s="370" t="s">
        <v>16</v>
      </c>
      <c r="H1761" s="376">
        <f>ROUND(D1761,2)</f>
        <v>5</v>
      </c>
      <c r="I1761" s="377" t="str">
        <f>J1758</f>
        <v>und</v>
      </c>
      <c r="J1761" s="369"/>
    </row>
    <row r="1762" spans="1:10" x14ac:dyDescent="0.25">
      <c r="A1762" s="350"/>
      <c r="B1762" s="370"/>
      <c r="C1762" s="352"/>
      <c r="D1762" s="376"/>
      <c r="E1762" s="376"/>
      <c r="F1762" s="376"/>
      <c r="G1762" s="370"/>
      <c r="H1762" s="376"/>
      <c r="I1762" s="377"/>
      <c r="J1762" s="369"/>
    </row>
    <row r="1763" spans="1:10" x14ac:dyDescent="0.25">
      <c r="A1763" s="350"/>
      <c r="B1763" s="370" t="s">
        <v>11850</v>
      </c>
      <c r="C1763" s="352"/>
      <c r="D1763" s="376"/>
      <c r="E1763" s="376"/>
      <c r="F1763" s="376"/>
      <c r="G1763" s="370"/>
      <c r="H1763" s="376"/>
      <c r="I1763" s="377"/>
      <c r="J1763" s="369"/>
    </row>
    <row r="1764" spans="1:10" ht="15.75" thickBot="1" x14ac:dyDescent="0.3">
      <c r="A1764" s="350"/>
      <c r="B1764" s="370"/>
      <c r="C1764" s="352"/>
      <c r="D1764" s="376"/>
      <c r="E1764" s="376"/>
      <c r="F1764" s="376"/>
      <c r="G1764" s="370"/>
      <c r="H1764" s="376"/>
      <c r="I1764" s="377"/>
      <c r="J1764" s="369"/>
    </row>
    <row r="1765" spans="1:10" s="40" customFormat="1" ht="15.75" thickBot="1" x14ac:dyDescent="0.3">
      <c r="A1765" s="46" t="s">
        <v>208</v>
      </c>
      <c r="B1765" s="60" t="str">
        <f>VLOOKUP(A1765,PO!$A$8:$K$433,4,FALSE)</f>
        <v>Joelho 90 graus, pvc, soldável, dn 32mm, instalado em ramal ou sub-ramal de água - fornecimento e instalação.</v>
      </c>
      <c r="C1765" s="47"/>
      <c r="D1765" s="48"/>
      <c r="E1765" s="47"/>
      <c r="F1765" s="49"/>
      <c r="G1765" s="50"/>
      <c r="H1765" s="50"/>
      <c r="I1765" s="50">
        <f>H1768</f>
        <v>8</v>
      </c>
      <c r="J1765" s="284" t="str">
        <f>VLOOKUP(A1765,PO!$A$8:$K$433,5,FALSE)</f>
        <v>und</v>
      </c>
    </row>
    <row r="1766" spans="1:10" x14ac:dyDescent="0.25">
      <c r="A1766" s="350"/>
      <c r="B1766" s="370"/>
      <c r="C1766" s="352"/>
      <c r="D1766" s="376"/>
      <c r="E1766" s="376"/>
      <c r="F1766" s="376"/>
      <c r="G1766" s="370"/>
      <c r="H1766" s="376"/>
      <c r="I1766" s="377"/>
      <c r="J1766" s="369"/>
    </row>
    <row r="1767" spans="1:10" x14ac:dyDescent="0.25">
      <c r="A1767" s="350"/>
      <c r="B1767" s="360" t="s">
        <v>10886</v>
      </c>
      <c r="C1767" s="352"/>
      <c r="D1767" s="406" t="s">
        <v>10927</v>
      </c>
      <c r="E1767" s="376"/>
      <c r="F1767" s="376"/>
      <c r="G1767" s="370"/>
      <c r="H1767" s="363" t="s">
        <v>14</v>
      </c>
      <c r="I1767" s="363" t="s">
        <v>15</v>
      </c>
      <c r="J1767" s="369"/>
    </row>
    <row r="1768" spans="1:10" x14ac:dyDescent="0.25">
      <c r="A1768" s="350"/>
      <c r="B1768" s="370" t="s">
        <v>11851</v>
      </c>
      <c r="C1768" s="352"/>
      <c r="D1768" s="376">
        <v>8</v>
      </c>
      <c r="E1768" s="376"/>
      <c r="F1768" s="376"/>
      <c r="G1768" s="370" t="s">
        <v>16</v>
      </c>
      <c r="H1768" s="376">
        <f>ROUND(D1768,2)</f>
        <v>8</v>
      </c>
      <c r="I1768" s="377" t="str">
        <f>J1765</f>
        <v>und</v>
      </c>
      <c r="J1768" s="369"/>
    </row>
    <row r="1769" spans="1:10" x14ac:dyDescent="0.25">
      <c r="A1769" s="350"/>
      <c r="B1769" s="370"/>
      <c r="C1769" s="352"/>
      <c r="D1769" s="376"/>
      <c r="E1769" s="376"/>
      <c r="F1769" s="376"/>
      <c r="G1769" s="370"/>
      <c r="H1769" s="376"/>
      <c r="I1769" s="377"/>
      <c r="J1769" s="369"/>
    </row>
    <row r="1770" spans="1:10" x14ac:dyDescent="0.25">
      <c r="A1770" s="350"/>
      <c r="B1770" s="370" t="s">
        <v>11850</v>
      </c>
      <c r="C1770" s="352"/>
      <c r="D1770" s="376"/>
      <c r="E1770" s="376"/>
      <c r="F1770" s="376"/>
      <c r="G1770" s="370"/>
      <c r="H1770" s="376"/>
      <c r="I1770" s="377"/>
      <c r="J1770" s="369"/>
    </row>
    <row r="1771" spans="1:10" ht="15.75" thickBot="1" x14ac:dyDescent="0.3">
      <c r="A1771" s="350"/>
      <c r="B1771" s="370"/>
      <c r="C1771" s="352"/>
      <c r="D1771" s="376"/>
      <c r="E1771" s="376"/>
      <c r="F1771" s="376"/>
      <c r="G1771" s="370"/>
      <c r="H1771" s="376"/>
      <c r="I1771" s="377"/>
      <c r="J1771" s="369"/>
    </row>
    <row r="1772" spans="1:10" s="40" customFormat="1" ht="15.75" thickBot="1" x14ac:dyDescent="0.3">
      <c r="A1772" s="46" t="s">
        <v>11224</v>
      </c>
      <c r="B1772" s="60" t="str">
        <f>VLOOKUP(A1772,PO!$A$8:$K$433,4,FALSE)</f>
        <v xml:space="preserve">Te, pvc, soldável, dn 32mm, instalado em ramal ou sub-ramal de água - fornecimento e instalação. </v>
      </c>
      <c r="C1772" s="47"/>
      <c r="D1772" s="48"/>
      <c r="E1772" s="47"/>
      <c r="F1772" s="49"/>
      <c r="G1772" s="50"/>
      <c r="H1772" s="50"/>
      <c r="I1772" s="50">
        <f>H1775</f>
        <v>2</v>
      </c>
      <c r="J1772" s="284" t="str">
        <f>VLOOKUP(A1772,PO!$A$8:$K$433,5,FALSE)</f>
        <v>und</v>
      </c>
    </row>
    <row r="1773" spans="1:10" x14ac:dyDescent="0.25">
      <c r="A1773" s="350"/>
      <c r="B1773" s="370"/>
      <c r="C1773" s="352"/>
      <c r="D1773" s="376"/>
      <c r="E1773" s="376"/>
      <c r="F1773" s="376"/>
      <c r="G1773" s="370"/>
      <c r="H1773" s="376"/>
      <c r="I1773" s="377"/>
      <c r="J1773" s="369"/>
    </row>
    <row r="1774" spans="1:10" x14ac:dyDescent="0.25">
      <c r="A1774" s="350"/>
      <c r="B1774" s="360" t="s">
        <v>10886</v>
      </c>
      <c r="C1774" s="352"/>
      <c r="D1774" s="406" t="s">
        <v>10927</v>
      </c>
      <c r="E1774" s="376"/>
      <c r="F1774" s="376"/>
      <c r="G1774" s="370"/>
      <c r="H1774" s="363" t="s">
        <v>14</v>
      </c>
      <c r="I1774" s="363" t="s">
        <v>15</v>
      </c>
      <c r="J1774" s="369"/>
    </row>
    <row r="1775" spans="1:10" x14ac:dyDescent="0.25">
      <c r="A1775" s="350"/>
      <c r="B1775" s="370" t="s">
        <v>11851</v>
      </c>
      <c r="C1775" s="352"/>
      <c r="D1775" s="376">
        <v>2</v>
      </c>
      <c r="E1775" s="376"/>
      <c r="F1775" s="376"/>
      <c r="G1775" s="370" t="s">
        <v>16</v>
      </c>
      <c r="H1775" s="376">
        <f>ROUND(D1775,2)</f>
        <v>2</v>
      </c>
      <c r="I1775" s="377" t="str">
        <f>J1772</f>
        <v>und</v>
      </c>
      <c r="J1775" s="369"/>
    </row>
    <row r="1776" spans="1:10" x14ac:dyDescent="0.25">
      <c r="A1776" s="350"/>
      <c r="B1776" s="370"/>
      <c r="C1776" s="352"/>
      <c r="D1776" s="376"/>
      <c r="E1776" s="376"/>
      <c r="F1776" s="376"/>
      <c r="G1776" s="370"/>
      <c r="H1776" s="376"/>
      <c r="I1776" s="377"/>
      <c r="J1776" s="369"/>
    </row>
    <row r="1777" spans="1:10" x14ac:dyDescent="0.25">
      <c r="A1777" s="350"/>
      <c r="B1777" s="370" t="s">
        <v>11850</v>
      </c>
      <c r="C1777" s="352"/>
      <c r="D1777" s="376"/>
      <c r="E1777" s="376"/>
      <c r="F1777" s="376"/>
      <c r="G1777" s="370"/>
      <c r="H1777" s="376"/>
      <c r="I1777" s="377"/>
      <c r="J1777" s="369"/>
    </row>
    <row r="1778" spans="1:10" ht="15.75" thickBot="1" x14ac:dyDescent="0.3">
      <c r="A1778" s="350"/>
      <c r="B1778" s="370"/>
      <c r="C1778" s="352"/>
      <c r="D1778" s="376"/>
      <c r="E1778" s="376"/>
      <c r="F1778" s="376"/>
      <c r="G1778" s="370"/>
      <c r="H1778" s="376"/>
      <c r="I1778" s="377"/>
      <c r="J1778" s="369"/>
    </row>
    <row r="1779" spans="1:10" ht="15.75" thickBot="1" x14ac:dyDescent="0.3">
      <c r="A1779" s="41" t="s">
        <v>213</v>
      </c>
      <c r="B1779" s="42" t="str">
        <f>VLOOKUP(A1779,PO!$A$8:$K$425,4,FALSE)</f>
        <v>CAIXAS</v>
      </c>
      <c r="C1779" s="43"/>
      <c r="D1779" s="43"/>
      <c r="E1779" s="43"/>
      <c r="F1779" s="295"/>
      <c r="G1779" s="43"/>
      <c r="H1779" s="43"/>
      <c r="I1779" s="43"/>
      <c r="J1779" s="44"/>
    </row>
    <row r="1780" spans="1:10" ht="15.75" thickBot="1" x14ac:dyDescent="0.3">
      <c r="A1780" s="347"/>
      <c r="B1780" s="205"/>
      <c r="C1780" s="205"/>
      <c r="D1780" s="348"/>
      <c r="E1780" s="205"/>
      <c r="F1780" s="237"/>
      <c r="G1780" s="208"/>
      <c r="H1780" s="208"/>
      <c r="I1780" s="208"/>
      <c r="J1780" s="349"/>
    </row>
    <row r="1781" spans="1:10" s="40" customFormat="1" ht="15.75" thickBot="1" x14ac:dyDescent="0.3">
      <c r="A1781" s="46" t="s">
        <v>212</v>
      </c>
      <c r="B1781" s="60" t="str">
        <f>VLOOKUP(A1781,PO!$A$8:$K$433,4,FALSE)</f>
        <v>Caixa enterrada hidráulica retangular em alvenaria com tijolos cerâmicos maciços, dimensões internas: 0,6x0,6x0,6 m para rede de drenagem.</v>
      </c>
      <c r="C1781" s="47"/>
      <c r="D1781" s="48"/>
      <c r="E1781" s="47"/>
      <c r="F1781" s="49"/>
      <c r="G1781" s="50"/>
      <c r="H1781" s="50"/>
      <c r="I1781" s="50">
        <f>H1784</f>
        <v>8</v>
      </c>
      <c r="J1781" s="284" t="str">
        <f>VLOOKUP(A1781,PO!$A$8:$K$433,5,FALSE)</f>
        <v>und</v>
      </c>
    </row>
    <row r="1782" spans="1:10" x14ac:dyDescent="0.25">
      <c r="A1782" s="350"/>
      <c r="B1782" s="370"/>
      <c r="C1782" s="352"/>
      <c r="D1782" s="376"/>
      <c r="E1782" s="376"/>
      <c r="F1782" s="376"/>
      <c r="G1782" s="370"/>
      <c r="H1782" s="376"/>
      <c r="I1782" s="377"/>
      <c r="J1782" s="369"/>
    </row>
    <row r="1783" spans="1:10" x14ac:dyDescent="0.25">
      <c r="A1783" s="350"/>
      <c r="B1783" s="360" t="s">
        <v>10886</v>
      </c>
      <c r="C1783" s="352"/>
      <c r="D1783" s="406" t="s">
        <v>10927</v>
      </c>
      <c r="E1783" s="376"/>
      <c r="F1783" s="376"/>
      <c r="G1783" s="370"/>
      <c r="H1783" s="363" t="s">
        <v>14</v>
      </c>
      <c r="I1783" s="363" t="s">
        <v>15</v>
      </c>
      <c r="J1783" s="369"/>
    </row>
    <row r="1784" spans="1:10" x14ac:dyDescent="0.25">
      <c r="A1784" s="350"/>
      <c r="B1784" s="370" t="s">
        <v>11849</v>
      </c>
      <c r="C1784" s="352"/>
      <c r="D1784" s="376">
        <v>8</v>
      </c>
      <c r="E1784" s="376"/>
      <c r="F1784" s="376"/>
      <c r="G1784" s="370" t="s">
        <v>16</v>
      </c>
      <c r="H1784" s="376">
        <f>ROUND(D1784,2)</f>
        <v>8</v>
      </c>
      <c r="I1784" s="377" t="str">
        <f>J1781</f>
        <v>und</v>
      </c>
      <c r="J1784" s="369"/>
    </row>
    <row r="1785" spans="1:10" x14ac:dyDescent="0.25">
      <c r="A1785" s="350"/>
      <c r="B1785" s="370"/>
      <c r="C1785" s="352"/>
      <c r="D1785" s="376"/>
      <c r="E1785" s="376"/>
      <c r="F1785" s="376"/>
      <c r="G1785" s="370"/>
      <c r="H1785" s="376"/>
      <c r="I1785" s="377"/>
      <c r="J1785" s="369"/>
    </row>
    <row r="1786" spans="1:10" x14ac:dyDescent="0.25">
      <c r="A1786" s="350"/>
      <c r="B1786" s="370" t="s">
        <v>11850</v>
      </c>
      <c r="C1786" s="352"/>
      <c r="D1786" s="376"/>
      <c r="E1786" s="376"/>
      <c r="F1786" s="376"/>
      <c r="G1786" s="370"/>
      <c r="H1786" s="376"/>
      <c r="I1786" s="377"/>
      <c r="J1786" s="369"/>
    </row>
    <row r="1787" spans="1:10" ht="15.75" thickBot="1" x14ac:dyDescent="0.3">
      <c r="A1787" s="350"/>
      <c r="B1787" s="370"/>
      <c r="C1787" s="352"/>
      <c r="D1787" s="376"/>
      <c r="E1787" s="376"/>
      <c r="F1787" s="376"/>
      <c r="G1787" s="370"/>
      <c r="H1787" s="376"/>
      <c r="I1787" s="377"/>
      <c r="J1787" s="369"/>
    </row>
    <row r="1788" spans="1:10" s="40" customFormat="1" ht="15.75" thickBot="1" x14ac:dyDescent="0.3">
      <c r="A1788" s="46" t="s">
        <v>214</v>
      </c>
      <c r="B1788" s="60" t="str">
        <f>VLOOKUP(A1788,PO!$A$8:$K$433,4,FALSE)</f>
        <v>Caixa enterrada hidráulica retangular em alvenaria com tijolos cerâmicos maciços, dimensões internas: 0,8x0,8x0,6 m para rede de drenagem.</v>
      </c>
      <c r="C1788" s="47"/>
      <c r="D1788" s="48"/>
      <c r="E1788" s="47"/>
      <c r="F1788" s="49"/>
      <c r="G1788" s="50"/>
      <c r="H1788" s="50"/>
      <c r="I1788" s="50">
        <f>H1791</f>
        <v>1</v>
      </c>
      <c r="J1788" s="284" t="str">
        <f>VLOOKUP(A1788,PO!$A$8:$K$433,5,FALSE)</f>
        <v>und</v>
      </c>
    </row>
    <row r="1789" spans="1:10" x14ac:dyDescent="0.25">
      <c r="A1789" s="350"/>
      <c r="B1789" s="370"/>
      <c r="C1789" s="352"/>
      <c r="D1789" s="376"/>
      <c r="E1789" s="376"/>
      <c r="F1789" s="376"/>
      <c r="G1789" s="370"/>
      <c r="H1789" s="376"/>
      <c r="I1789" s="377"/>
      <c r="J1789" s="369"/>
    </row>
    <row r="1790" spans="1:10" x14ac:dyDescent="0.25">
      <c r="A1790" s="350"/>
      <c r="B1790" s="360" t="s">
        <v>10886</v>
      </c>
      <c r="C1790" s="352"/>
      <c r="D1790" s="406" t="s">
        <v>10927</v>
      </c>
      <c r="E1790" s="376"/>
      <c r="F1790" s="376"/>
      <c r="G1790" s="370"/>
      <c r="H1790" s="363" t="s">
        <v>14</v>
      </c>
      <c r="I1790" s="363" t="s">
        <v>15</v>
      </c>
      <c r="J1790" s="369"/>
    </row>
    <row r="1791" spans="1:10" x14ac:dyDescent="0.25">
      <c r="A1791" s="350"/>
      <c r="B1791" s="370" t="s">
        <v>11849</v>
      </c>
      <c r="C1791" s="352"/>
      <c r="D1791" s="376">
        <v>1</v>
      </c>
      <c r="E1791" s="376"/>
      <c r="F1791" s="376"/>
      <c r="G1791" s="370" t="s">
        <v>16</v>
      </c>
      <c r="H1791" s="376">
        <f>ROUND(D1791,2)</f>
        <v>1</v>
      </c>
      <c r="I1791" s="377" t="str">
        <f>J1788</f>
        <v>und</v>
      </c>
      <c r="J1791" s="369"/>
    </row>
    <row r="1792" spans="1:10" x14ac:dyDescent="0.25">
      <c r="A1792" s="350"/>
      <c r="B1792" s="370"/>
      <c r="C1792" s="352"/>
      <c r="D1792" s="376"/>
      <c r="E1792" s="376"/>
      <c r="F1792" s="376"/>
      <c r="G1792" s="370"/>
      <c r="H1792" s="376"/>
      <c r="I1792" s="377"/>
      <c r="J1792" s="369"/>
    </row>
    <row r="1793" spans="1:10" x14ac:dyDescent="0.25">
      <c r="A1793" s="350"/>
      <c r="B1793" s="370" t="s">
        <v>11850</v>
      </c>
      <c r="C1793" s="352"/>
      <c r="D1793" s="376"/>
      <c r="E1793" s="376"/>
      <c r="F1793" s="376"/>
      <c r="G1793" s="370"/>
      <c r="H1793" s="376"/>
      <c r="I1793" s="377"/>
      <c r="J1793" s="369"/>
    </row>
    <row r="1794" spans="1:10" ht="15.75" thickBot="1" x14ac:dyDescent="0.3">
      <c r="A1794" s="350"/>
      <c r="B1794" s="370"/>
      <c r="C1794" s="352"/>
      <c r="D1794" s="376"/>
      <c r="E1794" s="376"/>
      <c r="F1794" s="376"/>
      <c r="G1794" s="370"/>
      <c r="H1794" s="376"/>
      <c r="I1794" s="377"/>
      <c r="J1794" s="369"/>
    </row>
    <row r="1795" spans="1:10" ht="15.75" thickBot="1" x14ac:dyDescent="0.3">
      <c r="A1795" s="41" t="s">
        <v>210</v>
      </c>
      <c r="B1795" s="42" t="str">
        <f>VLOOKUP(A1795,PO!$A$8:$K$425,4,FALSE)</f>
        <v>RASGO E FECHAMENTO DE RASGO EM ALVENARIA</v>
      </c>
      <c r="C1795" s="43"/>
      <c r="D1795" s="43"/>
      <c r="E1795" s="43"/>
      <c r="F1795" s="295"/>
      <c r="G1795" s="43"/>
      <c r="H1795" s="43"/>
      <c r="I1795" s="43"/>
      <c r="J1795" s="44"/>
    </row>
    <row r="1796" spans="1:10" ht="15.75" thickBot="1" x14ac:dyDescent="0.3">
      <c r="A1796" s="347"/>
      <c r="B1796" s="205"/>
      <c r="C1796" s="205"/>
      <c r="D1796" s="348"/>
      <c r="E1796" s="205"/>
      <c r="F1796" s="237"/>
      <c r="G1796" s="208"/>
      <c r="H1796" s="208"/>
      <c r="I1796" s="208"/>
      <c r="J1796" s="349"/>
    </row>
    <row r="1797" spans="1:10" s="40" customFormat="1" ht="15.75" thickBot="1" x14ac:dyDescent="0.3">
      <c r="A1797" s="46" t="s">
        <v>211</v>
      </c>
      <c r="B1797" s="60" t="str">
        <f>VLOOKUP(A1797,PO!$A$8:$K$433,4,FALSE)</f>
        <v>Rasgo em alvenaria para dreno de ar-condicionado com diâmetros menores ou iguais a 40 mm</v>
      </c>
      <c r="C1797" s="47"/>
      <c r="D1797" s="48"/>
      <c r="E1797" s="47"/>
      <c r="F1797" s="49"/>
      <c r="G1797" s="50"/>
      <c r="H1797" s="50"/>
      <c r="I1797" s="50">
        <f>H1800-H1801</f>
        <v>31.04</v>
      </c>
      <c r="J1797" s="284" t="str">
        <f>VLOOKUP(A1797,PO!$A$8:$K$433,5,FALSE)</f>
        <v>m</v>
      </c>
    </row>
    <row r="1798" spans="1:10" x14ac:dyDescent="0.25">
      <c r="A1798" s="350"/>
      <c r="B1798" s="370"/>
      <c r="C1798" s="352"/>
      <c r="D1798" s="376"/>
      <c r="E1798" s="376"/>
      <c r="F1798" s="376"/>
      <c r="G1798" s="370"/>
      <c r="H1798" s="376"/>
      <c r="I1798" s="377"/>
      <c r="J1798" s="369"/>
    </row>
    <row r="1799" spans="1:10" x14ac:dyDescent="0.25">
      <c r="A1799" s="350"/>
      <c r="B1799" s="360" t="s">
        <v>10886</v>
      </c>
      <c r="C1799" s="352"/>
      <c r="D1799" s="406" t="s">
        <v>10927</v>
      </c>
      <c r="E1799" s="376"/>
      <c r="F1799" s="376"/>
      <c r="G1799" s="370"/>
      <c r="H1799" s="363" t="s">
        <v>14</v>
      </c>
      <c r="I1799" s="363" t="s">
        <v>15</v>
      </c>
      <c r="J1799" s="369"/>
    </row>
    <row r="1800" spans="1:10" x14ac:dyDescent="0.25">
      <c r="A1800" s="350"/>
      <c r="B1800" s="370" t="s">
        <v>11849</v>
      </c>
      <c r="C1800" s="352"/>
      <c r="D1800" s="376">
        <f>I1700+H1710</f>
        <v>40.68</v>
      </c>
      <c r="E1800" s="376"/>
      <c r="F1800" s="376"/>
      <c r="G1800" s="370" t="s">
        <v>16</v>
      </c>
      <c r="H1800" s="376">
        <f>ROUND(D1800,2)</f>
        <v>40.68</v>
      </c>
      <c r="I1800" s="377" t="str">
        <f>J1797</f>
        <v>m</v>
      </c>
      <c r="J1800" s="369"/>
    </row>
    <row r="1801" spans="1:10" x14ac:dyDescent="0.25">
      <c r="A1801" s="350"/>
      <c r="B1801" s="370" t="s">
        <v>11856</v>
      </c>
      <c r="C1801" s="352"/>
      <c r="D1801" s="376">
        <f>1.25+0.89+7.5</f>
        <v>9.64</v>
      </c>
      <c r="E1801" s="376"/>
      <c r="F1801" s="376"/>
      <c r="G1801" s="370" t="s">
        <v>16</v>
      </c>
      <c r="H1801" s="376">
        <f t="shared" ref="H1801" si="163">ROUND(D1801,2)</f>
        <v>9.64</v>
      </c>
      <c r="I1801" s="377" t="str">
        <f>I1800</f>
        <v>m</v>
      </c>
      <c r="J1801" s="369"/>
    </row>
    <row r="1802" spans="1:10" x14ac:dyDescent="0.25">
      <c r="A1802" s="350"/>
      <c r="B1802" s="370"/>
      <c r="C1802" s="352"/>
      <c r="D1802" s="376"/>
      <c r="E1802" s="376"/>
      <c r="F1802" s="376"/>
      <c r="G1802" s="370"/>
      <c r="H1802" s="376"/>
      <c r="I1802" s="377"/>
      <c r="J1802" s="369"/>
    </row>
    <row r="1803" spans="1:10" x14ac:dyDescent="0.25">
      <c r="A1803" s="350"/>
      <c r="B1803" s="370" t="s">
        <v>11850</v>
      </c>
      <c r="C1803" s="352"/>
      <c r="D1803" s="376"/>
      <c r="E1803" s="376"/>
      <c r="F1803" s="376"/>
      <c r="G1803" s="370"/>
      <c r="H1803" s="376"/>
      <c r="I1803" s="377"/>
      <c r="J1803" s="369"/>
    </row>
    <row r="1804" spans="1:10" ht="15.75" thickBot="1" x14ac:dyDescent="0.3">
      <c r="A1804" s="350"/>
      <c r="B1804" s="370"/>
      <c r="C1804" s="352"/>
      <c r="D1804" s="376"/>
      <c r="E1804" s="376"/>
      <c r="F1804" s="376"/>
      <c r="G1804" s="370"/>
      <c r="H1804" s="376"/>
      <c r="I1804" s="377"/>
      <c r="J1804" s="369"/>
    </row>
    <row r="1805" spans="1:10" s="40" customFormat="1" ht="15.75" thickBot="1" x14ac:dyDescent="0.3">
      <c r="A1805" s="46" t="s">
        <v>215</v>
      </c>
      <c r="B1805" s="60" t="str">
        <f>VLOOKUP(A1805,PO!$A$8:$K$433,4,FALSE)</f>
        <v>Enchimento de rasgo em alvenaria com argamassa mista traço 1:4, para tubulação de 1/2" a 25 mm</v>
      </c>
      <c r="C1805" s="47"/>
      <c r="D1805" s="48"/>
      <c r="E1805" s="47"/>
      <c r="F1805" s="49"/>
      <c r="G1805" s="50"/>
      <c r="H1805" s="50"/>
      <c r="I1805" s="50">
        <f>H1808-H1809</f>
        <v>31.04</v>
      </c>
      <c r="J1805" s="284" t="str">
        <f>VLOOKUP(A1805,PO!$A$8:$K$433,5,FALSE)</f>
        <v>m</v>
      </c>
    </row>
    <row r="1806" spans="1:10" x14ac:dyDescent="0.25">
      <c r="A1806" s="350"/>
      <c r="B1806" s="370"/>
      <c r="C1806" s="352"/>
      <c r="D1806" s="376"/>
      <c r="E1806" s="376"/>
      <c r="F1806" s="376"/>
      <c r="G1806" s="370"/>
      <c r="H1806" s="376"/>
      <c r="I1806" s="377"/>
      <c r="J1806" s="369"/>
    </row>
    <row r="1807" spans="1:10" x14ac:dyDescent="0.25">
      <c r="A1807" s="350"/>
      <c r="B1807" s="360" t="s">
        <v>10886</v>
      </c>
      <c r="C1807" s="352"/>
      <c r="D1807" s="406" t="s">
        <v>10927</v>
      </c>
      <c r="E1807" s="376"/>
      <c r="F1807" s="376"/>
      <c r="G1807" s="370"/>
      <c r="H1807" s="363" t="s">
        <v>14</v>
      </c>
      <c r="I1807" s="363" t="s">
        <v>15</v>
      </c>
      <c r="J1807" s="369"/>
    </row>
    <row r="1808" spans="1:10" x14ac:dyDescent="0.25">
      <c r="A1808" s="350"/>
      <c r="B1808" s="370" t="s">
        <v>11849</v>
      </c>
      <c r="C1808" s="352"/>
      <c r="D1808" s="376">
        <f>I1700+H1710</f>
        <v>40.68</v>
      </c>
      <c r="E1808" s="376"/>
      <c r="F1808" s="376"/>
      <c r="G1808" s="370" t="s">
        <v>16</v>
      </c>
      <c r="H1808" s="376">
        <f>ROUND(D1808,2)</f>
        <v>40.68</v>
      </c>
      <c r="I1808" s="377" t="str">
        <f>J1805</f>
        <v>m</v>
      </c>
      <c r="J1808" s="369"/>
    </row>
    <row r="1809" spans="1:10" x14ac:dyDescent="0.25">
      <c r="A1809" s="350"/>
      <c r="B1809" s="370" t="s">
        <v>11856</v>
      </c>
      <c r="C1809" s="352"/>
      <c r="D1809" s="376">
        <f>1.25+0.89+7.5</f>
        <v>9.64</v>
      </c>
      <c r="E1809" s="376"/>
      <c r="F1809" s="376"/>
      <c r="G1809" s="370" t="s">
        <v>16</v>
      </c>
      <c r="H1809" s="376">
        <f t="shared" ref="H1809" si="164">ROUND(D1809,2)</f>
        <v>9.64</v>
      </c>
      <c r="I1809" s="377" t="str">
        <f>I1808</f>
        <v>m</v>
      </c>
      <c r="J1809" s="369"/>
    </row>
    <row r="1810" spans="1:10" x14ac:dyDescent="0.25">
      <c r="A1810" s="350"/>
      <c r="B1810" s="370"/>
      <c r="C1810" s="352"/>
      <c r="D1810" s="376"/>
      <c r="E1810" s="376"/>
      <c r="F1810" s="376"/>
      <c r="G1810" s="370"/>
      <c r="H1810" s="376"/>
      <c r="I1810" s="377"/>
      <c r="J1810" s="369"/>
    </row>
    <row r="1811" spans="1:10" x14ac:dyDescent="0.25">
      <c r="A1811" s="350"/>
      <c r="B1811" s="370" t="s">
        <v>11850</v>
      </c>
      <c r="C1811" s="352"/>
      <c r="D1811" s="376"/>
      <c r="E1811" s="376"/>
      <c r="F1811" s="376"/>
      <c r="G1811" s="370"/>
      <c r="H1811" s="376"/>
      <c r="I1811" s="377"/>
      <c r="J1811" s="369"/>
    </row>
    <row r="1812" spans="1:10" ht="15.75" thickBot="1" x14ac:dyDescent="0.3">
      <c r="A1812" s="350"/>
      <c r="B1812" s="352"/>
      <c r="C1812" s="352"/>
      <c r="D1812" s="352"/>
      <c r="E1812" s="352"/>
      <c r="F1812" s="352"/>
      <c r="G1812" s="352"/>
      <c r="H1812" s="352"/>
      <c r="I1812" s="352"/>
      <c r="J1812" s="369"/>
    </row>
    <row r="1813" spans="1:10" ht="15.75" thickBot="1" x14ac:dyDescent="0.3">
      <c r="A1813" s="36" t="s">
        <v>93</v>
      </c>
      <c r="B1813" s="37" t="str">
        <f>VLOOKUP(A1813,PO!$A$8:$K$425,4,FALSE)</f>
        <v>INSTALAÇÕES ELÉTRICAS</v>
      </c>
      <c r="C1813" s="38"/>
      <c r="D1813" s="37"/>
      <c r="E1813" s="38"/>
      <c r="F1813" s="294"/>
      <c r="G1813" s="38"/>
      <c r="H1813" s="38"/>
      <c r="I1813" s="38"/>
      <c r="J1813" s="39"/>
    </row>
    <row r="1814" spans="1:10" ht="15.75" thickBot="1" x14ac:dyDescent="0.3">
      <c r="A1814" s="350"/>
      <c r="B1814" s="352"/>
      <c r="C1814" s="352"/>
      <c r="D1814" s="352"/>
      <c r="E1814" s="352"/>
      <c r="F1814" s="370"/>
      <c r="G1814" s="352"/>
      <c r="H1814" s="352"/>
      <c r="I1814" s="352"/>
      <c r="J1814" s="369"/>
    </row>
    <row r="1815" spans="1:10" ht="15.75" thickBot="1" x14ac:dyDescent="0.3">
      <c r="A1815" s="41" t="s">
        <v>219</v>
      </c>
      <c r="B1815" s="42" t="str">
        <f>VLOOKUP(A1815,PO!$A$8:$K$425,4,FALSE)</f>
        <v>ELETRODUTOS E ELETROCALHAS</v>
      </c>
      <c r="C1815" s="43"/>
      <c r="D1815" s="43"/>
      <c r="E1815" s="43"/>
      <c r="F1815" s="295"/>
      <c r="G1815" s="43"/>
      <c r="H1815" s="43"/>
      <c r="I1815" s="43"/>
      <c r="J1815" s="44"/>
    </row>
    <row r="1816" spans="1:10" ht="15.75" thickBot="1" x14ac:dyDescent="0.3">
      <c r="A1816" s="347"/>
      <c r="B1816" s="205"/>
      <c r="C1816" s="205"/>
      <c r="D1816" s="348"/>
      <c r="E1816" s="205"/>
      <c r="F1816" s="237"/>
      <c r="G1816" s="208"/>
      <c r="H1816" s="208"/>
      <c r="I1816" s="208"/>
      <c r="J1816" s="349"/>
    </row>
    <row r="1817" spans="1:10" s="40" customFormat="1" ht="15.75" thickBot="1" x14ac:dyDescent="0.3">
      <c r="A1817" s="46" t="s">
        <v>220</v>
      </c>
      <c r="B1817" s="60" t="str">
        <f>VLOOKUP(A1817,PO!$A$8:$K$433,4,FALSE)</f>
        <v>Luva para eletroduto, PVC, roscável, DN 25 mm (3/4"), para circuitos terminais, instalada em parede - fornecimento e instalação.</v>
      </c>
      <c r="C1817" s="47"/>
      <c r="D1817" s="48"/>
      <c r="E1817" s="47"/>
      <c r="F1817" s="49"/>
      <c r="G1817" s="50"/>
      <c r="H1817" s="50"/>
      <c r="I1817" s="50">
        <f>H1820</f>
        <v>556</v>
      </c>
      <c r="J1817" s="284" t="str">
        <f>VLOOKUP(A1817,PO!$A$8:$K$433,5,FALSE)</f>
        <v>und</v>
      </c>
    </row>
    <row r="1818" spans="1:10" x14ac:dyDescent="0.25">
      <c r="A1818" s="350"/>
      <c r="B1818" s="370"/>
      <c r="C1818" s="352"/>
      <c r="D1818" s="376"/>
      <c r="E1818" s="376"/>
      <c r="F1818" s="376"/>
      <c r="G1818" s="370"/>
      <c r="H1818" s="376"/>
      <c r="I1818" s="377"/>
      <c r="J1818" s="369"/>
    </row>
    <row r="1819" spans="1:10" x14ac:dyDescent="0.25">
      <c r="A1819" s="350"/>
      <c r="B1819" s="360" t="s">
        <v>10886</v>
      </c>
      <c r="C1819" s="352"/>
      <c r="D1819" s="406" t="s">
        <v>10927</v>
      </c>
      <c r="E1819" s="376"/>
      <c r="F1819" s="376"/>
      <c r="G1819" s="370"/>
      <c r="H1819" s="363" t="s">
        <v>14</v>
      </c>
      <c r="I1819" s="363" t="s">
        <v>15</v>
      </c>
      <c r="J1819" s="369"/>
    </row>
    <row r="1820" spans="1:10" x14ac:dyDescent="0.25">
      <c r="A1820" s="350"/>
      <c r="B1820" s="370" t="s">
        <v>11890</v>
      </c>
      <c r="C1820" s="352"/>
      <c r="D1820" s="376">
        <v>556</v>
      </c>
      <c r="E1820" s="376"/>
      <c r="F1820" s="376"/>
      <c r="G1820" s="370" t="s">
        <v>16</v>
      </c>
      <c r="H1820" s="376">
        <f>ROUND(D1820,2)</f>
        <v>556</v>
      </c>
      <c r="I1820" s="377" t="str">
        <f>J1817</f>
        <v>und</v>
      </c>
      <c r="J1820" s="369"/>
    </row>
    <row r="1821" spans="1:10" x14ac:dyDescent="0.25">
      <c r="A1821" s="350"/>
      <c r="B1821" s="370"/>
      <c r="C1821" s="352"/>
      <c r="D1821" s="376"/>
      <c r="E1821" s="376"/>
      <c r="F1821" s="376"/>
      <c r="G1821" s="370"/>
      <c r="H1821" s="376"/>
      <c r="I1821" s="377"/>
      <c r="J1821" s="369"/>
    </row>
    <row r="1822" spans="1:10" x14ac:dyDescent="0.25">
      <c r="A1822" s="350"/>
      <c r="B1822" s="370" t="s">
        <v>11891</v>
      </c>
      <c r="C1822" s="352"/>
      <c r="D1822" s="376"/>
      <c r="E1822" s="376"/>
      <c r="F1822" s="376"/>
      <c r="G1822" s="370"/>
      <c r="H1822" s="376"/>
      <c r="I1822" s="377"/>
      <c r="J1822" s="369"/>
    </row>
    <row r="1823" spans="1:10" ht="15.75" thickBot="1" x14ac:dyDescent="0.3">
      <c r="A1823" s="350"/>
      <c r="B1823" s="370"/>
      <c r="C1823" s="352"/>
      <c r="D1823" s="376"/>
      <c r="E1823" s="376"/>
      <c r="F1823" s="376"/>
      <c r="G1823" s="370"/>
      <c r="H1823" s="376"/>
      <c r="I1823" s="377"/>
      <c r="J1823" s="369"/>
    </row>
    <row r="1824" spans="1:10" s="40" customFormat="1" ht="15.75" thickBot="1" x14ac:dyDescent="0.3">
      <c r="A1824" s="46" t="s">
        <v>11167</v>
      </c>
      <c r="B1824" s="60" t="str">
        <f>VLOOKUP(A1824,PO!$A$8:$K$433,4,FALSE)</f>
        <v>Luva para eletroduto, PVC, roscável, DN 32 mm (1"), para circuitos terminais, instalada em parede - fornecimento e instalação.</v>
      </c>
      <c r="C1824" s="47"/>
      <c r="D1824" s="48"/>
      <c r="E1824" s="47"/>
      <c r="F1824" s="49"/>
      <c r="G1824" s="50"/>
      <c r="H1824" s="50"/>
      <c r="I1824" s="50">
        <f>H1827</f>
        <v>17</v>
      </c>
      <c r="J1824" s="284" t="str">
        <f>VLOOKUP(A1824,PO!$A$8:$K$433,5,FALSE)</f>
        <v>und</v>
      </c>
    </row>
    <row r="1825" spans="1:10" x14ac:dyDescent="0.25">
      <c r="A1825" s="350"/>
      <c r="B1825" s="370"/>
      <c r="C1825" s="352"/>
      <c r="D1825" s="376"/>
      <c r="E1825" s="376"/>
      <c r="F1825" s="376"/>
      <c r="G1825" s="370"/>
      <c r="H1825" s="376"/>
      <c r="I1825" s="377"/>
      <c r="J1825" s="369"/>
    </row>
    <row r="1826" spans="1:10" x14ac:dyDescent="0.25">
      <c r="A1826" s="350"/>
      <c r="B1826" s="360" t="s">
        <v>10886</v>
      </c>
      <c r="C1826" s="352"/>
      <c r="D1826" s="406" t="s">
        <v>10927</v>
      </c>
      <c r="E1826" s="376"/>
      <c r="F1826" s="376"/>
      <c r="G1826" s="370"/>
      <c r="H1826" s="363" t="s">
        <v>14</v>
      </c>
      <c r="I1826" s="363" t="s">
        <v>15</v>
      </c>
      <c r="J1826" s="369"/>
    </row>
    <row r="1827" spans="1:10" x14ac:dyDescent="0.25">
      <c r="A1827" s="350"/>
      <c r="B1827" s="370" t="s">
        <v>11890</v>
      </c>
      <c r="C1827" s="352"/>
      <c r="D1827" s="376">
        <v>17</v>
      </c>
      <c r="E1827" s="376"/>
      <c r="F1827" s="376"/>
      <c r="G1827" s="370" t="s">
        <v>16</v>
      </c>
      <c r="H1827" s="376">
        <f>ROUND(D1827,2)</f>
        <v>17</v>
      </c>
      <c r="I1827" s="377" t="str">
        <f>J1824</f>
        <v>und</v>
      </c>
      <c r="J1827" s="369"/>
    </row>
    <row r="1828" spans="1:10" x14ac:dyDescent="0.25">
      <c r="A1828" s="350"/>
      <c r="B1828" s="370"/>
      <c r="C1828" s="352"/>
      <c r="D1828" s="376"/>
      <c r="E1828" s="376"/>
      <c r="F1828" s="376"/>
      <c r="G1828" s="370"/>
      <c r="H1828" s="376"/>
      <c r="I1828" s="377"/>
      <c r="J1828" s="369"/>
    </row>
    <row r="1829" spans="1:10" x14ac:dyDescent="0.25">
      <c r="A1829" s="350"/>
      <c r="B1829" s="370" t="s">
        <v>11891</v>
      </c>
      <c r="C1829" s="352"/>
      <c r="D1829" s="376"/>
      <c r="E1829" s="376"/>
      <c r="F1829" s="376"/>
      <c r="G1829" s="370"/>
      <c r="H1829" s="376"/>
      <c r="I1829" s="377"/>
      <c r="J1829" s="369"/>
    </row>
    <row r="1830" spans="1:10" ht="15.75" thickBot="1" x14ac:dyDescent="0.3">
      <c r="A1830" s="350"/>
      <c r="B1830" s="370"/>
      <c r="C1830" s="352"/>
      <c r="D1830" s="376"/>
      <c r="E1830" s="376"/>
      <c r="F1830" s="376"/>
      <c r="G1830" s="370"/>
      <c r="H1830" s="376"/>
      <c r="I1830" s="377"/>
      <c r="J1830" s="369"/>
    </row>
    <row r="1831" spans="1:10" s="40" customFormat="1" ht="15.75" thickBot="1" x14ac:dyDescent="0.3">
      <c r="A1831" s="46" t="s">
        <v>11168</v>
      </c>
      <c r="B1831" s="60" t="str">
        <f>VLOOKUP(A1831,PO!$A$8:$K$433,4,FALSE)</f>
        <v>Luva para eletroduto, PVC, roscável, DN (3"), para circuitos terminais, instalada em parede - fornecimento e instalação.</v>
      </c>
      <c r="C1831" s="47"/>
      <c r="D1831" s="48"/>
      <c r="E1831" s="47"/>
      <c r="F1831" s="49"/>
      <c r="G1831" s="50"/>
      <c r="H1831" s="50"/>
      <c r="I1831" s="50">
        <f>H1834</f>
        <v>8</v>
      </c>
      <c r="J1831" s="284" t="str">
        <f>VLOOKUP(A1831,PO!$A$8:$K$433,5,FALSE)</f>
        <v>und</v>
      </c>
    </row>
    <row r="1832" spans="1:10" x14ac:dyDescent="0.25">
      <c r="A1832" s="350"/>
      <c r="B1832" s="370"/>
      <c r="C1832" s="352"/>
      <c r="D1832" s="376"/>
      <c r="E1832" s="376"/>
      <c r="F1832" s="376"/>
      <c r="G1832" s="370"/>
      <c r="H1832" s="376"/>
      <c r="I1832" s="377"/>
      <c r="J1832" s="369"/>
    </row>
    <row r="1833" spans="1:10" x14ac:dyDescent="0.25">
      <c r="A1833" s="350"/>
      <c r="B1833" s="360" t="s">
        <v>10886</v>
      </c>
      <c r="C1833" s="352"/>
      <c r="D1833" s="406" t="s">
        <v>10927</v>
      </c>
      <c r="E1833" s="376"/>
      <c r="F1833" s="376"/>
      <c r="G1833" s="370"/>
      <c r="H1833" s="363" t="s">
        <v>14</v>
      </c>
      <c r="I1833" s="363" t="s">
        <v>15</v>
      </c>
      <c r="J1833" s="369"/>
    </row>
    <row r="1834" spans="1:10" x14ac:dyDescent="0.25">
      <c r="A1834" s="350"/>
      <c r="B1834" s="370" t="s">
        <v>11890</v>
      </c>
      <c r="C1834" s="352"/>
      <c r="D1834" s="376">
        <v>8</v>
      </c>
      <c r="E1834" s="376"/>
      <c r="F1834" s="376"/>
      <c r="G1834" s="370" t="s">
        <v>16</v>
      </c>
      <c r="H1834" s="376">
        <f>ROUND(D1834,2)</f>
        <v>8</v>
      </c>
      <c r="I1834" s="377" t="str">
        <f>J1831</f>
        <v>und</v>
      </c>
      <c r="J1834" s="369"/>
    </row>
    <row r="1835" spans="1:10" x14ac:dyDescent="0.25">
      <c r="A1835" s="350"/>
      <c r="B1835" s="370"/>
      <c r="C1835" s="352"/>
      <c r="D1835" s="376"/>
      <c r="E1835" s="376"/>
      <c r="F1835" s="376"/>
      <c r="G1835" s="370"/>
      <c r="H1835" s="376"/>
      <c r="I1835" s="377"/>
      <c r="J1835" s="369"/>
    </row>
    <row r="1836" spans="1:10" x14ac:dyDescent="0.25">
      <c r="A1836" s="350"/>
      <c r="B1836" s="370" t="s">
        <v>11891</v>
      </c>
      <c r="C1836" s="352"/>
      <c r="D1836" s="376"/>
      <c r="E1836" s="376"/>
      <c r="F1836" s="376"/>
      <c r="G1836" s="370"/>
      <c r="H1836" s="376"/>
      <c r="I1836" s="377"/>
      <c r="J1836" s="369"/>
    </row>
    <row r="1837" spans="1:10" ht="15.75" thickBot="1" x14ac:dyDescent="0.3">
      <c r="A1837" s="350"/>
      <c r="B1837" s="370"/>
      <c r="C1837" s="352"/>
      <c r="D1837" s="376"/>
      <c r="E1837" s="376"/>
      <c r="F1837" s="376"/>
      <c r="G1837" s="370"/>
      <c r="H1837" s="376"/>
      <c r="I1837" s="377"/>
      <c r="J1837" s="369"/>
    </row>
    <row r="1838" spans="1:10" s="40" customFormat="1" ht="15.75" thickBot="1" x14ac:dyDescent="0.3">
      <c r="A1838" s="46" t="s">
        <v>11169</v>
      </c>
      <c r="B1838" s="60" t="str">
        <f>VLOOKUP(A1838,PO!$A$8:$K$433,4,FALSE)</f>
        <v>Luva de emenda para eletroduto, aço galvanizado, DN 40 mm (1 1/2''), aparente, instalada em parede - fornecimento e instalação.</v>
      </c>
      <c r="C1838" s="47"/>
      <c r="D1838" s="48"/>
      <c r="E1838" s="47"/>
      <c r="F1838" s="49"/>
      <c r="G1838" s="50"/>
      <c r="H1838" s="50"/>
      <c r="I1838" s="50">
        <f>H1841</f>
        <v>5</v>
      </c>
      <c r="J1838" s="284" t="str">
        <f>VLOOKUP(A1838,PO!$A$8:$K$433,5,FALSE)</f>
        <v>und</v>
      </c>
    </row>
    <row r="1839" spans="1:10" x14ac:dyDescent="0.25">
      <c r="A1839" s="350"/>
      <c r="B1839" s="370"/>
      <c r="C1839" s="352"/>
      <c r="D1839" s="376"/>
      <c r="E1839" s="376"/>
      <c r="F1839" s="376"/>
      <c r="G1839" s="370"/>
      <c r="H1839" s="376"/>
      <c r="I1839" s="377"/>
      <c r="J1839" s="369"/>
    </row>
    <row r="1840" spans="1:10" x14ac:dyDescent="0.25">
      <c r="A1840" s="350"/>
      <c r="B1840" s="360" t="s">
        <v>10886</v>
      </c>
      <c r="C1840" s="352"/>
      <c r="D1840" s="406" t="s">
        <v>10927</v>
      </c>
      <c r="E1840" s="376"/>
      <c r="F1840" s="376"/>
      <c r="G1840" s="370"/>
      <c r="H1840" s="363" t="s">
        <v>14</v>
      </c>
      <c r="I1840" s="363" t="s">
        <v>15</v>
      </c>
      <c r="J1840" s="369"/>
    </row>
    <row r="1841" spans="1:10" x14ac:dyDescent="0.25">
      <c r="A1841" s="350"/>
      <c r="B1841" s="370" t="s">
        <v>11890</v>
      </c>
      <c r="C1841" s="352"/>
      <c r="D1841" s="376">
        <v>5</v>
      </c>
      <c r="E1841" s="376"/>
      <c r="F1841" s="376"/>
      <c r="G1841" s="370" t="s">
        <v>16</v>
      </c>
      <c r="H1841" s="376">
        <f>ROUND(D1841,2)</f>
        <v>5</v>
      </c>
      <c r="I1841" s="377" t="str">
        <f>J1838</f>
        <v>und</v>
      </c>
      <c r="J1841" s="369"/>
    </row>
    <row r="1842" spans="1:10" x14ac:dyDescent="0.25">
      <c r="A1842" s="350"/>
      <c r="B1842" s="370"/>
      <c r="C1842" s="352"/>
      <c r="D1842" s="376"/>
      <c r="E1842" s="376"/>
      <c r="F1842" s="376"/>
      <c r="G1842" s="370"/>
      <c r="H1842" s="376"/>
      <c r="I1842" s="377"/>
      <c r="J1842" s="369"/>
    </row>
    <row r="1843" spans="1:10" x14ac:dyDescent="0.25">
      <c r="A1843" s="350"/>
      <c r="B1843" s="370" t="s">
        <v>11891</v>
      </c>
      <c r="C1843" s="352"/>
      <c r="D1843" s="376"/>
      <c r="E1843" s="376"/>
      <c r="F1843" s="376"/>
      <c r="G1843" s="370"/>
      <c r="H1843" s="376"/>
      <c r="I1843" s="377"/>
      <c r="J1843" s="369"/>
    </row>
    <row r="1844" spans="1:10" ht="15.75" thickBot="1" x14ac:dyDescent="0.3">
      <c r="A1844" s="350"/>
      <c r="B1844" s="370"/>
      <c r="C1844" s="352"/>
      <c r="D1844" s="376"/>
      <c r="E1844" s="376"/>
      <c r="F1844" s="376"/>
      <c r="G1844" s="370"/>
      <c r="H1844" s="376"/>
      <c r="I1844" s="377"/>
      <c r="J1844" s="369"/>
    </row>
    <row r="1845" spans="1:10" s="40" customFormat="1" ht="15.75" thickBot="1" x14ac:dyDescent="0.3">
      <c r="A1845" s="46" t="s">
        <v>12141</v>
      </c>
      <c r="B1845" s="60" t="str">
        <f>VLOOKUP(A1845,PO!$A$8:$K$433,4,FALSE)</f>
        <v>Luva de emenda para eletroduto, aço galvanizado, DN 50 mm (2''), aparente, instalada em parede - fornecimento e instalação.</v>
      </c>
      <c r="C1845" s="47"/>
      <c r="D1845" s="48"/>
      <c r="E1845" s="47"/>
      <c r="F1845" s="49"/>
      <c r="G1845" s="50"/>
      <c r="H1845" s="50"/>
      <c r="I1845" s="50">
        <f>H1848</f>
        <v>18</v>
      </c>
      <c r="J1845" s="284" t="str">
        <f>VLOOKUP(A1845,PO!$A$8:$K$433,5,FALSE)</f>
        <v>und</v>
      </c>
    </row>
    <row r="1846" spans="1:10" x14ac:dyDescent="0.25">
      <c r="A1846" s="350"/>
      <c r="B1846" s="370"/>
      <c r="C1846" s="352"/>
      <c r="D1846" s="376"/>
      <c r="E1846" s="376"/>
      <c r="F1846" s="376"/>
      <c r="G1846" s="370"/>
      <c r="H1846" s="376"/>
      <c r="I1846" s="377"/>
      <c r="J1846" s="369"/>
    </row>
    <row r="1847" spans="1:10" x14ac:dyDescent="0.25">
      <c r="A1847" s="350"/>
      <c r="B1847" s="360" t="s">
        <v>10886</v>
      </c>
      <c r="C1847" s="352"/>
      <c r="D1847" s="406" t="s">
        <v>10927</v>
      </c>
      <c r="E1847" s="376"/>
      <c r="F1847" s="376"/>
      <c r="G1847" s="370"/>
      <c r="H1847" s="363" t="s">
        <v>14</v>
      </c>
      <c r="I1847" s="363" t="s">
        <v>15</v>
      </c>
      <c r="J1847" s="369"/>
    </row>
    <row r="1848" spans="1:10" x14ac:dyDescent="0.25">
      <c r="A1848" s="350"/>
      <c r="B1848" s="370" t="s">
        <v>11890</v>
      </c>
      <c r="C1848" s="352"/>
      <c r="D1848" s="376">
        <v>18</v>
      </c>
      <c r="E1848" s="376"/>
      <c r="F1848" s="376"/>
      <c r="G1848" s="370" t="s">
        <v>16</v>
      </c>
      <c r="H1848" s="376">
        <f>ROUND(D1848,2)</f>
        <v>18</v>
      </c>
      <c r="I1848" s="377" t="str">
        <f>J1845</f>
        <v>und</v>
      </c>
      <c r="J1848" s="369"/>
    </row>
    <row r="1849" spans="1:10" x14ac:dyDescent="0.25">
      <c r="A1849" s="350"/>
      <c r="B1849" s="370"/>
      <c r="C1849" s="352"/>
      <c r="D1849" s="376"/>
      <c r="E1849" s="376"/>
      <c r="F1849" s="376"/>
      <c r="G1849" s="370"/>
      <c r="H1849" s="376"/>
      <c r="I1849" s="377"/>
      <c r="J1849" s="369"/>
    </row>
    <row r="1850" spans="1:10" x14ac:dyDescent="0.25">
      <c r="A1850" s="350"/>
      <c r="B1850" s="370" t="s">
        <v>11891</v>
      </c>
      <c r="C1850" s="352"/>
      <c r="D1850" s="376"/>
      <c r="E1850" s="376"/>
      <c r="F1850" s="376"/>
      <c r="G1850" s="370"/>
      <c r="H1850" s="376"/>
      <c r="I1850" s="377"/>
      <c r="J1850" s="369"/>
    </row>
    <row r="1851" spans="1:10" ht="15.75" thickBot="1" x14ac:dyDescent="0.3">
      <c r="A1851" s="350"/>
      <c r="B1851" s="370"/>
      <c r="C1851" s="352"/>
      <c r="D1851" s="376"/>
      <c r="E1851" s="376"/>
      <c r="F1851" s="376"/>
      <c r="G1851" s="370"/>
      <c r="H1851" s="376"/>
      <c r="I1851" s="377"/>
      <c r="J1851" s="369"/>
    </row>
    <row r="1852" spans="1:10" s="40" customFormat="1" ht="15.75" thickBot="1" x14ac:dyDescent="0.3">
      <c r="A1852" s="46" t="s">
        <v>12142</v>
      </c>
      <c r="B1852" s="60" t="str">
        <f>VLOOKUP(A1852,PO!$A$8:$K$433,4,FALSE)</f>
        <v>Eletroduto de PVC rígido roscável, com conexões Ø 25 mm (3/4") - fornecimento e instalação</v>
      </c>
      <c r="C1852" s="47"/>
      <c r="D1852" s="48"/>
      <c r="E1852" s="47"/>
      <c r="F1852" s="49"/>
      <c r="G1852" s="50"/>
      <c r="H1852" s="50"/>
      <c r="I1852" s="50">
        <f>H1855</f>
        <v>499.75</v>
      </c>
      <c r="J1852" s="284" t="str">
        <f>VLOOKUP(A1852,PO!$A$8:$K$433,5,FALSE)</f>
        <v>m</v>
      </c>
    </row>
    <row r="1853" spans="1:10" x14ac:dyDescent="0.25">
      <c r="A1853" s="350"/>
      <c r="B1853" s="370"/>
      <c r="C1853" s="352"/>
      <c r="D1853" s="376"/>
      <c r="E1853" s="376"/>
      <c r="F1853" s="376"/>
      <c r="G1853" s="370"/>
      <c r="H1853" s="376"/>
      <c r="I1853" s="377"/>
      <c r="J1853" s="369"/>
    </row>
    <row r="1854" spans="1:10" x14ac:dyDescent="0.25">
      <c r="A1854" s="350"/>
      <c r="B1854" s="360" t="s">
        <v>10886</v>
      </c>
      <c r="C1854" s="352"/>
      <c r="D1854" s="406" t="s">
        <v>10933</v>
      </c>
      <c r="E1854" s="376"/>
      <c r="F1854" s="376"/>
      <c r="G1854" s="370"/>
      <c r="H1854" s="363" t="s">
        <v>14</v>
      </c>
      <c r="I1854" s="363" t="s">
        <v>15</v>
      </c>
      <c r="J1854" s="369"/>
    </row>
    <row r="1855" spans="1:10" x14ac:dyDescent="0.25">
      <c r="A1855" s="350"/>
      <c r="B1855" s="370" t="s">
        <v>11890</v>
      </c>
      <c r="C1855" s="352"/>
      <c r="D1855" s="376">
        <v>499.75</v>
      </c>
      <c r="E1855" s="376"/>
      <c r="F1855" s="376"/>
      <c r="G1855" s="370" t="s">
        <v>16</v>
      </c>
      <c r="H1855" s="376">
        <f>ROUND(D1855,2)</f>
        <v>499.75</v>
      </c>
      <c r="I1855" s="377" t="str">
        <f>J1852</f>
        <v>m</v>
      </c>
      <c r="J1855" s="369"/>
    </row>
    <row r="1856" spans="1:10" x14ac:dyDescent="0.25">
      <c r="A1856" s="350"/>
      <c r="B1856" s="370"/>
      <c r="C1856" s="352"/>
      <c r="D1856" s="376"/>
      <c r="E1856" s="376"/>
      <c r="F1856" s="376"/>
      <c r="G1856" s="370"/>
      <c r="H1856" s="376"/>
      <c r="I1856" s="377"/>
      <c r="J1856" s="369"/>
    </row>
    <row r="1857" spans="1:10" x14ac:dyDescent="0.25">
      <c r="A1857" s="350"/>
      <c r="B1857" s="370" t="s">
        <v>11891</v>
      </c>
      <c r="C1857" s="352"/>
      <c r="D1857" s="376"/>
      <c r="E1857" s="376"/>
      <c r="F1857" s="376"/>
      <c r="G1857" s="370"/>
      <c r="H1857" s="376"/>
      <c r="I1857" s="377"/>
      <c r="J1857" s="369"/>
    </row>
    <row r="1858" spans="1:10" ht="15.75" thickBot="1" x14ac:dyDescent="0.3">
      <c r="A1858" s="350"/>
      <c r="B1858" s="370"/>
      <c r="C1858" s="352"/>
      <c r="D1858" s="376"/>
      <c r="E1858" s="376"/>
      <c r="F1858" s="376"/>
      <c r="G1858" s="370"/>
      <c r="H1858" s="376"/>
      <c r="I1858" s="377"/>
      <c r="J1858" s="369"/>
    </row>
    <row r="1859" spans="1:10" s="40" customFormat="1" ht="15.75" thickBot="1" x14ac:dyDescent="0.3">
      <c r="A1859" s="46" t="s">
        <v>12143</v>
      </c>
      <c r="B1859" s="60" t="str">
        <f>VLOOKUP(A1859,PO!$A$8:$K$433,4,FALSE)</f>
        <v>Eletroduto rígido roscável, PVC, DN 32 mm (1"), para circuitos terminais, instalado em laje - fornecimento e instalação. </v>
      </c>
      <c r="C1859" s="47"/>
      <c r="D1859" s="48"/>
      <c r="E1859" s="47"/>
      <c r="F1859" s="49"/>
      <c r="G1859" s="50"/>
      <c r="H1859" s="50"/>
      <c r="I1859" s="50">
        <f>H1862</f>
        <v>16.2</v>
      </c>
      <c r="J1859" s="284" t="str">
        <f>VLOOKUP(A1859,PO!$A$8:$K$433,5,FALSE)</f>
        <v>m</v>
      </c>
    </row>
    <row r="1860" spans="1:10" x14ac:dyDescent="0.25">
      <c r="A1860" s="350"/>
      <c r="B1860" s="370"/>
      <c r="C1860" s="352"/>
      <c r="D1860" s="376"/>
      <c r="E1860" s="376"/>
      <c r="F1860" s="376"/>
      <c r="G1860" s="370"/>
      <c r="H1860" s="376"/>
      <c r="I1860" s="377"/>
      <c r="J1860" s="369"/>
    </row>
    <row r="1861" spans="1:10" x14ac:dyDescent="0.25">
      <c r="A1861" s="350"/>
      <c r="B1861" s="360" t="s">
        <v>10886</v>
      </c>
      <c r="C1861" s="352"/>
      <c r="D1861" s="406" t="s">
        <v>10933</v>
      </c>
      <c r="E1861" s="376"/>
      <c r="F1861" s="376"/>
      <c r="G1861" s="370"/>
      <c r="H1861" s="363" t="s">
        <v>14</v>
      </c>
      <c r="I1861" s="363" t="s">
        <v>15</v>
      </c>
      <c r="J1861" s="369"/>
    </row>
    <row r="1862" spans="1:10" x14ac:dyDescent="0.25">
      <c r="A1862" s="350"/>
      <c r="B1862" s="370" t="s">
        <v>11890</v>
      </c>
      <c r="C1862" s="352"/>
      <c r="D1862" s="376">
        <v>16.2</v>
      </c>
      <c r="E1862" s="376"/>
      <c r="F1862" s="376"/>
      <c r="G1862" s="370" t="s">
        <v>16</v>
      </c>
      <c r="H1862" s="376">
        <f>ROUND(D1862,2)</f>
        <v>16.2</v>
      </c>
      <c r="I1862" s="377" t="str">
        <f>J1859</f>
        <v>m</v>
      </c>
      <c r="J1862" s="369"/>
    </row>
    <row r="1863" spans="1:10" x14ac:dyDescent="0.25">
      <c r="A1863" s="350"/>
      <c r="B1863" s="370"/>
      <c r="C1863" s="352"/>
      <c r="D1863" s="376"/>
      <c r="E1863" s="376"/>
      <c r="F1863" s="376"/>
      <c r="G1863" s="370"/>
      <c r="H1863" s="376"/>
      <c r="I1863" s="377"/>
      <c r="J1863" s="369"/>
    </row>
    <row r="1864" spans="1:10" x14ac:dyDescent="0.25">
      <c r="A1864" s="350"/>
      <c r="B1864" s="370" t="s">
        <v>11891</v>
      </c>
      <c r="C1864" s="352"/>
      <c r="D1864" s="376"/>
      <c r="E1864" s="376"/>
      <c r="F1864" s="376"/>
      <c r="G1864" s="370"/>
      <c r="H1864" s="376"/>
      <c r="I1864" s="377"/>
      <c r="J1864" s="369"/>
    </row>
    <row r="1865" spans="1:10" ht="15.75" thickBot="1" x14ac:dyDescent="0.3">
      <c r="A1865" s="350"/>
      <c r="B1865" s="370"/>
      <c r="C1865" s="352"/>
      <c r="D1865" s="376"/>
      <c r="E1865" s="376"/>
      <c r="F1865" s="376"/>
      <c r="G1865" s="370"/>
      <c r="H1865" s="376"/>
      <c r="I1865" s="377"/>
      <c r="J1865" s="369"/>
    </row>
    <row r="1866" spans="1:10" s="40" customFormat="1" ht="15.75" thickBot="1" x14ac:dyDescent="0.3">
      <c r="A1866" s="46" t="s">
        <v>12144</v>
      </c>
      <c r="B1866" s="60" t="str">
        <f>VLOOKUP(A1866,PO!$A$8:$K$433,4,FALSE)</f>
        <v>Eletroduto rígido roscável, PVC, DN 50 mm (1 1/2") - fornecimento e instalação.</v>
      </c>
      <c r="C1866" s="47"/>
      <c r="D1866" s="48"/>
      <c r="E1866" s="47"/>
      <c r="F1866" s="49"/>
      <c r="G1866" s="50"/>
      <c r="H1866" s="50"/>
      <c r="I1866" s="50">
        <f>H1869</f>
        <v>4.4000000000000004</v>
      </c>
      <c r="J1866" s="284" t="str">
        <f>VLOOKUP(A1866,PO!$A$8:$K$433,5,FALSE)</f>
        <v>m</v>
      </c>
    </row>
    <row r="1867" spans="1:10" x14ac:dyDescent="0.25">
      <c r="A1867" s="350"/>
      <c r="B1867" s="370"/>
      <c r="C1867" s="352"/>
      <c r="D1867" s="376"/>
      <c r="E1867" s="376"/>
      <c r="F1867" s="376"/>
      <c r="G1867" s="370"/>
      <c r="H1867" s="376"/>
      <c r="I1867" s="377"/>
      <c r="J1867" s="369"/>
    </row>
    <row r="1868" spans="1:10" x14ac:dyDescent="0.25">
      <c r="A1868" s="350"/>
      <c r="B1868" s="360" t="s">
        <v>10886</v>
      </c>
      <c r="C1868" s="352"/>
      <c r="D1868" s="406" t="s">
        <v>10933</v>
      </c>
      <c r="E1868" s="376"/>
      <c r="F1868" s="376"/>
      <c r="G1868" s="370"/>
      <c r="H1868" s="363" t="s">
        <v>14</v>
      </c>
      <c r="I1868" s="363" t="s">
        <v>15</v>
      </c>
      <c r="J1868" s="369"/>
    </row>
    <row r="1869" spans="1:10" x14ac:dyDescent="0.25">
      <c r="A1869" s="350"/>
      <c r="B1869" s="370" t="s">
        <v>11890</v>
      </c>
      <c r="C1869" s="352"/>
      <c r="D1869" s="376">
        <v>4.4000000000000004</v>
      </c>
      <c r="E1869" s="376"/>
      <c r="F1869" s="376"/>
      <c r="G1869" s="370" t="s">
        <v>16</v>
      </c>
      <c r="H1869" s="376">
        <f>ROUND(D1869,2)</f>
        <v>4.4000000000000004</v>
      </c>
      <c r="I1869" s="377" t="str">
        <f>J1866</f>
        <v>m</v>
      </c>
      <c r="J1869" s="369"/>
    </row>
    <row r="1870" spans="1:10" x14ac:dyDescent="0.25">
      <c r="A1870" s="350"/>
      <c r="B1870" s="370"/>
      <c r="C1870" s="352"/>
      <c r="D1870" s="376"/>
      <c r="E1870" s="376"/>
      <c r="F1870" s="376"/>
      <c r="G1870" s="370"/>
      <c r="H1870" s="376"/>
      <c r="I1870" s="377"/>
      <c r="J1870" s="369"/>
    </row>
    <row r="1871" spans="1:10" x14ac:dyDescent="0.25">
      <c r="A1871" s="350"/>
      <c r="B1871" s="370" t="s">
        <v>11891</v>
      </c>
      <c r="C1871" s="352"/>
      <c r="D1871" s="376"/>
      <c r="E1871" s="376"/>
      <c r="F1871" s="376"/>
      <c r="G1871" s="370"/>
      <c r="H1871" s="376"/>
      <c r="I1871" s="377"/>
      <c r="J1871" s="369"/>
    </row>
    <row r="1872" spans="1:10" ht="15.75" thickBot="1" x14ac:dyDescent="0.3">
      <c r="A1872" s="350"/>
      <c r="B1872" s="370"/>
      <c r="C1872" s="352"/>
      <c r="D1872" s="376"/>
      <c r="E1872" s="376"/>
      <c r="F1872" s="376"/>
      <c r="G1872" s="370"/>
      <c r="H1872" s="376"/>
      <c r="I1872" s="377"/>
      <c r="J1872" s="369"/>
    </row>
    <row r="1873" spans="1:10" s="40" customFormat="1" ht="15.75" thickBot="1" x14ac:dyDescent="0.3">
      <c r="A1873" s="46" t="s">
        <v>12145</v>
      </c>
      <c r="B1873" s="60" t="str">
        <f>VLOOKUP(A1873,PO!$A$8:$K$433,4,FALSE)</f>
        <v>Eletroduto rígido roscável, PVC, DN 60 mm (2") - fornecimento e instalação.</v>
      </c>
      <c r="C1873" s="47"/>
      <c r="D1873" s="48"/>
      <c r="E1873" s="47"/>
      <c r="F1873" s="49"/>
      <c r="G1873" s="50"/>
      <c r="H1873" s="50"/>
      <c r="I1873" s="50">
        <f>H1876</f>
        <v>17.5</v>
      </c>
      <c r="J1873" s="284" t="str">
        <f>VLOOKUP(A1873,PO!$A$8:$K$433,5,FALSE)</f>
        <v>m</v>
      </c>
    </row>
    <row r="1874" spans="1:10" x14ac:dyDescent="0.25">
      <c r="A1874" s="350"/>
      <c r="B1874" s="370"/>
      <c r="C1874" s="352"/>
      <c r="D1874" s="376"/>
      <c r="E1874" s="376"/>
      <c r="F1874" s="376"/>
      <c r="G1874" s="370"/>
      <c r="H1874" s="376"/>
      <c r="I1874" s="377"/>
      <c r="J1874" s="369"/>
    </row>
    <row r="1875" spans="1:10" x14ac:dyDescent="0.25">
      <c r="A1875" s="350"/>
      <c r="B1875" s="360" t="s">
        <v>10886</v>
      </c>
      <c r="C1875" s="352"/>
      <c r="D1875" s="406" t="s">
        <v>10933</v>
      </c>
      <c r="E1875" s="376"/>
      <c r="F1875" s="376"/>
      <c r="G1875" s="370"/>
      <c r="H1875" s="363" t="s">
        <v>14</v>
      </c>
      <c r="I1875" s="363" t="s">
        <v>15</v>
      </c>
      <c r="J1875" s="369"/>
    </row>
    <row r="1876" spans="1:10" x14ac:dyDescent="0.25">
      <c r="A1876" s="350"/>
      <c r="B1876" s="370" t="s">
        <v>11890</v>
      </c>
      <c r="C1876" s="352"/>
      <c r="D1876" s="376">
        <v>17.5</v>
      </c>
      <c r="E1876" s="376"/>
      <c r="F1876" s="376"/>
      <c r="G1876" s="370" t="s">
        <v>16</v>
      </c>
      <c r="H1876" s="376">
        <f>ROUND(D1876,2)</f>
        <v>17.5</v>
      </c>
      <c r="I1876" s="377" t="str">
        <f>J1873</f>
        <v>m</v>
      </c>
      <c r="J1876" s="369"/>
    </row>
    <row r="1877" spans="1:10" x14ac:dyDescent="0.25">
      <c r="A1877" s="350"/>
      <c r="B1877" s="370"/>
      <c r="C1877" s="352"/>
      <c r="D1877" s="376"/>
      <c r="E1877" s="376"/>
      <c r="F1877" s="376"/>
      <c r="G1877" s="370"/>
      <c r="H1877" s="376"/>
      <c r="I1877" s="377"/>
      <c r="J1877" s="369"/>
    </row>
    <row r="1878" spans="1:10" x14ac:dyDescent="0.25">
      <c r="A1878" s="350"/>
      <c r="B1878" s="370" t="s">
        <v>11891</v>
      </c>
      <c r="C1878" s="352"/>
      <c r="D1878" s="376"/>
      <c r="E1878" s="376"/>
      <c r="F1878" s="376"/>
      <c r="G1878" s="370"/>
      <c r="H1878" s="376"/>
      <c r="I1878" s="377"/>
      <c r="J1878" s="369"/>
    </row>
    <row r="1879" spans="1:10" ht="15.75" thickBot="1" x14ac:dyDescent="0.3">
      <c r="A1879" s="350"/>
      <c r="B1879" s="370"/>
      <c r="C1879" s="352"/>
      <c r="D1879" s="376"/>
      <c r="E1879" s="376"/>
      <c r="F1879" s="376"/>
      <c r="G1879" s="370"/>
      <c r="H1879" s="376"/>
      <c r="I1879" s="377"/>
      <c r="J1879" s="369"/>
    </row>
    <row r="1880" spans="1:10" s="40" customFormat="1" ht="15.75" thickBot="1" x14ac:dyDescent="0.3">
      <c r="A1880" s="46" t="s">
        <v>12146</v>
      </c>
      <c r="B1880" s="60" t="str">
        <f>VLOOKUP(A1880,PO!$A$8:$K$433,4,FALSE)</f>
        <v>Eletroduto rígido roscável, PVC, DN 85 mm (3") - fornecimento e instalação.</v>
      </c>
      <c r="C1880" s="47"/>
      <c r="D1880" s="48"/>
      <c r="E1880" s="47"/>
      <c r="F1880" s="49"/>
      <c r="G1880" s="50"/>
      <c r="H1880" s="50"/>
      <c r="I1880" s="50">
        <f>H1883</f>
        <v>24</v>
      </c>
      <c r="J1880" s="284" t="str">
        <f>VLOOKUP(A1880,PO!$A$8:$K$433,5,FALSE)</f>
        <v>m</v>
      </c>
    </row>
    <row r="1881" spans="1:10" x14ac:dyDescent="0.25">
      <c r="A1881" s="350"/>
      <c r="B1881" s="370"/>
      <c r="C1881" s="352"/>
      <c r="D1881" s="376"/>
      <c r="E1881" s="376"/>
      <c r="F1881" s="376"/>
      <c r="G1881" s="370"/>
      <c r="H1881" s="376"/>
      <c r="I1881" s="377"/>
      <c r="J1881" s="369"/>
    </row>
    <row r="1882" spans="1:10" x14ac:dyDescent="0.25">
      <c r="A1882" s="350"/>
      <c r="B1882" s="360" t="s">
        <v>10886</v>
      </c>
      <c r="C1882" s="352"/>
      <c r="D1882" s="406" t="s">
        <v>10933</v>
      </c>
      <c r="E1882" s="376"/>
      <c r="F1882" s="376"/>
      <c r="G1882" s="370"/>
      <c r="H1882" s="363" t="s">
        <v>14</v>
      </c>
      <c r="I1882" s="363" t="s">
        <v>15</v>
      </c>
      <c r="J1882" s="369"/>
    </row>
    <row r="1883" spans="1:10" x14ac:dyDescent="0.25">
      <c r="A1883" s="350"/>
      <c r="B1883" s="370" t="s">
        <v>11890</v>
      </c>
      <c r="C1883" s="352"/>
      <c r="D1883" s="376">
        <v>24</v>
      </c>
      <c r="E1883" s="376"/>
      <c r="F1883" s="376"/>
      <c r="G1883" s="370" t="s">
        <v>16</v>
      </c>
      <c r="H1883" s="376">
        <f>ROUND(D1883,2)</f>
        <v>24</v>
      </c>
      <c r="I1883" s="377" t="str">
        <f>J1880</f>
        <v>m</v>
      </c>
      <c r="J1883" s="369"/>
    </row>
    <row r="1884" spans="1:10" x14ac:dyDescent="0.25">
      <c r="A1884" s="350"/>
      <c r="B1884" s="370"/>
      <c r="C1884" s="352"/>
      <c r="D1884" s="376"/>
      <c r="E1884" s="376"/>
      <c r="F1884" s="376"/>
      <c r="G1884" s="370"/>
      <c r="H1884" s="376"/>
      <c r="I1884" s="377"/>
      <c r="J1884" s="369"/>
    </row>
    <row r="1885" spans="1:10" x14ac:dyDescent="0.25">
      <c r="A1885" s="350"/>
      <c r="B1885" s="370" t="s">
        <v>11891</v>
      </c>
      <c r="C1885" s="352"/>
      <c r="D1885" s="376"/>
      <c r="E1885" s="376"/>
      <c r="F1885" s="376"/>
      <c r="G1885" s="370"/>
      <c r="H1885" s="376"/>
      <c r="I1885" s="377"/>
      <c r="J1885" s="369"/>
    </row>
    <row r="1886" spans="1:10" ht="15.75" thickBot="1" x14ac:dyDescent="0.3">
      <c r="A1886" s="350"/>
      <c r="B1886" s="370"/>
      <c r="C1886" s="352"/>
      <c r="D1886" s="376"/>
      <c r="E1886" s="376"/>
      <c r="F1886" s="376"/>
      <c r="G1886" s="370"/>
      <c r="H1886" s="376"/>
      <c r="I1886" s="377"/>
      <c r="J1886" s="369"/>
    </row>
    <row r="1887" spans="1:10" s="40" customFormat="1" ht="15.75" thickBot="1" x14ac:dyDescent="0.3">
      <c r="A1887" s="46" t="s">
        <v>12147</v>
      </c>
      <c r="B1887" s="60" t="str">
        <f>VLOOKUP(A1887,PO!$A$8:$K$433,4,FALSE)</f>
        <v>Eletrocalha perfurada em chapa de aço galvanizado, com tampa largura 100 mm x altura 50 mm, instalação superior com bucha, inclusive conexões</v>
      </c>
      <c r="C1887" s="47"/>
      <c r="D1887" s="48"/>
      <c r="E1887" s="47"/>
      <c r="F1887" s="49"/>
      <c r="G1887" s="50"/>
      <c r="H1887" s="50"/>
      <c r="I1887" s="50">
        <f>H1890</f>
        <v>77.95</v>
      </c>
      <c r="J1887" s="284" t="str">
        <f>VLOOKUP(A1887,PO!$A$8:$K$433,5,FALSE)</f>
        <v>m</v>
      </c>
    </row>
    <row r="1888" spans="1:10" x14ac:dyDescent="0.25">
      <c r="A1888" s="350"/>
      <c r="B1888" s="370"/>
      <c r="C1888" s="352"/>
      <c r="D1888" s="376"/>
      <c r="E1888" s="376"/>
      <c r="F1888" s="376"/>
      <c r="G1888" s="370"/>
      <c r="H1888" s="376"/>
      <c r="I1888" s="377"/>
      <c r="J1888" s="369"/>
    </row>
    <row r="1889" spans="1:10" x14ac:dyDescent="0.25">
      <c r="A1889" s="350"/>
      <c r="B1889" s="360" t="s">
        <v>10886</v>
      </c>
      <c r="C1889" s="352"/>
      <c r="D1889" s="406" t="s">
        <v>10933</v>
      </c>
      <c r="E1889" s="376"/>
      <c r="F1889" s="376"/>
      <c r="G1889" s="370"/>
      <c r="H1889" s="363" t="s">
        <v>14</v>
      </c>
      <c r="I1889" s="363" t="s">
        <v>15</v>
      </c>
      <c r="J1889" s="369"/>
    </row>
    <row r="1890" spans="1:10" x14ac:dyDescent="0.25">
      <c r="A1890" s="350"/>
      <c r="B1890" s="370" t="s">
        <v>11890</v>
      </c>
      <c r="C1890" s="352"/>
      <c r="D1890" s="376">
        <v>77.95</v>
      </c>
      <c r="E1890" s="376"/>
      <c r="F1890" s="376"/>
      <c r="G1890" s="370" t="s">
        <v>16</v>
      </c>
      <c r="H1890" s="376">
        <f>ROUND(D1890,2)</f>
        <v>77.95</v>
      </c>
      <c r="I1890" s="377" t="str">
        <f>J1887</f>
        <v>m</v>
      </c>
      <c r="J1890" s="369"/>
    </row>
    <row r="1891" spans="1:10" x14ac:dyDescent="0.25">
      <c r="A1891" s="350"/>
      <c r="B1891" s="370"/>
      <c r="C1891" s="352"/>
      <c r="D1891" s="376"/>
      <c r="E1891" s="376"/>
      <c r="F1891" s="376"/>
      <c r="G1891" s="370"/>
      <c r="H1891" s="376"/>
      <c r="I1891" s="377"/>
      <c r="J1891" s="369"/>
    </row>
    <row r="1892" spans="1:10" x14ac:dyDescent="0.25">
      <c r="A1892" s="350"/>
      <c r="B1892" s="370" t="s">
        <v>11891</v>
      </c>
      <c r="C1892" s="352"/>
      <c r="D1892" s="376"/>
      <c r="E1892" s="376"/>
      <c r="F1892" s="376"/>
      <c r="G1892" s="370"/>
      <c r="H1892" s="376"/>
      <c r="I1892" s="377"/>
      <c r="J1892" s="369"/>
    </row>
    <row r="1893" spans="1:10" ht="15.75" thickBot="1" x14ac:dyDescent="0.3">
      <c r="A1893" s="350"/>
      <c r="B1893" s="370"/>
      <c r="C1893" s="352"/>
      <c r="D1893" s="376"/>
      <c r="E1893" s="376"/>
      <c r="F1893" s="376"/>
      <c r="G1893" s="370"/>
      <c r="H1893" s="376"/>
      <c r="I1893" s="377"/>
      <c r="J1893" s="369"/>
    </row>
    <row r="1894" spans="1:10" s="40" customFormat="1" ht="15.75" thickBot="1" x14ac:dyDescent="0.3">
      <c r="A1894" s="46" t="s">
        <v>12148</v>
      </c>
      <c r="B1894" s="60" t="str">
        <f>VLOOKUP(A1894,PO!$A$8:$K$433,4,FALSE)</f>
        <v>Eletrocalha perfurada em chapa de aço galvanizado, com tampa largura 100 mm x altura 100 mm, instalação superior, inclusive conexões</v>
      </c>
      <c r="C1894" s="47"/>
      <c r="D1894" s="48"/>
      <c r="E1894" s="47"/>
      <c r="F1894" s="49"/>
      <c r="G1894" s="50"/>
      <c r="H1894" s="50"/>
      <c r="I1894" s="50">
        <f>H1897</f>
        <v>7.15</v>
      </c>
      <c r="J1894" s="284" t="str">
        <f>VLOOKUP(A1894,PO!$A$8:$K$433,5,FALSE)</f>
        <v>m</v>
      </c>
    </row>
    <row r="1895" spans="1:10" x14ac:dyDescent="0.25">
      <c r="A1895" s="350"/>
      <c r="B1895" s="370"/>
      <c r="C1895" s="352"/>
      <c r="D1895" s="376"/>
      <c r="E1895" s="376"/>
      <c r="F1895" s="376"/>
      <c r="G1895" s="370"/>
      <c r="H1895" s="376"/>
      <c r="I1895" s="377"/>
      <c r="J1895" s="369"/>
    </row>
    <row r="1896" spans="1:10" x14ac:dyDescent="0.25">
      <c r="A1896" s="350"/>
      <c r="B1896" s="360" t="s">
        <v>10886</v>
      </c>
      <c r="C1896" s="352"/>
      <c r="D1896" s="406" t="s">
        <v>10933</v>
      </c>
      <c r="E1896" s="376"/>
      <c r="F1896" s="376"/>
      <c r="G1896" s="370"/>
      <c r="H1896" s="363" t="s">
        <v>14</v>
      </c>
      <c r="I1896" s="363" t="s">
        <v>15</v>
      </c>
      <c r="J1896" s="369"/>
    </row>
    <row r="1897" spans="1:10" x14ac:dyDescent="0.25">
      <c r="A1897" s="350"/>
      <c r="B1897" s="370" t="s">
        <v>11890</v>
      </c>
      <c r="C1897" s="352"/>
      <c r="D1897" s="376">
        <v>7.15</v>
      </c>
      <c r="E1897" s="376"/>
      <c r="F1897" s="376"/>
      <c r="G1897" s="370" t="s">
        <v>16</v>
      </c>
      <c r="H1897" s="376">
        <f>ROUND(D1897,2)</f>
        <v>7.15</v>
      </c>
      <c r="I1897" s="377" t="str">
        <f>J1894</f>
        <v>m</v>
      </c>
      <c r="J1897" s="369"/>
    </row>
    <row r="1898" spans="1:10" x14ac:dyDescent="0.25">
      <c r="A1898" s="350"/>
      <c r="B1898" s="370"/>
      <c r="C1898" s="352"/>
      <c r="D1898" s="376"/>
      <c r="E1898" s="376"/>
      <c r="F1898" s="376"/>
      <c r="G1898" s="370"/>
      <c r="H1898" s="376"/>
      <c r="I1898" s="377"/>
      <c r="J1898" s="369"/>
    </row>
    <row r="1899" spans="1:10" x14ac:dyDescent="0.25">
      <c r="A1899" s="350"/>
      <c r="B1899" s="370" t="s">
        <v>11891</v>
      </c>
      <c r="C1899" s="352"/>
      <c r="D1899" s="376"/>
      <c r="E1899" s="376"/>
      <c r="F1899" s="376"/>
      <c r="G1899" s="370"/>
      <c r="H1899" s="376"/>
      <c r="I1899" s="377"/>
      <c r="J1899" s="369"/>
    </row>
    <row r="1900" spans="1:10" ht="15.75" thickBot="1" x14ac:dyDescent="0.3">
      <c r="A1900" s="350"/>
      <c r="B1900" s="370"/>
      <c r="C1900" s="352"/>
      <c r="D1900" s="376"/>
      <c r="E1900" s="376"/>
      <c r="F1900" s="376"/>
      <c r="G1900" s="370"/>
      <c r="H1900" s="376"/>
      <c r="I1900" s="377"/>
      <c r="J1900" s="369"/>
    </row>
    <row r="1901" spans="1:10" s="40" customFormat="1" ht="15.75" thickBot="1" x14ac:dyDescent="0.3">
      <c r="A1901" s="46" t="s">
        <v>12149</v>
      </c>
      <c r="B1901" s="60" t="str">
        <f>VLOOKUP(A1901,PO!$A$8:$K$433,4,FALSE)</f>
        <v>Perfilado perfurado em chapa de aço galvanizado, largura 38 mm x altura 38 mm, com tampa, instalação superior.</v>
      </c>
      <c r="C1901" s="47"/>
      <c r="D1901" s="48"/>
      <c r="E1901" s="47"/>
      <c r="F1901" s="49"/>
      <c r="G1901" s="50"/>
      <c r="H1901" s="50"/>
      <c r="I1901" s="50">
        <f>H1904</f>
        <v>75.45</v>
      </c>
      <c r="J1901" s="284" t="str">
        <f>VLOOKUP(A1901,PO!$A$8:$K$433,5,FALSE)</f>
        <v>m</v>
      </c>
    </row>
    <row r="1902" spans="1:10" x14ac:dyDescent="0.25">
      <c r="A1902" s="350"/>
      <c r="B1902" s="370"/>
      <c r="C1902" s="352"/>
      <c r="D1902" s="376"/>
      <c r="E1902" s="376"/>
      <c r="F1902" s="376"/>
      <c r="G1902" s="370"/>
      <c r="H1902" s="376"/>
      <c r="I1902" s="377"/>
      <c r="J1902" s="369"/>
    </row>
    <row r="1903" spans="1:10" x14ac:dyDescent="0.25">
      <c r="A1903" s="350"/>
      <c r="B1903" s="360" t="s">
        <v>10886</v>
      </c>
      <c r="C1903" s="352"/>
      <c r="D1903" s="406" t="s">
        <v>10933</v>
      </c>
      <c r="E1903" s="376"/>
      <c r="F1903" s="376"/>
      <c r="G1903" s="370"/>
      <c r="H1903" s="363" t="s">
        <v>14</v>
      </c>
      <c r="I1903" s="363" t="s">
        <v>15</v>
      </c>
      <c r="J1903" s="369"/>
    </row>
    <row r="1904" spans="1:10" x14ac:dyDescent="0.25">
      <c r="A1904" s="350"/>
      <c r="B1904" s="370" t="s">
        <v>11890</v>
      </c>
      <c r="C1904" s="352"/>
      <c r="D1904" s="376">
        <v>75.45</v>
      </c>
      <c r="E1904" s="376"/>
      <c r="F1904" s="376"/>
      <c r="G1904" s="370" t="s">
        <v>16</v>
      </c>
      <c r="H1904" s="376">
        <f>ROUND(D1904,2)</f>
        <v>75.45</v>
      </c>
      <c r="I1904" s="377" t="str">
        <f>J1901</f>
        <v>m</v>
      </c>
      <c r="J1904" s="369"/>
    </row>
    <row r="1905" spans="1:10" x14ac:dyDescent="0.25">
      <c r="A1905" s="350"/>
      <c r="B1905" s="370"/>
      <c r="C1905" s="352"/>
      <c r="D1905" s="376"/>
      <c r="E1905" s="376"/>
      <c r="F1905" s="376"/>
      <c r="G1905" s="370"/>
      <c r="H1905" s="376"/>
      <c r="I1905" s="377"/>
      <c r="J1905" s="369"/>
    </row>
    <row r="1906" spans="1:10" x14ac:dyDescent="0.25">
      <c r="A1906" s="350"/>
      <c r="B1906" s="370" t="s">
        <v>11891</v>
      </c>
      <c r="C1906" s="352"/>
      <c r="D1906" s="376"/>
      <c r="E1906" s="376"/>
      <c r="F1906" s="376"/>
      <c r="G1906" s="370"/>
      <c r="H1906" s="376"/>
      <c r="I1906" s="377"/>
      <c r="J1906" s="369"/>
    </row>
    <row r="1907" spans="1:10" ht="15.75" thickBot="1" x14ac:dyDescent="0.3">
      <c r="A1907" s="350"/>
      <c r="B1907" s="370"/>
      <c r="C1907" s="352"/>
      <c r="D1907" s="376"/>
      <c r="E1907" s="376"/>
      <c r="F1907" s="376"/>
      <c r="G1907" s="370"/>
      <c r="H1907" s="376"/>
      <c r="I1907" s="377"/>
      <c r="J1907" s="369"/>
    </row>
    <row r="1908" spans="1:10" ht="15.75" thickBot="1" x14ac:dyDescent="0.3">
      <c r="A1908" s="41" t="s">
        <v>221</v>
      </c>
      <c r="B1908" s="42" t="str">
        <f>VLOOKUP(A1908,PO!$A$8:$K$425,4,FALSE)</f>
        <v>FIOS E CABOS</v>
      </c>
      <c r="C1908" s="43"/>
      <c r="D1908" s="43"/>
      <c r="E1908" s="43"/>
      <c r="F1908" s="295"/>
      <c r="G1908" s="43"/>
      <c r="H1908" s="43"/>
      <c r="I1908" s="43"/>
      <c r="J1908" s="44"/>
    </row>
    <row r="1909" spans="1:10" ht="15.75" thickBot="1" x14ac:dyDescent="0.3">
      <c r="A1909" s="347"/>
      <c r="B1909" s="205"/>
      <c r="C1909" s="205"/>
      <c r="D1909" s="348"/>
      <c r="E1909" s="205"/>
      <c r="F1909" s="237"/>
      <c r="G1909" s="208"/>
      <c r="H1909" s="208"/>
      <c r="I1909" s="208"/>
      <c r="J1909" s="349"/>
    </row>
    <row r="1910" spans="1:10" s="40" customFormat="1" ht="15.75" thickBot="1" x14ac:dyDescent="0.3">
      <c r="A1910" s="46" t="s">
        <v>222</v>
      </c>
      <c r="B1910" s="60" t="str">
        <f>VLOOKUP(A1910,PO!$A$8:$K$433,4,FALSE)</f>
        <v>Cabo de cobre flexível isolado, 2,5 mm², antichama 450/750 V, para circuitos terminais - fornecimento e instalação.</v>
      </c>
      <c r="C1910" s="47"/>
      <c r="D1910" s="48"/>
      <c r="E1910" s="47"/>
      <c r="F1910" s="49"/>
      <c r="G1910" s="50"/>
      <c r="H1910" s="50"/>
      <c r="I1910" s="50">
        <f>H1913</f>
        <v>2652.3</v>
      </c>
      <c r="J1910" s="284" t="str">
        <f>VLOOKUP(A1910,PO!$A$8:$K$433,5,FALSE)</f>
        <v>m</v>
      </c>
    </row>
    <row r="1911" spans="1:10" x14ac:dyDescent="0.25">
      <c r="A1911" s="350"/>
      <c r="B1911" s="370"/>
      <c r="C1911" s="352"/>
      <c r="D1911" s="376"/>
      <c r="E1911" s="376"/>
      <c r="F1911" s="376"/>
      <c r="G1911" s="370"/>
      <c r="H1911" s="376"/>
      <c r="I1911" s="377"/>
      <c r="J1911" s="369"/>
    </row>
    <row r="1912" spans="1:10" x14ac:dyDescent="0.25">
      <c r="A1912" s="350"/>
      <c r="B1912" s="360" t="s">
        <v>10886</v>
      </c>
      <c r="C1912" s="352"/>
      <c r="D1912" s="406" t="s">
        <v>10933</v>
      </c>
      <c r="E1912" s="376"/>
      <c r="F1912" s="376"/>
      <c r="G1912" s="370"/>
      <c r="H1912" s="363" t="s">
        <v>14</v>
      </c>
      <c r="I1912" s="363" t="s">
        <v>15</v>
      </c>
      <c r="J1912" s="369"/>
    </row>
    <row r="1913" spans="1:10" x14ac:dyDescent="0.25">
      <c r="A1913" s="350"/>
      <c r="B1913" s="370" t="s">
        <v>11890</v>
      </c>
      <c r="C1913" s="352"/>
      <c r="D1913" s="376">
        <v>2652.3</v>
      </c>
      <c r="E1913" s="376"/>
      <c r="F1913" s="376"/>
      <c r="G1913" s="370" t="s">
        <v>16</v>
      </c>
      <c r="H1913" s="376">
        <f>ROUND(D1913,2)</f>
        <v>2652.3</v>
      </c>
      <c r="I1913" s="377" t="str">
        <f>J1910</f>
        <v>m</v>
      </c>
      <c r="J1913" s="369"/>
    </row>
    <row r="1914" spans="1:10" x14ac:dyDescent="0.25">
      <c r="A1914" s="350"/>
      <c r="B1914" s="370"/>
      <c r="C1914" s="352"/>
      <c r="D1914" s="376"/>
      <c r="E1914" s="376"/>
      <c r="F1914" s="376"/>
      <c r="G1914" s="370"/>
      <c r="H1914" s="376"/>
      <c r="I1914" s="377"/>
      <c r="J1914" s="369"/>
    </row>
    <row r="1915" spans="1:10" x14ac:dyDescent="0.25">
      <c r="A1915" s="350"/>
      <c r="B1915" s="370" t="s">
        <v>11891</v>
      </c>
      <c r="C1915" s="352"/>
      <c r="D1915" s="376"/>
      <c r="E1915" s="376"/>
      <c r="F1915" s="376"/>
      <c r="G1915" s="370"/>
      <c r="H1915" s="376"/>
      <c r="I1915" s="377"/>
      <c r="J1915" s="369"/>
    </row>
    <row r="1916" spans="1:10" ht="15.75" thickBot="1" x14ac:dyDescent="0.3">
      <c r="A1916" s="350"/>
      <c r="B1916" s="370"/>
      <c r="C1916" s="352"/>
      <c r="D1916" s="376"/>
      <c r="E1916" s="376"/>
      <c r="F1916" s="376"/>
      <c r="G1916" s="370"/>
      <c r="H1916" s="376"/>
      <c r="I1916" s="377"/>
      <c r="J1916" s="369"/>
    </row>
    <row r="1917" spans="1:10" s="40" customFormat="1" ht="15.75" thickBot="1" x14ac:dyDescent="0.3">
      <c r="A1917" s="46" t="s">
        <v>223</v>
      </c>
      <c r="B1917" s="60" t="str">
        <f>VLOOKUP(A1917,PO!$A$8:$K$433,4,FALSE)</f>
        <v>Cabo de cobre flexível isolado, 4 mm², antichama 450/750 V, para circuitos terminais - fornecimento e instalação.</v>
      </c>
      <c r="C1917" s="47"/>
      <c r="D1917" s="48"/>
      <c r="E1917" s="47"/>
      <c r="F1917" s="49"/>
      <c r="G1917" s="50"/>
      <c r="H1917" s="50"/>
      <c r="I1917" s="50">
        <f>H1920</f>
        <v>2225.4</v>
      </c>
      <c r="J1917" s="284" t="str">
        <f>VLOOKUP(A1917,PO!$A$8:$K$433,5,FALSE)</f>
        <v>m</v>
      </c>
    </row>
    <row r="1918" spans="1:10" x14ac:dyDescent="0.25">
      <c r="A1918" s="350"/>
      <c r="B1918" s="370"/>
      <c r="C1918" s="352"/>
      <c r="D1918" s="376"/>
      <c r="E1918" s="376"/>
      <c r="F1918" s="376"/>
      <c r="G1918" s="370"/>
      <c r="H1918" s="376"/>
      <c r="I1918" s="377"/>
      <c r="J1918" s="369"/>
    </row>
    <row r="1919" spans="1:10" x14ac:dyDescent="0.25">
      <c r="A1919" s="350"/>
      <c r="B1919" s="360" t="s">
        <v>10886</v>
      </c>
      <c r="C1919" s="352"/>
      <c r="D1919" s="406" t="s">
        <v>10933</v>
      </c>
      <c r="E1919" s="376"/>
      <c r="F1919" s="376"/>
      <c r="G1919" s="370"/>
      <c r="H1919" s="363" t="s">
        <v>14</v>
      </c>
      <c r="I1919" s="363" t="s">
        <v>15</v>
      </c>
      <c r="J1919" s="369"/>
    </row>
    <row r="1920" spans="1:10" x14ac:dyDescent="0.25">
      <c r="A1920" s="350"/>
      <c r="B1920" s="370" t="s">
        <v>11890</v>
      </c>
      <c r="C1920" s="352"/>
      <c r="D1920" s="376">
        <v>2225.4</v>
      </c>
      <c r="E1920" s="376"/>
      <c r="F1920" s="376"/>
      <c r="G1920" s="370" t="s">
        <v>16</v>
      </c>
      <c r="H1920" s="376">
        <f>ROUND(D1920,2)</f>
        <v>2225.4</v>
      </c>
      <c r="I1920" s="377" t="str">
        <f>J1917</f>
        <v>m</v>
      </c>
      <c r="J1920" s="369"/>
    </row>
    <row r="1921" spans="1:10" x14ac:dyDescent="0.25">
      <c r="A1921" s="350"/>
      <c r="B1921" s="370"/>
      <c r="C1921" s="352"/>
      <c r="D1921" s="376"/>
      <c r="E1921" s="376"/>
      <c r="F1921" s="376"/>
      <c r="G1921" s="370"/>
      <c r="H1921" s="376"/>
      <c r="I1921" s="377"/>
      <c r="J1921" s="369"/>
    </row>
    <row r="1922" spans="1:10" x14ac:dyDescent="0.25">
      <c r="A1922" s="350"/>
      <c r="B1922" s="370" t="s">
        <v>11891</v>
      </c>
      <c r="C1922" s="352"/>
      <c r="D1922" s="376"/>
      <c r="E1922" s="376"/>
      <c r="F1922" s="376"/>
      <c r="G1922" s="370"/>
      <c r="H1922" s="376"/>
      <c r="I1922" s="377"/>
      <c r="J1922" s="369"/>
    </row>
    <row r="1923" spans="1:10" ht="15.75" thickBot="1" x14ac:dyDescent="0.3">
      <c r="A1923" s="350"/>
      <c r="B1923" s="370"/>
      <c r="C1923" s="352"/>
      <c r="D1923" s="376"/>
      <c r="E1923" s="376"/>
      <c r="F1923" s="376"/>
      <c r="G1923" s="370"/>
      <c r="H1923" s="376"/>
      <c r="I1923" s="377"/>
      <c r="J1923" s="369"/>
    </row>
    <row r="1924" spans="1:10" s="40" customFormat="1" ht="15.75" thickBot="1" x14ac:dyDescent="0.3">
      <c r="A1924" s="46" t="s">
        <v>224</v>
      </c>
      <c r="B1924" s="60" t="str">
        <f>VLOOKUP(A1924,PO!$A$8:$K$433,4,FALSE)</f>
        <v>Cabo de cobre flexível isolado, 6 mm², antichama 450/750 V, para circuitos terminais - fornecimento e instalação.</v>
      </c>
      <c r="C1924" s="47"/>
      <c r="D1924" s="48"/>
      <c r="E1924" s="47"/>
      <c r="F1924" s="49"/>
      <c r="G1924" s="50"/>
      <c r="H1924" s="50"/>
      <c r="I1924" s="50">
        <f>H1927</f>
        <v>351.5</v>
      </c>
      <c r="J1924" s="284" t="str">
        <f>VLOOKUP(A1924,PO!$A$8:$K$433,5,FALSE)</f>
        <v>m</v>
      </c>
    </row>
    <row r="1925" spans="1:10" x14ac:dyDescent="0.25">
      <c r="A1925" s="350"/>
      <c r="B1925" s="370"/>
      <c r="C1925" s="352"/>
      <c r="D1925" s="376"/>
      <c r="E1925" s="376"/>
      <c r="F1925" s="376"/>
      <c r="G1925" s="370"/>
      <c r="H1925" s="376"/>
      <c r="I1925" s="377"/>
      <c r="J1925" s="369"/>
    </row>
    <row r="1926" spans="1:10" x14ac:dyDescent="0.25">
      <c r="A1926" s="350"/>
      <c r="B1926" s="360" t="s">
        <v>10886</v>
      </c>
      <c r="C1926" s="352"/>
      <c r="D1926" s="406" t="s">
        <v>10933</v>
      </c>
      <c r="E1926" s="376"/>
      <c r="F1926" s="376"/>
      <c r="G1926" s="370"/>
      <c r="H1926" s="363" t="s">
        <v>14</v>
      </c>
      <c r="I1926" s="363" t="s">
        <v>15</v>
      </c>
      <c r="J1926" s="369"/>
    </row>
    <row r="1927" spans="1:10" x14ac:dyDescent="0.25">
      <c r="A1927" s="350"/>
      <c r="B1927" s="370" t="s">
        <v>11890</v>
      </c>
      <c r="C1927" s="352"/>
      <c r="D1927" s="376">
        <v>351.5</v>
      </c>
      <c r="E1927" s="376"/>
      <c r="F1927" s="376"/>
      <c r="G1927" s="370" t="s">
        <v>16</v>
      </c>
      <c r="H1927" s="376">
        <f>ROUND(D1927,2)</f>
        <v>351.5</v>
      </c>
      <c r="I1927" s="377" t="str">
        <f>J1924</f>
        <v>m</v>
      </c>
      <c r="J1927" s="369"/>
    </row>
    <row r="1928" spans="1:10" x14ac:dyDescent="0.25">
      <c r="A1928" s="350"/>
      <c r="B1928" s="370"/>
      <c r="C1928" s="352"/>
      <c r="D1928" s="376"/>
      <c r="E1928" s="376"/>
      <c r="F1928" s="376"/>
      <c r="G1928" s="370"/>
      <c r="H1928" s="376"/>
      <c r="I1928" s="377"/>
      <c r="J1928" s="369"/>
    </row>
    <row r="1929" spans="1:10" x14ac:dyDescent="0.25">
      <c r="A1929" s="350"/>
      <c r="B1929" s="370" t="s">
        <v>11891</v>
      </c>
      <c r="C1929" s="352"/>
      <c r="D1929" s="376"/>
      <c r="E1929" s="376"/>
      <c r="F1929" s="376"/>
      <c r="G1929" s="370"/>
      <c r="H1929" s="376"/>
      <c r="I1929" s="377"/>
      <c r="J1929" s="369"/>
    </row>
    <row r="1930" spans="1:10" ht="15.75" thickBot="1" x14ac:dyDescent="0.3">
      <c r="A1930" s="350"/>
      <c r="B1930" s="370"/>
      <c r="C1930" s="352"/>
      <c r="D1930" s="376"/>
      <c r="E1930" s="376"/>
      <c r="F1930" s="376"/>
      <c r="G1930" s="370"/>
      <c r="H1930" s="376"/>
      <c r="I1930" s="377"/>
      <c r="J1930" s="369"/>
    </row>
    <row r="1931" spans="1:10" s="40" customFormat="1" ht="15.75" thickBot="1" x14ac:dyDescent="0.3">
      <c r="A1931" s="46" t="s">
        <v>225</v>
      </c>
      <c r="B1931" s="60" t="str">
        <f>VLOOKUP(A1931,PO!$A$8:$K$433,4,FALSE)</f>
        <v>Cabo de cobre flexível isolado, 16 mm², antichama 450/750 V, para circuitos terminais - fornecimento e instalação.</v>
      </c>
      <c r="C1931" s="47"/>
      <c r="D1931" s="48"/>
      <c r="E1931" s="47"/>
      <c r="F1931" s="49"/>
      <c r="G1931" s="50"/>
      <c r="H1931" s="50"/>
      <c r="I1931" s="50">
        <f>H1934</f>
        <v>4.4000000000000004</v>
      </c>
      <c r="J1931" s="284" t="str">
        <f>VLOOKUP(A1931,PO!$A$8:$K$433,5,FALSE)</f>
        <v>m</v>
      </c>
    </row>
    <row r="1932" spans="1:10" x14ac:dyDescent="0.25">
      <c r="A1932" s="350"/>
      <c r="B1932" s="370"/>
      <c r="C1932" s="352"/>
      <c r="D1932" s="376"/>
      <c r="E1932" s="376"/>
      <c r="F1932" s="376"/>
      <c r="G1932" s="370"/>
      <c r="H1932" s="376"/>
      <c r="I1932" s="377"/>
      <c r="J1932" s="369"/>
    </row>
    <row r="1933" spans="1:10" x14ac:dyDescent="0.25">
      <c r="A1933" s="350"/>
      <c r="B1933" s="360" t="s">
        <v>10886</v>
      </c>
      <c r="C1933" s="352"/>
      <c r="D1933" s="406" t="s">
        <v>10933</v>
      </c>
      <c r="E1933" s="376"/>
      <c r="F1933" s="376"/>
      <c r="G1933" s="370"/>
      <c r="H1933" s="363" t="s">
        <v>14</v>
      </c>
      <c r="I1933" s="363" t="s">
        <v>15</v>
      </c>
      <c r="J1933" s="369"/>
    </row>
    <row r="1934" spans="1:10" x14ac:dyDescent="0.25">
      <c r="A1934" s="350"/>
      <c r="B1934" s="370" t="s">
        <v>11890</v>
      </c>
      <c r="C1934" s="352"/>
      <c r="D1934" s="376">
        <v>4.4000000000000004</v>
      </c>
      <c r="E1934" s="376"/>
      <c r="F1934" s="376"/>
      <c r="G1934" s="370" t="s">
        <v>16</v>
      </c>
      <c r="H1934" s="376">
        <f>ROUND(D1934,2)</f>
        <v>4.4000000000000004</v>
      </c>
      <c r="I1934" s="377" t="str">
        <f>J1931</f>
        <v>m</v>
      </c>
      <c r="J1934" s="369"/>
    </row>
    <row r="1935" spans="1:10" x14ac:dyDescent="0.25">
      <c r="A1935" s="350"/>
      <c r="B1935" s="370"/>
      <c r="C1935" s="352"/>
      <c r="D1935" s="376"/>
      <c r="E1935" s="376"/>
      <c r="F1935" s="376"/>
      <c r="G1935" s="370"/>
      <c r="H1935" s="376"/>
      <c r="I1935" s="377"/>
      <c r="J1935" s="369"/>
    </row>
    <row r="1936" spans="1:10" x14ac:dyDescent="0.25">
      <c r="A1936" s="350"/>
      <c r="B1936" s="370" t="s">
        <v>11891</v>
      </c>
      <c r="C1936" s="352"/>
      <c r="D1936" s="376"/>
      <c r="E1936" s="376"/>
      <c r="F1936" s="376"/>
      <c r="G1936" s="370"/>
      <c r="H1936" s="376"/>
      <c r="I1936" s="377"/>
      <c r="J1936" s="369"/>
    </row>
    <row r="1937" spans="1:10" ht="15.75" thickBot="1" x14ac:dyDescent="0.3">
      <c r="A1937" s="350"/>
      <c r="B1937" s="370"/>
      <c r="C1937" s="352"/>
      <c r="D1937" s="376"/>
      <c r="E1937" s="376"/>
      <c r="F1937" s="376"/>
      <c r="G1937" s="370"/>
      <c r="H1937" s="376"/>
      <c r="I1937" s="377"/>
      <c r="J1937" s="369"/>
    </row>
    <row r="1938" spans="1:10" s="40" customFormat="1" ht="15.75" thickBot="1" x14ac:dyDescent="0.3">
      <c r="A1938" s="46" t="s">
        <v>226</v>
      </c>
      <c r="B1938" s="60" t="str">
        <f>VLOOKUP(A1938,PO!$A$8:$K$433,4,FALSE)</f>
        <v>Cabo de cobre flexível isolado, 35 mm², antichama 450/750 V, para distribuição - fornecimento e instalação.</v>
      </c>
      <c r="C1938" s="47"/>
      <c r="D1938" s="48"/>
      <c r="E1938" s="47"/>
      <c r="F1938" s="49"/>
      <c r="G1938" s="50"/>
      <c r="H1938" s="50"/>
      <c r="I1938" s="50">
        <f>H1941</f>
        <v>35.1</v>
      </c>
      <c r="J1938" s="284" t="str">
        <f>VLOOKUP(A1938,PO!$A$8:$K$433,5,FALSE)</f>
        <v>m</v>
      </c>
    </row>
    <row r="1939" spans="1:10" x14ac:dyDescent="0.25">
      <c r="A1939" s="350"/>
      <c r="B1939" s="370"/>
      <c r="C1939" s="352"/>
      <c r="D1939" s="376"/>
      <c r="E1939" s="376"/>
      <c r="F1939" s="376"/>
      <c r="G1939" s="370"/>
      <c r="H1939" s="376"/>
      <c r="I1939" s="377"/>
      <c r="J1939" s="369"/>
    </row>
    <row r="1940" spans="1:10" x14ac:dyDescent="0.25">
      <c r="A1940" s="350"/>
      <c r="B1940" s="360" t="s">
        <v>10886</v>
      </c>
      <c r="C1940" s="352"/>
      <c r="D1940" s="406" t="s">
        <v>10933</v>
      </c>
      <c r="E1940" s="376"/>
      <c r="F1940" s="376"/>
      <c r="G1940" s="370"/>
      <c r="H1940" s="363" t="s">
        <v>14</v>
      </c>
      <c r="I1940" s="363" t="s">
        <v>15</v>
      </c>
      <c r="J1940" s="369"/>
    </row>
    <row r="1941" spans="1:10" x14ac:dyDescent="0.25">
      <c r="A1941" s="350"/>
      <c r="B1941" s="370" t="s">
        <v>11890</v>
      </c>
      <c r="C1941" s="352"/>
      <c r="D1941" s="376">
        <v>35.1</v>
      </c>
      <c r="E1941" s="376"/>
      <c r="F1941" s="376"/>
      <c r="G1941" s="370" t="s">
        <v>16</v>
      </c>
      <c r="H1941" s="376">
        <f>ROUND(D1941,2)</f>
        <v>35.1</v>
      </c>
      <c r="I1941" s="377" t="str">
        <f>J1938</f>
        <v>m</v>
      </c>
      <c r="J1941" s="369"/>
    </row>
    <row r="1942" spans="1:10" x14ac:dyDescent="0.25">
      <c r="A1942" s="350"/>
      <c r="B1942" s="370"/>
      <c r="C1942" s="352"/>
      <c r="D1942" s="376"/>
      <c r="E1942" s="376"/>
      <c r="F1942" s="376"/>
      <c r="G1942" s="370"/>
      <c r="H1942" s="376"/>
      <c r="I1942" s="377"/>
      <c r="J1942" s="369"/>
    </row>
    <row r="1943" spans="1:10" x14ac:dyDescent="0.25">
      <c r="A1943" s="350"/>
      <c r="B1943" s="370" t="s">
        <v>11891</v>
      </c>
      <c r="C1943" s="352"/>
      <c r="D1943" s="376"/>
      <c r="E1943" s="376"/>
      <c r="F1943" s="376"/>
      <c r="G1943" s="370"/>
      <c r="H1943" s="376"/>
      <c r="I1943" s="377"/>
      <c r="J1943" s="369"/>
    </row>
    <row r="1944" spans="1:10" ht="15.75" thickBot="1" x14ac:dyDescent="0.3">
      <c r="A1944" s="350"/>
      <c r="B1944" s="370"/>
      <c r="C1944" s="352"/>
      <c r="D1944" s="376"/>
      <c r="E1944" s="376"/>
      <c r="F1944" s="376"/>
      <c r="G1944" s="370"/>
      <c r="H1944" s="376"/>
      <c r="I1944" s="377"/>
      <c r="J1944" s="369"/>
    </row>
    <row r="1945" spans="1:10" s="40" customFormat="1" ht="15.75" thickBot="1" x14ac:dyDescent="0.3">
      <c r="A1945" s="46" t="s">
        <v>227</v>
      </c>
      <c r="B1945" s="60" t="str">
        <f>VLOOKUP(A1945,PO!$A$8:$K$433,4,FALSE)</f>
        <v>Cabo de cobre flexível isolado, 70 mm², antichama 450/750 V, para distribuição - fornecimento e instalação.</v>
      </c>
      <c r="C1945" s="47"/>
      <c r="D1945" s="48"/>
      <c r="E1945" s="47"/>
      <c r="F1945" s="49"/>
      <c r="G1945" s="50"/>
      <c r="H1945" s="50"/>
      <c r="I1945" s="50">
        <f>H1948</f>
        <v>68.400000000000006</v>
      </c>
      <c r="J1945" s="284" t="str">
        <f>VLOOKUP(A1945,PO!$A$8:$K$433,5,FALSE)</f>
        <v>m</v>
      </c>
    </row>
    <row r="1946" spans="1:10" x14ac:dyDescent="0.25">
      <c r="A1946" s="350"/>
      <c r="B1946" s="370"/>
      <c r="C1946" s="352"/>
      <c r="D1946" s="376"/>
      <c r="E1946" s="376"/>
      <c r="F1946" s="376"/>
      <c r="G1946" s="370"/>
      <c r="H1946" s="376"/>
      <c r="I1946" s="377"/>
      <c r="J1946" s="369"/>
    </row>
    <row r="1947" spans="1:10" x14ac:dyDescent="0.25">
      <c r="A1947" s="350"/>
      <c r="B1947" s="360" t="s">
        <v>10886</v>
      </c>
      <c r="C1947" s="352"/>
      <c r="D1947" s="406" t="s">
        <v>10933</v>
      </c>
      <c r="E1947" s="376"/>
      <c r="F1947" s="376"/>
      <c r="G1947" s="370"/>
      <c r="H1947" s="363" t="s">
        <v>14</v>
      </c>
      <c r="I1947" s="363" t="s">
        <v>15</v>
      </c>
      <c r="J1947" s="369"/>
    </row>
    <row r="1948" spans="1:10" x14ac:dyDescent="0.25">
      <c r="A1948" s="350"/>
      <c r="B1948" s="370" t="s">
        <v>11890</v>
      </c>
      <c r="C1948" s="352"/>
      <c r="D1948" s="376">
        <v>68.400000000000006</v>
      </c>
      <c r="E1948" s="376"/>
      <c r="F1948" s="376"/>
      <c r="G1948" s="370" t="s">
        <v>16</v>
      </c>
      <c r="H1948" s="376">
        <f>ROUND(D1948,2)</f>
        <v>68.400000000000006</v>
      </c>
      <c r="I1948" s="377" t="str">
        <f>J1945</f>
        <v>m</v>
      </c>
      <c r="J1948" s="369"/>
    </row>
    <row r="1949" spans="1:10" x14ac:dyDescent="0.25">
      <c r="A1949" s="350"/>
      <c r="B1949" s="370"/>
      <c r="C1949" s="352"/>
      <c r="D1949" s="376"/>
      <c r="E1949" s="376"/>
      <c r="F1949" s="376"/>
      <c r="G1949" s="370"/>
      <c r="H1949" s="376"/>
      <c r="I1949" s="377"/>
      <c r="J1949" s="369"/>
    </row>
    <row r="1950" spans="1:10" x14ac:dyDescent="0.25">
      <c r="A1950" s="350"/>
      <c r="B1950" s="370" t="s">
        <v>11891</v>
      </c>
      <c r="C1950" s="352"/>
      <c r="D1950" s="376"/>
      <c r="E1950" s="376"/>
      <c r="F1950" s="376"/>
      <c r="G1950" s="370"/>
      <c r="H1950" s="376"/>
      <c r="I1950" s="377"/>
      <c r="J1950" s="369"/>
    </row>
    <row r="1951" spans="1:10" ht="15.75" thickBot="1" x14ac:dyDescent="0.3">
      <c r="A1951" s="350"/>
      <c r="B1951" s="370"/>
      <c r="C1951" s="352"/>
      <c r="D1951" s="376"/>
      <c r="E1951" s="376"/>
      <c r="F1951" s="376"/>
      <c r="G1951" s="370"/>
      <c r="H1951" s="376"/>
      <c r="I1951" s="377"/>
      <c r="J1951" s="369"/>
    </row>
    <row r="1952" spans="1:10" s="40" customFormat="1" ht="15.75" thickBot="1" x14ac:dyDescent="0.3">
      <c r="A1952" s="46" t="s">
        <v>228</v>
      </c>
      <c r="B1952" s="60" t="str">
        <f>VLOOKUP(A1952,PO!$A$8:$K$433,4,FALSE)</f>
        <v>Cabo de cobre flexível isolado, 70 mm², antichama 0,6/1,0 KV, para distribuição - fornecimento e instalação.</v>
      </c>
      <c r="C1952" s="47"/>
      <c r="D1952" s="48"/>
      <c r="E1952" s="47"/>
      <c r="F1952" s="49"/>
      <c r="G1952" s="50"/>
      <c r="H1952" s="50"/>
      <c r="I1952" s="50">
        <f>H1955</f>
        <v>21</v>
      </c>
      <c r="J1952" s="284" t="str">
        <f>VLOOKUP(A1952,PO!$A$8:$K$433,5,FALSE)</f>
        <v>m</v>
      </c>
    </row>
    <row r="1953" spans="1:17" x14ac:dyDescent="0.25">
      <c r="A1953" s="350"/>
      <c r="B1953" s="370"/>
      <c r="C1953" s="352"/>
      <c r="D1953" s="376"/>
      <c r="E1953" s="376"/>
      <c r="F1953" s="376"/>
      <c r="G1953" s="370"/>
      <c r="H1953" s="376"/>
      <c r="I1953" s="377"/>
      <c r="J1953" s="369"/>
    </row>
    <row r="1954" spans="1:17" x14ac:dyDescent="0.25">
      <c r="A1954" s="350"/>
      <c r="B1954" s="360" t="s">
        <v>10886</v>
      </c>
      <c r="C1954" s="352"/>
      <c r="D1954" s="406" t="s">
        <v>10933</v>
      </c>
      <c r="E1954" s="376"/>
      <c r="F1954" s="376"/>
      <c r="G1954" s="370"/>
      <c r="H1954" s="363" t="s">
        <v>14</v>
      </c>
      <c r="I1954" s="363" t="s">
        <v>15</v>
      </c>
      <c r="J1954" s="369"/>
    </row>
    <row r="1955" spans="1:17" x14ac:dyDescent="0.25">
      <c r="A1955" s="350"/>
      <c r="B1955" s="370" t="s">
        <v>11890</v>
      </c>
      <c r="C1955" s="352"/>
      <c r="D1955" s="376">
        <v>21</v>
      </c>
      <c r="E1955" s="376"/>
      <c r="F1955" s="376"/>
      <c r="G1955" s="370" t="s">
        <v>16</v>
      </c>
      <c r="H1955" s="376">
        <f>ROUND(D1955,2)</f>
        <v>21</v>
      </c>
      <c r="I1955" s="377" t="str">
        <f>J1952</f>
        <v>m</v>
      </c>
      <c r="J1955" s="369"/>
    </row>
    <row r="1956" spans="1:17" x14ac:dyDescent="0.25">
      <c r="A1956" s="350"/>
      <c r="B1956" s="370"/>
      <c r="C1956" s="352"/>
      <c r="D1956" s="376"/>
      <c r="E1956" s="376"/>
      <c r="F1956" s="376"/>
      <c r="G1956" s="370"/>
      <c r="H1956" s="376"/>
      <c r="I1956" s="377"/>
      <c r="J1956" s="369"/>
    </row>
    <row r="1957" spans="1:17" x14ac:dyDescent="0.25">
      <c r="A1957" s="350"/>
      <c r="B1957" s="370" t="s">
        <v>11891</v>
      </c>
      <c r="C1957" s="352"/>
      <c r="D1957" s="376"/>
      <c r="E1957" s="376"/>
      <c r="F1957" s="376"/>
      <c r="G1957" s="370"/>
      <c r="H1957" s="376"/>
      <c r="I1957" s="377"/>
      <c r="J1957" s="369"/>
    </row>
    <row r="1958" spans="1:17" ht="15.75" thickBot="1" x14ac:dyDescent="0.3">
      <c r="A1958" s="350"/>
      <c r="B1958" s="370"/>
      <c r="C1958" s="352"/>
      <c r="D1958" s="376"/>
      <c r="E1958" s="376"/>
      <c r="F1958" s="376"/>
      <c r="G1958" s="370"/>
      <c r="H1958" s="376"/>
      <c r="I1958" s="377"/>
      <c r="J1958" s="369"/>
    </row>
    <row r="1959" spans="1:17" s="40" customFormat="1" ht="15.75" thickBot="1" x14ac:dyDescent="0.3">
      <c r="A1959" s="46" t="s">
        <v>229</v>
      </c>
      <c r="B1959" s="60" t="str">
        <f>VLOOKUP(A1959,PO!$A$8:$K$433,4,FALSE)</f>
        <v>Cabo de cobre flexível isolado, 120 mm², antichama 0,6/1,0 KV, para distribuição - fornecimento e instalação.</v>
      </c>
      <c r="C1959" s="47"/>
      <c r="D1959" s="48"/>
      <c r="E1959" s="47"/>
      <c r="F1959" s="49"/>
      <c r="G1959" s="50"/>
      <c r="H1959" s="50"/>
      <c r="I1959" s="50">
        <f>H1962</f>
        <v>21</v>
      </c>
      <c r="J1959" s="284" t="str">
        <f>VLOOKUP(A1959,PO!$A$8:$K$433,5,FALSE)</f>
        <v>m</v>
      </c>
    </row>
    <row r="1960" spans="1:17" x14ac:dyDescent="0.25">
      <c r="A1960" s="350"/>
      <c r="B1960" s="370"/>
      <c r="C1960" s="352"/>
      <c r="D1960" s="376"/>
      <c r="E1960" s="376"/>
      <c r="F1960" s="376"/>
      <c r="G1960" s="370"/>
      <c r="H1960" s="376"/>
      <c r="I1960" s="377"/>
      <c r="J1960" s="369"/>
    </row>
    <row r="1961" spans="1:17" x14ac:dyDescent="0.25">
      <c r="A1961" s="350"/>
      <c r="B1961" s="360" t="s">
        <v>10886</v>
      </c>
      <c r="C1961" s="352"/>
      <c r="D1961" s="406" t="s">
        <v>10933</v>
      </c>
      <c r="E1961" s="376"/>
      <c r="F1961" s="376"/>
      <c r="G1961" s="370"/>
      <c r="H1961" s="363" t="s">
        <v>14</v>
      </c>
      <c r="I1961" s="363" t="s">
        <v>15</v>
      </c>
      <c r="J1961" s="369"/>
    </row>
    <row r="1962" spans="1:17" x14ac:dyDescent="0.25">
      <c r="A1962" s="350"/>
      <c r="B1962" s="370" t="s">
        <v>11890</v>
      </c>
      <c r="C1962" s="352"/>
      <c r="D1962" s="376">
        <v>21</v>
      </c>
      <c r="E1962" s="376"/>
      <c r="F1962" s="376"/>
      <c r="G1962" s="370" t="s">
        <v>16</v>
      </c>
      <c r="H1962" s="376">
        <f>ROUND(D1962,2)</f>
        <v>21</v>
      </c>
      <c r="I1962" s="377" t="str">
        <f>J1959</f>
        <v>m</v>
      </c>
      <c r="J1962" s="369"/>
    </row>
    <row r="1963" spans="1:17" x14ac:dyDescent="0.25">
      <c r="A1963" s="350"/>
      <c r="B1963" s="370"/>
      <c r="C1963" s="352"/>
      <c r="D1963" s="376"/>
      <c r="E1963" s="376"/>
      <c r="F1963" s="376"/>
      <c r="G1963" s="370"/>
      <c r="H1963" s="376"/>
      <c r="I1963" s="377"/>
      <c r="J1963" s="369"/>
    </row>
    <row r="1964" spans="1:17" x14ac:dyDescent="0.25">
      <c r="A1964" s="350"/>
      <c r="B1964" s="370" t="s">
        <v>11891</v>
      </c>
      <c r="C1964" s="352"/>
      <c r="D1964" s="376"/>
      <c r="E1964" s="376"/>
      <c r="F1964" s="376"/>
      <c r="G1964" s="370"/>
      <c r="H1964" s="376"/>
      <c r="I1964" s="377"/>
      <c r="J1964" s="369"/>
      <c r="O1964" s="35" t="s">
        <v>11910</v>
      </c>
      <c r="P1964" s="35" t="s">
        <v>11911</v>
      </c>
      <c r="Q1964" s="35" t="s">
        <v>11914</v>
      </c>
    </row>
    <row r="1965" spans="1:17" ht="15.75" thickBot="1" x14ac:dyDescent="0.3">
      <c r="A1965" s="350"/>
      <c r="B1965" s="370"/>
      <c r="C1965" s="352"/>
      <c r="D1965" s="376"/>
      <c r="E1965" s="376"/>
      <c r="F1965" s="376"/>
      <c r="G1965" s="370"/>
      <c r="H1965" s="376"/>
      <c r="I1965" s="377"/>
      <c r="J1965" s="369"/>
      <c r="M1965" s="35" t="s">
        <v>10993</v>
      </c>
      <c r="O1965" s="175">
        <v>4</v>
      </c>
      <c r="P1965" s="175"/>
    </row>
    <row r="1966" spans="1:17" ht="15.75" thickBot="1" x14ac:dyDescent="0.3">
      <c r="A1966" s="41" t="s">
        <v>231</v>
      </c>
      <c r="B1966" s="42" t="str">
        <f>VLOOKUP(A1966,PO!$A$8:$K$425,4,FALSE)</f>
        <v>TOMADAS, INTERRUPTORES E OUTROS</v>
      </c>
      <c r="C1966" s="43"/>
      <c r="D1966" s="43"/>
      <c r="E1966" s="43"/>
      <c r="F1966" s="295"/>
      <c r="G1966" s="43"/>
      <c r="H1966" s="43"/>
      <c r="I1966" s="43"/>
      <c r="J1966" s="44"/>
    </row>
    <row r="1967" spans="1:17" ht="15.75" thickBot="1" x14ac:dyDescent="0.3">
      <c r="A1967" s="347"/>
      <c r="B1967" s="205"/>
      <c r="C1967" s="205"/>
      <c r="D1967" s="348"/>
      <c r="E1967" s="205"/>
      <c r="F1967" s="237"/>
      <c r="G1967" s="208"/>
      <c r="H1967" s="208"/>
      <c r="I1967" s="208"/>
      <c r="J1967" s="349"/>
    </row>
    <row r="1968" spans="1:17" s="40" customFormat="1" ht="15.75" thickBot="1" x14ac:dyDescent="0.3">
      <c r="A1968" s="46" t="s">
        <v>232</v>
      </c>
      <c r="B1968" s="60" t="str">
        <f>VLOOKUP(A1968,PO!$A$8:$K$433,4,FALSE)</f>
        <v>Caixa retangular 4" x 2" alta (2,20 m do piso), PVC, instalada em parede - fornecimento e instalação. </v>
      </c>
      <c r="C1968" s="47"/>
      <c r="D1968" s="48"/>
      <c r="E1968" s="47"/>
      <c r="F1968" s="49"/>
      <c r="G1968" s="50"/>
      <c r="H1968" s="50"/>
      <c r="I1968" s="50">
        <f>H1971</f>
        <v>5</v>
      </c>
      <c r="J1968" s="284" t="str">
        <f>VLOOKUP(A1968,PO!$A$8:$K$433,5,FALSE)</f>
        <v>unid.</v>
      </c>
    </row>
    <row r="1969" spans="1:12" x14ac:dyDescent="0.25">
      <c r="A1969" s="350"/>
      <c r="B1969" s="370"/>
      <c r="C1969" s="352"/>
      <c r="D1969" s="376"/>
      <c r="E1969" s="376"/>
      <c r="F1969" s="376"/>
      <c r="G1969" s="370"/>
      <c r="H1969" s="376"/>
      <c r="I1969" s="377"/>
      <c r="J1969" s="369"/>
    </row>
    <row r="1970" spans="1:12" x14ac:dyDescent="0.25">
      <c r="A1970" s="350"/>
      <c r="B1970" s="360" t="s">
        <v>10886</v>
      </c>
      <c r="C1970" s="352"/>
      <c r="D1970" s="406" t="s">
        <v>10927</v>
      </c>
      <c r="E1970" s="376"/>
      <c r="F1970" s="376"/>
      <c r="G1970" s="370"/>
      <c r="H1970" s="363" t="s">
        <v>14</v>
      </c>
      <c r="I1970" s="363" t="s">
        <v>15</v>
      </c>
      <c r="J1970" s="369"/>
    </row>
    <row r="1971" spans="1:12" x14ac:dyDescent="0.25">
      <c r="A1971" s="350"/>
      <c r="B1971" s="370" t="s">
        <v>11890</v>
      </c>
      <c r="C1971" s="352"/>
      <c r="D1971" s="376">
        <v>5</v>
      </c>
      <c r="E1971" s="376"/>
      <c r="F1971" s="376"/>
      <c r="G1971" s="370" t="s">
        <v>16</v>
      </c>
      <c r="H1971" s="376">
        <f>ROUND(D1971,2)</f>
        <v>5</v>
      </c>
      <c r="I1971" s="377" t="str">
        <f>J1968</f>
        <v>unid.</v>
      </c>
      <c r="J1971" s="369"/>
    </row>
    <row r="1972" spans="1:12" x14ac:dyDescent="0.25">
      <c r="A1972" s="350"/>
      <c r="B1972" s="370"/>
      <c r="C1972" s="352"/>
      <c r="D1972" s="376"/>
      <c r="E1972" s="376"/>
      <c r="F1972" s="376"/>
      <c r="G1972" s="370"/>
      <c r="H1972" s="376"/>
      <c r="I1972" s="377"/>
      <c r="J1972" s="369"/>
    </row>
    <row r="1973" spans="1:12" x14ac:dyDescent="0.25">
      <c r="A1973" s="350"/>
      <c r="B1973" s="370" t="s">
        <v>11891</v>
      </c>
      <c r="C1973" s="352"/>
      <c r="D1973" s="376"/>
      <c r="E1973" s="376"/>
      <c r="F1973" s="376"/>
      <c r="G1973" s="370"/>
      <c r="H1973" s="376"/>
      <c r="I1973" s="377"/>
      <c r="J1973" s="369"/>
    </row>
    <row r="1974" spans="1:12" ht="15.75" thickBot="1" x14ac:dyDescent="0.3">
      <c r="A1974" s="350"/>
      <c r="B1974" s="370"/>
      <c r="C1974" s="352"/>
      <c r="D1974" s="376"/>
      <c r="E1974" s="376"/>
      <c r="F1974" s="376"/>
      <c r="G1974" s="370"/>
      <c r="H1974" s="376"/>
      <c r="I1974" s="377"/>
      <c r="J1974" s="369"/>
    </row>
    <row r="1975" spans="1:12" s="40" customFormat="1" ht="15.75" thickBot="1" x14ac:dyDescent="0.3">
      <c r="A1975" s="46" t="s">
        <v>233</v>
      </c>
      <c r="B1975" s="60" t="str">
        <f>VLOOKUP(A1975,PO!$A$8:$K$433,4,FALSE)</f>
        <v>Caixa retangular 4" x 2" baixa (0,30 m do piso), PVC, instalada em parede - fornecimento e instalação. </v>
      </c>
      <c r="C1975" s="47"/>
      <c r="D1975" s="48"/>
      <c r="E1975" s="47"/>
      <c r="F1975" s="49"/>
      <c r="G1975" s="50"/>
      <c r="H1975" s="50"/>
      <c r="I1975" s="50">
        <f>SUM(H1978:H1996)</f>
        <v>49</v>
      </c>
      <c r="J1975" s="284" t="str">
        <f>VLOOKUP(A1975,PO!$A$8:$K$433,5,FALSE)</f>
        <v>unid.</v>
      </c>
    </row>
    <row r="1976" spans="1:12" x14ac:dyDescent="0.25">
      <c r="A1976" s="350"/>
      <c r="B1976" s="370"/>
      <c r="C1976" s="352"/>
      <c r="D1976" s="376"/>
      <c r="E1976" s="376"/>
      <c r="F1976" s="376"/>
      <c r="G1976" s="370"/>
      <c r="H1976" s="376"/>
      <c r="I1976" s="377"/>
      <c r="J1976" s="369"/>
    </row>
    <row r="1977" spans="1:12" x14ac:dyDescent="0.25">
      <c r="A1977" s="358"/>
      <c r="B1977" s="360" t="s">
        <v>21</v>
      </c>
      <c r="C1977" s="352"/>
      <c r="D1977" s="360" t="s">
        <v>10886</v>
      </c>
      <c r="E1977" s="352"/>
      <c r="F1977" s="406" t="s">
        <v>10927</v>
      </c>
      <c r="G1977" s="370"/>
      <c r="H1977" s="363" t="s">
        <v>14</v>
      </c>
      <c r="I1977" s="363" t="s">
        <v>15</v>
      </c>
      <c r="J1977" s="369"/>
    </row>
    <row r="1978" spans="1:12" x14ac:dyDescent="0.25">
      <c r="A1978" s="417"/>
      <c r="B1978" s="370" t="s">
        <v>10993</v>
      </c>
      <c r="C1978" s="352"/>
      <c r="D1978" s="367" t="s">
        <v>11921</v>
      </c>
      <c r="E1978" s="352"/>
      <c r="F1978" s="376">
        <v>4</v>
      </c>
      <c r="G1978" s="370" t="s">
        <v>16</v>
      </c>
      <c r="H1978" s="376">
        <f>ROUND(F1978,2)</f>
        <v>4</v>
      </c>
      <c r="I1978" s="377" t="str">
        <f>J1975</f>
        <v>unid.</v>
      </c>
      <c r="J1978" s="369"/>
      <c r="L1978" s="35" t="s">
        <v>11923</v>
      </c>
    </row>
    <row r="1979" spans="1:12" x14ac:dyDescent="0.25">
      <c r="A1979" s="417"/>
      <c r="B1979" s="370" t="s">
        <v>10993</v>
      </c>
      <c r="C1979" s="352"/>
      <c r="D1979" s="367" t="s">
        <v>11922</v>
      </c>
      <c r="E1979" s="352"/>
      <c r="F1979" s="376">
        <v>1</v>
      </c>
      <c r="G1979" s="370" t="s">
        <v>16</v>
      </c>
      <c r="H1979" s="376">
        <f t="shared" ref="H1979:H1995" si="165">ROUND(F1979,2)</f>
        <v>1</v>
      </c>
      <c r="I1979" s="377" t="str">
        <f>I1978</f>
        <v>unid.</v>
      </c>
      <c r="J1979" s="369"/>
    </row>
    <row r="1980" spans="1:12" x14ac:dyDescent="0.25">
      <c r="A1980" s="417"/>
      <c r="B1980" s="370" t="s">
        <v>11912</v>
      </c>
      <c r="C1980" s="352"/>
      <c r="D1980" s="367" t="s">
        <v>11921</v>
      </c>
      <c r="E1980" s="352"/>
      <c r="F1980" s="376">
        <v>4</v>
      </c>
      <c r="G1980" s="370" t="s">
        <v>16</v>
      </c>
      <c r="H1980" s="376">
        <f t="shared" si="165"/>
        <v>4</v>
      </c>
      <c r="I1980" s="377" t="str">
        <f t="shared" ref="I1980:I1995" si="166">I1979</f>
        <v>unid.</v>
      </c>
      <c r="J1980" s="369"/>
    </row>
    <row r="1981" spans="1:12" x14ac:dyDescent="0.25">
      <c r="A1981" s="417"/>
      <c r="B1981" s="370" t="s">
        <v>11912</v>
      </c>
      <c r="C1981" s="352"/>
      <c r="D1981" s="367" t="s">
        <v>11922</v>
      </c>
      <c r="E1981" s="352"/>
      <c r="F1981" s="376">
        <v>2</v>
      </c>
      <c r="G1981" s="370" t="s">
        <v>16</v>
      </c>
      <c r="H1981" s="376">
        <f t="shared" si="165"/>
        <v>2</v>
      </c>
      <c r="I1981" s="377" t="str">
        <f t="shared" si="166"/>
        <v>unid.</v>
      </c>
      <c r="J1981" s="369"/>
    </row>
    <row r="1982" spans="1:12" x14ac:dyDescent="0.25">
      <c r="A1982" s="417"/>
      <c r="B1982" s="370" t="s">
        <v>11913</v>
      </c>
      <c r="C1982" s="352"/>
      <c r="D1982" s="367" t="s">
        <v>11921</v>
      </c>
      <c r="E1982" s="352"/>
      <c r="F1982" s="376">
        <v>2</v>
      </c>
      <c r="G1982" s="370" t="s">
        <v>16</v>
      </c>
      <c r="H1982" s="376">
        <f t="shared" si="165"/>
        <v>2</v>
      </c>
      <c r="I1982" s="377" t="str">
        <f t="shared" si="166"/>
        <v>unid.</v>
      </c>
      <c r="J1982" s="369"/>
    </row>
    <row r="1983" spans="1:12" x14ac:dyDescent="0.25">
      <c r="A1983" s="417"/>
      <c r="B1983" s="370" t="s">
        <v>11913</v>
      </c>
      <c r="C1983" s="352"/>
      <c r="D1983" s="367" t="s">
        <v>11922</v>
      </c>
      <c r="E1983" s="352"/>
      <c r="F1983" s="376">
        <v>2</v>
      </c>
      <c r="G1983" s="370" t="s">
        <v>16</v>
      </c>
      <c r="H1983" s="376">
        <f t="shared" si="165"/>
        <v>2</v>
      </c>
      <c r="I1983" s="377" t="str">
        <f t="shared" si="166"/>
        <v>unid.</v>
      </c>
      <c r="J1983" s="369"/>
    </row>
    <row r="1984" spans="1:12" x14ac:dyDescent="0.25">
      <c r="A1984" s="417"/>
      <c r="B1984" s="370" t="s">
        <v>11924</v>
      </c>
      <c r="C1984" s="352"/>
      <c r="D1984" s="367" t="s">
        <v>11922</v>
      </c>
      <c r="E1984" s="352"/>
      <c r="F1984" s="376">
        <v>1</v>
      </c>
      <c r="G1984" s="370" t="s">
        <v>16</v>
      </c>
      <c r="H1984" s="376">
        <f t="shared" si="165"/>
        <v>1</v>
      </c>
      <c r="I1984" s="377" t="str">
        <f t="shared" si="166"/>
        <v>unid.</v>
      </c>
      <c r="J1984" s="369"/>
    </row>
    <row r="1985" spans="1:10" x14ac:dyDescent="0.25">
      <c r="A1985" s="417"/>
      <c r="B1985" s="370" t="s">
        <v>11924</v>
      </c>
      <c r="C1985" s="352"/>
      <c r="D1985" s="367" t="s">
        <v>11923</v>
      </c>
      <c r="E1985" s="352"/>
      <c r="F1985" s="376">
        <v>1</v>
      </c>
      <c r="G1985" s="370" t="s">
        <v>16</v>
      </c>
      <c r="H1985" s="376">
        <f t="shared" si="165"/>
        <v>1</v>
      </c>
      <c r="I1985" s="377" t="str">
        <f t="shared" si="166"/>
        <v>unid.</v>
      </c>
      <c r="J1985" s="369"/>
    </row>
    <row r="1986" spans="1:10" x14ac:dyDescent="0.25">
      <c r="A1986" s="417"/>
      <c r="B1986" s="370" t="s">
        <v>10991</v>
      </c>
      <c r="C1986" s="352"/>
      <c r="D1986" s="367" t="s">
        <v>11921</v>
      </c>
      <c r="E1986" s="352"/>
      <c r="F1986" s="376">
        <v>5</v>
      </c>
      <c r="G1986" s="370" t="s">
        <v>16</v>
      </c>
      <c r="H1986" s="376">
        <f t="shared" si="165"/>
        <v>5</v>
      </c>
      <c r="I1986" s="377" t="str">
        <f t="shared" si="166"/>
        <v>unid.</v>
      </c>
      <c r="J1986" s="369"/>
    </row>
    <row r="1987" spans="1:10" x14ac:dyDescent="0.25">
      <c r="A1987" s="417"/>
      <c r="B1987" s="370" t="s">
        <v>10991</v>
      </c>
      <c r="C1987" s="352"/>
      <c r="D1987" s="367" t="s">
        <v>11922</v>
      </c>
      <c r="E1987" s="352"/>
      <c r="F1987" s="376">
        <v>3</v>
      </c>
      <c r="G1987" s="370" t="s">
        <v>16</v>
      </c>
      <c r="H1987" s="376">
        <f t="shared" si="165"/>
        <v>3</v>
      </c>
      <c r="I1987" s="377" t="str">
        <f t="shared" si="166"/>
        <v>unid.</v>
      </c>
      <c r="J1987" s="369"/>
    </row>
    <row r="1988" spans="1:10" x14ac:dyDescent="0.25">
      <c r="A1988" s="417"/>
      <c r="B1988" s="370" t="s">
        <v>11925</v>
      </c>
      <c r="C1988" s="352"/>
      <c r="D1988" s="367" t="s">
        <v>11922</v>
      </c>
      <c r="E1988" s="352"/>
      <c r="F1988" s="376">
        <v>1</v>
      </c>
      <c r="G1988" s="370" t="s">
        <v>16</v>
      </c>
      <c r="H1988" s="376">
        <f t="shared" si="165"/>
        <v>1</v>
      </c>
      <c r="I1988" s="377" t="str">
        <f t="shared" si="166"/>
        <v>unid.</v>
      </c>
      <c r="J1988" s="369"/>
    </row>
    <row r="1989" spans="1:10" x14ac:dyDescent="0.25">
      <c r="A1989" s="417"/>
      <c r="B1989" s="370" t="s">
        <v>11926</v>
      </c>
      <c r="C1989" s="352"/>
      <c r="D1989" s="367" t="s">
        <v>11922</v>
      </c>
      <c r="E1989" s="352"/>
      <c r="F1989" s="376">
        <v>1</v>
      </c>
      <c r="G1989" s="370" t="s">
        <v>16</v>
      </c>
      <c r="H1989" s="376">
        <f t="shared" si="165"/>
        <v>1</v>
      </c>
      <c r="I1989" s="377" t="str">
        <f t="shared" si="166"/>
        <v>unid.</v>
      </c>
      <c r="J1989" s="369"/>
    </row>
    <row r="1990" spans="1:10" x14ac:dyDescent="0.25">
      <c r="A1990" s="350"/>
      <c r="B1990" s="370" t="s">
        <v>11926</v>
      </c>
      <c r="C1990" s="352"/>
      <c r="D1990" s="367" t="s">
        <v>11923</v>
      </c>
      <c r="E1990" s="376"/>
      <c r="F1990" s="376">
        <v>1</v>
      </c>
      <c r="G1990" s="370" t="s">
        <v>16</v>
      </c>
      <c r="H1990" s="376">
        <f t="shared" si="165"/>
        <v>1</v>
      </c>
      <c r="I1990" s="377" t="str">
        <f t="shared" si="166"/>
        <v>unid.</v>
      </c>
      <c r="J1990" s="369"/>
    </row>
    <row r="1991" spans="1:10" x14ac:dyDescent="0.25">
      <c r="A1991" s="350"/>
      <c r="B1991" s="370" t="s">
        <v>11927</v>
      </c>
      <c r="C1991" s="352"/>
      <c r="D1991" s="367" t="s">
        <v>11921</v>
      </c>
      <c r="E1991" s="376"/>
      <c r="F1991" s="376">
        <v>3</v>
      </c>
      <c r="G1991" s="370" t="s">
        <v>16</v>
      </c>
      <c r="H1991" s="376">
        <f t="shared" si="165"/>
        <v>3</v>
      </c>
      <c r="I1991" s="377" t="str">
        <f t="shared" si="166"/>
        <v>unid.</v>
      </c>
      <c r="J1991" s="369"/>
    </row>
    <row r="1992" spans="1:10" x14ac:dyDescent="0.25">
      <c r="A1992" s="350"/>
      <c r="B1992" s="370" t="s">
        <v>11927</v>
      </c>
      <c r="C1992" s="352"/>
      <c r="D1992" s="367" t="s">
        <v>11922</v>
      </c>
      <c r="E1992" s="376"/>
      <c r="F1992" s="376">
        <v>4</v>
      </c>
      <c r="G1992" s="370" t="s">
        <v>16</v>
      </c>
      <c r="H1992" s="376">
        <f t="shared" si="165"/>
        <v>4</v>
      </c>
      <c r="I1992" s="377" t="str">
        <f t="shared" si="166"/>
        <v>unid.</v>
      </c>
      <c r="J1992" s="369"/>
    </row>
    <row r="1993" spans="1:10" x14ac:dyDescent="0.25">
      <c r="A1993" s="350"/>
      <c r="B1993" s="370" t="s">
        <v>11928</v>
      </c>
      <c r="C1993" s="352"/>
      <c r="D1993" s="367" t="s">
        <v>11921</v>
      </c>
      <c r="E1993" s="376"/>
      <c r="F1993" s="376">
        <v>4</v>
      </c>
      <c r="G1993" s="370" t="s">
        <v>16</v>
      </c>
      <c r="H1993" s="376">
        <f t="shared" si="165"/>
        <v>4</v>
      </c>
      <c r="I1993" s="377" t="str">
        <f t="shared" si="166"/>
        <v>unid.</v>
      </c>
      <c r="J1993" s="369"/>
    </row>
    <row r="1994" spans="1:10" x14ac:dyDescent="0.25">
      <c r="A1994" s="350"/>
      <c r="B1994" s="370" t="s">
        <v>11928</v>
      </c>
      <c r="C1994" s="352"/>
      <c r="D1994" s="367" t="s">
        <v>11922</v>
      </c>
      <c r="E1994" s="376"/>
      <c r="F1994" s="376">
        <v>7</v>
      </c>
      <c r="G1994" s="370" t="s">
        <v>16</v>
      </c>
      <c r="H1994" s="376">
        <f t="shared" si="165"/>
        <v>7</v>
      </c>
      <c r="I1994" s="377" t="str">
        <f t="shared" si="166"/>
        <v>unid.</v>
      </c>
      <c r="J1994" s="369"/>
    </row>
    <row r="1995" spans="1:10" x14ac:dyDescent="0.25">
      <c r="A1995" s="350"/>
      <c r="B1995" s="370" t="s">
        <v>11929</v>
      </c>
      <c r="C1995" s="352"/>
      <c r="D1995" s="367" t="s">
        <v>11923</v>
      </c>
      <c r="E1995" s="376"/>
      <c r="F1995" s="376">
        <v>3</v>
      </c>
      <c r="G1995" s="370" t="s">
        <v>16</v>
      </c>
      <c r="H1995" s="376">
        <f t="shared" si="165"/>
        <v>3</v>
      </c>
      <c r="I1995" s="377" t="str">
        <f t="shared" si="166"/>
        <v>unid.</v>
      </c>
      <c r="J1995" s="369"/>
    </row>
    <row r="1996" spans="1:10" x14ac:dyDescent="0.25">
      <c r="A1996" s="350"/>
      <c r="B1996" s="352"/>
      <c r="C1996" s="352"/>
      <c r="D1996" s="367"/>
      <c r="E1996" s="376"/>
      <c r="F1996" s="376"/>
      <c r="G1996" s="370"/>
      <c r="H1996" s="376"/>
      <c r="I1996" s="377"/>
      <c r="J1996" s="369"/>
    </row>
    <row r="1997" spans="1:10" x14ac:dyDescent="0.25">
      <c r="A1997" s="350"/>
      <c r="B1997" s="352"/>
      <c r="C1997" s="352"/>
      <c r="D1997" s="352"/>
      <c r="E1997" s="376"/>
      <c r="F1997" s="376"/>
      <c r="G1997" s="370"/>
      <c r="H1997" s="376"/>
      <c r="I1997" s="377"/>
      <c r="J1997" s="369"/>
    </row>
    <row r="1998" spans="1:10" x14ac:dyDescent="0.25">
      <c r="A1998" s="350"/>
      <c r="B1998" s="370" t="s">
        <v>11891</v>
      </c>
      <c r="C1998" s="352"/>
      <c r="D1998" s="376"/>
      <c r="E1998" s="376"/>
      <c r="F1998" s="376"/>
      <c r="G1998" s="370"/>
      <c r="H1998" s="376"/>
      <c r="I1998" s="377"/>
      <c r="J1998" s="369"/>
    </row>
    <row r="1999" spans="1:10" ht="15.75" thickBot="1" x14ac:dyDescent="0.3">
      <c r="A1999" s="350"/>
      <c r="B1999" s="370"/>
      <c r="C1999" s="352"/>
      <c r="D1999" s="376"/>
      <c r="E1999" s="376"/>
      <c r="F1999" s="376"/>
      <c r="G1999" s="370"/>
      <c r="H1999" s="376"/>
      <c r="I1999" s="377"/>
      <c r="J1999" s="369"/>
    </row>
    <row r="2000" spans="1:10" s="40" customFormat="1" ht="15.75" thickBot="1" x14ac:dyDescent="0.3">
      <c r="A2000" s="46" t="s">
        <v>12150</v>
      </c>
      <c r="B2000" s="60" t="str">
        <f>VLOOKUP(A2000,PO!$A$8:$K$433,4,FALSE)</f>
        <v>Caixa retangular 4" x 2" média (1,30 m do piso), PVC, instalada em parede - fornecimento e instalação. </v>
      </c>
      <c r="C2000" s="47"/>
      <c r="D2000" s="48"/>
      <c r="E2000" s="47"/>
      <c r="F2000" s="49"/>
      <c r="G2000" s="50"/>
      <c r="H2000" s="50"/>
      <c r="I2000" s="50">
        <f>SUM(H2003:H2004)</f>
        <v>21</v>
      </c>
      <c r="J2000" s="284" t="str">
        <f>VLOOKUP(A2000,PO!$A$8:$K$433,5,FALSE)</f>
        <v>unid.</v>
      </c>
    </row>
    <row r="2001" spans="1:10" x14ac:dyDescent="0.25">
      <c r="A2001" s="350"/>
      <c r="B2001" s="370"/>
      <c r="C2001" s="352"/>
      <c r="D2001" s="376"/>
      <c r="E2001" s="376"/>
      <c r="F2001" s="376"/>
      <c r="G2001" s="370"/>
      <c r="H2001" s="376"/>
      <c r="I2001" s="377"/>
      <c r="J2001" s="369"/>
    </row>
    <row r="2002" spans="1:10" x14ac:dyDescent="0.25">
      <c r="A2002" s="350"/>
      <c r="B2002" s="360" t="s">
        <v>10886</v>
      </c>
      <c r="C2002" s="352"/>
      <c r="D2002" s="406" t="s">
        <v>10927</v>
      </c>
      <c r="E2002" s="376"/>
      <c r="F2002" s="376"/>
      <c r="G2002" s="370"/>
      <c r="H2002" s="363" t="s">
        <v>14</v>
      </c>
      <c r="I2002" s="363" t="s">
        <v>15</v>
      </c>
      <c r="J2002" s="369"/>
    </row>
    <row r="2003" spans="1:10" x14ac:dyDescent="0.25">
      <c r="A2003" s="350"/>
      <c r="B2003" s="370" t="s">
        <v>11931</v>
      </c>
      <c r="C2003" s="352"/>
      <c r="D2003" s="376">
        <v>3</v>
      </c>
      <c r="E2003" s="376"/>
      <c r="F2003" s="376"/>
      <c r="G2003" s="370" t="s">
        <v>16</v>
      </c>
      <c r="H2003" s="376">
        <f>ROUND(D2003,2)</f>
        <v>3</v>
      </c>
      <c r="I2003" s="377" t="str">
        <f>J2000</f>
        <v>unid.</v>
      </c>
      <c r="J2003" s="369"/>
    </row>
    <row r="2004" spans="1:10" x14ac:dyDescent="0.25">
      <c r="A2004" s="350"/>
      <c r="B2004" s="370" t="s">
        <v>11930</v>
      </c>
      <c r="C2004" s="352"/>
      <c r="D2004" s="376">
        <f>4+3+2+1+8</f>
        <v>18</v>
      </c>
      <c r="E2004" s="376"/>
      <c r="F2004" s="376"/>
      <c r="G2004" s="370" t="s">
        <v>16</v>
      </c>
      <c r="H2004" s="376">
        <f t="shared" ref="H2004" si="167">ROUND(D2004,2)</f>
        <v>18</v>
      </c>
      <c r="I2004" s="377" t="str">
        <f>I2003</f>
        <v>unid.</v>
      </c>
      <c r="J2004" s="369"/>
    </row>
    <row r="2005" spans="1:10" x14ac:dyDescent="0.25">
      <c r="A2005" s="350"/>
      <c r="B2005" s="370"/>
      <c r="C2005" s="352"/>
      <c r="D2005" s="376"/>
      <c r="E2005" s="376"/>
      <c r="F2005" s="376"/>
      <c r="G2005" s="370"/>
      <c r="H2005" s="376"/>
      <c r="I2005" s="377"/>
      <c r="J2005" s="369"/>
    </row>
    <row r="2006" spans="1:10" x14ac:dyDescent="0.25">
      <c r="A2006" s="350"/>
      <c r="B2006" s="370" t="s">
        <v>11891</v>
      </c>
      <c r="C2006" s="352"/>
      <c r="D2006" s="376"/>
      <c r="E2006" s="376"/>
      <c r="F2006" s="376"/>
      <c r="G2006" s="370"/>
      <c r="H2006" s="376"/>
      <c r="I2006" s="377"/>
      <c r="J2006" s="369"/>
    </row>
    <row r="2007" spans="1:10" ht="15.75" thickBot="1" x14ac:dyDescent="0.3">
      <c r="A2007" s="350"/>
      <c r="B2007" s="370"/>
      <c r="C2007" s="352"/>
      <c r="D2007" s="376"/>
      <c r="E2007" s="376"/>
      <c r="F2007" s="376"/>
      <c r="G2007" s="370"/>
      <c r="H2007" s="376"/>
      <c r="I2007" s="377"/>
      <c r="J2007" s="369"/>
    </row>
    <row r="2008" spans="1:10" s="40" customFormat="1" ht="15.75" thickBot="1" x14ac:dyDescent="0.3">
      <c r="A2008" s="46" t="s">
        <v>12151</v>
      </c>
      <c r="B2008" s="60" t="str">
        <f>VLOOKUP(A2008,PO!$A$8:$K$433,4,FALSE)</f>
        <v>Caixa octogonal 3" x 3", PVC, instalada em laje - fornecimento e instalação.</v>
      </c>
      <c r="C2008" s="47"/>
      <c r="D2008" s="48"/>
      <c r="E2008" s="47"/>
      <c r="F2008" s="49"/>
      <c r="G2008" s="50"/>
      <c r="H2008" s="50"/>
      <c r="I2008" s="50">
        <f>SUM(H2011:H2011)</f>
        <v>26</v>
      </c>
      <c r="J2008" s="284" t="str">
        <f>VLOOKUP(A2008,PO!$A$8:$K$433,5,FALSE)</f>
        <v>unid.</v>
      </c>
    </row>
    <row r="2009" spans="1:10" x14ac:dyDescent="0.25">
      <c r="A2009" s="350"/>
      <c r="B2009" s="370"/>
      <c r="C2009" s="352"/>
      <c r="D2009" s="376"/>
      <c r="E2009" s="376"/>
      <c r="F2009" s="376"/>
      <c r="G2009" s="370"/>
      <c r="H2009" s="376"/>
      <c r="I2009" s="377"/>
      <c r="J2009" s="369"/>
    </row>
    <row r="2010" spans="1:10" x14ac:dyDescent="0.25">
      <c r="A2010" s="350"/>
      <c r="B2010" s="360" t="s">
        <v>10886</v>
      </c>
      <c r="C2010" s="352"/>
      <c r="D2010" s="406" t="s">
        <v>10927</v>
      </c>
      <c r="E2010" s="376"/>
      <c r="F2010" s="376"/>
      <c r="G2010" s="370"/>
      <c r="H2010" s="363" t="s">
        <v>14</v>
      </c>
      <c r="I2010" s="363" t="s">
        <v>15</v>
      </c>
      <c r="J2010" s="369"/>
    </row>
    <row r="2011" spans="1:10" x14ac:dyDescent="0.25">
      <c r="A2011" s="350"/>
      <c r="B2011" s="370" t="s">
        <v>11890</v>
      </c>
      <c r="C2011" s="352"/>
      <c r="D2011" s="376">
        <v>26</v>
      </c>
      <c r="E2011" s="376"/>
      <c r="F2011" s="376"/>
      <c r="G2011" s="370" t="s">
        <v>16</v>
      </c>
      <c r="H2011" s="376">
        <f>ROUND(D2011,2)</f>
        <v>26</v>
      </c>
      <c r="I2011" s="377" t="str">
        <f>J2008</f>
        <v>unid.</v>
      </c>
      <c r="J2011" s="369"/>
    </row>
    <row r="2012" spans="1:10" x14ac:dyDescent="0.25">
      <c r="A2012" s="350"/>
      <c r="B2012" s="370"/>
      <c r="C2012" s="352"/>
      <c r="D2012" s="376"/>
      <c r="E2012" s="376"/>
      <c r="F2012" s="376"/>
      <c r="G2012" s="370"/>
      <c r="H2012" s="376"/>
      <c r="I2012" s="377"/>
      <c r="J2012" s="369"/>
    </row>
    <row r="2013" spans="1:10" x14ac:dyDescent="0.25">
      <c r="A2013" s="350"/>
      <c r="B2013" s="370" t="s">
        <v>11891</v>
      </c>
      <c r="C2013" s="352"/>
      <c r="D2013" s="376"/>
      <c r="E2013" s="376"/>
      <c r="F2013" s="376"/>
      <c r="G2013" s="370"/>
      <c r="H2013" s="376"/>
      <c r="I2013" s="377"/>
      <c r="J2013" s="369"/>
    </row>
    <row r="2014" spans="1:10" ht="15.75" thickBot="1" x14ac:dyDescent="0.3">
      <c r="A2014" s="350"/>
      <c r="B2014" s="370"/>
      <c r="C2014" s="352"/>
      <c r="D2014" s="376"/>
      <c r="E2014" s="376"/>
      <c r="F2014" s="376"/>
      <c r="G2014" s="370"/>
      <c r="H2014" s="376"/>
      <c r="I2014" s="377"/>
      <c r="J2014" s="369"/>
    </row>
    <row r="2015" spans="1:10" s="40" customFormat="1" ht="15.75" thickBot="1" x14ac:dyDescent="0.3">
      <c r="A2015" s="46" t="s">
        <v>12152</v>
      </c>
      <c r="B2015" s="60" t="str">
        <f>VLOOKUP(A2015,PO!$A$8:$K$433,4,FALSE)</f>
        <v>Interruptor simples (1 módulo), 10A/250V, incluindo suporte e placa - fornecimento e instalação</v>
      </c>
      <c r="C2015" s="47"/>
      <c r="D2015" s="48"/>
      <c r="E2015" s="47"/>
      <c r="F2015" s="49"/>
      <c r="G2015" s="50"/>
      <c r="H2015" s="50"/>
      <c r="I2015" s="50">
        <f>SUM(H2018:H2018)</f>
        <v>11</v>
      </c>
      <c r="J2015" s="284" t="str">
        <f>VLOOKUP(A2015,PO!$A$8:$K$433,5,FALSE)</f>
        <v>unid.</v>
      </c>
    </row>
    <row r="2016" spans="1:10" x14ac:dyDescent="0.25">
      <c r="A2016" s="350"/>
      <c r="B2016" s="370"/>
      <c r="C2016" s="352"/>
      <c r="D2016" s="376"/>
      <c r="E2016" s="376"/>
      <c r="F2016" s="376"/>
      <c r="G2016" s="370"/>
      <c r="H2016" s="376"/>
      <c r="I2016" s="377"/>
      <c r="J2016" s="369"/>
    </row>
    <row r="2017" spans="1:10" x14ac:dyDescent="0.25">
      <c r="A2017" s="350"/>
      <c r="B2017" s="360" t="s">
        <v>10886</v>
      </c>
      <c r="C2017" s="352"/>
      <c r="D2017" s="406" t="s">
        <v>10927</v>
      </c>
      <c r="E2017" s="376"/>
      <c r="F2017" s="376"/>
      <c r="G2017" s="370"/>
      <c r="H2017" s="363" t="s">
        <v>14</v>
      </c>
      <c r="I2017" s="363" t="s">
        <v>15</v>
      </c>
      <c r="J2017" s="369"/>
    </row>
    <row r="2018" spans="1:10" x14ac:dyDescent="0.25">
      <c r="A2018" s="350"/>
      <c r="B2018" s="370" t="s">
        <v>11890</v>
      </c>
      <c r="C2018" s="352"/>
      <c r="D2018" s="376">
        <f>3+8</f>
        <v>11</v>
      </c>
      <c r="E2018" s="376"/>
      <c r="F2018" s="376"/>
      <c r="G2018" s="370" t="s">
        <v>16</v>
      </c>
      <c r="H2018" s="376">
        <f>ROUND(D2018,2)</f>
        <v>11</v>
      </c>
      <c r="I2018" s="377" t="str">
        <f>J2015</f>
        <v>unid.</v>
      </c>
      <c r="J2018" s="369"/>
    </row>
    <row r="2019" spans="1:10" x14ac:dyDescent="0.25">
      <c r="A2019" s="350"/>
      <c r="B2019" s="370"/>
      <c r="C2019" s="352"/>
      <c r="D2019" s="376"/>
      <c r="E2019" s="376"/>
      <c r="F2019" s="376"/>
      <c r="G2019" s="370"/>
      <c r="H2019" s="376"/>
      <c r="I2019" s="377"/>
      <c r="J2019" s="369"/>
    </row>
    <row r="2020" spans="1:10" x14ac:dyDescent="0.25">
      <c r="A2020" s="350"/>
      <c r="B2020" s="370" t="s">
        <v>11891</v>
      </c>
      <c r="C2020" s="352"/>
      <c r="D2020" s="376"/>
      <c r="E2020" s="376"/>
      <c r="F2020" s="376"/>
      <c r="G2020" s="370"/>
      <c r="H2020" s="376"/>
      <c r="I2020" s="377"/>
      <c r="J2020" s="369"/>
    </row>
    <row r="2021" spans="1:10" ht="15.75" thickBot="1" x14ac:dyDescent="0.3">
      <c r="A2021" s="350"/>
      <c r="B2021" s="370"/>
      <c r="C2021" s="352"/>
      <c r="D2021" s="376"/>
      <c r="E2021" s="376"/>
      <c r="F2021" s="376"/>
      <c r="G2021" s="370"/>
      <c r="H2021" s="376"/>
      <c r="I2021" s="377"/>
      <c r="J2021" s="369"/>
    </row>
    <row r="2022" spans="1:10" s="40" customFormat="1" ht="15.75" thickBot="1" x14ac:dyDescent="0.3">
      <c r="A2022" s="46" t="s">
        <v>12153</v>
      </c>
      <c r="B2022" s="60" t="str">
        <f>VLOOKUP(A2022,PO!$A$8:$K$433,4,FALSE)</f>
        <v>Interruptor simples (2 módulos), 10A/250V, incluindo suporte e placa - fornecimento e instalação</v>
      </c>
      <c r="C2022" s="47"/>
      <c r="D2022" s="48"/>
      <c r="E2022" s="47"/>
      <c r="F2022" s="49"/>
      <c r="G2022" s="50"/>
      <c r="H2022" s="50"/>
      <c r="I2022" s="50">
        <f>SUM(H2025:H2025)</f>
        <v>2</v>
      </c>
      <c r="J2022" s="284" t="str">
        <f>VLOOKUP(A2022,PO!$A$8:$K$433,5,FALSE)</f>
        <v>unid.</v>
      </c>
    </row>
    <row r="2023" spans="1:10" x14ac:dyDescent="0.25">
      <c r="A2023" s="350"/>
      <c r="B2023" s="370"/>
      <c r="C2023" s="352"/>
      <c r="D2023" s="376"/>
      <c r="E2023" s="376"/>
      <c r="F2023" s="376"/>
      <c r="G2023" s="370"/>
      <c r="H2023" s="376"/>
      <c r="I2023" s="377"/>
      <c r="J2023" s="369"/>
    </row>
    <row r="2024" spans="1:10" x14ac:dyDescent="0.25">
      <c r="A2024" s="350"/>
      <c r="B2024" s="360" t="s">
        <v>10886</v>
      </c>
      <c r="C2024" s="352"/>
      <c r="D2024" s="406" t="s">
        <v>10927</v>
      </c>
      <c r="E2024" s="376"/>
      <c r="F2024" s="376"/>
      <c r="G2024" s="370"/>
      <c r="H2024" s="363" t="s">
        <v>14</v>
      </c>
      <c r="I2024" s="363" t="s">
        <v>15</v>
      </c>
      <c r="J2024" s="369"/>
    </row>
    <row r="2025" spans="1:10" x14ac:dyDescent="0.25">
      <c r="A2025" s="350"/>
      <c r="B2025" s="370" t="s">
        <v>11890</v>
      </c>
      <c r="C2025" s="352"/>
      <c r="D2025" s="376">
        <v>2</v>
      </c>
      <c r="E2025" s="376"/>
      <c r="F2025" s="376"/>
      <c r="G2025" s="370" t="s">
        <v>16</v>
      </c>
      <c r="H2025" s="376">
        <f>ROUND(D2025,2)</f>
        <v>2</v>
      </c>
      <c r="I2025" s="377" t="str">
        <f>J2022</f>
        <v>unid.</v>
      </c>
      <c r="J2025" s="369"/>
    </row>
    <row r="2026" spans="1:10" x14ac:dyDescent="0.25">
      <c r="A2026" s="350"/>
      <c r="B2026" s="370"/>
      <c r="C2026" s="352"/>
      <c r="D2026" s="376"/>
      <c r="E2026" s="376"/>
      <c r="F2026" s="376"/>
      <c r="G2026" s="370"/>
      <c r="H2026" s="376"/>
      <c r="I2026" s="377"/>
      <c r="J2026" s="369"/>
    </row>
    <row r="2027" spans="1:10" x14ac:dyDescent="0.25">
      <c r="A2027" s="350"/>
      <c r="B2027" s="370" t="s">
        <v>11891</v>
      </c>
      <c r="C2027" s="352"/>
      <c r="D2027" s="376"/>
      <c r="E2027" s="376"/>
      <c r="F2027" s="376"/>
      <c r="G2027" s="370"/>
      <c r="H2027" s="376"/>
      <c r="I2027" s="377"/>
      <c r="J2027" s="369"/>
    </row>
    <row r="2028" spans="1:10" ht="15.75" thickBot="1" x14ac:dyDescent="0.3">
      <c r="A2028" s="350"/>
      <c r="B2028" s="370"/>
      <c r="C2028" s="352"/>
      <c r="D2028" s="376"/>
      <c r="E2028" s="376"/>
      <c r="F2028" s="376"/>
      <c r="G2028" s="370"/>
      <c r="H2028" s="376"/>
      <c r="I2028" s="377"/>
      <c r="J2028" s="369"/>
    </row>
    <row r="2029" spans="1:10" s="40" customFormat="1" ht="15.75" thickBot="1" x14ac:dyDescent="0.3">
      <c r="A2029" s="46" t="s">
        <v>12154</v>
      </c>
      <c r="B2029" s="60" t="str">
        <f>VLOOKUP(A2029,PO!$A$8:$K$433,4,FALSE)</f>
        <v>Interruptor simples (3 módulos), 10A/250V, incluindo suporte e placa - fornecimento e instalação</v>
      </c>
      <c r="C2029" s="47"/>
      <c r="D2029" s="48"/>
      <c r="E2029" s="47"/>
      <c r="F2029" s="49"/>
      <c r="G2029" s="50"/>
      <c r="H2029" s="50"/>
      <c r="I2029" s="50">
        <f>SUM(H2032:H2032)</f>
        <v>1</v>
      </c>
      <c r="J2029" s="284" t="str">
        <f>VLOOKUP(A2029,PO!$A$8:$K$433,5,FALSE)</f>
        <v>unid.</v>
      </c>
    </row>
    <row r="2030" spans="1:10" x14ac:dyDescent="0.25">
      <c r="A2030" s="350"/>
      <c r="B2030" s="370"/>
      <c r="C2030" s="352"/>
      <c r="D2030" s="376"/>
      <c r="E2030" s="376"/>
      <c r="F2030" s="376"/>
      <c r="G2030" s="370"/>
      <c r="H2030" s="376"/>
      <c r="I2030" s="377"/>
      <c r="J2030" s="369"/>
    </row>
    <row r="2031" spans="1:10" x14ac:dyDescent="0.25">
      <c r="A2031" s="350"/>
      <c r="B2031" s="360" t="s">
        <v>10886</v>
      </c>
      <c r="C2031" s="352"/>
      <c r="D2031" s="406" t="s">
        <v>10927</v>
      </c>
      <c r="E2031" s="376"/>
      <c r="F2031" s="376"/>
      <c r="G2031" s="370"/>
      <c r="H2031" s="363" t="s">
        <v>14</v>
      </c>
      <c r="I2031" s="363" t="s">
        <v>15</v>
      </c>
      <c r="J2031" s="369"/>
    </row>
    <row r="2032" spans="1:10" x14ac:dyDescent="0.25">
      <c r="A2032" s="350"/>
      <c r="B2032" s="370" t="s">
        <v>11890</v>
      </c>
      <c r="C2032" s="352"/>
      <c r="D2032" s="376">
        <v>1</v>
      </c>
      <c r="E2032" s="376"/>
      <c r="F2032" s="376"/>
      <c r="G2032" s="370" t="s">
        <v>16</v>
      </c>
      <c r="H2032" s="376">
        <f>ROUND(D2032,2)</f>
        <v>1</v>
      </c>
      <c r="I2032" s="377" t="str">
        <f>J2029</f>
        <v>unid.</v>
      </c>
      <c r="J2032" s="369"/>
    </row>
    <row r="2033" spans="1:10" x14ac:dyDescent="0.25">
      <c r="A2033" s="350"/>
      <c r="B2033" s="370"/>
      <c r="C2033" s="352"/>
      <c r="D2033" s="376"/>
      <c r="E2033" s="376"/>
      <c r="F2033" s="376"/>
      <c r="G2033" s="370"/>
      <c r="H2033" s="376"/>
      <c r="I2033" s="377"/>
      <c r="J2033" s="369"/>
    </row>
    <row r="2034" spans="1:10" x14ac:dyDescent="0.25">
      <c r="A2034" s="350"/>
      <c r="B2034" s="370" t="s">
        <v>11891</v>
      </c>
      <c r="C2034" s="352"/>
      <c r="D2034" s="376"/>
      <c r="E2034" s="376"/>
      <c r="F2034" s="376"/>
      <c r="G2034" s="370"/>
      <c r="H2034" s="376"/>
      <c r="I2034" s="377"/>
      <c r="J2034" s="369"/>
    </row>
    <row r="2035" spans="1:10" ht="15.75" thickBot="1" x14ac:dyDescent="0.3">
      <c r="A2035" s="350"/>
      <c r="B2035" s="370"/>
      <c r="C2035" s="352"/>
      <c r="D2035" s="376"/>
      <c r="E2035" s="376"/>
      <c r="F2035" s="376"/>
      <c r="G2035" s="370"/>
      <c r="H2035" s="376"/>
      <c r="I2035" s="377"/>
      <c r="J2035" s="369"/>
    </row>
    <row r="2036" spans="1:10" s="40" customFormat="1" ht="15.75" thickBot="1" x14ac:dyDescent="0.3">
      <c r="A2036" s="46" t="s">
        <v>12155</v>
      </c>
      <c r="B2036" s="60" t="str">
        <f>VLOOKUP(A2036,PO!$A$8:$K$433,4,FALSE)</f>
        <v>Interruptor paralelo (3 módulos), 10a/250V, incluindo suporte e placa - fornecimento e instalação.</v>
      </c>
      <c r="C2036" s="47"/>
      <c r="D2036" s="48"/>
      <c r="E2036" s="47"/>
      <c r="F2036" s="49"/>
      <c r="G2036" s="50"/>
      <c r="H2036" s="50"/>
      <c r="I2036" s="50">
        <f>SUM(H2039:H2039)</f>
        <v>4</v>
      </c>
      <c r="J2036" s="284" t="str">
        <f>VLOOKUP(A2036,PO!$A$8:$K$433,5,FALSE)</f>
        <v>unid.</v>
      </c>
    </row>
    <row r="2037" spans="1:10" x14ac:dyDescent="0.25">
      <c r="A2037" s="350"/>
      <c r="B2037" s="370"/>
      <c r="C2037" s="352"/>
      <c r="D2037" s="376"/>
      <c r="E2037" s="376"/>
      <c r="F2037" s="376"/>
      <c r="G2037" s="370"/>
      <c r="H2037" s="376"/>
      <c r="I2037" s="377"/>
      <c r="J2037" s="369"/>
    </row>
    <row r="2038" spans="1:10" x14ac:dyDescent="0.25">
      <c r="A2038" s="350"/>
      <c r="B2038" s="360" t="s">
        <v>10886</v>
      </c>
      <c r="C2038" s="352"/>
      <c r="D2038" s="406" t="s">
        <v>10927</v>
      </c>
      <c r="E2038" s="376"/>
      <c r="F2038" s="376"/>
      <c r="G2038" s="370"/>
      <c r="H2038" s="363" t="s">
        <v>14</v>
      </c>
      <c r="I2038" s="363" t="s">
        <v>15</v>
      </c>
      <c r="J2038" s="369"/>
    </row>
    <row r="2039" spans="1:10" x14ac:dyDescent="0.25">
      <c r="A2039" s="350"/>
      <c r="B2039" s="370" t="s">
        <v>11890</v>
      </c>
      <c r="C2039" s="352"/>
      <c r="D2039" s="376">
        <v>4</v>
      </c>
      <c r="E2039" s="376"/>
      <c r="F2039" s="376"/>
      <c r="G2039" s="370" t="s">
        <v>16</v>
      </c>
      <c r="H2039" s="376">
        <f>ROUND(D2039,2)</f>
        <v>4</v>
      </c>
      <c r="I2039" s="377" t="str">
        <f>J2036</f>
        <v>unid.</v>
      </c>
      <c r="J2039" s="369"/>
    </row>
    <row r="2040" spans="1:10" x14ac:dyDescent="0.25">
      <c r="A2040" s="350"/>
      <c r="B2040" s="370"/>
      <c r="C2040" s="352"/>
      <c r="D2040" s="376"/>
      <c r="E2040" s="376"/>
      <c r="F2040" s="376"/>
      <c r="G2040" s="370"/>
      <c r="H2040" s="376"/>
      <c r="I2040" s="377"/>
      <c r="J2040" s="369"/>
    </row>
    <row r="2041" spans="1:10" x14ac:dyDescent="0.25">
      <c r="A2041" s="350"/>
      <c r="B2041" s="370" t="s">
        <v>11891</v>
      </c>
      <c r="C2041" s="352"/>
      <c r="D2041" s="376"/>
      <c r="E2041" s="376"/>
      <c r="F2041" s="376"/>
      <c r="G2041" s="370"/>
      <c r="H2041" s="376"/>
      <c r="I2041" s="377"/>
      <c r="J2041" s="369"/>
    </row>
    <row r="2042" spans="1:10" ht="15.75" thickBot="1" x14ac:dyDescent="0.3">
      <c r="A2042" s="350"/>
      <c r="B2042" s="370"/>
      <c r="C2042" s="352"/>
      <c r="D2042" s="376"/>
      <c r="E2042" s="376"/>
      <c r="F2042" s="376"/>
      <c r="G2042" s="370"/>
      <c r="H2042" s="376"/>
      <c r="I2042" s="377"/>
      <c r="J2042" s="369"/>
    </row>
    <row r="2043" spans="1:10" s="40" customFormat="1" ht="15.75" thickBot="1" x14ac:dyDescent="0.3">
      <c r="A2043" s="46" t="s">
        <v>12156</v>
      </c>
      <c r="B2043" s="60" t="str">
        <f>VLOOKUP(A2043,PO!$A$8:$K$433,4,FALSE)</f>
        <v>Interruptor simples (1 módulo) com 1 tomada de embutir 2P+T 10 a, incluindo suporte e placa - fornecimento e instalação.</v>
      </c>
      <c r="C2043" s="47"/>
      <c r="D2043" s="48"/>
      <c r="E2043" s="47"/>
      <c r="F2043" s="49"/>
      <c r="G2043" s="50"/>
      <c r="H2043" s="50"/>
      <c r="I2043" s="50">
        <f>SUM(H2046:H2046)</f>
        <v>3</v>
      </c>
      <c r="J2043" s="284" t="str">
        <f>VLOOKUP(A2043,PO!$A$8:$K$433,5,FALSE)</f>
        <v>unid.</v>
      </c>
    </row>
    <row r="2044" spans="1:10" x14ac:dyDescent="0.25">
      <c r="A2044" s="350"/>
      <c r="B2044" s="370"/>
      <c r="C2044" s="352"/>
      <c r="D2044" s="376"/>
      <c r="E2044" s="376"/>
      <c r="F2044" s="376"/>
      <c r="G2044" s="370"/>
      <c r="H2044" s="376"/>
      <c r="I2044" s="377"/>
      <c r="J2044" s="369"/>
    </row>
    <row r="2045" spans="1:10" x14ac:dyDescent="0.25">
      <c r="A2045" s="350"/>
      <c r="B2045" s="360" t="s">
        <v>10886</v>
      </c>
      <c r="C2045" s="352"/>
      <c r="D2045" s="406" t="s">
        <v>10927</v>
      </c>
      <c r="E2045" s="376"/>
      <c r="F2045" s="376"/>
      <c r="G2045" s="370"/>
      <c r="H2045" s="363" t="s">
        <v>14</v>
      </c>
      <c r="I2045" s="363" t="s">
        <v>15</v>
      </c>
      <c r="J2045" s="369"/>
    </row>
    <row r="2046" spans="1:10" x14ac:dyDescent="0.25">
      <c r="A2046" s="350"/>
      <c r="B2046" s="370" t="s">
        <v>11890</v>
      </c>
      <c r="C2046" s="352"/>
      <c r="D2046" s="376">
        <v>3</v>
      </c>
      <c r="E2046" s="376"/>
      <c r="F2046" s="376"/>
      <c r="G2046" s="370" t="s">
        <v>16</v>
      </c>
      <c r="H2046" s="376">
        <f>ROUND(D2046,2)</f>
        <v>3</v>
      </c>
      <c r="I2046" s="377" t="str">
        <f>J2043</f>
        <v>unid.</v>
      </c>
      <c r="J2046" s="369"/>
    </row>
    <row r="2047" spans="1:10" x14ac:dyDescent="0.25">
      <c r="A2047" s="350"/>
      <c r="B2047" s="370"/>
      <c r="C2047" s="352"/>
      <c r="D2047" s="376"/>
      <c r="E2047" s="376"/>
      <c r="F2047" s="376"/>
      <c r="G2047" s="370"/>
      <c r="H2047" s="376"/>
      <c r="I2047" s="377"/>
      <c r="J2047" s="369"/>
    </row>
    <row r="2048" spans="1:10" x14ac:dyDescent="0.25">
      <c r="A2048" s="350"/>
      <c r="B2048" s="370" t="s">
        <v>11891</v>
      </c>
      <c r="C2048" s="352"/>
      <c r="D2048" s="376"/>
      <c r="E2048" s="376"/>
      <c r="F2048" s="376"/>
      <c r="G2048" s="370"/>
      <c r="H2048" s="376"/>
      <c r="I2048" s="377"/>
      <c r="J2048" s="369"/>
    </row>
    <row r="2049" spans="1:10" ht="15.75" thickBot="1" x14ac:dyDescent="0.3">
      <c r="A2049" s="350"/>
      <c r="B2049" s="370"/>
      <c r="C2049" s="352"/>
      <c r="D2049" s="376"/>
      <c r="E2049" s="376"/>
      <c r="F2049" s="376"/>
      <c r="G2049" s="370"/>
      <c r="H2049" s="376"/>
      <c r="I2049" s="377"/>
      <c r="J2049" s="369"/>
    </row>
    <row r="2050" spans="1:10" s="40" customFormat="1" ht="15.75" thickBot="1" x14ac:dyDescent="0.3">
      <c r="A2050" s="46" t="s">
        <v>12157</v>
      </c>
      <c r="B2050" s="60" t="str">
        <f>VLOOKUP(A2050,PO!$A$8:$K$433,4,FALSE)</f>
        <v>Tomada baixa de embutir (1 módulo), 2P+T 10 A, incluindo suporte e placa - fornecimento e instalação.</v>
      </c>
      <c r="C2050" s="47"/>
      <c r="D2050" s="48"/>
      <c r="E2050" s="47"/>
      <c r="F2050" s="49"/>
      <c r="G2050" s="50"/>
      <c r="H2050" s="50"/>
      <c r="I2050" s="50">
        <f>SUM(H2053:H2053)</f>
        <v>23</v>
      </c>
      <c r="J2050" s="284" t="str">
        <f>VLOOKUP(A2050,PO!$A$8:$K$433,5,FALSE)</f>
        <v>unid.</v>
      </c>
    </row>
    <row r="2051" spans="1:10" x14ac:dyDescent="0.25">
      <c r="A2051" s="350"/>
      <c r="B2051" s="370"/>
      <c r="C2051" s="352"/>
      <c r="D2051" s="376"/>
      <c r="E2051" s="376"/>
      <c r="F2051" s="376"/>
      <c r="G2051" s="370"/>
      <c r="H2051" s="376"/>
      <c r="I2051" s="377"/>
      <c r="J2051" s="369"/>
    </row>
    <row r="2052" spans="1:10" x14ac:dyDescent="0.25">
      <c r="A2052" s="350"/>
      <c r="B2052" s="360" t="s">
        <v>10886</v>
      </c>
      <c r="C2052" s="352"/>
      <c r="D2052" s="406" t="s">
        <v>10927</v>
      </c>
      <c r="E2052" s="376"/>
      <c r="F2052" s="376"/>
      <c r="G2052" s="370"/>
      <c r="H2052" s="363" t="s">
        <v>14</v>
      </c>
      <c r="I2052" s="363" t="s">
        <v>15</v>
      </c>
      <c r="J2052" s="369"/>
    </row>
    <row r="2053" spans="1:10" x14ac:dyDescent="0.25">
      <c r="A2053" s="350"/>
      <c r="B2053" s="370" t="s">
        <v>11890</v>
      </c>
      <c r="C2053" s="352"/>
      <c r="D2053" s="376">
        <v>23</v>
      </c>
      <c r="E2053" s="376"/>
      <c r="F2053" s="376"/>
      <c r="G2053" s="370" t="s">
        <v>16</v>
      </c>
      <c r="H2053" s="376">
        <f>ROUND(D2053,2)</f>
        <v>23</v>
      </c>
      <c r="I2053" s="377" t="str">
        <f>J2050</f>
        <v>unid.</v>
      </c>
      <c r="J2053" s="369"/>
    </row>
    <row r="2054" spans="1:10" x14ac:dyDescent="0.25">
      <c r="A2054" s="350"/>
      <c r="B2054" s="370"/>
      <c r="C2054" s="352"/>
      <c r="D2054" s="376"/>
      <c r="E2054" s="376"/>
      <c r="F2054" s="376"/>
      <c r="G2054" s="370"/>
      <c r="H2054" s="376"/>
      <c r="I2054" s="377"/>
      <c r="J2054" s="369"/>
    </row>
    <row r="2055" spans="1:10" x14ac:dyDescent="0.25">
      <c r="A2055" s="350"/>
      <c r="B2055" s="370" t="s">
        <v>11891</v>
      </c>
      <c r="C2055" s="352"/>
      <c r="D2055" s="376"/>
      <c r="E2055" s="376"/>
      <c r="F2055" s="376"/>
      <c r="G2055" s="370"/>
      <c r="H2055" s="376"/>
      <c r="I2055" s="377"/>
      <c r="J2055" s="369"/>
    </row>
    <row r="2056" spans="1:10" ht="15.75" thickBot="1" x14ac:dyDescent="0.3">
      <c r="A2056" s="350"/>
      <c r="B2056" s="370"/>
      <c r="C2056" s="352"/>
      <c r="D2056" s="376"/>
      <c r="E2056" s="376"/>
      <c r="F2056" s="376"/>
      <c r="G2056" s="370"/>
      <c r="H2056" s="376"/>
      <c r="I2056" s="377"/>
      <c r="J2056" s="369"/>
    </row>
    <row r="2057" spans="1:10" s="40" customFormat="1" ht="15.75" thickBot="1" x14ac:dyDescent="0.3">
      <c r="A2057" s="46" t="s">
        <v>12158</v>
      </c>
      <c r="B2057" s="60" t="str">
        <f>VLOOKUP(A2057,PO!$A$8:$K$433,4,FALSE)</f>
        <v>Tomada baixa de embutir (2 módulos), 2P+T 10 A, incluindo suporte e placa - fornecimento e instalação.</v>
      </c>
      <c r="C2057" s="47"/>
      <c r="D2057" s="48"/>
      <c r="E2057" s="47"/>
      <c r="F2057" s="49"/>
      <c r="G2057" s="50"/>
      <c r="H2057" s="50"/>
      <c r="I2057" s="50">
        <f>SUM(H2060:H2060)</f>
        <v>21</v>
      </c>
      <c r="J2057" s="284" t="str">
        <f>VLOOKUP(A2057,PO!$A$8:$K$433,5,FALSE)</f>
        <v>unid.</v>
      </c>
    </row>
    <row r="2058" spans="1:10" x14ac:dyDescent="0.25">
      <c r="A2058" s="350"/>
      <c r="B2058" s="370"/>
      <c r="C2058" s="352"/>
      <c r="D2058" s="376"/>
      <c r="E2058" s="376"/>
      <c r="F2058" s="376"/>
      <c r="G2058" s="370"/>
      <c r="H2058" s="376"/>
      <c r="I2058" s="377"/>
      <c r="J2058" s="369"/>
    </row>
    <row r="2059" spans="1:10" x14ac:dyDescent="0.25">
      <c r="A2059" s="350"/>
      <c r="B2059" s="360" t="s">
        <v>10886</v>
      </c>
      <c r="C2059" s="352"/>
      <c r="D2059" s="406" t="s">
        <v>10927</v>
      </c>
      <c r="E2059" s="376"/>
      <c r="F2059" s="376"/>
      <c r="G2059" s="370"/>
      <c r="H2059" s="363" t="s">
        <v>14</v>
      </c>
      <c r="I2059" s="363" t="s">
        <v>15</v>
      </c>
      <c r="J2059" s="369"/>
    </row>
    <row r="2060" spans="1:10" x14ac:dyDescent="0.25">
      <c r="A2060" s="350"/>
      <c r="B2060" s="370" t="s">
        <v>11890</v>
      </c>
      <c r="C2060" s="352"/>
      <c r="D2060" s="376">
        <v>21</v>
      </c>
      <c r="E2060" s="376"/>
      <c r="F2060" s="376"/>
      <c r="G2060" s="370" t="s">
        <v>16</v>
      </c>
      <c r="H2060" s="376">
        <f>ROUND(D2060,2)</f>
        <v>21</v>
      </c>
      <c r="I2060" s="377" t="str">
        <f>J2057</f>
        <v>unid.</v>
      </c>
      <c r="J2060" s="369"/>
    </row>
    <row r="2061" spans="1:10" x14ac:dyDescent="0.25">
      <c r="A2061" s="350"/>
      <c r="B2061" s="370"/>
      <c r="C2061" s="352"/>
      <c r="D2061" s="376"/>
      <c r="E2061" s="376"/>
      <c r="F2061" s="376"/>
      <c r="G2061" s="370"/>
      <c r="H2061" s="376"/>
      <c r="I2061" s="377"/>
      <c r="J2061" s="369"/>
    </row>
    <row r="2062" spans="1:10" x14ac:dyDescent="0.25">
      <c r="A2062" s="350"/>
      <c r="B2062" s="370" t="s">
        <v>11891</v>
      </c>
      <c r="C2062" s="352"/>
      <c r="D2062" s="376"/>
      <c r="E2062" s="376"/>
      <c r="F2062" s="376"/>
      <c r="G2062" s="370"/>
      <c r="H2062" s="376"/>
      <c r="I2062" s="377"/>
      <c r="J2062" s="369"/>
    </row>
    <row r="2063" spans="1:10" ht="15.75" thickBot="1" x14ac:dyDescent="0.3">
      <c r="A2063" s="350"/>
      <c r="B2063" s="370"/>
      <c r="C2063" s="352"/>
      <c r="D2063" s="376"/>
      <c r="E2063" s="376"/>
      <c r="F2063" s="376"/>
      <c r="G2063" s="370"/>
      <c r="H2063" s="376"/>
      <c r="I2063" s="377"/>
      <c r="J2063" s="369"/>
    </row>
    <row r="2064" spans="1:10" s="40" customFormat="1" ht="15.75" thickBot="1" x14ac:dyDescent="0.3">
      <c r="A2064" s="46" t="s">
        <v>12159</v>
      </c>
      <c r="B2064" s="60" t="str">
        <f>VLOOKUP(A2064,PO!$A$8:$K$433,4,FALSE)</f>
        <v>Tomada baixa de embutir (3 módulos), 2P+T 10 A, incluindo suporte e placa - fornecimento e instalação.</v>
      </c>
      <c r="C2064" s="47"/>
      <c r="D2064" s="48"/>
      <c r="E2064" s="47"/>
      <c r="F2064" s="49"/>
      <c r="G2064" s="50"/>
      <c r="H2064" s="50"/>
      <c r="I2064" s="50">
        <f>SUM(H2067:H2067)</f>
        <v>5</v>
      </c>
      <c r="J2064" s="284" t="str">
        <f>VLOOKUP(A2064,PO!$A$8:$K$433,5,FALSE)</f>
        <v>unid.</v>
      </c>
    </row>
    <row r="2065" spans="1:10" x14ac:dyDescent="0.25">
      <c r="A2065" s="350"/>
      <c r="B2065" s="370"/>
      <c r="C2065" s="352"/>
      <c r="D2065" s="376"/>
      <c r="E2065" s="376"/>
      <c r="F2065" s="376"/>
      <c r="G2065" s="370"/>
      <c r="H2065" s="376"/>
      <c r="I2065" s="377"/>
      <c r="J2065" s="369"/>
    </row>
    <row r="2066" spans="1:10" x14ac:dyDescent="0.25">
      <c r="A2066" s="350"/>
      <c r="B2066" s="360" t="s">
        <v>10886</v>
      </c>
      <c r="C2066" s="352"/>
      <c r="D2066" s="406" t="s">
        <v>10927</v>
      </c>
      <c r="E2066" s="376"/>
      <c r="F2066" s="376"/>
      <c r="G2066" s="370"/>
      <c r="H2066" s="363" t="s">
        <v>14</v>
      </c>
      <c r="I2066" s="363" t="s">
        <v>15</v>
      </c>
      <c r="J2066" s="369"/>
    </row>
    <row r="2067" spans="1:10" x14ac:dyDescent="0.25">
      <c r="A2067" s="350"/>
      <c r="B2067" s="370" t="s">
        <v>11890</v>
      </c>
      <c r="C2067" s="352"/>
      <c r="D2067" s="376">
        <f>F1985+F1990+F1995</f>
        <v>5</v>
      </c>
      <c r="E2067" s="376"/>
      <c r="F2067" s="376"/>
      <c r="G2067" s="370" t="s">
        <v>16</v>
      </c>
      <c r="H2067" s="376">
        <f>ROUND(D2067,2)</f>
        <v>5</v>
      </c>
      <c r="I2067" s="377" t="str">
        <f>J2064</f>
        <v>unid.</v>
      </c>
      <c r="J2067" s="369"/>
    </row>
    <row r="2068" spans="1:10" x14ac:dyDescent="0.25">
      <c r="A2068" s="350"/>
      <c r="B2068" s="370"/>
      <c r="C2068" s="352"/>
      <c r="D2068" s="376"/>
      <c r="E2068" s="376"/>
      <c r="F2068" s="376"/>
      <c r="G2068" s="370"/>
      <c r="H2068" s="376"/>
      <c r="I2068" s="377"/>
      <c r="J2068" s="369"/>
    </row>
    <row r="2069" spans="1:10" x14ac:dyDescent="0.25">
      <c r="A2069" s="350"/>
      <c r="B2069" s="370" t="s">
        <v>11891</v>
      </c>
      <c r="C2069" s="352"/>
      <c r="D2069" s="376"/>
      <c r="E2069" s="376"/>
      <c r="F2069" s="376"/>
      <c r="G2069" s="370"/>
      <c r="H2069" s="376"/>
      <c r="I2069" s="377"/>
      <c r="J2069" s="369"/>
    </row>
    <row r="2070" spans="1:10" ht="15.75" thickBot="1" x14ac:dyDescent="0.3">
      <c r="A2070" s="350"/>
      <c r="B2070" s="370"/>
      <c r="C2070" s="352"/>
      <c r="D2070" s="376"/>
      <c r="E2070" s="376"/>
      <c r="F2070" s="376"/>
      <c r="G2070" s="370"/>
      <c r="H2070" s="376"/>
      <c r="I2070" s="377"/>
      <c r="J2070" s="369"/>
    </row>
    <row r="2071" spans="1:10" s="40" customFormat="1" ht="15.75" thickBot="1" x14ac:dyDescent="0.3">
      <c r="A2071" s="46" t="s">
        <v>12160</v>
      </c>
      <c r="B2071" s="60" t="str">
        <f>VLOOKUP(A2071,PO!$A$8:$K$433,4,FALSE)</f>
        <v>Tomada alta de embutir (1 módulo), 2P+T 10 A, incluindo suporte e placa - fornecimento e instalação.</v>
      </c>
      <c r="C2071" s="47"/>
      <c r="D2071" s="48"/>
      <c r="E2071" s="47"/>
      <c r="F2071" s="49"/>
      <c r="G2071" s="50"/>
      <c r="H2071" s="50"/>
      <c r="I2071" s="50">
        <f>SUM(H2074:H2074)</f>
        <v>5</v>
      </c>
      <c r="J2071" s="284" t="str">
        <f>VLOOKUP(A2071,PO!$A$8:$K$433,5,FALSE)</f>
        <v>unid.</v>
      </c>
    </row>
    <row r="2072" spans="1:10" x14ac:dyDescent="0.25">
      <c r="A2072" s="350"/>
      <c r="B2072" s="370"/>
      <c r="C2072" s="352"/>
      <c r="D2072" s="376"/>
      <c r="E2072" s="376"/>
      <c r="F2072" s="376"/>
      <c r="G2072" s="370"/>
      <c r="H2072" s="376"/>
      <c r="I2072" s="377"/>
      <c r="J2072" s="369"/>
    </row>
    <row r="2073" spans="1:10" x14ac:dyDescent="0.25">
      <c r="A2073" s="350"/>
      <c r="B2073" s="360" t="s">
        <v>10886</v>
      </c>
      <c r="C2073" s="352"/>
      <c r="D2073" s="406" t="s">
        <v>10927</v>
      </c>
      <c r="E2073" s="376"/>
      <c r="F2073" s="376"/>
      <c r="G2073" s="370"/>
      <c r="H2073" s="363" t="s">
        <v>14</v>
      </c>
      <c r="I2073" s="363" t="s">
        <v>15</v>
      </c>
      <c r="J2073" s="369"/>
    </row>
    <row r="2074" spans="1:10" x14ac:dyDescent="0.25">
      <c r="A2074" s="350"/>
      <c r="B2074" s="370" t="s">
        <v>11890</v>
      </c>
      <c r="C2074" s="352"/>
      <c r="D2074" s="376">
        <f>I1968</f>
        <v>5</v>
      </c>
      <c r="E2074" s="376"/>
      <c r="F2074" s="376"/>
      <c r="G2074" s="370" t="s">
        <v>16</v>
      </c>
      <c r="H2074" s="376">
        <f>ROUND(D2074,2)</f>
        <v>5</v>
      </c>
      <c r="I2074" s="377" t="str">
        <f>J2071</f>
        <v>unid.</v>
      </c>
      <c r="J2074" s="369"/>
    </row>
    <row r="2075" spans="1:10" x14ac:dyDescent="0.25">
      <c r="A2075" s="350"/>
      <c r="B2075" s="370"/>
      <c r="C2075" s="352"/>
      <c r="D2075" s="376"/>
      <c r="E2075" s="376"/>
      <c r="F2075" s="376"/>
      <c r="G2075" s="370"/>
      <c r="H2075" s="376"/>
      <c r="I2075" s="377"/>
      <c r="J2075" s="369"/>
    </row>
    <row r="2076" spans="1:10" x14ac:dyDescent="0.25">
      <c r="A2076" s="350"/>
      <c r="B2076" s="370" t="s">
        <v>11891</v>
      </c>
      <c r="C2076" s="352"/>
      <c r="D2076" s="376"/>
      <c r="E2076" s="376"/>
      <c r="F2076" s="376"/>
      <c r="G2076" s="370"/>
      <c r="H2076" s="376"/>
      <c r="I2076" s="377"/>
      <c r="J2076" s="369"/>
    </row>
    <row r="2077" spans="1:10" ht="15.75" thickBot="1" x14ac:dyDescent="0.3">
      <c r="A2077" s="350"/>
      <c r="B2077" s="370"/>
      <c r="C2077" s="352"/>
      <c r="D2077" s="376"/>
      <c r="E2077" s="376"/>
      <c r="F2077" s="376"/>
      <c r="G2077" s="370"/>
      <c r="H2077" s="376"/>
      <c r="I2077" s="377"/>
      <c r="J2077" s="369"/>
    </row>
    <row r="2078" spans="1:10" s="40" customFormat="1" ht="15.75" thickBot="1" x14ac:dyDescent="0.3">
      <c r="A2078" s="46" t="s">
        <v>12161</v>
      </c>
      <c r="B2078" s="60" t="str">
        <f>VLOOKUP(A2078,PO!$A$8:$K$433,4,FALSE)</f>
        <v>Tomada de sobrepor (1 módulo), 2P+T 10 A, incluindo suporte e placa - fornecimento e instalação.</v>
      </c>
      <c r="C2078" s="47"/>
      <c r="D2078" s="48"/>
      <c r="E2078" s="47"/>
      <c r="F2078" s="49"/>
      <c r="G2078" s="50"/>
      <c r="H2078" s="50"/>
      <c r="I2078" s="50">
        <f>SUM(H2081:H2081)</f>
        <v>2</v>
      </c>
      <c r="J2078" s="284" t="str">
        <f>VLOOKUP(A2078,PO!$A$8:$K$433,5,FALSE)</f>
        <v>unid.</v>
      </c>
    </row>
    <row r="2079" spans="1:10" x14ac:dyDescent="0.25">
      <c r="A2079" s="350"/>
      <c r="B2079" s="370"/>
      <c r="C2079" s="352"/>
      <c r="D2079" s="376"/>
      <c r="E2079" s="376"/>
      <c r="F2079" s="376"/>
      <c r="G2079" s="370"/>
      <c r="H2079" s="376"/>
      <c r="I2079" s="377"/>
      <c r="J2079" s="369"/>
    </row>
    <row r="2080" spans="1:10" x14ac:dyDescent="0.25">
      <c r="A2080" s="350"/>
      <c r="B2080" s="360" t="s">
        <v>10886</v>
      </c>
      <c r="C2080" s="352"/>
      <c r="D2080" s="406" t="s">
        <v>10927</v>
      </c>
      <c r="E2080" s="376"/>
      <c r="F2080" s="376"/>
      <c r="G2080" s="370"/>
      <c r="H2080" s="363" t="s">
        <v>14</v>
      </c>
      <c r="I2080" s="363" t="s">
        <v>15</v>
      </c>
      <c r="J2080" s="369"/>
    </row>
    <row r="2081" spans="1:10" x14ac:dyDescent="0.25">
      <c r="A2081" s="350"/>
      <c r="B2081" s="370" t="s">
        <v>11890</v>
      </c>
      <c r="C2081" s="352"/>
      <c r="D2081" s="376">
        <v>2</v>
      </c>
      <c r="E2081" s="376"/>
      <c r="F2081" s="376"/>
      <c r="G2081" s="370" t="s">
        <v>16</v>
      </c>
      <c r="H2081" s="376">
        <f>ROUND(D2081,2)</f>
        <v>2</v>
      </c>
      <c r="I2081" s="377" t="str">
        <f>J2078</f>
        <v>unid.</v>
      </c>
      <c r="J2081" s="369"/>
    </row>
    <row r="2082" spans="1:10" x14ac:dyDescent="0.25">
      <c r="A2082" s="350"/>
      <c r="B2082" s="370"/>
      <c r="C2082" s="352"/>
      <c r="D2082" s="376"/>
      <c r="E2082" s="376"/>
      <c r="F2082" s="376"/>
      <c r="G2082" s="370"/>
      <c r="H2082" s="376"/>
      <c r="I2082" s="377"/>
      <c r="J2082" s="369"/>
    </row>
    <row r="2083" spans="1:10" x14ac:dyDescent="0.25">
      <c r="A2083" s="350"/>
      <c r="B2083" s="370" t="s">
        <v>11891</v>
      </c>
      <c r="C2083" s="352"/>
      <c r="D2083" s="376"/>
      <c r="E2083" s="376"/>
      <c r="F2083" s="376"/>
      <c r="G2083" s="370"/>
      <c r="H2083" s="376"/>
      <c r="I2083" s="377"/>
      <c r="J2083" s="369"/>
    </row>
    <row r="2084" spans="1:10" ht="15.75" thickBot="1" x14ac:dyDescent="0.3">
      <c r="A2084" s="350"/>
      <c r="B2084" s="370"/>
      <c r="C2084" s="352"/>
      <c r="D2084" s="376"/>
      <c r="E2084" s="376"/>
      <c r="F2084" s="376"/>
      <c r="G2084" s="370"/>
      <c r="H2084" s="376"/>
      <c r="I2084" s="377"/>
      <c r="J2084" s="369"/>
    </row>
    <row r="2085" spans="1:10" ht="15.75" thickBot="1" x14ac:dyDescent="0.3">
      <c r="A2085" s="41" t="s">
        <v>234</v>
      </c>
      <c r="B2085" s="42" t="str">
        <f>VLOOKUP(A2085,PO!$A$8:$K$425,4,FALSE)</f>
        <v>DISPOSITIVOS DE PROTEÇÃO</v>
      </c>
      <c r="C2085" s="43"/>
      <c r="D2085" s="43"/>
      <c r="E2085" s="43"/>
      <c r="F2085" s="295"/>
      <c r="G2085" s="43"/>
      <c r="H2085" s="43"/>
      <c r="I2085" s="43"/>
      <c r="J2085" s="44"/>
    </row>
    <row r="2086" spans="1:10" ht="15.75" thickBot="1" x14ac:dyDescent="0.3">
      <c r="A2086" s="347"/>
      <c r="B2086" s="205"/>
      <c r="C2086" s="205"/>
      <c r="D2086" s="348"/>
      <c r="E2086" s="205"/>
      <c r="F2086" s="237"/>
      <c r="G2086" s="208"/>
      <c r="H2086" s="208"/>
      <c r="I2086" s="208"/>
      <c r="J2086" s="349"/>
    </row>
    <row r="2087" spans="1:10" s="40" customFormat="1" ht="15.75" thickBot="1" x14ac:dyDescent="0.3">
      <c r="A2087" s="46" t="s">
        <v>235</v>
      </c>
      <c r="B2087" s="60" t="str">
        <f>VLOOKUP(A2087,PO!$A$8:$K$433,4,FALSE)</f>
        <v>Disjuntor monopolar tipo DIN, corrente nominal de 10A - fornecimento e instalação.</v>
      </c>
      <c r="C2087" s="47"/>
      <c r="D2087" s="48"/>
      <c r="E2087" s="47"/>
      <c r="F2087" s="49"/>
      <c r="G2087" s="50"/>
      <c r="H2087" s="50"/>
      <c r="I2087" s="50">
        <f>H2090</f>
        <v>12</v>
      </c>
      <c r="J2087" s="284" t="str">
        <f>VLOOKUP(A2087,PO!$A$8:$K$433,5,FALSE)</f>
        <v>unid</v>
      </c>
    </row>
    <row r="2088" spans="1:10" x14ac:dyDescent="0.25">
      <c r="A2088" s="350"/>
      <c r="B2088" s="370"/>
      <c r="C2088" s="352"/>
      <c r="D2088" s="376"/>
      <c r="E2088" s="376"/>
      <c r="F2088" s="376"/>
      <c r="G2088" s="370"/>
      <c r="H2088" s="376"/>
      <c r="I2088" s="377"/>
      <c r="J2088" s="369"/>
    </row>
    <row r="2089" spans="1:10" x14ac:dyDescent="0.25">
      <c r="A2089" s="350"/>
      <c r="B2089" s="360" t="s">
        <v>10886</v>
      </c>
      <c r="C2089" s="352"/>
      <c r="D2089" s="406" t="s">
        <v>10927</v>
      </c>
      <c r="E2089" s="376"/>
      <c r="F2089" s="376"/>
      <c r="G2089" s="370"/>
      <c r="H2089" s="363" t="s">
        <v>14</v>
      </c>
      <c r="I2089" s="363" t="s">
        <v>15</v>
      </c>
      <c r="J2089" s="369"/>
    </row>
    <row r="2090" spans="1:10" x14ac:dyDescent="0.25">
      <c r="A2090" s="350"/>
      <c r="B2090" s="370" t="s">
        <v>11890</v>
      </c>
      <c r="C2090" s="352"/>
      <c r="D2090" s="376">
        <v>12</v>
      </c>
      <c r="E2090" s="376"/>
      <c r="F2090" s="376"/>
      <c r="G2090" s="370" t="s">
        <v>16</v>
      </c>
      <c r="H2090" s="376">
        <f>ROUND(D2090,2)</f>
        <v>12</v>
      </c>
      <c r="I2090" s="377" t="str">
        <f>J2087</f>
        <v>unid</v>
      </c>
      <c r="J2090" s="369"/>
    </row>
    <row r="2091" spans="1:10" x14ac:dyDescent="0.25">
      <c r="A2091" s="350"/>
      <c r="B2091" s="370"/>
      <c r="C2091" s="352"/>
      <c r="D2091" s="376"/>
      <c r="E2091" s="376"/>
      <c r="F2091" s="376"/>
      <c r="G2091" s="370"/>
      <c r="H2091" s="376"/>
      <c r="I2091" s="377"/>
      <c r="J2091" s="369"/>
    </row>
    <row r="2092" spans="1:10" x14ac:dyDescent="0.25">
      <c r="A2092" s="350"/>
      <c r="B2092" s="370" t="s">
        <v>11891</v>
      </c>
      <c r="C2092" s="352"/>
      <c r="D2092" s="376"/>
      <c r="E2092" s="376"/>
      <c r="F2092" s="376"/>
      <c r="G2092" s="370"/>
      <c r="H2092" s="376"/>
      <c r="I2092" s="377"/>
      <c r="J2092" s="369"/>
    </row>
    <row r="2093" spans="1:10" ht="15.75" thickBot="1" x14ac:dyDescent="0.3">
      <c r="A2093" s="350"/>
      <c r="B2093" s="370"/>
      <c r="C2093" s="352"/>
      <c r="D2093" s="376"/>
      <c r="E2093" s="376"/>
      <c r="F2093" s="376"/>
      <c r="G2093" s="370"/>
      <c r="H2093" s="376"/>
      <c r="I2093" s="377"/>
      <c r="J2093" s="369"/>
    </row>
    <row r="2094" spans="1:10" s="40" customFormat="1" ht="15.75" thickBot="1" x14ac:dyDescent="0.3">
      <c r="A2094" s="46" t="s">
        <v>236</v>
      </c>
      <c r="B2094" s="60" t="str">
        <f>VLOOKUP(A2094,PO!$A$8:$K$433,4,FALSE)</f>
        <v>Disjuntor monopolar tipo DIN, corrente nominal de 16A - fornecimento e instalação.</v>
      </c>
      <c r="C2094" s="47"/>
      <c r="D2094" s="48"/>
      <c r="E2094" s="47"/>
      <c r="F2094" s="49"/>
      <c r="G2094" s="50"/>
      <c r="H2094" s="50"/>
      <c r="I2094" s="50">
        <f>H2097</f>
        <v>6</v>
      </c>
      <c r="J2094" s="284" t="str">
        <f>VLOOKUP(A2094,PO!$A$8:$K$433,5,FALSE)</f>
        <v>unid</v>
      </c>
    </row>
    <row r="2095" spans="1:10" x14ac:dyDescent="0.25">
      <c r="A2095" s="350"/>
      <c r="B2095" s="370"/>
      <c r="C2095" s="352"/>
      <c r="D2095" s="376"/>
      <c r="E2095" s="376"/>
      <c r="F2095" s="376"/>
      <c r="G2095" s="370"/>
      <c r="H2095" s="376"/>
      <c r="I2095" s="377"/>
      <c r="J2095" s="369"/>
    </row>
    <row r="2096" spans="1:10" x14ac:dyDescent="0.25">
      <c r="A2096" s="350"/>
      <c r="B2096" s="360" t="s">
        <v>10886</v>
      </c>
      <c r="C2096" s="352"/>
      <c r="D2096" s="406" t="s">
        <v>10927</v>
      </c>
      <c r="E2096" s="376"/>
      <c r="F2096" s="376"/>
      <c r="G2096" s="370"/>
      <c r="H2096" s="363" t="s">
        <v>14</v>
      </c>
      <c r="I2096" s="363" t="s">
        <v>15</v>
      </c>
      <c r="J2096" s="369"/>
    </row>
    <row r="2097" spans="1:10" x14ac:dyDescent="0.25">
      <c r="A2097" s="350"/>
      <c r="B2097" s="370" t="s">
        <v>11890</v>
      </c>
      <c r="C2097" s="352"/>
      <c r="D2097" s="376">
        <v>6</v>
      </c>
      <c r="E2097" s="376"/>
      <c r="F2097" s="376"/>
      <c r="G2097" s="370" t="s">
        <v>16</v>
      </c>
      <c r="H2097" s="376">
        <f>ROUND(D2097,2)</f>
        <v>6</v>
      </c>
      <c r="I2097" s="377" t="str">
        <f>J2094</f>
        <v>unid</v>
      </c>
      <c r="J2097" s="369"/>
    </row>
    <row r="2098" spans="1:10" x14ac:dyDescent="0.25">
      <c r="A2098" s="350"/>
      <c r="B2098" s="370"/>
      <c r="C2098" s="352"/>
      <c r="D2098" s="376"/>
      <c r="E2098" s="376"/>
      <c r="F2098" s="376"/>
      <c r="G2098" s="370"/>
      <c r="H2098" s="376"/>
      <c r="I2098" s="377"/>
      <c r="J2098" s="369"/>
    </row>
    <row r="2099" spans="1:10" x14ac:dyDescent="0.25">
      <c r="A2099" s="350"/>
      <c r="B2099" s="370" t="s">
        <v>11891</v>
      </c>
      <c r="C2099" s="352"/>
      <c r="D2099" s="376"/>
      <c r="E2099" s="376"/>
      <c r="F2099" s="376"/>
      <c r="G2099" s="370"/>
      <c r="H2099" s="376"/>
      <c r="I2099" s="377"/>
      <c r="J2099" s="369"/>
    </row>
    <row r="2100" spans="1:10" ht="15.75" thickBot="1" x14ac:dyDescent="0.3">
      <c r="A2100" s="350"/>
      <c r="B2100" s="370"/>
      <c r="C2100" s="352"/>
      <c r="D2100" s="376"/>
      <c r="E2100" s="376"/>
      <c r="F2100" s="376"/>
      <c r="G2100" s="370"/>
      <c r="H2100" s="376"/>
      <c r="I2100" s="377"/>
      <c r="J2100" s="369"/>
    </row>
    <row r="2101" spans="1:10" s="40" customFormat="1" ht="15.75" thickBot="1" x14ac:dyDescent="0.3">
      <c r="A2101" s="46" t="s">
        <v>12162</v>
      </c>
      <c r="B2101" s="60" t="str">
        <f>VLOOKUP(A2101,PO!$A$8:$K$433,4,FALSE)</f>
        <v>Disjuntor bipolar tipo DIN, corrente nominal de 10A - fornecimento e instalação.</v>
      </c>
      <c r="C2101" s="47"/>
      <c r="D2101" s="48"/>
      <c r="E2101" s="47"/>
      <c r="F2101" s="49"/>
      <c r="G2101" s="50"/>
      <c r="H2101" s="50"/>
      <c r="I2101" s="50">
        <f>H2104</f>
        <v>2</v>
      </c>
      <c r="J2101" s="284" t="str">
        <f>VLOOKUP(A2101,PO!$A$8:$K$433,5,FALSE)</f>
        <v>unid</v>
      </c>
    </row>
    <row r="2102" spans="1:10" x14ac:dyDescent="0.25">
      <c r="A2102" s="350"/>
      <c r="B2102" s="370"/>
      <c r="C2102" s="352"/>
      <c r="D2102" s="376"/>
      <c r="E2102" s="376"/>
      <c r="F2102" s="376"/>
      <c r="G2102" s="370"/>
      <c r="H2102" s="376"/>
      <c r="I2102" s="377"/>
      <c r="J2102" s="369"/>
    </row>
    <row r="2103" spans="1:10" x14ac:dyDescent="0.25">
      <c r="A2103" s="350"/>
      <c r="B2103" s="360" t="s">
        <v>10886</v>
      </c>
      <c r="C2103" s="352"/>
      <c r="D2103" s="406" t="s">
        <v>10927</v>
      </c>
      <c r="E2103" s="376"/>
      <c r="F2103" s="376"/>
      <c r="G2103" s="370"/>
      <c r="H2103" s="363" t="s">
        <v>14</v>
      </c>
      <c r="I2103" s="363" t="s">
        <v>15</v>
      </c>
      <c r="J2103" s="369"/>
    </row>
    <row r="2104" spans="1:10" x14ac:dyDescent="0.25">
      <c r="A2104" s="350"/>
      <c r="B2104" s="370" t="s">
        <v>11890</v>
      </c>
      <c r="C2104" s="352"/>
      <c r="D2104" s="376">
        <v>2</v>
      </c>
      <c r="E2104" s="376"/>
      <c r="F2104" s="376"/>
      <c r="G2104" s="370" t="s">
        <v>16</v>
      </c>
      <c r="H2104" s="376">
        <f>ROUND(D2104,2)</f>
        <v>2</v>
      </c>
      <c r="I2104" s="377" t="str">
        <f>J2101</f>
        <v>unid</v>
      </c>
      <c r="J2104" s="369"/>
    </row>
    <row r="2105" spans="1:10" x14ac:dyDescent="0.25">
      <c r="A2105" s="350"/>
      <c r="B2105" s="370"/>
      <c r="C2105" s="352"/>
      <c r="D2105" s="376"/>
      <c r="E2105" s="376"/>
      <c r="F2105" s="376"/>
      <c r="G2105" s="370"/>
      <c r="H2105" s="376"/>
      <c r="I2105" s="377"/>
      <c r="J2105" s="369"/>
    </row>
    <row r="2106" spans="1:10" x14ac:dyDescent="0.25">
      <c r="A2106" s="350"/>
      <c r="B2106" s="370" t="s">
        <v>11891</v>
      </c>
      <c r="C2106" s="352"/>
      <c r="D2106" s="376"/>
      <c r="E2106" s="376"/>
      <c r="F2106" s="376"/>
      <c r="G2106" s="370"/>
      <c r="H2106" s="376"/>
      <c r="I2106" s="377"/>
      <c r="J2106" s="369"/>
    </row>
    <row r="2107" spans="1:10" ht="15.75" thickBot="1" x14ac:dyDescent="0.3">
      <c r="A2107" s="350"/>
      <c r="B2107" s="370"/>
      <c r="C2107" s="352"/>
      <c r="D2107" s="376"/>
      <c r="E2107" s="376"/>
      <c r="F2107" s="376"/>
      <c r="G2107" s="370"/>
      <c r="H2107" s="376"/>
      <c r="I2107" s="377"/>
      <c r="J2107" s="369"/>
    </row>
    <row r="2108" spans="1:10" s="40" customFormat="1" ht="15.75" thickBot="1" x14ac:dyDescent="0.3">
      <c r="A2108" s="46" t="s">
        <v>12163</v>
      </c>
      <c r="B2108" s="60" t="str">
        <f>VLOOKUP(A2108,PO!$A$8:$K$433,4,FALSE)</f>
        <v>Disjuntor bipolar tipo DIN, corrente nominal de 20A - fornecimento e instalação.</v>
      </c>
      <c r="C2108" s="47"/>
      <c r="D2108" s="48"/>
      <c r="E2108" s="47"/>
      <c r="F2108" s="49"/>
      <c r="G2108" s="50"/>
      <c r="H2108" s="50"/>
      <c r="I2108" s="50">
        <f>H2111</f>
        <v>1</v>
      </c>
      <c r="J2108" s="284" t="str">
        <f>VLOOKUP(A2108,PO!$A$8:$K$433,5,FALSE)</f>
        <v>unid</v>
      </c>
    </row>
    <row r="2109" spans="1:10" x14ac:dyDescent="0.25">
      <c r="A2109" s="350"/>
      <c r="B2109" s="370"/>
      <c r="C2109" s="352"/>
      <c r="D2109" s="376"/>
      <c r="E2109" s="376"/>
      <c r="F2109" s="376"/>
      <c r="G2109" s="370"/>
      <c r="H2109" s="376"/>
      <c r="I2109" s="377"/>
      <c r="J2109" s="369"/>
    </row>
    <row r="2110" spans="1:10" x14ac:dyDescent="0.25">
      <c r="A2110" s="350"/>
      <c r="B2110" s="360" t="s">
        <v>10886</v>
      </c>
      <c r="C2110" s="352"/>
      <c r="D2110" s="406" t="s">
        <v>10927</v>
      </c>
      <c r="E2110" s="376"/>
      <c r="F2110" s="376"/>
      <c r="G2110" s="370"/>
      <c r="H2110" s="363" t="s">
        <v>14</v>
      </c>
      <c r="I2110" s="363" t="s">
        <v>15</v>
      </c>
      <c r="J2110" s="369"/>
    </row>
    <row r="2111" spans="1:10" x14ac:dyDescent="0.25">
      <c r="A2111" s="350"/>
      <c r="B2111" s="370" t="s">
        <v>11890</v>
      </c>
      <c r="C2111" s="352"/>
      <c r="D2111" s="376">
        <v>1</v>
      </c>
      <c r="E2111" s="376"/>
      <c r="F2111" s="376"/>
      <c r="G2111" s="370" t="s">
        <v>16</v>
      </c>
      <c r="H2111" s="376">
        <f>ROUND(D2111,2)</f>
        <v>1</v>
      </c>
      <c r="I2111" s="377" t="str">
        <f>J2108</f>
        <v>unid</v>
      </c>
      <c r="J2111" s="369"/>
    </row>
    <row r="2112" spans="1:10" x14ac:dyDescent="0.25">
      <c r="A2112" s="350"/>
      <c r="B2112" s="370"/>
      <c r="C2112" s="352"/>
      <c r="D2112" s="376"/>
      <c r="E2112" s="376"/>
      <c r="F2112" s="376"/>
      <c r="G2112" s="370"/>
      <c r="H2112" s="376"/>
      <c r="I2112" s="377"/>
      <c r="J2112" s="369"/>
    </row>
    <row r="2113" spans="1:10" x14ac:dyDescent="0.25">
      <c r="A2113" s="350"/>
      <c r="B2113" s="370" t="s">
        <v>11891</v>
      </c>
      <c r="C2113" s="352"/>
      <c r="D2113" s="376"/>
      <c r="E2113" s="376"/>
      <c r="F2113" s="376"/>
      <c r="G2113" s="370"/>
      <c r="H2113" s="376"/>
      <c r="I2113" s="377"/>
      <c r="J2113" s="369"/>
    </row>
    <row r="2114" spans="1:10" ht="15.75" thickBot="1" x14ac:dyDescent="0.3">
      <c r="A2114" s="350"/>
      <c r="B2114" s="370"/>
      <c r="C2114" s="352"/>
      <c r="D2114" s="376"/>
      <c r="E2114" s="376"/>
      <c r="F2114" s="376"/>
      <c r="G2114" s="370"/>
      <c r="H2114" s="376"/>
      <c r="I2114" s="377"/>
      <c r="J2114" s="369"/>
    </row>
    <row r="2115" spans="1:10" s="40" customFormat="1" ht="15.75" thickBot="1" x14ac:dyDescent="0.3">
      <c r="A2115" s="46" t="s">
        <v>12164</v>
      </c>
      <c r="B2115" s="60" t="str">
        <f>VLOOKUP(A2115,PO!$A$8:$K$433,4,FALSE)</f>
        <v>Disjuntor bipolar tipo DIN, corrente nominal de 25A - fornecimento e instalação.</v>
      </c>
      <c r="C2115" s="47"/>
      <c r="D2115" s="48"/>
      <c r="E2115" s="47"/>
      <c r="F2115" s="49"/>
      <c r="G2115" s="50"/>
      <c r="H2115" s="50"/>
      <c r="I2115" s="50">
        <f>H2118</f>
        <v>1</v>
      </c>
      <c r="J2115" s="284" t="str">
        <f>VLOOKUP(A2115,PO!$A$8:$K$433,5,FALSE)</f>
        <v>unid</v>
      </c>
    </row>
    <row r="2116" spans="1:10" x14ac:dyDescent="0.25">
      <c r="A2116" s="350"/>
      <c r="B2116" s="370"/>
      <c r="C2116" s="352"/>
      <c r="D2116" s="376"/>
      <c r="E2116" s="376"/>
      <c r="F2116" s="376"/>
      <c r="G2116" s="370"/>
      <c r="H2116" s="376"/>
      <c r="I2116" s="377"/>
      <c r="J2116" s="369"/>
    </row>
    <row r="2117" spans="1:10" x14ac:dyDescent="0.25">
      <c r="A2117" s="350"/>
      <c r="B2117" s="360" t="s">
        <v>10886</v>
      </c>
      <c r="C2117" s="352"/>
      <c r="D2117" s="406" t="s">
        <v>10927</v>
      </c>
      <c r="E2117" s="376"/>
      <c r="F2117" s="376"/>
      <c r="G2117" s="370"/>
      <c r="H2117" s="363" t="s">
        <v>14</v>
      </c>
      <c r="I2117" s="363" t="s">
        <v>15</v>
      </c>
      <c r="J2117" s="369"/>
    </row>
    <row r="2118" spans="1:10" x14ac:dyDescent="0.25">
      <c r="A2118" s="350"/>
      <c r="B2118" s="370" t="s">
        <v>11890</v>
      </c>
      <c r="C2118" s="352"/>
      <c r="D2118" s="376">
        <v>1</v>
      </c>
      <c r="E2118" s="376"/>
      <c r="F2118" s="376"/>
      <c r="G2118" s="370" t="s">
        <v>16</v>
      </c>
      <c r="H2118" s="376">
        <f>ROUND(D2118,2)</f>
        <v>1</v>
      </c>
      <c r="I2118" s="377" t="str">
        <f>J2115</f>
        <v>unid</v>
      </c>
      <c r="J2118" s="369"/>
    </row>
    <row r="2119" spans="1:10" x14ac:dyDescent="0.25">
      <c r="A2119" s="350"/>
      <c r="B2119" s="370"/>
      <c r="C2119" s="352"/>
      <c r="D2119" s="376"/>
      <c r="E2119" s="376"/>
      <c r="F2119" s="376"/>
      <c r="G2119" s="370"/>
      <c r="H2119" s="376"/>
      <c r="I2119" s="377"/>
      <c r="J2119" s="369"/>
    </row>
    <row r="2120" spans="1:10" x14ac:dyDescent="0.25">
      <c r="A2120" s="350"/>
      <c r="B2120" s="370" t="s">
        <v>11891</v>
      </c>
      <c r="C2120" s="352"/>
      <c r="D2120" s="376"/>
      <c r="E2120" s="376"/>
      <c r="F2120" s="376"/>
      <c r="G2120" s="370"/>
      <c r="H2120" s="376"/>
      <c r="I2120" s="377"/>
      <c r="J2120" s="369"/>
    </row>
    <row r="2121" spans="1:10" ht="15.75" thickBot="1" x14ac:dyDescent="0.3">
      <c r="A2121" s="350"/>
      <c r="B2121" s="370"/>
      <c r="C2121" s="352"/>
      <c r="D2121" s="376"/>
      <c r="E2121" s="376"/>
      <c r="F2121" s="376"/>
      <c r="G2121" s="370"/>
      <c r="H2121" s="376"/>
      <c r="I2121" s="377"/>
      <c r="J2121" s="369"/>
    </row>
    <row r="2122" spans="1:10" s="40" customFormat="1" ht="15.75" thickBot="1" x14ac:dyDescent="0.3">
      <c r="A2122" s="46" t="s">
        <v>12165</v>
      </c>
      <c r="B2122" s="60" t="str">
        <f>VLOOKUP(A2122,PO!$A$8:$K$433,4,FALSE)</f>
        <v>Disjuntor tripolar tipo DIN, corrente nominal de 10A - fornecimento e instalação.</v>
      </c>
      <c r="C2122" s="47"/>
      <c r="D2122" s="48"/>
      <c r="E2122" s="47"/>
      <c r="F2122" s="49"/>
      <c r="G2122" s="50"/>
      <c r="H2122" s="50"/>
      <c r="I2122" s="50">
        <f>H2125</f>
        <v>4</v>
      </c>
      <c r="J2122" s="284" t="str">
        <f>VLOOKUP(A2122,PO!$A$8:$K$433,5,FALSE)</f>
        <v>unid</v>
      </c>
    </row>
    <row r="2123" spans="1:10" x14ac:dyDescent="0.25">
      <c r="A2123" s="350"/>
      <c r="B2123" s="370"/>
      <c r="C2123" s="352"/>
      <c r="D2123" s="376"/>
      <c r="E2123" s="376"/>
      <c r="F2123" s="376"/>
      <c r="G2123" s="370"/>
      <c r="H2123" s="376"/>
      <c r="I2123" s="377"/>
      <c r="J2123" s="369"/>
    </row>
    <row r="2124" spans="1:10" x14ac:dyDescent="0.25">
      <c r="A2124" s="350"/>
      <c r="B2124" s="360" t="s">
        <v>10886</v>
      </c>
      <c r="C2124" s="352"/>
      <c r="D2124" s="406" t="s">
        <v>10927</v>
      </c>
      <c r="E2124" s="376"/>
      <c r="F2124" s="376"/>
      <c r="G2124" s="370"/>
      <c r="H2124" s="363" t="s">
        <v>14</v>
      </c>
      <c r="I2124" s="363" t="s">
        <v>15</v>
      </c>
      <c r="J2124" s="369"/>
    </row>
    <row r="2125" spans="1:10" x14ac:dyDescent="0.25">
      <c r="A2125" s="350"/>
      <c r="B2125" s="370" t="s">
        <v>11890</v>
      </c>
      <c r="C2125" s="352"/>
      <c r="D2125" s="376">
        <v>4</v>
      </c>
      <c r="E2125" s="376"/>
      <c r="F2125" s="376"/>
      <c r="G2125" s="370" t="s">
        <v>16</v>
      </c>
      <c r="H2125" s="376">
        <f>ROUND(D2125,2)</f>
        <v>4</v>
      </c>
      <c r="I2125" s="377" t="str">
        <f>J2122</f>
        <v>unid</v>
      </c>
      <c r="J2125" s="369"/>
    </row>
    <row r="2126" spans="1:10" x14ac:dyDescent="0.25">
      <c r="A2126" s="350"/>
      <c r="B2126" s="370"/>
      <c r="C2126" s="352"/>
      <c r="D2126" s="376"/>
      <c r="E2126" s="376"/>
      <c r="F2126" s="376"/>
      <c r="G2126" s="370"/>
      <c r="H2126" s="376"/>
      <c r="I2126" s="377"/>
      <c r="J2126" s="369"/>
    </row>
    <row r="2127" spans="1:10" x14ac:dyDescent="0.25">
      <c r="A2127" s="350"/>
      <c r="B2127" s="370" t="s">
        <v>11891</v>
      </c>
      <c r="C2127" s="352"/>
      <c r="D2127" s="376"/>
      <c r="E2127" s="376"/>
      <c r="F2127" s="376"/>
      <c r="G2127" s="370"/>
      <c r="H2127" s="376"/>
      <c r="I2127" s="377"/>
      <c r="J2127" s="369"/>
    </row>
    <row r="2128" spans="1:10" ht="15.75" thickBot="1" x14ac:dyDescent="0.3">
      <c r="A2128" s="350"/>
      <c r="B2128" s="370"/>
      <c r="C2128" s="352"/>
      <c r="D2128" s="376"/>
      <c r="E2128" s="376"/>
      <c r="F2128" s="376"/>
      <c r="G2128" s="370"/>
      <c r="H2128" s="376"/>
      <c r="I2128" s="377"/>
      <c r="J2128" s="369"/>
    </row>
    <row r="2129" spans="1:10" s="40" customFormat="1" ht="15.75" thickBot="1" x14ac:dyDescent="0.3">
      <c r="A2129" s="46" t="s">
        <v>12166</v>
      </c>
      <c r="B2129" s="60" t="str">
        <f>VLOOKUP(A2129,PO!$A$8:$K$433,4,FALSE)</f>
        <v>Disjuntor DIN tripolar termomagnético de 70A - fornecimento e instalação</v>
      </c>
      <c r="C2129" s="47"/>
      <c r="D2129" s="48"/>
      <c r="E2129" s="47"/>
      <c r="F2129" s="49"/>
      <c r="G2129" s="50"/>
      <c r="H2129" s="50"/>
      <c r="I2129" s="50">
        <f>H2132</f>
        <v>2</v>
      </c>
      <c r="J2129" s="284" t="str">
        <f>VLOOKUP(A2129,PO!$A$8:$K$433,5,FALSE)</f>
        <v>unid</v>
      </c>
    </row>
    <row r="2130" spans="1:10" x14ac:dyDescent="0.25">
      <c r="A2130" s="350"/>
      <c r="B2130" s="370"/>
      <c r="C2130" s="352"/>
      <c r="D2130" s="376"/>
      <c r="E2130" s="376"/>
      <c r="F2130" s="376"/>
      <c r="G2130" s="370"/>
      <c r="H2130" s="376"/>
      <c r="I2130" s="377"/>
      <c r="J2130" s="369"/>
    </row>
    <row r="2131" spans="1:10" x14ac:dyDescent="0.25">
      <c r="A2131" s="350"/>
      <c r="B2131" s="360" t="s">
        <v>10886</v>
      </c>
      <c r="C2131" s="352"/>
      <c r="D2131" s="406" t="s">
        <v>10927</v>
      </c>
      <c r="E2131" s="376"/>
      <c r="F2131" s="376"/>
      <c r="G2131" s="370"/>
      <c r="H2131" s="363" t="s">
        <v>14</v>
      </c>
      <c r="I2131" s="363" t="s">
        <v>15</v>
      </c>
      <c r="J2131" s="369"/>
    </row>
    <row r="2132" spans="1:10" x14ac:dyDescent="0.25">
      <c r="A2132" s="350"/>
      <c r="B2132" s="370" t="s">
        <v>11890</v>
      </c>
      <c r="C2132" s="352"/>
      <c r="D2132" s="376">
        <v>2</v>
      </c>
      <c r="E2132" s="376"/>
      <c r="F2132" s="376"/>
      <c r="G2132" s="370" t="s">
        <v>16</v>
      </c>
      <c r="H2132" s="376">
        <f>ROUND(D2132,2)</f>
        <v>2</v>
      </c>
      <c r="I2132" s="377" t="str">
        <f>J2129</f>
        <v>unid</v>
      </c>
      <c r="J2132" s="369"/>
    </row>
    <row r="2133" spans="1:10" x14ac:dyDescent="0.25">
      <c r="A2133" s="350"/>
      <c r="B2133" s="370"/>
      <c r="C2133" s="352"/>
      <c r="D2133" s="376"/>
      <c r="E2133" s="376"/>
      <c r="F2133" s="376"/>
      <c r="G2133" s="370"/>
      <c r="H2133" s="376"/>
      <c r="I2133" s="377"/>
      <c r="J2133" s="369"/>
    </row>
    <row r="2134" spans="1:10" x14ac:dyDescent="0.25">
      <c r="A2134" s="350"/>
      <c r="B2134" s="370" t="s">
        <v>11891</v>
      </c>
      <c r="C2134" s="352"/>
      <c r="D2134" s="376"/>
      <c r="E2134" s="376"/>
      <c r="F2134" s="376"/>
      <c r="G2134" s="370"/>
      <c r="H2134" s="376"/>
      <c r="I2134" s="377"/>
      <c r="J2134" s="369"/>
    </row>
    <row r="2135" spans="1:10" ht="15.75" thickBot="1" x14ac:dyDescent="0.3">
      <c r="A2135" s="350"/>
      <c r="B2135" s="370"/>
      <c r="C2135" s="352"/>
      <c r="D2135" s="376"/>
      <c r="E2135" s="376"/>
      <c r="F2135" s="376"/>
      <c r="G2135" s="370"/>
      <c r="H2135" s="376"/>
      <c r="I2135" s="377"/>
      <c r="J2135" s="369"/>
    </row>
    <row r="2136" spans="1:10" s="40" customFormat="1" ht="15.75" thickBot="1" x14ac:dyDescent="0.3">
      <c r="A2136" s="46" t="s">
        <v>12167</v>
      </c>
      <c r="B2136" s="60" t="str">
        <f>VLOOKUP(A2136,PO!$A$8:$K$433,4,FALSE)</f>
        <v>Disjuntor DIN tripolar termomagnético de 150A - fornecimento e instalação</v>
      </c>
      <c r="C2136" s="47"/>
      <c r="D2136" s="48"/>
      <c r="E2136" s="47"/>
      <c r="F2136" s="49"/>
      <c r="G2136" s="50"/>
      <c r="H2136" s="50"/>
      <c r="I2136" s="50">
        <f>H2139</f>
        <v>2</v>
      </c>
      <c r="J2136" s="284" t="str">
        <f>VLOOKUP(A2136,PO!$A$8:$K$433,5,FALSE)</f>
        <v>unid</v>
      </c>
    </row>
    <row r="2137" spans="1:10" x14ac:dyDescent="0.25">
      <c r="A2137" s="350"/>
      <c r="B2137" s="370"/>
      <c r="C2137" s="352"/>
      <c r="D2137" s="376"/>
      <c r="E2137" s="376"/>
      <c r="F2137" s="376"/>
      <c r="G2137" s="370"/>
      <c r="H2137" s="376"/>
      <c r="I2137" s="377"/>
      <c r="J2137" s="369"/>
    </row>
    <row r="2138" spans="1:10" x14ac:dyDescent="0.25">
      <c r="A2138" s="350"/>
      <c r="B2138" s="360" t="s">
        <v>10886</v>
      </c>
      <c r="C2138" s="352"/>
      <c r="D2138" s="406" t="s">
        <v>10927</v>
      </c>
      <c r="E2138" s="376"/>
      <c r="F2138" s="376"/>
      <c r="G2138" s="370"/>
      <c r="H2138" s="363" t="s">
        <v>14</v>
      </c>
      <c r="I2138" s="363" t="s">
        <v>15</v>
      </c>
      <c r="J2138" s="369"/>
    </row>
    <row r="2139" spans="1:10" x14ac:dyDescent="0.25">
      <c r="A2139" s="350"/>
      <c r="B2139" s="370" t="s">
        <v>11890</v>
      </c>
      <c r="C2139" s="352"/>
      <c r="D2139" s="376">
        <v>2</v>
      </c>
      <c r="E2139" s="376"/>
      <c r="F2139" s="376"/>
      <c r="G2139" s="370" t="s">
        <v>16</v>
      </c>
      <c r="H2139" s="376">
        <f>ROUND(D2139,2)</f>
        <v>2</v>
      </c>
      <c r="I2139" s="377" t="str">
        <f>J2136</f>
        <v>unid</v>
      </c>
      <c r="J2139" s="369"/>
    </row>
    <row r="2140" spans="1:10" x14ac:dyDescent="0.25">
      <c r="A2140" s="350"/>
      <c r="B2140" s="370"/>
      <c r="C2140" s="352"/>
      <c r="D2140" s="376"/>
      <c r="E2140" s="376"/>
      <c r="F2140" s="376"/>
      <c r="G2140" s="370"/>
      <c r="H2140" s="376"/>
      <c r="I2140" s="377"/>
      <c r="J2140" s="369"/>
    </row>
    <row r="2141" spans="1:10" x14ac:dyDescent="0.25">
      <c r="A2141" s="350"/>
      <c r="B2141" s="370" t="s">
        <v>11891</v>
      </c>
      <c r="C2141" s="352"/>
      <c r="D2141" s="376"/>
      <c r="E2141" s="376"/>
      <c r="F2141" s="376"/>
      <c r="G2141" s="370"/>
      <c r="H2141" s="376"/>
      <c r="I2141" s="377"/>
      <c r="J2141" s="369"/>
    </row>
    <row r="2142" spans="1:10" ht="15.75" thickBot="1" x14ac:dyDescent="0.3">
      <c r="A2142" s="350"/>
      <c r="B2142" s="370"/>
      <c r="C2142" s="352"/>
      <c r="D2142" s="376"/>
      <c r="E2142" s="376"/>
      <c r="F2142" s="376"/>
      <c r="G2142" s="370"/>
      <c r="H2142" s="376"/>
      <c r="I2142" s="377"/>
      <c r="J2142" s="369"/>
    </row>
    <row r="2143" spans="1:10" s="40" customFormat="1" ht="15.75" thickBot="1" x14ac:dyDescent="0.3">
      <c r="A2143" s="46" t="s">
        <v>12168</v>
      </c>
      <c r="B2143" s="60" t="str">
        <f>VLOOKUP(A2143,PO!$A$8:$K$433,4,FALSE)</f>
        <v>Disjuntor DIN tripolar termomagnético de 200A - fornecimento e instalação</v>
      </c>
      <c r="C2143" s="47"/>
      <c r="D2143" s="48"/>
      <c r="E2143" s="47"/>
      <c r="F2143" s="49"/>
      <c r="G2143" s="50"/>
      <c r="H2143" s="50"/>
      <c r="I2143" s="50">
        <f>H2146</f>
        <v>2</v>
      </c>
      <c r="J2143" s="284" t="str">
        <f>VLOOKUP(A2143,PO!$A$8:$K$433,5,FALSE)</f>
        <v>unid</v>
      </c>
    </row>
    <row r="2144" spans="1:10" x14ac:dyDescent="0.25">
      <c r="A2144" s="350"/>
      <c r="B2144" s="370"/>
      <c r="C2144" s="352"/>
      <c r="D2144" s="376"/>
      <c r="E2144" s="376"/>
      <c r="F2144" s="376"/>
      <c r="G2144" s="370"/>
      <c r="H2144" s="376"/>
      <c r="I2144" s="377"/>
      <c r="J2144" s="369"/>
    </row>
    <row r="2145" spans="1:10" x14ac:dyDescent="0.25">
      <c r="A2145" s="350"/>
      <c r="B2145" s="360" t="s">
        <v>10886</v>
      </c>
      <c r="C2145" s="352"/>
      <c r="D2145" s="406" t="s">
        <v>10927</v>
      </c>
      <c r="E2145" s="376"/>
      <c r="F2145" s="376"/>
      <c r="G2145" s="370"/>
      <c r="H2145" s="363" t="s">
        <v>14</v>
      </c>
      <c r="I2145" s="363" t="s">
        <v>15</v>
      </c>
      <c r="J2145" s="369"/>
    </row>
    <row r="2146" spans="1:10" x14ac:dyDescent="0.25">
      <c r="A2146" s="350"/>
      <c r="B2146" s="370" t="s">
        <v>11890</v>
      </c>
      <c r="C2146" s="352"/>
      <c r="D2146" s="376">
        <v>2</v>
      </c>
      <c r="E2146" s="376"/>
      <c r="F2146" s="376"/>
      <c r="G2146" s="370" t="s">
        <v>16</v>
      </c>
      <c r="H2146" s="376">
        <f>ROUND(D2146,2)</f>
        <v>2</v>
      </c>
      <c r="I2146" s="377" t="str">
        <f>J2143</f>
        <v>unid</v>
      </c>
      <c r="J2146" s="369"/>
    </row>
    <row r="2147" spans="1:10" x14ac:dyDescent="0.25">
      <c r="A2147" s="350"/>
      <c r="B2147" s="370"/>
      <c r="C2147" s="352"/>
      <c r="D2147" s="376"/>
      <c r="E2147" s="376"/>
      <c r="F2147" s="376"/>
      <c r="G2147" s="370"/>
      <c r="H2147" s="376"/>
      <c r="I2147" s="377"/>
      <c r="J2147" s="369"/>
    </row>
    <row r="2148" spans="1:10" x14ac:dyDescent="0.25">
      <c r="A2148" s="350"/>
      <c r="B2148" s="370" t="s">
        <v>11891</v>
      </c>
      <c r="C2148" s="352"/>
      <c r="D2148" s="376"/>
      <c r="E2148" s="376"/>
      <c r="F2148" s="376"/>
      <c r="G2148" s="370"/>
      <c r="H2148" s="376"/>
      <c r="I2148" s="377"/>
      <c r="J2148" s="369"/>
    </row>
    <row r="2149" spans="1:10" ht="15.75" thickBot="1" x14ac:dyDescent="0.3">
      <c r="A2149" s="350"/>
      <c r="B2149" s="370"/>
      <c r="C2149" s="352"/>
      <c r="D2149" s="376"/>
      <c r="E2149" s="376"/>
      <c r="F2149" s="376"/>
      <c r="G2149" s="370"/>
      <c r="H2149" s="376"/>
      <c r="I2149" s="377"/>
      <c r="J2149" s="369"/>
    </row>
    <row r="2150" spans="1:10" s="40" customFormat="1" ht="15.75" thickBot="1" x14ac:dyDescent="0.3">
      <c r="A2150" s="46" t="s">
        <v>12169</v>
      </c>
      <c r="B2150" s="60" t="str">
        <f>VLOOKUP(A2150,PO!$A$8:$K$433,4,FALSE)</f>
        <v>Dispositivo DPS, classe II, 01 Pólo, 175V, 8kA - Fornecimento e Instalação</v>
      </c>
      <c r="C2150" s="47"/>
      <c r="D2150" s="48"/>
      <c r="E2150" s="47"/>
      <c r="F2150" s="49"/>
      <c r="G2150" s="50"/>
      <c r="H2150" s="50"/>
      <c r="I2150" s="50">
        <f>H2153</f>
        <v>12</v>
      </c>
      <c r="J2150" s="284" t="str">
        <f>VLOOKUP(A2150,PO!$A$8:$K$433,5,FALSE)</f>
        <v>unid</v>
      </c>
    </row>
    <row r="2151" spans="1:10" x14ac:dyDescent="0.25">
      <c r="A2151" s="350"/>
      <c r="B2151" s="370"/>
      <c r="C2151" s="352"/>
      <c r="D2151" s="376"/>
      <c r="E2151" s="376"/>
      <c r="F2151" s="376"/>
      <c r="G2151" s="370"/>
      <c r="H2151" s="376"/>
      <c r="I2151" s="377"/>
      <c r="J2151" s="369"/>
    </row>
    <row r="2152" spans="1:10" x14ac:dyDescent="0.25">
      <c r="A2152" s="350"/>
      <c r="B2152" s="360" t="s">
        <v>10886</v>
      </c>
      <c r="C2152" s="352"/>
      <c r="D2152" s="406" t="s">
        <v>10927</v>
      </c>
      <c r="E2152" s="376"/>
      <c r="F2152" s="376"/>
      <c r="G2152" s="370"/>
      <c r="H2152" s="363" t="s">
        <v>14</v>
      </c>
      <c r="I2152" s="363" t="s">
        <v>15</v>
      </c>
      <c r="J2152" s="369"/>
    </row>
    <row r="2153" spans="1:10" x14ac:dyDescent="0.25">
      <c r="A2153" s="350"/>
      <c r="B2153" s="370" t="s">
        <v>11890</v>
      </c>
      <c r="C2153" s="352"/>
      <c r="D2153" s="376">
        <v>12</v>
      </c>
      <c r="E2153" s="376"/>
      <c r="F2153" s="376"/>
      <c r="G2153" s="370" t="s">
        <v>16</v>
      </c>
      <c r="H2153" s="376">
        <f>ROUND(D2153,2)</f>
        <v>12</v>
      </c>
      <c r="I2153" s="377" t="str">
        <f>J2150</f>
        <v>unid</v>
      </c>
      <c r="J2153" s="369"/>
    </row>
    <row r="2154" spans="1:10" x14ac:dyDescent="0.25">
      <c r="A2154" s="350"/>
      <c r="B2154" s="370"/>
      <c r="C2154" s="352"/>
      <c r="D2154" s="376"/>
      <c r="E2154" s="376"/>
      <c r="F2154" s="376"/>
      <c r="G2154" s="370"/>
      <c r="H2154" s="376"/>
      <c r="I2154" s="377"/>
      <c r="J2154" s="369"/>
    </row>
    <row r="2155" spans="1:10" x14ac:dyDescent="0.25">
      <c r="A2155" s="350"/>
      <c r="B2155" s="370" t="s">
        <v>11891</v>
      </c>
      <c r="C2155" s="352"/>
      <c r="D2155" s="376"/>
      <c r="E2155" s="376"/>
      <c r="F2155" s="376"/>
      <c r="G2155" s="370"/>
      <c r="H2155" s="376"/>
      <c r="I2155" s="377"/>
      <c r="J2155" s="369"/>
    </row>
    <row r="2156" spans="1:10" ht="15.75" thickBot="1" x14ac:dyDescent="0.3">
      <c r="A2156" s="350"/>
      <c r="B2156" s="370"/>
      <c r="C2156" s="352"/>
      <c r="D2156" s="376"/>
      <c r="E2156" s="376"/>
      <c r="F2156" s="376"/>
      <c r="G2156" s="370"/>
      <c r="H2156" s="376"/>
      <c r="I2156" s="377"/>
      <c r="J2156" s="369"/>
    </row>
    <row r="2157" spans="1:10" ht="15.75" thickBot="1" x14ac:dyDescent="0.3">
      <c r="A2157" s="41" t="s">
        <v>12170</v>
      </c>
      <c r="B2157" s="42" t="str">
        <f>VLOOKUP(A2157,PO!$A$8:$K$425,4,FALSE)</f>
        <v>QUADROS</v>
      </c>
      <c r="C2157" s="43"/>
      <c r="D2157" s="43"/>
      <c r="E2157" s="43"/>
      <c r="F2157" s="295"/>
      <c r="G2157" s="43"/>
      <c r="H2157" s="43"/>
      <c r="I2157" s="43"/>
      <c r="J2157" s="44"/>
    </row>
    <row r="2158" spans="1:10" ht="15.75" thickBot="1" x14ac:dyDescent="0.3">
      <c r="A2158" s="347"/>
      <c r="B2158" s="205"/>
      <c r="C2158" s="205"/>
      <c r="D2158" s="348"/>
      <c r="E2158" s="205"/>
      <c r="F2158" s="237"/>
      <c r="G2158" s="208"/>
      <c r="H2158" s="208"/>
      <c r="I2158" s="208"/>
      <c r="J2158" s="349"/>
    </row>
    <row r="2159" spans="1:10" s="40" customFormat="1" ht="15.75" thickBot="1" x14ac:dyDescent="0.3">
      <c r="A2159" s="46" t="s">
        <v>12171</v>
      </c>
      <c r="B2159" s="60" t="str">
        <f>VLOOKUP(A2159,PO!$A$8:$K$433,4,FALSE)</f>
        <v>Quadro de distribuição de energia de embutir, em chapa metálica, para 56 disjuntores termomagnéticos monopolares, com barramento trifásico e neutro, 225A - Fornecimento e instalação</v>
      </c>
      <c r="C2159" s="47"/>
      <c r="D2159" s="48"/>
      <c r="E2159" s="47"/>
      <c r="F2159" s="49"/>
      <c r="G2159" s="50"/>
      <c r="H2159" s="50"/>
      <c r="I2159" s="50">
        <f>H2162</f>
        <v>1</v>
      </c>
      <c r="J2159" s="284" t="str">
        <f>VLOOKUP(A2159,PO!$A$8:$K$433,5,FALSE)</f>
        <v>unid</v>
      </c>
    </row>
    <row r="2160" spans="1:10" x14ac:dyDescent="0.25">
      <c r="A2160" s="350"/>
      <c r="B2160" s="370"/>
      <c r="C2160" s="352"/>
      <c r="D2160" s="376"/>
      <c r="E2160" s="376"/>
      <c r="F2160" s="376"/>
      <c r="G2160" s="370"/>
      <c r="H2160" s="376"/>
      <c r="I2160" s="377"/>
      <c r="J2160" s="369"/>
    </row>
    <row r="2161" spans="1:10" x14ac:dyDescent="0.25">
      <c r="A2161" s="350"/>
      <c r="B2161" s="360" t="s">
        <v>10886</v>
      </c>
      <c r="C2161" s="352"/>
      <c r="D2161" s="406" t="s">
        <v>10927</v>
      </c>
      <c r="E2161" s="376"/>
      <c r="F2161" s="376"/>
      <c r="G2161" s="370"/>
      <c r="H2161" s="363" t="s">
        <v>14</v>
      </c>
      <c r="I2161" s="363" t="s">
        <v>15</v>
      </c>
      <c r="J2161" s="369"/>
    </row>
    <row r="2162" spans="1:10" x14ac:dyDescent="0.25">
      <c r="A2162" s="350"/>
      <c r="B2162" s="370" t="s">
        <v>11890</v>
      </c>
      <c r="C2162" s="352"/>
      <c r="D2162" s="376">
        <v>1</v>
      </c>
      <c r="E2162" s="376"/>
      <c r="F2162" s="376"/>
      <c r="G2162" s="370" t="s">
        <v>16</v>
      </c>
      <c r="H2162" s="376">
        <f>ROUND(D2162,2)</f>
        <v>1</v>
      </c>
      <c r="I2162" s="377" t="str">
        <f>J2159</f>
        <v>unid</v>
      </c>
      <c r="J2162" s="369"/>
    </row>
    <row r="2163" spans="1:10" x14ac:dyDescent="0.25">
      <c r="A2163" s="350"/>
      <c r="B2163" s="370"/>
      <c r="C2163" s="352"/>
      <c r="D2163" s="376"/>
      <c r="E2163" s="376"/>
      <c r="F2163" s="376"/>
      <c r="G2163" s="370"/>
      <c r="H2163" s="376"/>
      <c r="I2163" s="377"/>
      <c r="J2163" s="369"/>
    </row>
    <row r="2164" spans="1:10" x14ac:dyDescent="0.25">
      <c r="A2164" s="350"/>
      <c r="B2164" s="370" t="s">
        <v>11891</v>
      </c>
      <c r="C2164" s="352"/>
      <c r="D2164" s="376"/>
      <c r="E2164" s="376"/>
      <c r="F2164" s="376"/>
      <c r="G2164" s="370"/>
      <c r="H2164" s="376"/>
      <c r="I2164" s="377"/>
      <c r="J2164" s="369"/>
    </row>
    <row r="2165" spans="1:10" ht="15.75" thickBot="1" x14ac:dyDescent="0.3">
      <c r="A2165" s="350"/>
      <c r="B2165" s="370"/>
      <c r="C2165" s="352"/>
      <c r="D2165" s="376"/>
      <c r="E2165" s="376"/>
      <c r="F2165" s="376"/>
      <c r="G2165" s="370"/>
      <c r="H2165" s="376"/>
      <c r="I2165" s="377"/>
      <c r="J2165" s="369"/>
    </row>
    <row r="2166" spans="1:10" s="40" customFormat="1" ht="15.75" thickBot="1" x14ac:dyDescent="0.3">
      <c r="A2166" s="46" t="s">
        <v>12172</v>
      </c>
      <c r="B2166" s="60" t="str">
        <f>VLOOKUP(A2166,PO!$A$8:$K$433,4,FALSE)</f>
        <v>Quadro de distribuição de energia de embutir, em chapa metálica, para 12 disjuntores termomagnéticos monopolares, com barramento trifásico e neutro, 200A - Fornecimento e instalação</v>
      </c>
      <c r="C2166" s="47"/>
      <c r="D2166" s="48"/>
      <c r="E2166" s="47"/>
      <c r="F2166" s="49"/>
      <c r="G2166" s="50"/>
      <c r="H2166" s="50"/>
      <c r="I2166" s="50">
        <f>H2169</f>
        <v>1</v>
      </c>
      <c r="J2166" s="284" t="str">
        <f>VLOOKUP(A2166,PO!$A$8:$K$433,5,FALSE)</f>
        <v>unid</v>
      </c>
    </row>
    <row r="2167" spans="1:10" x14ac:dyDescent="0.25">
      <c r="A2167" s="350"/>
      <c r="B2167" s="370"/>
      <c r="C2167" s="352"/>
      <c r="D2167" s="376"/>
      <c r="E2167" s="376"/>
      <c r="F2167" s="376"/>
      <c r="G2167" s="370"/>
      <c r="H2167" s="376"/>
      <c r="I2167" s="377"/>
      <c r="J2167" s="369"/>
    </row>
    <row r="2168" spans="1:10" x14ac:dyDescent="0.25">
      <c r="A2168" s="350"/>
      <c r="B2168" s="360" t="s">
        <v>10886</v>
      </c>
      <c r="C2168" s="352"/>
      <c r="D2168" s="406" t="s">
        <v>10927</v>
      </c>
      <c r="E2168" s="376"/>
      <c r="F2168" s="376"/>
      <c r="G2168" s="370"/>
      <c r="H2168" s="363" t="s">
        <v>14</v>
      </c>
      <c r="I2168" s="363" t="s">
        <v>15</v>
      </c>
      <c r="J2168" s="369"/>
    </row>
    <row r="2169" spans="1:10" x14ac:dyDescent="0.25">
      <c r="A2169" s="350"/>
      <c r="B2169" s="370" t="s">
        <v>11890</v>
      </c>
      <c r="C2169" s="352"/>
      <c r="D2169" s="376">
        <v>1</v>
      </c>
      <c r="E2169" s="376"/>
      <c r="F2169" s="376"/>
      <c r="G2169" s="370" t="s">
        <v>16</v>
      </c>
      <c r="H2169" s="376">
        <f>ROUND(D2169,2)</f>
        <v>1</v>
      </c>
      <c r="I2169" s="377" t="str">
        <f>J2166</f>
        <v>unid</v>
      </c>
      <c r="J2169" s="369"/>
    </row>
    <row r="2170" spans="1:10" x14ac:dyDescent="0.25">
      <c r="A2170" s="350"/>
      <c r="B2170" s="370"/>
      <c r="C2170" s="352"/>
      <c r="D2170" s="376"/>
      <c r="E2170" s="376"/>
      <c r="F2170" s="376"/>
      <c r="G2170" s="370"/>
      <c r="H2170" s="376"/>
      <c r="I2170" s="377"/>
      <c r="J2170" s="369"/>
    </row>
    <row r="2171" spans="1:10" x14ac:dyDescent="0.25">
      <c r="A2171" s="350"/>
      <c r="B2171" s="370" t="s">
        <v>11891</v>
      </c>
      <c r="C2171" s="352"/>
      <c r="D2171" s="376"/>
      <c r="E2171" s="376"/>
      <c r="F2171" s="376"/>
      <c r="G2171" s="370"/>
      <c r="H2171" s="376"/>
      <c r="I2171" s="377"/>
      <c r="J2171" s="369"/>
    </row>
    <row r="2172" spans="1:10" ht="15.75" thickBot="1" x14ac:dyDescent="0.3">
      <c r="A2172" s="350"/>
      <c r="B2172" s="370"/>
      <c r="C2172" s="352"/>
      <c r="D2172" s="376"/>
      <c r="E2172" s="376"/>
      <c r="F2172" s="376"/>
      <c r="G2172" s="370"/>
      <c r="H2172" s="376"/>
      <c r="I2172" s="377"/>
      <c r="J2172" s="369"/>
    </row>
    <row r="2173" spans="1:10" s="40" customFormat="1" ht="15.75" thickBot="1" x14ac:dyDescent="0.3">
      <c r="A2173" s="46" t="s">
        <v>12173</v>
      </c>
      <c r="B2173" s="60" t="str">
        <f>VLOOKUP(A2173,PO!$A$8:$K$433,4,FALSE)</f>
        <v>Quadro de distribuição de energia de embutir, em chapa metálica, para 25 disjuntores termomagnéticos monopolares, com barramento trifásico e neutro, 250A - Fornecimento e instalação</v>
      </c>
      <c r="C2173" s="47"/>
      <c r="D2173" s="48"/>
      <c r="E2173" s="47"/>
      <c r="F2173" s="49"/>
      <c r="G2173" s="50"/>
      <c r="H2173" s="50"/>
      <c r="I2173" s="50">
        <f>H2176</f>
        <v>1</v>
      </c>
      <c r="J2173" s="284" t="str">
        <f>VLOOKUP(A2173,PO!$A$8:$K$433,5,FALSE)</f>
        <v>unid</v>
      </c>
    </row>
    <row r="2174" spans="1:10" x14ac:dyDescent="0.25">
      <c r="A2174" s="350"/>
      <c r="B2174" s="370"/>
      <c r="C2174" s="352"/>
      <c r="D2174" s="376"/>
      <c r="E2174" s="376"/>
      <c r="F2174" s="376"/>
      <c r="G2174" s="370"/>
      <c r="H2174" s="376"/>
      <c r="I2174" s="377"/>
      <c r="J2174" s="369"/>
    </row>
    <row r="2175" spans="1:10" x14ac:dyDescent="0.25">
      <c r="A2175" s="350"/>
      <c r="B2175" s="360" t="s">
        <v>10886</v>
      </c>
      <c r="C2175" s="352"/>
      <c r="D2175" s="406" t="s">
        <v>10927</v>
      </c>
      <c r="E2175" s="376"/>
      <c r="F2175" s="376"/>
      <c r="G2175" s="370"/>
      <c r="H2175" s="363" t="s">
        <v>14</v>
      </c>
      <c r="I2175" s="363" t="s">
        <v>15</v>
      </c>
      <c r="J2175" s="369"/>
    </row>
    <row r="2176" spans="1:10" x14ac:dyDescent="0.25">
      <c r="A2176" s="350"/>
      <c r="B2176" s="370" t="s">
        <v>11890</v>
      </c>
      <c r="C2176" s="352"/>
      <c r="D2176" s="376">
        <v>1</v>
      </c>
      <c r="E2176" s="376"/>
      <c r="F2176" s="376"/>
      <c r="G2176" s="370" t="s">
        <v>16</v>
      </c>
      <c r="H2176" s="376">
        <f>ROUND(D2176,2)</f>
        <v>1</v>
      </c>
      <c r="I2176" s="377" t="str">
        <f>J2173</f>
        <v>unid</v>
      </c>
      <c r="J2176" s="369"/>
    </row>
    <row r="2177" spans="1:10" x14ac:dyDescent="0.25">
      <c r="A2177" s="350"/>
      <c r="B2177" s="370"/>
      <c r="C2177" s="352"/>
      <c r="D2177" s="376"/>
      <c r="E2177" s="376"/>
      <c r="F2177" s="376"/>
      <c r="G2177" s="370"/>
      <c r="H2177" s="376"/>
      <c r="I2177" s="377"/>
      <c r="J2177" s="369"/>
    </row>
    <row r="2178" spans="1:10" x14ac:dyDescent="0.25">
      <c r="A2178" s="350"/>
      <c r="B2178" s="370" t="s">
        <v>11891</v>
      </c>
      <c r="C2178" s="352"/>
      <c r="D2178" s="376"/>
      <c r="E2178" s="376"/>
      <c r="F2178" s="376"/>
      <c r="G2178" s="370"/>
      <c r="H2178" s="376"/>
      <c r="I2178" s="377"/>
      <c r="J2178" s="369"/>
    </row>
    <row r="2179" spans="1:10" ht="15.75" thickBot="1" x14ac:dyDescent="0.3">
      <c r="A2179" s="350"/>
      <c r="B2179" s="370"/>
      <c r="C2179" s="352"/>
      <c r="D2179" s="376"/>
      <c r="E2179" s="376"/>
      <c r="F2179" s="376"/>
      <c r="G2179" s="370"/>
      <c r="H2179" s="376"/>
      <c r="I2179" s="377"/>
      <c r="J2179" s="369"/>
    </row>
    <row r="2180" spans="1:10" ht="15.75" thickBot="1" x14ac:dyDescent="0.3">
      <c r="A2180" s="41" t="s">
        <v>12174</v>
      </c>
      <c r="B2180" s="42" t="str">
        <f>VLOOKUP(A2180,PO!$A$8:$K$425,4,FALSE)</f>
        <v>LUMINÁRIAS E ACESSÓRIOS</v>
      </c>
      <c r="C2180" s="43"/>
      <c r="D2180" s="43"/>
      <c r="E2180" s="43"/>
      <c r="F2180" s="295"/>
      <c r="G2180" s="43"/>
      <c r="H2180" s="43"/>
      <c r="I2180" s="43"/>
      <c r="J2180" s="44"/>
    </row>
    <row r="2181" spans="1:10" ht="15.75" thickBot="1" x14ac:dyDescent="0.3">
      <c r="A2181" s="347"/>
      <c r="B2181" s="205"/>
      <c r="C2181" s="205"/>
      <c r="D2181" s="348"/>
      <c r="E2181" s="205"/>
      <c r="F2181" s="237"/>
      <c r="G2181" s="208"/>
      <c r="H2181" s="208"/>
      <c r="I2181" s="208"/>
      <c r="J2181" s="349"/>
    </row>
    <row r="2182" spans="1:10" s="40" customFormat="1" ht="15.75" thickBot="1" x14ac:dyDescent="0.3">
      <c r="A2182" s="46" t="s">
        <v>12175</v>
      </c>
      <c r="B2182" s="60" t="str">
        <f>VLOOKUP(A2182,PO!$A$8:$K$433,4,FALSE)</f>
        <v>Luminária led industrial - 120 W - Fornecimento e instalação.</v>
      </c>
      <c r="C2182" s="47"/>
      <c r="D2182" s="48"/>
      <c r="E2182" s="47"/>
      <c r="F2182" s="49"/>
      <c r="G2182" s="50"/>
      <c r="H2182" s="50"/>
      <c r="I2182" s="50">
        <f>H2185</f>
        <v>19</v>
      </c>
      <c r="J2182" s="284" t="str">
        <f>VLOOKUP(A2182,PO!$A$8:$K$433,5,FALSE)</f>
        <v>unid</v>
      </c>
    </row>
    <row r="2183" spans="1:10" x14ac:dyDescent="0.25">
      <c r="A2183" s="350"/>
      <c r="B2183" s="370"/>
      <c r="C2183" s="352"/>
      <c r="D2183" s="376"/>
      <c r="E2183" s="376"/>
      <c r="F2183" s="376"/>
      <c r="G2183" s="370"/>
      <c r="H2183" s="376"/>
      <c r="I2183" s="377"/>
      <c r="J2183" s="369"/>
    </row>
    <row r="2184" spans="1:10" x14ac:dyDescent="0.25">
      <c r="A2184" s="350"/>
      <c r="B2184" s="360" t="s">
        <v>10886</v>
      </c>
      <c r="C2184" s="352"/>
      <c r="D2184" s="406" t="s">
        <v>10927</v>
      </c>
      <c r="E2184" s="376"/>
      <c r="F2184" s="376"/>
      <c r="G2184" s="370"/>
      <c r="H2184" s="363" t="s">
        <v>14</v>
      </c>
      <c r="I2184" s="363" t="s">
        <v>15</v>
      </c>
      <c r="J2184" s="369"/>
    </row>
    <row r="2185" spans="1:10" x14ac:dyDescent="0.25">
      <c r="A2185" s="350"/>
      <c r="B2185" s="370" t="s">
        <v>11890</v>
      </c>
      <c r="C2185" s="352"/>
      <c r="D2185" s="376">
        <v>19</v>
      </c>
      <c r="E2185" s="376"/>
      <c r="F2185" s="376"/>
      <c r="G2185" s="370" t="s">
        <v>16</v>
      </c>
      <c r="H2185" s="376">
        <f>ROUND(D2185,2)</f>
        <v>19</v>
      </c>
      <c r="I2185" s="377" t="str">
        <f>J2182</f>
        <v>unid</v>
      </c>
      <c r="J2185" s="369"/>
    </row>
    <row r="2186" spans="1:10" x14ac:dyDescent="0.25">
      <c r="A2186" s="350"/>
      <c r="B2186" s="370"/>
      <c r="C2186" s="352"/>
      <c r="D2186" s="376"/>
      <c r="E2186" s="376"/>
      <c r="F2186" s="376"/>
      <c r="G2186" s="370"/>
      <c r="H2186" s="376"/>
      <c r="I2186" s="377"/>
      <c r="J2186" s="369"/>
    </row>
    <row r="2187" spans="1:10" x14ac:dyDescent="0.25">
      <c r="A2187" s="350"/>
      <c r="B2187" s="370" t="s">
        <v>11891</v>
      </c>
      <c r="C2187" s="352"/>
      <c r="D2187" s="376"/>
      <c r="E2187" s="376"/>
      <c r="F2187" s="376"/>
      <c r="G2187" s="370"/>
      <c r="H2187" s="376"/>
      <c r="I2187" s="377"/>
      <c r="J2187" s="369"/>
    </row>
    <row r="2188" spans="1:10" ht="15.75" thickBot="1" x14ac:dyDescent="0.3">
      <c r="A2188" s="350"/>
      <c r="B2188" s="370"/>
      <c r="C2188" s="352"/>
      <c r="D2188" s="376"/>
      <c r="E2188" s="376"/>
      <c r="F2188" s="376"/>
      <c r="G2188" s="370"/>
      <c r="H2188" s="376"/>
      <c r="I2188" s="377"/>
      <c r="J2188" s="369"/>
    </row>
    <row r="2189" spans="1:10" s="40" customFormat="1" ht="15.75" thickBot="1" x14ac:dyDescent="0.3">
      <c r="A2189" s="46" t="s">
        <v>12176</v>
      </c>
      <c r="B2189" s="60" t="str">
        <f>VLOOKUP(A2189,PO!$A$8:$K$433,4,FALSE)</f>
        <v>Luminária tipo calha, de sobrepor, com 2 lâmpadas tubulares de 18 W - fornecimento e instalação.</v>
      </c>
      <c r="C2189" s="47"/>
      <c r="D2189" s="48"/>
      <c r="E2189" s="47"/>
      <c r="F2189" s="49"/>
      <c r="G2189" s="50"/>
      <c r="H2189" s="50"/>
      <c r="I2189" s="50">
        <f>H2192</f>
        <v>7</v>
      </c>
      <c r="J2189" s="284" t="str">
        <f>VLOOKUP(A2189,PO!$A$8:$K$433,5,FALSE)</f>
        <v>unid</v>
      </c>
    </row>
    <row r="2190" spans="1:10" x14ac:dyDescent="0.25">
      <c r="A2190" s="350"/>
      <c r="B2190" s="370"/>
      <c r="C2190" s="352"/>
      <c r="D2190" s="376"/>
      <c r="E2190" s="376"/>
      <c r="F2190" s="376"/>
      <c r="G2190" s="370"/>
      <c r="H2190" s="376"/>
      <c r="I2190" s="377"/>
      <c r="J2190" s="369"/>
    </row>
    <row r="2191" spans="1:10" x14ac:dyDescent="0.25">
      <c r="A2191" s="350"/>
      <c r="B2191" s="360" t="s">
        <v>10886</v>
      </c>
      <c r="C2191" s="352"/>
      <c r="D2191" s="406" t="s">
        <v>10927</v>
      </c>
      <c r="E2191" s="376"/>
      <c r="F2191" s="376"/>
      <c r="G2191" s="370"/>
      <c r="H2191" s="363" t="s">
        <v>14</v>
      </c>
      <c r="I2191" s="363" t="s">
        <v>15</v>
      </c>
      <c r="J2191" s="369"/>
    </row>
    <row r="2192" spans="1:10" x14ac:dyDescent="0.25">
      <c r="A2192" s="350"/>
      <c r="B2192" s="370" t="s">
        <v>11890</v>
      </c>
      <c r="C2192" s="352"/>
      <c r="D2192" s="376">
        <v>7</v>
      </c>
      <c r="E2192" s="376"/>
      <c r="F2192" s="376"/>
      <c r="G2192" s="370" t="s">
        <v>16</v>
      </c>
      <c r="H2192" s="376">
        <f>ROUND(D2192,2)</f>
        <v>7</v>
      </c>
      <c r="I2192" s="377" t="str">
        <f>J2189</f>
        <v>unid</v>
      </c>
      <c r="J2192" s="369"/>
    </row>
    <row r="2193" spans="1:10" x14ac:dyDescent="0.25">
      <c r="A2193" s="350"/>
      <c r="B2193" s="370"/>
      <c r="C2193" s="352"/>
      <c r="D2193" s="376"/>
      <c r="E2193" s="376"/>
      <c r="F2193" s="376"/>
      <c r="G2193" s="370"/>
      <c r="H2193" s="376"/>
      <c r="I2193" s="377"/>
      <c r="J2193" s="369"/>
    </row>
    <row r="2194" spans="1:10" x14ac:dyDescent="0.25">
      <c r="A2194" s="350"/>
      <c r="B2194" s="370" t="s">
        <v>11891</v>
      </c>
      <c r="C2194" s="352"/>
      <c r="D2194" s="376"/>
      <c r="E2194" s="376"/>
      <c r="F2194" s="376"/>
      <c r="G2194" s="370"/>
      <c r="H2194" s="376"/>
      <c r="I2194" s="377"/>
      <c r="J2194" s="369"/>
    </row>
    <row r="2195" spans="1:10" ht="15.75" thickBot="1" x14ac:dyDescent="0.3">
      <c r="A2195" s="350"/>
      <c r="B2195" s="370"/>
      <c r="C2195" s="352"/>
      <c r="D2195" s="376"/>
      <c r="E2195" s="376"/>
      <c r="F2195" s="376"/>
      <c r="G2195" s="370"/>
      <c r="H2195" s="376"/>
      <c r="I2195" s="377"/>
      <c r="J2195" s="369"/>
    </row>
    <row r="2196" spans="1:10" s="40" customFormat="1" ht="15.75" thickBot="1" x14ac:dyDescent="0.3">
      <c r="A2196" s="46" t="s">
        <v>12177</v>
      </c>
      <c r="B2196" s="60" t="str">
        <f>VLOOKUP(A2196,PO!$A$8:$K$433,4,FALSE)</f>
        <v>Placa Led 20x20 - Fornecimento e instalação.</v>
      </c>
      <c r="C2196" s="47"/>
      <c r="D2196" s="48"/>
      <c r="E2196" s="47"/>
      <c r="F2196" s="49"/>
      <c r="G2196" s="50"/>
      <c r="H2196" s="50"/>
      <c r="I2196" s="50">
        <f>H2199</f>
        <v>5</v>
      </c>
      <c r="J2196" s="284" t="str">
        <f>VLOOKUP(A2196,PO!$A$8:$K$433,5,FALSE)</f>
        <v>unid</v>
      </c>
    </row>
    <row r="2197" spans="1:10" x14ac:dyDescent="0.25">
      <c r="A2197" s="350"/>
      <c r="B2197" s="370"/>
      <c r="C2197" s="352"/>
      <c r="D2197" s="376"/>
      <c r="E2197" s="376"/>
      <c r="F2197" s="376"/>
      <c r="G2197" s="370"/>
      <c r="H2197" s="376"/>
      <c r="I2197" s="377"/>
      <c r="J2197" s="369"/>
    </row>
    <row r="2198" spans="1:10" x14ac:dyDescent="0.25">
      <c r="A2198" s="350"/>
      <c r="B2198" s="360" t="s">
        <v>10886</v>
      </c>
      <c r="C2198" s="352"/>
      <c r="D2198" s="406" t="s">
        <v>10927</v>
      </c>
      <c r="E2198" s="376"/>
      <c r="F2198" s="376"/>
      <c r="G2198" s="370"/>
      <c r="H2198" s="363" t="s">
        <v>14</v>
      </c>
      <c r="I2198" s="363" t="s">
        <v>15</v>
      </c>
      <c r="J2198" s="369"/>
    </row>
    <row r="2199" spans="1:10" x14ac:dyDescent="0.25">
      <c r="A2199" s="350"/>
      <c r="B2199" s="370" t="s">
        <v>11890</v>
      </c>
      <c r="C2199" s="352"/>
      <c r="D2199" s="376">
        <v>5</v>
      </c>
      <c r="E2199" s="376"/>
      <c r="F2199" s="376"/>
      <c r="G2199" s="370" t="s">
        <v>16</v>
      </c>
      <c r="H2199" s="376">
        <f>ROUND(D2199,2)</f>
        <v>5</v>
      </c>
      <c r="I2199" s="377" t="str">
        <f>J2196</f>
        <v>unid</v>
      </c>
      <c r="J2199" s="369"/>
    </row>
    <row r="2200" spans="1:10" x14ac:dyDescent="0.25">
      <c r="A2200" s="350"/>
      <c r="B2200" s="370"/>
      <c r="C2200" s="352"/>
      <c r="D2200" s="376"/>
      <c r="E2200" s="376"/>
      <c r="F2200" s="376"/>
      <c r="G2200" s="370"/>
      <c r="H2200" s="376"/>
      <c r="I2200" s="377"/>
      <c r="J2200" s="369"/>
    </row>
    <row r="2201" spans="1:10" x14ac:dyDescent="0.25">
      <c r="A2201" s="350"/>
      <c r="B2201" s="370" t="s">
        <v>11891</v>
      </c>
      <c r="C2201" s="352"/>
      <c r="D2201" s="376"/>
      <c r="E2201" s="376"/>
      <c r="F2201" s="376"/>
      <c r="G2201" s="370"/>
      <c r="H2201" s="376"/>
      <c r="I2201" s="377"/>
      <c r="J2201" s="369"/>
    </row>
    <row r="2202" spans="1:10" ht="15.75" thickBot="1" x14ac:dyDescent="0.3">
      <c r="A2202" s="350"/>
      <c r="B2202" s="370"/>
      <c r="C2202" s="352"/>
      <c r="D2202" s="376"/>
      <c r="E2202" s="376"/>
      <c r="F2202" s="376"/>
      <c r="G2202" s="370"/>
      <c r="H2202" s="376"/>
      <c r="I2202" s="377"/>
      <c r="J2202" s="369"/>
    </row>
    <row r="2203" spans="1:10" s="40" customFormat="1" ht="15.75" thickBot="1" x14ac:dyDescent="0.3">
      <c r="A2203" s="46" t="s">
        <v>12178</v>
      </c>
      <c r="B2203" s="60" t="str">
        <f>VLOOKUP(A2203,PO!$A$8:$K$433,4,FALSE)</f>
        <v>Placa Led 30x30 - Fornecimento e instalação.</v>
      </c>
      <c r="C2203" s="47"/>
      <c r="D2203" s="48"/>
      <c r="E2203" s="47"/>
      <c r="F2203" s="49"/>
      <c r="G2203" s="50"/>
      <c r="H2203" s="50"/>
      <c r="I2203" s="50">
        <f>H2206</f>
        <v>22</v>
      </c>
      <c r="J2203" s="284" t="str">
        <f>VLOOKUP(A2203,PO!$A$8:$K$433,5,FALSE)</f>
        <v>unid</v>
      </c>
    </row>
    <row r="2204" spans="1:10" x14ac:dyDescent="0.25">
      <c r="A2204" s="350"/>
      <c r="B2204" s="370"/>
      <c r="C2204" s="352"/>
      <c r="D2204" s="376"/>
      <c r="E2204" s="376"/>
      <c r="F2204" s="376"/>
      <c r="G2204" s="370"/>
      <c r="H2204" s="376"/>
      <c r="I2204" s="377"/>
      <c r="J2204" s="369"/>
    </row>
    <row r="2205" spans="1:10" x14ac:dyDescent="0.25">
      <c r="A2205" s="350"/>
      <c r="B2205" s="360" t="s">
        <v>10886</v>
      </c>
      <c r="C2205" s="352"/>
      <c r="D2205" s="406" t="s">
        <v>10927</v>
      </c>
      <c r="E2205" s="376"/>
      <c r="F2205" s="376"/>
      <c r="G2205" s="370"/>
      <c r="H2205" s="363" t="s">
        <v>14</v>
      </c>
      <c r="I2205" s="363" t="s">
        <v>15</v>
      </c>
      <c r="J2205" s="369"/>
    </row>
    <row r="2206" spans="1:10" x14ac:dyDescent="0.25">
      <c r="A2206" s="350"/>
      <c r="B2206" s="370" t="s">
        <v>11890</v>
      </c>
      <c r="C2206" s="352"/>
      <c r="D2206" s="376">
        <v>22</v>
      </c>
      <c r="E2206" s="376"/>
      <c r="F2206" s="376"/>
      <c r="G2206" s="370" t="s">
        <v>16</v>
      </c>
      <c r="H2206" s="376">
        <f>ROUND(D2206,2)</f>
        <v>22</v>
      </c>
      <c r="I2206" s="377" t="str">
        <f>J2203</f>
        <v>unid</v>
      </c>
      <c r="J2206" s="369"/>
    </row>
    <row r="2207" spans="1:10" x14ac:dyDescent="0.25">
      <c r="A2207" s="350"/>
      <c r="B2207" s="370"/>
      <c r="C2207" s="352"/>
      <c r="D2207" s="376"/>
      <c r="E2207" s="376"/>
      <c r="F2207" s="376"/>
      <c r="G2207" s="370"/>
      <c r="H2207" s="376"/>
      <c r="I2207" s="377"/>
      <c r="J2207" s="369"/>
    </row>
    <row r="2208" spans="1:10" x14ac:dyDescent="0.25">
      <c r="A2208" s="350"/>
      <c r="B2208" s="370" t="s">
        <v>11891</v>
      </c>
      <c r="C2208" s="352"/>
      <c r="D2208" s="376"/>
      <c r="E2208" s="376"/>
      <c r="F2208" s="376"/>
      <c r="G2208" s="370"/>
      <c r="H2208" s="376"/>
      <c r="I2208" s="377"/>
      <c r="J2208" s="369"/>
    </row>
    <row r="2209" spans="1:10" ht="15.75" thickBot="1" x14ac:dyDescent="0.3">
      <c r="A2209" s="350"/>
      <c r="B2209" s="370"/>
      <c r="C2209" s="352"/>
      <c r="D2209" s="376"/>
      <c r="E2209" s="376"/>
      <c r="F2209" s="376"/>
      <c r="G2209" s="370"/>
      <c r="H2209" s="376"/>
      <c r="I2209" s="377"/>
      <c r="J2209" s="369"/>
    </row>
    <row r="2210" spans="1:10" s="40" customFormat="1" ht="15.75" thickBot="1" x14ac:dyDescent="0.3">
      <c r="A2210" s="46" t="s">
        <v>12179</v>
      </c>
      <c r="B2210" s="60" t="str">
        <f>VLOOKUP(A2210,PO!$A$8:$K$433,4,FALSE)</f>
        <v>Refletor Led - 50W - Fornecimento e instalação.</v>
      </c>
      <c r="C2210" s="47"/>
      <c r="D2210" s="48"/>
      <c r="E2210" s="47"/>
      <c r="F2210" s="49"/>
      <c r="G2210" s="50"/>
      <c r="H2210" s="50"/>
      <c r="I2210" s="50">
        <f>H2213</f>
        <v>5</v>
      </c>
      <c r="J2210" s="284" t="str">
        <f>VLOOKUP(A2210,PO!$A$8:$K$433,5,FALSE)</f>
        <v>unid</v>
      </c>
    </row>
    <row r="2211" spans="1:10" x14ac:dyDescent="0.25">
      <c r="A2211" s="350"/>
      <c r="B2211" s="370"/>
      <c r="C2211" s="352"/>
      <c r="D2211" s="376"/>
      <c r="E2211" s="376"/>
      <c r="F2211" s="376"/>
      <c r="G2211" s="370"/>
      <c r="H2211" s="376"/>
      <c r="I2211" s="377"/>
      <c r="J2211" s="369"/>
    </row>
    <row r="2212" spans="1:10" x14ac:dyDescent="0.25">
      <c r="A2212" s="350"/>
      <c r="B2212" s="360" t="s">
        <v>10886</v>
      </c>
      <c r="C2212" s="352"/>
      <c r="D2212" s="406" t="s">
        <v>10927</v>
      </c>
      <c r="E2212" s="376"/>
      <c r="F2212" s="376"/>
      <c r="G2212" s="370"/>
      <c r="H2212" s="363" t="s">
        <v>14</v>
      </c>
      <c r="I2212" s="363" t="s">
        <v>15</v>
      </c>
      <c r="J2212" s="369"/>
    </row>
    <row r="2213" spans="1:10" x14ac:dyDescent="0.25">
      <c r="A2213" s="350"/>
      <c r="B2213" s="370" t="s">
        <v>11890</v>
      </c>
      <c r="C2213" s="352"/>
      <c r="D2213" s="376">
        <v>5</v>
      </c>
      <c r="E2213" s="376"/>
      <c r="F2213" s="376"/>
      <c r="G2213" s="370" t="s">
        <v>16</v>
      </c>
      <c r="H2213" s="376">
        <f>ROUND(D2213,2)</f>
        <v>5</v>
      </c>
      <c r="I2213" s="377" t="str">
        <f>J2210</f>
        <v>unid</v>
      </c>
      <c r="J2213" s="369"/>
    </row>
    <row r="2214" spans="1:10" x14ac:dyDescent="0.25">
      <c r="A2214" s="350"/>
      <c r="B2214" s="370"/>
      <c r="C2214" s="352"/>
      <c r="D2214" s="376"/>
      <c r="E2214" s="376"/>
      <c r="F2214" s="376"/>
      <c r="G2214" s="370"/>
      <c r="H2214" s="376"/>
      <c r="I2214" s="377"/>
      <c r="J2214" s="369"/>
    </row>
    <row r="2215" spans="1:10" x14ac:dyDescent="0.25">
      <c r="A2215" s="350"/>
      <c r="B2215" s="370" t="s">
        <v>11891</v>
      </c>
      <c r="C2215" s="352"/>
      <c r="D2215" s="376"/>
      <c r="E2215" s="376"/>
      <c r="F2215" s="376"/>
      <c r="G2215" s="370"/>
      <c r="H2215" s="376"/>
      <c r="I2215" s="377"/>
      <c r="J2215" s="369"/>
    </row>
    <row r="2216" spans="1:10" ht="15.75" thickBot="1" x14ac:dyDescent="0.3">
      <c r="A2216" s="350"/>
      <c r="B2216" s="370"/>
      <c r="C2216" s="352"/>
      <c r="D2216" s="376"/>
      <c r="E2216" s="376"/>
      <c r="F2216" s="376"/>
      <c r="G2216" s="370"/>
      <c r="H2216" s="376"/>
      <c r="I2216" s="377"/>
      <c r="J2216" s="369"/>
    </row>
    <row r="2217" spans="1:10" ht="15.75" thickBot="1" x14ac:dyDescent="0.3">
      <c r="A2217" s="41" t="s">
        <v>12180</v>
      </c>
      <c r="B2217" s="42" t="str">
        <f>VLOOKUP(A2217,PO!$A$8:$K$425,4,FALSE)</f>
        <v>ATERRAMENTO</v>
      </c>
      <c r="C2217" s="43"/>
      <c r="D2217" s="43"/>
      <c r="E2217" s="43"/>
      <c r="F2217" s="295"/>
      <c r="G2217" s="43"/>
      <c r="H2217" s="43"/>
      <c r="I2217" s="43"/>
      <c r="J2217" s="44"/>
    </row>
    <row r="2218" spans="1:10" ht="15.75" thickBot="1" x14ac:dyDescent="0.3">
      <c r="A2218" s="347"/>
      <c r="B2218" s="205"/>
      <c r="C2218" s="205"/>
      <c r="D2218" s="348"/>
      <c r="E2218" s="205"/>
      <c r="F2218" s="237"/>
      <c r="G2218" s="208"/>
      <c r="H2218" s="208"/>
      <c r="I2218" s="208"/>
      <c r="J2218" s="349"/>
    </row>
    <row r="2219" spans="1:10" s="40" customFormat="1" ht="15.75" thickBot="1" x14ac:dyDescent="0.3">
      <c r="A2219" s="46" t="s">
        <v>12181</v>
      </c>
      <c r="B2219" s="60" t="str">
        <f>VLOOKUP(A2219,PO!$A$8:$K$433,4,FALSE)</f>
        <v>Cabo de cobre nu 50 mm² - fornecimento e instalação</v>
      </c>
      <c r="C2219" s="47"/>
      <c r="D2219" s="48"/>
      <c r="E2219" s="47"/>
      <c r="F2219" s="49"/>
      <c r="G2219" s="50"/>
      <c r="H2219" s="50"/>
      <c r="I2219" s="50">
        <f>H2222</f>
        <v>40</v>
      </c>
      <c r="J2219" s="284" t="str">
        <f>VLOOKUP(A2219,PO!$A$8:$K$433,5,FALSE)</f>
        <v>m</v>
      </c>
    </row>
    <row r="2220" spans="1:10" x14ac:dyDescent="0.25">
      <c r="A2220" s="350"/>
      <c r="B2220" s="370"/>
      <c r="C2220" s="352"/>
      <c r="D2220" s="376"/>
      <c r="E2220" s="376"/>
      <c r="F2220" s="376"/>
      <c r="G2220" s="370"/>
      <c r="H2220" s="376"/>
      <c r="I2220" s="377"/>
      <c r="J2220" s="369"/>
    </row>
    <row r="2221" spans="1:10" x14ac:dyDescent="0.25">
      <c r="A2221" s="350"/>
      <c r="B2221" s="360" t="s">
        <v>10886</v>
      </c>
      <c r="C2221" s="352"/>
      <c r="D2221" s="406" t="s">
        <v>10927</v>
      </c>
      <c r="E2221" s="376"/>
      <c r="F2221" s="376"/>
      <c r="G2221" s="370"/>
      <c r="H2221" s="363" t="s">
        <v>14</v>
      </c>
      <c r="I2221" s="363" t="s">
        <v>15</v>
      </c>
      <c r="J2221" s="369"/>
    </row>
    <row r="2222" spans="1:10" x14ac:dyDescent="0.25">
      <c r="A2222" s="350"/>
      <c r="B2222" s="370" t="s">
        <v>11890</v>
      </c>
      <c r="C2222" s="352"/>
      <c r="D2222" s="376">
        <v>40</v>
      </c>
      <c r="E2222" s="376"/>
      <c r="F2222" s="376"/>
      <c r="G2222" s="370" t="s">
        <v>16</v>
      </c>
      <c r="H2222" s="376">
        <f>ROUND(D2222,2)</f>
        <v>40</v>
      </c>
      <c r="I2222" s="377" t="str">
        <f>J2219</f>
        <v>m</v>
      </c>
      <c r="J2222" s="369"/>
    </row>
    <row r="2223" spans="1:10" x14ac:dyDescent="0.25">
      <c r="A2223" s="350"/>
      <c r="B2223" s="370"/>
      <c r="C2223" s="352"/>
      <c r="D2223" s="376"/>
      <c r="E2223" s="376"/>
      <c r="F2223" s="376"/>
      <c r="G2223" s="370"/>
      <c r="H2223" s="376"/>
      <c r="I2223" s="377"/>
      <c r="J2223" s="369"/>
    </row>
    <row r="2224" spans="1:10" x14ac:dyDescent="0.25">
      <c r="A2224" s="350"/>
      <c r="B2224" s="370" t="s">
        <v>11891</v>
      </c>
      <c r="C2224" s="352"/>
      <c r="D2224" s="376"/>
      <c r="E2224" s="376"/>
      <c r="F2224" s="376"/>
      <c r="G2224" s="370"/>
      <c r="H2224" s="376"/>
      <c r="I2224" s="377"/>
      <c r="J2224" s="369"/>
    </row>
    <row r="2225" spans="1:10" ht="15.75" thickBot="1" x14ac:dyDescent="0.3">
      <c r="A2225" s="350"/>
      <c r="B2225" s="370"/>
      <c r="C2225" s="352"/>
      <c r="D2225" s="376"/>
      <c r="E2225" s="376"/>
      <c r="F2225" s="376"/>
      <c r="G2225" s="370"/>
      <c r="H2225" s="376"/>
      <c r="I2225" s="377"/>
      <c r="J2225" s="369"/>
    </row>
    <row r="2226" spans="1:10" s="40" customFormat="1" ht="15.75" thickBot="1" x14ac:dyDescent="0.3">
      <c r="A2226" s="46" t="s">
        <v>12182</v>
      </c>
      <c r="B2226" s="60" t="str">
        <f>VLOOKUP(A2226,PO!$A$8:$K$433,4,FALSE)</f>
        <v>Grampo paralelo em alumínio fundido ou estrudado de 2 parafusos, para cabo de 6 a 50 mm², pasta antioxidante. Fornecimento e instalação.</v>
      </c>
      <c r="C2226" s="47"/>
      <c r="D2226" s="48"/>
      <c r="E2226" s="47"/>
      <c r="F2226" s="49"/>
      <c r="G2226" s="50"/>
      <c r="H2226" s="50"/>
      <c r="I2226" s="50">
        <f>H2229</f>
        <v>9</v>
      </c>
      <c r="J2226" s="284" t="str">
        <f>VLOOKUP(A2226,PO!$A$8:$K$433,5,FALSE)</f>
        <v>und</v>
      </c>
    </row>
    <row r="2227" spans="1:10" x14ac:dyDescent="0.25">
      <c r="A2227" s="350"/>
      <c r="B2227" s="370"/>
      <c r="C2227" s="352"/>
      <c r="D2227" s="376"/>
      <c r="E2227" s="376"/>
      <c r="F2227" s="376"/>
      <c r="G2227" s="370"/>
      <c r="H2227" s="376"/>
      <c r="I2227" s="377"/>
      <c r="J2227" s="369"/>
    </row>
    <row r="2228" spans="1:10" x14ac:dyDescent="0.25">
      <c r="A2228" s="350"/>
      <c r="B2228" s="360" t="s">
        <v>10886</v>
      </c>
      <c r="C2228" s="352"/>
      <c r="D2228" s="406" t="s">
        <v>10927</v>
      </c>
      <c r="E2228" s="376"/>
      <c r="F2228" s="376"/>
      <c r="G2228" s="370"/>
      <c r="H2228" s="363" t="s">
        <v>14</v>
      </c>
      <c r="I2228" s="363" t="s">
        <v>15</v>
      </c>
      <c r="J2228" s="369"/>
    </row>
    <row r="2229" spans="1:10" x14ac:dyDescent="0.25">
      <c r="A2229" s="350"/>
      <c r="B2229" s="370" t="s">
        <v>11890</v>
      </c>
      <c r="C2229" s="352"/>
      <c r="D2229" s="376">
        <v>9</v>
      </c>
      <c r="E2229" s="376"/>
      <c r="F2229" s="376"/>
      <c r="G2229" s="370" t="s">
        <v>16</v>
      </c>
      <c r="H2229" s="376">
        <f>ROUND(D2229,2)</f>
        <v>9</v>
      </c>
      <c r="I2229" s="377" t="str">
        <f>J2226</f>
        <v>und</v>
      </c>
      <c r="J2229" s="369"/>
    </row>
    <row r="2230" spans="1:10" x14ac:dyDescent="0.25">
      <c r="A2230" s="350"/>
      <c r="B2230" s="370"/>
      <c r="C2230" s="352"/>
      <c r="D2230" s="376"/>
      <c r="E2230" s="376"/>
      <c r="F2230" s="376"/>
      <c r="G2230" s="370"/>
      <c r="H2230" s="376"/>
      <c r="I2230" s="377"/>
      <c r="J2230" s="369"/>
    </row>
    <row r="2231" spans="1:10" x14ac:dyDescent="0.25">
      <c r="A2231" s="350"/>
      <c r="B2231" s="370" t="s">
        <v>11891</v>
      </c>
      <c r="C2231" s="352"/>
      <c r="D2231" s="376"/>
      <c r="E2231" s="376"/>
      <c r="F2231" s="376"/>
      <c r="G2231" s="370"/>
      <c r="H2231" s="376"/>
      <c r="I2231" s="377"/>
      <c r="J2231" s="369"/>
    </row>
    <row r="2232" spans="1:10" ht="15.75" thickBot="1" x14ac:dyDescent="0.3">
      <c r="A2232" s="350"/>
      <c r="B2232" s="370"/>
      <c r="C2232" s="352"/>
      <c r="D2232" s="376"/>
      <c r="E2232" s="376"/>
      <c r="F2232" s="376"/>
      <c r="G2232" s="370"/>
      <c r="H2232" s="376"/>
      <c r="I2232" s="377"/>
      <c r="J2232" s="369"/>
    </row>
    <row r="2233" spans="1:10" s="40" customFormat="1" ht="15.75" thickBot="1" x14ac:dyDescent="0.3">
      <c r="A2233" s="46" t="s">
        <v>12183</v>
      </c>
      <c r="B2233" s="60" t="str">
        <f>VLOOKUP(A2233,PO!$A$8:$K$433,4,FALSE)</f>
        <v>Haste de aterramento 5/8 para spda - fornecimento e instalação.</v>
      </c>
      <c r="C2233" s="47"/>
      <c r="D2233" s="48"/>
      <c r="E2233" s="47"/>
      <c r="F2233" s="49"/>
      <c r="G2233" s="50"/>
      <c r="H2233" s="50"/>
      <c r="I2233" s="50">
        <f>H2236</f>
        <v>9</v>
      </c>
      <c r="J2233" s="284" t="str">
        <f>VLOOKUP(A2233,PO!$A$8:$K$433,5,FALSE)</f>
        <v>und</v>
      </c>
    </row>
    <row r="2234" spans="1:10" x14ac:dyDescent="0.25">
      <c r="A2234" s="350"/>
      <c r="B2234" s="370"/>
      <c r="C2234" s="352"/>
      <c r="D2234" s="376"/>
      <c r="E2234" s="376"/>
      <c r="F2234" s="376"/>
      <c r="G2234" s="370"/>
      <c r="H2234" s="376"/>
      <c r="I2234" s="377"/>
      <c r="J2234" s="369"/>
    </row>
    <row r="2235" spans="1:10" x14ac:dyDescent="0.25">
      <c r="A2235" s="350"/>
      <c r="B2235" s="360" t="s">
        <v>10886</v>
      </c>
      <c r="C2235" s="352"/>
      <c r="D2235" s="406" t="s">
        <v>10927</v>
      </c>
      <c r="E2235" s="376"/>
      <c r="F2235" s="376"/>
      <c r="G2235" s="370"/>
      <c r="H2235" s="363" t="s">
        <v>14</v>
      </c>
      <c r="I2235" s="363" t="s">
        <v>15</v>
      </c>
      <c r="J2235" s="369"/>
    </row>
    <row r="2236" spans="1:10" x14ac:dyDescent="0.25">
      <c r="A2236" s="350"/>
      <c r="B2236" s="370" t="s">
        <v>11890</v>
      </c>
      <c r="C2236" s="352"/>
      <c r="D2236" s="376">
        <v>9</v>
      </c>
      <c r="E2236" s="376"/>
      <c r="F2236" s="376"/>
      <c r="G2236" s="370" t="s">
        <v>16</v>
      </c>
      <c r="H2236" s="376">
        <f>ROUND(D2236,2)</f>
        <v>9</v>
      </c>
      <c r="I2236" s="377" t="str">
        <f>J2233</f>
        <v>und</v>
      </c>
      <c r="J2236" s="369"/>
    </row>
    <row r="2237" spans="1:10" x14ac:dyDescent="0.25">
      <c r="A2237" s="350"/>
      <c r="B2237" s="370"/>
      <c r="C2237" s="352"/>
      <c r="D2237" s="376"/>
      <c r="E2237" s="376"/>
      <c r="F2237" s="376"/>
      <c r="G2237" s="370"/>
      <c r="H2237" s="376"/>
      <c r="I2237" s="377"/>
      <c r="J2237" s="369"/>
    </row>
    <row r="2238" spans="1:10" x14ac:dyDescent="0.25">
      <c r="A2238" s="350"/>
      <c r="B2238" s="370" t="s">
        <v>11891</v>
      </c>
      <c r="C2238" s="352"/>
      <c r="D2238" s="376"/>
      <c r="E2238" s="376"/>
      <c r="F2238" s="376"/>
      <c r="G2238" s="370"/>
      <c r="H2238" s="376"/>
      <c r="I2238" s="377"/>
      <c r="J2238" s="369"/>
    </row>
    <row r="2239" spans="1:10" ht="15.75" thickBot="1" x14ac:dyDescent="0.3">
      <c r="A2239" s="350"/>
      <c r="B2239" s="370"/>
      <c r="C2239" s="352"/>
      <c r="D2239" s="376"/>
      <c r="E2239" s="376"/>
      <c r="F2239" s="376"/>
      <c r="G2239" s="370"/>
      <c r="H2239" s="376"/>
      <c r="I2239" s="377"/>
      <c r="J2239" s="369"/>
    </row>
    <row r="2240" spans="1:10" s="40" customFormat="1" ht="15.75" thickBot="1" x14ac:dyDescent="0.3">
      <c r="A2240" s="46" t="s">
        <v>12184</v>
      </c>
      <c r="B2240" s="60" t="str">
        <f>VLOOKUP(A2240,PO!$A$8:$K$433,4,FALSE)</f>
        <v>Caixa de inspeção para aterramento, circular, em polietileno, diâmetro interno = 0,3 m.</v>
      </c>
      <c r="C2240" s="47"/>
      <c r="D2240" s="48"/>
      <c r="E2240" s="47"/>
      <c r="F2240" s="49"/>
      <c r="G2240" s="50"/>
      <c r="H2240" s="50"/>
      <c r="I2240" s="50">
        <f>H2243</f>
        <v>5</v>
      </c>
      <c r="J2240" s="284" t="str">
        <f>VLOOKUP(A2240,PO!$A$8:$K$433,5,FALSE)</f>
        <v>und</v>
      </c>
    </row>
    <row r="2241" spans="1:10" x14ac:dyDescent="0.25">
      <c r="A2241" s="350"/>
      <c r="B2241" s="370"/>
      <c r="C2241" s="352"/>
      <c r="D2241" s="376"/>
      <c r="E2241" s="376"/>
      <c r="F2241" s="376"/>
      <c r="G2241" s="370"/>
      <c r="H2241" s="376"/>
      <c r="I2241" s="377"/>
      <c r="J2241" s="369"/>
    </row>
    <row r="2242" spans="1:10" x14ac:dyDescent="0.25">
      <c r="A2242" s="350"/>
      <c r="B2242" s="360" t="s">
        <v>10886</v>
      </c>
      <c r="C2242" s="352"/>
      <c r="D2242" s="406" t="s">
        <v>10927</v>
      </c>
      <c r="E2242" s="376"/>
      <c r="F2242" s="376"/>
      <c r="G2242" s="370"/>
      <c r="H2242" s="363" t="s">
        <v>14</v>
      </c>
      <c r="I2242" s="363" t="s">
        <v>15</v>
      </c>
      <c r="J2242" s="369"/>
    </row>
    <row r="2243" spans="1:10" x14ac:dyDescent="0.25">
      <c r="A2243" s="350"/>
      <c r="B2243" s="370" t="s">
        <v>11890</v>
      </c>
      <c r="C2243" s="352"/>
      <c r="D2243" s="376">
        <v>5</v>
      </c>
      <c r="E2243" s="376"/>
      <c r="F2243" s="376"/>
      <c r="G2243" s="370" t="s">
        <v>16</v>
      </c>
      <c r="H2243" s="376">
        <f>ROUND(D2243,2)</f>
        <v>5</v>
      </c>
      <c r="I2243" s="377" t="str">
        <f>J2240</f>
        <v>und</v>
      </c>
      <c r="J2243" s="369"/>
    </row>
    <row r="2244" spans="1:10" x14ac:dyDescent="0.25">
      <c r="A2244" s="350"/>
      <c r="B2244" s="370"/>
      <c r="C2244" s="352"/>
      <c r="D2244" s="376"/>
      <c r="E2244" s="376"/>
      <c r="F2244" s="376"/>
      <c r="G2244" s="370"/>
      <c r="H2244" s="376"/>
      <c r="I2244" s="377"/>
      <c r="J2244" s="369"/>
    </row>
    <row r="2245" spans="1:10" x14ac:dyDescent="0.25">
      <c r="A2245" s="350"/>
      <c r="B2245" s="370" t="s">
        <v>11891</v>
      </c>
      <c r="C2245" s="352"/>
      <c r="D2245" s="376"/>
      <c r="E2245" s="376"/>
      <c r="F2245" s="376"/>
      <c r="G2245" s="370"/>
      <c r="H2245" s="376"/>
      <c r="I2245" s="377"/>
      <c r="J2245" s="369"/>
    </row>
    <row r="2246" spans="1:10" ht="15.75" thickBot="1" x14ac:dyDescent="0.3">
      <c r="A2246" s="350"/>
      <c r="B2246" s="370"/>
      <c r="C2246" s="352"/>
      <c r="D2246" s="376"/>
      <c r="E2246" s="376"/>
      <c r="F2246" s="376"/>
      <c r="G2246" s="370"/>
      <c r="H2246" s="376"/>
      <c r="I2246" s="377"/>
      <c r="J2246" s="369"/>
    </row>
    <row r="2247" spans="1:10" ht="15.75" thickBot="1" x14ac:dyDescent="0.3">
      <c r="A2247" s="41" t="s">
        <v>12185</v>
      </c>
      <c r="B2247" s="42" t="str">
        <f>VLOOKUP(A2247,PO!$A$8:$K$425,4,FALSE)</f>
        <v>RASGO E FECHAMENTO DE RASGO EM ALVENARIA</v>
      </c>
      <c r="C2247" s="43"/>
      <c r="D2247" s="43"/>
      <c r="E2247" s="43"/>
      <c r="F2247" s="295"/>
      <c r="G2247" s="43"/>
      <c r="H2247" s="43"/>
      <c r="I2247" s="43"/>
      <c r="J2247" s="44"/>
    </row>
    <row r="2248" spans="1:10" ht="15.75" thickBot="1" x14ac:dyDescent="0.3">
      <c r="A2248" s="347"/>
      <c r="B2248" s="205"/>
      <c r="C2248" s="205"/>
      <c r="D2248" s="348"/>
      <c r="E2248" s="205"/>
      <c r="F2248" s="237"/>
      <c r="G2248" s="208"/>
      <c r="H2248" s="208"/>
      <c r="I2248" s="208"/>
      <c r="J2248" s="349"/>
    </row>
    <row r="2249" spans="1:10" s="40" customFormat="1" ht="15.75" thickBot="1" x14ac:dyDescent="0.3">
      <c r="A2249" s="46" t="s">
        <v>12186</v>
      </c>
      <c r="B2249" s="60" t="str">
        <f>VLOOKUP(A2249,PO!$A$8:$K$433,4,FALSE)</f>
        <v>Rasgo em alvenaria para eletroduto com diâmetros menores ou iguais a 40 mm</v>
      </c>
      <c r="C2249" s="47"/>
      <c r="D2249" s="48"/>
      <c r="E2249" s="47"/>
      <c r="F2249" s="49"/>
      <c r="G2249" s="50"/>
      <c r="H2249" s="50"/>
      <c r="I2249" s="50">
        <f>SUM(H2252:H2254)</f>
        <v>172</v>
      </c>
      <c r="J2249" s="284" t="str">
        <f>VLOOKUP(A2249,PO!$A$8:$K$433,5,FALSE)</f>
        <v>m</v>
      </c>
    </row>
    <row r="2250" spans="1:10" x14ac:dyDescent="0.25">
      <c r="A2250" s="350"/>
      <c r="B2250" s="370"/>
      <c r="C2250" s="352"/>
      <c r="D2250" s="376"/>
      <c r="E2250" s="376"/>
      <c r="F2250" s="376"/>
      <c r="G2250" s="370"/>
      <c r="H2250" s="376"/>
      <c r="I2250" s="377"/>
      <c r="J2250" s="369"/>
    </row>
    <row r="2251" spans="1:10" x14ac:dyDescent="0.25">
      <c r="A2251" s="350"/>
      <c r="B2251" s="360" t="s">
        <v>10886</v>
      </c>
      <c r="C2251" s="352"/>
      <c r="D2251" s="406" t="s">
        <v>10927</v>
      </c>
      <c r="E2251" s="406" t="s">
        <v>10930</v>
      </c>
      <c r="F2251" s="376"/>
      <c r="G2251" s="370"/>
      <c r="H2251" s="363" t="s">
        <v>14</v>
      </c>
      <c r="I2251" s="363" t="s">
        <v>15</v>
      </c>
      <c r="J2251" s="369"/>
    </row>
    <row r="2252" spans="1:10" x14ac:dyDescent="0.25">
      <c r="A2252" s="350"/>
      <c r="B2252" s="370" t="s">
        <v>11975</v>
      </c>
      <c r="C2252" s="352"/>
      <c r="D2252" s="376">
        <f>D2053+D2060+D2067</f>
        <v>49</v>
      </c>
      <c r="E2252" s="376">
        <v>2.7</v>
      </c>
      <c r="F2252" s="376"/>
      <c r="G2252" s="370" t="s">
        <v>16</v>
      </c>
      <c r="H2252" s="376">
        <f>ROUND(D2252*E2252,2)</f>
        <v>132.30000000000001</v>
      </c>
      <c r="I2252" s="377" t="str">
        <f>J2249</f>
        <v>m</v>
      </c>
      <c r="J2252" s="369"/>
    </row>
    <row r="2253" spans="1:10" x14ac:dyDescent="0.25">
      <c r="A2253" s="350"/>
      <c r="B2253" s="370" t="s">
        <v>11976</v>
      </c>
      <c r="C2253" s="352"/>
      <c r="D2253" s="376">
        <f>I2015+I2022+I2029+I2036+I2043</f>
        <v>21</v>
      </c>
      <c r="E2253" s="376">
        <v>1.7</v>
      </c>
      <c r="F2253" s="376"/>
      <c r="G2253" s="370" t="s">
        <v>16</v>
      </c>
      <c r="H2253" s="376">
        <f t="shared" ref="H2253:H2254" si="168">ROUND(D2253*E2253,2)</f>
        <v>35.700000000000003</v>
      </c>
      <c r="I2253" s="377" t="str">
        <f>I2252</f>
        <v>m</v>
      </c>
      <c r="J2253" s="369"/>
    </row>
    <row r="2254" spans="1:10" x14ac:dyDescent="0.25">
      <c r="A2254" s="350"/>
      <c r="B2254" s="370" t="s">
        <v>11977</v>
      </c>
      <c r="C2254" s="352"/>
      <c r="D2254" s="376">
        <f>I2071</f>
        <v>5</v>
      </c>
      <c r="E2254" s="376">
        <v>0.8</v>
      </c>
      <c r="F2254" s="376"/>
      <c r="G2254" s="370" t="s">
        <v>16</v>
      </c>
      <c r="H2254" s="376">
        <f t="shared" si="168"/>
        <v>4</v>
      </c>
      <c r="I2254" s="377" t="str">
        <f>I2253</f>
        <v>m</v>
      </c>
      <c r="J2254" s="369"/>
    </row>
    <row r="2255" spans="1:10" x14ac:dyDescent="0.25">
      <c r="A2255" s="350"/>
      <c r="B2255" s="370"/>
      <c r="C2255" s="352"/>
      <c r="D2255" s="376"/>
      <c r="E2255" s="376"/>
      <c r="F2255" s="376"/>
      <c r="G2255" s="370"/>
      <c r="H2255" s="376"/>
      <c r="I2255" s="377"/>
      <c r="J2255" s="369"/>
    </row>
    <row r="2256" spans="1:10" x14ac:dyDescent="0.25">
      <c r="A2256" s="350"/>
      <c r="B2256" s="370" t="s">
        <v>11891</v>
      </c>
      <c r="C2256" s="352"/>
      <c r="D2256" s="376"/>
      <c r="E2256" s="376"/>
      <c r="F2256" s="376"/>
      <c r="G2256" s="370"/>
      <c r="H2256" s="376"/>
      <c r="I2256" s="377"/>
      <c r="J2256" s="369"/>
    </row>
    <row r="2257" spans="1:10" ht="15.75" thickBot="1" x14ac:dyDescent="0.3">
      <c r="A2257" s="350"/>
      <c r="B2257" s="370"/>
      <c r="C2257" s="352"/>
      <c r="D2257" s="376"/>
      <c r="E2257" s="376"/>
      <c r="F2257" s="376"/>
      <c r="G2257" s="370"/>
      <c r="H2257" s="376"/>
      <c r="I2257" s="377"/>
      <c r="J2257" s="369"/>
    </row>
    <row r="2258" spans="1:10" s="40" customFormat="1" ht="15.75" thickBot="1" x14ac:dyDescent="0.3">
      <c r="A2258" s="46" t="s">
        <v>12187</v>
      </c>
      <c r="B2258" s="60" t="str">
        <f>VLOOKUP(A2258,PO!$A$8:$K$433,4,FALSE)</f>
        <v>Enchimento de rasgo em alvenaria com argamassa mista traço 1:4, para tubulação de 1/2" a 25 mm</v>
      </c>
      <c r="C2258" s="47"/>
      <c r="D2258" s="48"/>
      <c r="E2258" s="47"/>
      <c r="F2258" s="49"/>
      <c r="G2258" s="50"/>
      <c r="H2258" s="50"/>
      <c r="I2258" s="50">
        <f>SUM(H2261:H2263)</f>
        <v>172</v>
      </c>
      <c r="J2258" s="284" t="str">
        <f>VLOOKUP(A2258,PO!$A$8:$K$433,5,FALSE)</f>
        <v>m</v>
      </c>
    </row>
    <row r="2259" spans="1:10" x14ac:dyDescent="0.25">
      <c r="A2259" s="350"/>
      <c r="B2259" s="370"/>
      <c r="C2259" s="352"/>
      <c r="D2259" s="376"/>
      <c r="E2259" s="376"/>
      <c r="F2259" s="376"/>
      <c r="G2259" s="370"/>
      <c r="H2259" s="376"/>
      <c r="I2259" s="377"/>
      <c r="J2259" s="369"/>
    </row>
    <row r="2260" spans="1:10" x14ac:dyDescent="0.25">
      <c r="A2260" s="350"/>
      <c r="B2260" s="360" t="s">
        <v>10886</v>
      </c>
      <c r="C2260" s="352"/>
      <c r="D2260" s="406" t="s">
        <v>10927</v>
      </c>
      <c r="E2260" s="406" t="s">
        <v>10930</v>
      </c>
      <c r="F2260" s="376"/>
      <c r="G2260" s="370"/>
      <c r="H2260" s="363" t="s">
        <v>14</v>
      </c>
      <c r="I2260" s="363" t="s">
        <v>15</v>
      </c>
      <c r="J2260" s="369"/>
    </row>
    <row r="2261" spans="1:10" x14ac:dyDescent="0.25">
      <c r="A2261" s="350"/>
      <c r="B2261" s="370" t="s">
        <v>11975</v>
      </c>
      <c r="C2261" s="352"/>
      <c r="D2261" s="376">
        <v>49</v>
      </c>
      <c r="E2261" s="376">
        <v>2.7</v>
      </c>
      <c r="F2261" s="376"/>
      <c r="G2261" s="370" t="s">
        <v>16</v>
      </c>
      <c r="H2261" s="376">
        <f>ROUND(D2261*E2261,2)</f>
        <v>132.30000000000001</v>
      </c>
      <c r="I2261" s="377" t="str">
        <f>J2258</f>
        <v>m</v>
      </c>
      <c r="J2261" s="369"/>
    </row>
    <row r="2262" spans="1:10" x14ac:dyDescent="0.25">
      <c r="A2262" s="350"/>
      <c r="B2262" s="370" t="s">
        <v>11976</v>
      </c>
      <c r="C2262" s="352"/>
      <c r="D2262" s="376">
        <v>21</v>
      </c>
      <c r="E2262" s="376">
        <v>1.7</v>
      </c>
      <c r="F2262" s="376"/>
      <c r="G2262" s="370" t="s">
        <v>16</v>
      </c>
      <c r="H2262" s="376">
        <f t="shared" ref="H2262:H2263" si="169">ROUND(D2262*E2262,2)</f>
        <v>35.700000000000003</v>
      </c>
      <c r="I2262" s="377" t="str">
        <f>I2261</f>
        <v>m</v>
      </c>
      <c r="J2262" s="369"/>
    </row>
    <row r="2263" spans="1:10" x14ac:dyDescent="0.25">
      <c r="A2263" s="350"/>
      <c r="B2263" s="370" t="s">
        <v>11977</v>
      </c>
      <c r="C2263" s="352"/>
      <c r="D2263" s="376">
        <v>5</v>
      </c>
      <c r="E2263" s="376">
        <v>0.8</v>
      </c>
      <c r="F2263" s="376"/>
      <c r="G2263" s="370" t="s">
        <v>16</v>
      </c>
      <c r="H2263" s="376">
        <f t="shared" si="169"/>
        <v>4</v>
      </c>
      <c r="I2263" s="377" t="str">
        <f>I2262</f>
        <v>m</v>
      </c>
      <c r="J2263" s="369"/>
    </row>
    <row r="2264" spans="1:10" x14ac:dyDescent="0.25">
      <c r="A2264" s="350"/>
      <c r="B2264" s="370"/>
      <c r="C2264" s="352"/>
      <c r="D2264" s="376"/>
      <c r="E2264" s="376"/>
      <c r="F2264" s="376"/>
      <c r="G2264" s="370"/>
      <c r="H2264" s="376"/>
      <c r="I2264" s="377"/>
      <c r="J2264" s="369"/>
    </row>
    <row r="2265" spans="1:10" x14ac:dyDescent="0.25">
      <c r="A2265" s="350"/>
      <c r="B2265" s="370" t="s">
        <v>11891</v>
      </c>
      <c r="C2265" s="352"/>
      <c r="D2265" s="376"/>
      <c r="E2265" s="376"/>
      <c r="F2265" s="376"/>
      <c r="G2265" s="370"/>
      <c r="H2265" s="376"/>
      <c r="I2265" s="377"/>
      <c r="J2265" s="369"/>
    </row>
    <row r="2266" spans="1:10" ht="15.75" thickBot="1" x14ac:dyDescent="0.3">
      <c r="A2266" s="350"/>
      <c r="B2266" s="370"/>
      <c r="C2266" s="352"/>
      <c r="D2266" s="376"/>
      <c r="E2266" s="376"/>
      <c r="F2266" s="376"/>
      <c r="G2266" s="370"/>
      <c r="H2266" s="376"/>
      <c r="I2266" s="377"/>
      <c r="J2266" s="369"/>
    </row>
    <row r="2267" spans="1:10" s="40" customFormat="1" ht="15.75" thickBot="1" x14ac:dyDescent="0.3">
      <c r="A2267" s="46" t="s">
        <v>12188</v>
      </c>
      <c r="B2267" s="60" t="str">
        <f>VLOOKUP(A2267,PO!$A$8:$K$433,4,FALSE)</f>
        <v xml:space="preserve">Rasgo em alvenaria para ramais/ distribuição com diâmetros maiores que 40 mm e menores ou iguais a 75 mm. </v>
      </c>
      <c r="C2267" s="47"/>
      <c r="D2267" s="48"/>
      <c r="E2267" s="47"/>
      <c r="F2267" s="49"/>
      <c r="G2267" s="50"/>
      <c r="H2267" s="50"/>
      <c r="I2267" s="50">
        <f>SUM(H2270:H2272)</f>
        <v>6</v>
      </c>
      <c r="J2267" s="284" t="str">
        <f>VLOOKUP(A2267,PO!$A$8:$K$433,5,FALSE)</f>
        <v>m</v>
      </c>
    </row>
    <row r="2268" spans="1:10" x14ac:dyDescent="0.25">
      <c r="A2268" s="350"/>
      <c r="B2268" s="370"/>
      <c r="C2268" s="352"/>
      <c r="D2268" s="376"/>
      <c r="E2268" s="376"/>
      <c r="F2268" s="376"/>
      <c r="G2268" s="370"/>
      <c r="H2268" s="376"/>
      <c r="I2268" s="377"/>
      <c r="J2268" s="369"/>
    </row>
    <row r="2269" spans="1:10" x14ac:dyDescent="0.25">
      <c r="A2269" s="350"/>
      <c r="B2269" s="360" t="s">
        <v>10886</v>
      </c>
      <c r="C2269" s="352"/>
      <c r="D2269" s="406" t="s">
        <v>10927</v>
      </c>
      <c r="E2269" s="406" t="s">
        <v>10930</v>
      </c>
      <c r="F2269" s="376"/>
      <c r="G2269" s="370"/>
      <c r="H2269" s="363" t="s">
        <v>14</v>
      </c>
      <c r="I2269" s="363" t="s">
        <v>15</v>
      </c>
      <c r="J2269" s="369"/>
    </row>
    <row r="2270" spans="1:10" x14ac:dyDescent="0.25">
      <c r="A2270" s="350"/>
      <c r="B2270" s="370" t="s">
        <v>11978</v>
      </c>
      <c r="C2270" s="352"/>
      <c r="D2270" s="376">
        <v>1</v>
      </c>
      <c r="E2270" s="376">
        <v>2</v>
      </c>
      <c r="F2270" s="376"/>
      <c r="G2270" s="370" t="s">
        <v>16</v>
      </c>
      <c r="H2270" s="376">
        <f>ROUND(D2270*E2270,2)</f>
        <v>2</v>
      </c>
      <c r="I2270" s="377" t="str">
        <f>J2267</f>
        <v>m</v>
      </c>
      <c r="J2270" s="369"/>
    </row>
    <row r="2271" spans="1:10" x14ac:dyDescent="0.25">
      <c r="A2271" s="350"/>
      <c r="B2271" s="370" t="s">
        <v>11978</v>
      </c>
      <c r="C2271" s="352"/>
      <c r="D2271" s="376">
        <v>1</v>
      </c>
      <c r="E2271" s="376">
        <v>2</v>
      </c>
      <c r="F2271" s="376"/>
      <c r="G2271" s="370" t="s">
        <v>16</v>
      </c>
      <c r="H2271" s="376">
        <f t="shared" ref="H2271:H2272" si="170">ROUND(D2271*E2271,2)</f>
        <v>2</v>
      </c>
      <c r="I2271" s="377" t="str">
        <f>I2270</f>
        <v>m</v>
      </c>
      <c r="J2271" s="369"/>
    </row>
    <row r="2272" spans="1:10" x14ac:dyDescent="0.25">
      <c r="A2272" s="350"/>
      <c r="B2272" s="370" t="s">
        <v>11978</v>
      </c>
      <c r="C2272" s="352"/>
      <c r="D2272" s="376">
        <v>1</v>
      </c>
      <c r="E2272" s="376">
        <v>2</v>
      </c>
      <c r="F2272" s="376"/>
      <c r="G2272" s="370" t="s">
        <v>16</v>
      </c>
      <c r="H2272" s="376">
        <f t="shared" si="170"/>
        <v>2</v>
      </c>
      <c r="I2272" s="377" t="str">
        <f>I2271</f>
        <v>m</v>
      </c>
      <c r="J2272" s="369"/>
    </row>
    <row r="2273" spans="1:10" x14ac:dyDescent="0.25">
      <c r="A2273" s="350"/>
      <c r="B2273" s="370"/>
      <c r="C2273" s="352"/>
      <c r="D2273" s="376"/>
      <c r="E2273" s="376"/>
      <c r="F2273" s="376"/>
      <c r="G2273" s="370"/>
      <c r="H2273" s="376"/>
      <c r="I2273" s="377"/>
      <c r="J2273" s="369"/>
    </row>
    <row r="2274" spans="1:10" x14ac:dyDescent="0.25">
      <c r="A2274" s="350"/>
      <c r="B2274" s="370" t="s">
        <v>11891</v>
      </c>
      <c r="C2274" s="352"/>
      <c r="D2274" s="376"/>
      <c r="E2274" s="376"/>
      <c r="F2274" s="376"/>
      <c r="G2274" s="370"/>
      <c r="H2274" s="376"/>
      <c r="I2274" s="377"/>
      <c r="J2274" s="369"/>
    </row>
    <row r="2275" spans="1:10" ht="15.75" thickBot="1" x14ac:dyDescent="0.3">
      <c r="A2275" s="350"/>
      <c r="B2275" s="370"/>
      <c r="C2275" s="352"/>
      <c r="D2275" s="376"/>
      <c r="E2275" s="376"/>
      <c r="F2275" s="376"/>
      <c r="G2275" s="370"/>
      <c r="H2275" s="376"/>
      <c r="I2275" s="377"/>
      <c r="J2275" s="369"/>
    </row>
    <row r="2276" spans="1:10" s="40" customFormat="1" ht="15.75" thickBot="1" x14ac:dyDescent="0.3">
      <c r="A2276" s="46" t="s">
        <v>12189</v>
      </c>
      <c r="B2276" s="60" t="str">
        <f>VLOOKUP(A2276,PO!$A$8:$K$433,4,FALSE)</f>
        <v>Enchimento de rasgo em alvenaria com argamassa mista de cal hidratada e areia traço 1:4, para eletroduto Ø 32 mm - 1 1/4" a 50 mm - 2"</v>
      </c>
      <c r="C2276" s="47"/>
      <c r="D2276" s="48"/>
      <c r="E2276" s="47"/>
      <c r="F2276" s="49"/>
      <c r="G2276" s="50"/>
      <c r="H2276" s="50"/>
      <c r="I2276" s="50">
        <f>SUM(H2279:H2281)</f>
        <v>6</v>
      </c>
      <c r="J2276" s="284" t="str">
        <f>VLOOKUP(A2276,PO!$A$8:$K$433,5,FALSE)</f>
        <v>m</v>
      </c>
    </row>
    <row r="2277" spans="1:10" x14ac:dyDescent="0.25">
      <c r="A2277" s="350"/>
      <c r="B2277" s="370"/>
      <c r="C2277" s="352"/>
      <c r="D2277" s="376"/>
      <c r="E2277" s="376"/>
      <c r="F2277" s="376"/>
      <c r="G2277" s="370"/>
      <c r="H2277" s="376"/>
      <c r="I2277" s="377"/>
      <c r="J2277" s="369"/>
    </row>
    <row r="2278" spans="1:10" x14ac:dyDescent="0.25">
      <c r="A2278" s="350"/>
      <c r="B2278" s="360" t="s">
        <v>10886</v>
      </c>
      <c r="C2278" s="352"/>
      <c r="D2278" s="406" t="s">
        <v>10927</v>
      </c>
      <c r="E2278" s="406" t="s">
        <v>10930</v>
      </c>
      <c r="F2278" s="376"/>
      <c r="G2278" s="370"/>
      <c r="H2278" s="363" t="s">
        <v>14</v>
      </c>
      <c r="I2278" s="363" t="s">
        <v>15</v>
      </c>
      <c r="J2278" s="369"/>
    </row>
    <row r="2279" spans="1:10" x14ac:dyDescent="0.25">
      <c r="A2279" s="350"/>
      <c r="B2279" s="370" t="s">
        <v>11978</v>
      </c>
      <c r="C2279" s="352"/>
      <c r="D2279" s="376">
        <v>1</v>
      </c>
      <c r="E2279" s="376">
        <v>2</v>
      </c>
      <c r="F2279" s="376"/>
      <c r="G2279" s="370" t="s">
        <v>16</v>
      </c>
      <c r="H2279" s="376">
        <f>ROUND(D2279*E2279,2)</f>
        <v>2</v>
      </c>
      <c r="I2279" s="377" t="str">
        <f>J2276</f>
        <v>m</v>
      </c>
      <c r="J2279" s="369"/>
    </row>
    <row r="2280" spans="1:10" x14ac:dyDescent="0.25">
      <c r="A2280" s="350"/>
      <c r="B2280" s="370" t="s">
        <v>11978</v>
      </c>
      <c r="C2280" s="352"/>
      <c r="D2280" s="376">
        <v>1</v>
      </c>
      <c r="E2280" s="376">
        <v>2</v>
      </c>
      <c r="F2280" s="376"/>
      <c r="G2280" s="370" t="s">
        <v>16</v>
      </c>
      <c r="H2280" s="376">
        <f t="shared" ref="H2280:H2281" si="171">ROUND(D2280*E2280,2)</f>
        <v>2</v>
      </c>
      <c r="I2280" s="377" t="str">
        <f>I2279</f>
        <v>m</v>
      </c>
      <c r="J2280" s="369"/>
    </row>
    <row r="2281" spans="1:10" x14ac:dyDescent="0.25">
      <c r="A2281" s="350"/>
      <c r="B2281" s="370" t="s">
        <v>11978</v>
      </c>
      <c r="C2281" s="352"/>
      <c r="D2281" s="376">
        <v>1</v>
      </c>
      <c r="E2281" s="376">
        <v>2</v>
      </c>
      <c r="F2281" s="376"/>
      <c r="G2281" s="370" t="s">
        <v>16</v>
      </c>
      <c r="H2281" s="376">
        <f t="shared" si="171"/>
        <v>2</v>
      </c>
      <c r="I2281" s="377" t="str">
        <f>I2280</f>
        <v>m</v>
      </c>
      <c r="J2281" s="369"/>
    </row>
    <row r="2282" spans="1:10" x14ac:dyDescent="0.25">
      <c r="A2282" s="350"/>
      <c r="B2282" s="370"/>
      <c r="C2282" s="352"/>
      <c r="D2282" s="376"/>
      <c r="E2282" s="376"/>
      <c r="F2282" s="376"/>
      <c r="G2282" s="370"/>
      <c r="H2282" s="376"/>
      <c r="I2282" s="377"/>
      <c r="J2282" s="369"/>
    </row>
    <row r="2283" spans="1:10" x14ac:dyDescent="0.25">
      <c r="A2283" s="350"/>
      <c r="B2283" s="370" t="s">
        <v>11891</v>
      </c>
      <c r="C2283" s="352"/>
      <c r="D2283" s="376"/>
      <c r="E2283" s="376"/>
      <c r="F2283" s="376"/>
      <c r="G2283" s="370"/>
      <c r="H2283" s="376"/>
      <c r="I2283" s="377"/>
      <c r="J2283" s="369"/>
    </row>
    <row r="2284" spans="1:10" ht="15.75" thickBot="1" x14ac:dyDescent="0.3">
      <c r="A2284" s="350"/>
      <c r="B2284" s="370"/>
      <c r="C2284" s="352"/>
      <c r="D2284" s="376"/>
      <c r="E2284" s="376"/>
      <c r="F2284" s="376"/>
      <c r="G2284" s="370"/>
      <c r="H2284" s="376"/>
      <c r="I2284" s="377"/>
      <c r="J2284" s="369"/>
    </row>
    <row r="2285" spans="1:10" s="40" customFormat="1" ht="15.75" thickBot="1" x14ac:dyDescent="0.3">
      <c r="A2285" s="46" t="s">
        <v>12190</v>
      </c>
      <c r="B2285" s="60" t="str">
        <f>VLOOKUP(A2285,PO!$A$8:$K$433,4,FALSE)</f>
        <v>Quebra em alvenaria para instalação de quadro distribuição</v>
      </c>
      <c r="C2285" s="47"/>
      <c r="D2285" s="48"/>
      <c r="E2285" s="47"/>
      <c r="F2285" s="49"/>
      <c r="G2285" s="50"/>
      <c r="H2285" s="50"/>
      <c r="I2285" s="50">
        <f>SUM(H2288:H2290)</f>
        <v>0.91</v>
      </c>
      <c r="J2285" s="284" t="str">
        <f>VLOOKUP(A2285,PO!$A$8:$K$433,5,FALSE)</f>
        <v>m²</v>
      </c>
    </row>
    <row r="2286" spans="1:10" x14ac:dyDescent="0.25">
      <c r="A2286" s="350"/>
      <c r="B2286" s="370"/>
      <c r="C2286" s="352"/>
      <c r="D2286" s="376"/>
      <c r="E2286" s="376"/>
      <c r="F2286" s="376"/>
      <c r="G2286" s="370"/>
      <c r="H2286" s="376"/>
      <c r="I2286" s="377"/>
      <c r="J2286" s="369"/>
    </row>
    <row r="2287" spans="1:10" x14ac:dyDescent="0.25">
      <c r="A2287" s="350"/>
      <c r="B2287" s="360" t="s">
        <v>10886</v>
      </c>
      <c r="C2287" s="352"/>
      <c r="D2287" s="406" t="s">
        <v>10927</v>
      </c>
      <c r="E2287" s="406" t="s">
        <v>10936</v>
      </c>
      <c r="F2287" s="376"/>
      <c r="G2287" s="370"/>
      <c r="H2287" s="363" t="s">
        <v>14</v>
      </c>
      <c r="I2287" s="363" t="s">
        <v>15</v>
      </c>
      <c r="J2287" s="369"/>
    </row>
    <row r="2288" spans="1:10" x14ac:dyDescent="0.25">
      <c r="A2288" s="350"/>
      <c r="B2288" s="370" t="s">
        <v>11978</v>
      </c>
      <c r="C2288" s="352"/>
      <c r="D2288" s="376">
        <v>1</v>
      </c>
      <c r="E2288" s="376">
        <f>0.65*0.34</f>
        <v>0.22100000000000003</v>
      </c>
      <c r="F2288" s="376"/>
      <c r="G2288" s="370" t="s">
        <v>16</v>
      </c>
      <c r="H2288" s="376">
        <f>ROUND(D2288*E2288,2)</f>
        <v>0.22</v>
      </c>
      <c r="I2288" s="377" t="str">
        <f>J2285</f>
        <v>m²</v>
      </c>
      <c r="J2288" s="369"/>
    </row>
    <row r="2289" spans="1:10" x14ac:dyDescent="0.25">
      <c r="A2289" s="350"/>
      <c r="B2289" s="370" t="s">
        <v>11978</v>
      </c>
      <c r="C2289" s="352"/>
      <c r="D2289" s="376">
        <v>1</v>
      </c>
      <c r="E2289" s="376">
        <f>0.71*0.6</f>
        <v>0.42599999999999999</v>
      </c>
      <c r="F2289" s="376"/>
      <c r="G2289" s="370" t="s">
        <v>16</v>
      </c>
      <c r="H2289" s="376">
        <f t="shared" ref="H2289:H2290" si="172">ROUND(D2289*E2289,2)</f>
        <v>0.43</v>
      </c>
      <c r="I2289" s="377" t="str">
        <f>I2288</f>
        <v>m²</v>
      </c>
      <c r="J2289" s="369"/>
    </row>
    <row r="2290" spans="1:10" x14ac:dyDescent="0.25">
      <c r="A2290" s="350"/>
      <c r="B2290" s="370" t="s">
        <v>11978</v>
      </c>
      <c r="C2290" s="352"/>
      <c r="D2290" s="376">
        <v>1</v>
      </c>
      <c r="E2290" s="376">
        <f>0.75*0.34</f>
        <v>0.255</v>
      </c>
      <c r="F2290" s="376"/>
      <c r="G2290" s="370" t="s">
        <v>16</v>
      </c>
      <c r="H2290" s="376">
        <f t="shared" si="172"/>
        <v>0.26</v>
      </c>
      <c r="I2290" s="377" t="str">
        <f>I2289</f>
        <v>m²</v>
      </c>
      <c r="J2290" s="369"/>
    </row>
    <row r="2291" spans="1:10" x14ac:dyDescent="0.25">
      <c r="A2291" s="350"/>
      <c r="B2291" s="370"/>
      <c r="C2291" s="352"/>
      <c r="D2291" s="376"/>
      <c r="E2291" s="376"/>
      <c r="F2291" s="376"/>
      <c r="G2291" s="370"/>
      <c r="H2291" s="376"/>
      <c r="I2291" s="377"/>
      <c r="J2291" s="369"/>
    </row>
    <row r="2292" spans="1:10" x14ac:dyDescent="0.25">
      <c r="A2292" s="350"/>
      <c r="B2292" s="370" t="s">
        <v>11891</v>
      </c>
      <c r="C2292" s="352"/>
      <c r="D2292" s="376"/>
      <c r="E2292" s="376"/>
      <c r="F2292" s="376"/>
      <c r="G2292" s="370"/>
      <c r="H2292" s="376"/>
      <c r="I2292" s="377"/>
      <c r="J2292" s="369"/>
    </row>
    <row r="2293" spans="1:10" ht="15.75" thickBot="1" x14ac:dyDescent="0.3">
      <c r="A2293" s="350"/>
      <c r="B2293" s="370"/>
      <c r="C2293" s="352"/>
      <c r="D2293" s="376"/>
      <c r="E2293" s="376"/>
      <c r="F2293" s="376"/>
      <c r="G2293" s="370"/>
      <c r="H2293" s="376"/>
      <c r="I2293" s="377"/>
      <c r="J2293" s="369"/>
    </row>
    <row r="2294" spans="1:10" ht="15.75" thickBot="1" x14ac:dyDescent="0.3">
      <c r="A2294" s="41" t="s">
        <v>12191</v>
      </c>
      <c r="B2294" s="42" t="str">
        <f>VLOOKUP(A2294,PO!$A$8:$K$425,4,FALSE)</f>
        <v>ESCAVAÇÃO E REATERRO DE VALA PARA ELETRODUTO ENTERRADO</v>
      </c>
      <c r="C2294" s="43"/>
      <c r="D2294" s="43"/>
      <c r="E2294" s="43"/>
      <c r="F2294" s="295"/>
      <c r="G2294" s="43"/>
      <c r="H2294" s="43"/>
      <c r="I2294" s="43"/>
      <c r="J2294" s="44"/>
    </row>
    <row r="2295" spans="1:10" ht="15.75" thickBot="1" x14ac:dyDescent="0.3">
      <c r="A2295" s="347"/>
      <c r="B2295" s="205"/>
      <c r="C2295" s="205"/>
      <c r="D2295" s="348"/>
      <c r="E2295" s="205"/>
      <c r="F2295" s="237"/>
      <c r="G2295" s="208"/>
      <c r="H2295" s="208"/>
      <c r="I2295" s="208"/>
      <c r="J2295" s="349"/>
    </row>
    <row r="2296" spans="1:10" s="40" customFormat="1" ht="15.75" thickBot="1" x14ac:dyDescent="0.3">
      <c r="A2296" s="46" t="s">
        <v>12192</v>
      </c>
      <c r="B2296" s="60" t="str">
        <f>VLOOKUP(A2296,PO!$A$8:$K$433,4,FALSE)</f>
        <v xml:space="preserve">Escavação manual de vala com profundidade menor ou igual a 1,30 m. </v>
      </c>
      <c r="C2296" s="47"/>
      <c r="D2296" s="48"/>
      <c r="E2296" s="47"/>
      <c r="F2296" s="49"/>
      <c r="G2296" s="50"/>
      <c r="H2296" s="50"/>
      <c r="I2296" s="50">
        <f>SUM(H2299:H2300)</f>
        <v>1.9899999999999998</v>
      </c>
      <c r="J2296" s="284" t="str">
        <f>VLOOKUP(A2296,PO!$A$8:$K$433,5,FALSE)</f>
        <v>m³</v>
      </c>
    </row>
    <row r="2297" spans="1:10" x14ac:dyDescent="0.25">
      <c r="A2297" s="350"/>
      <c r="B2297" s="370"/>
      <c r="C2297" s="352"/>
      <c r="D2297" s="376"/>
      <c r="E2297" s="376"/>
      <c r="F2297" s="376"/>
      <c r="G2297" s="370"/>
      <c r="H2297" s="376"/>
      <c r="I2297" s="377"/>
      <c r="J2297" s="369"/>
    </row>
    <row r="2298" spans="1:10" x14ac:dyDescent="0.25">
      <c r="A2298" s="350"/>
      <c r="B2298" s="360" t="s">
        <v>10886</v>
      </c>
      <c r="C2298" s="352"/>
      <c r="D2298" s="406" t="s">
        <v>10927</v>
      </c>
      <c r="E2298" s="406" t="s">
        <v>11843</v>
      </c>
      <c r="F2298" s="406" t="s">
        <v>10921</v>
      </c>
      <c r="G2298" s="370"/>
      <c r="H2298" s="363" t="s">
        <v>14</v>
      </c>
      <c r="I2298" s="363" t="s">
        <v>15</v>
      </c>
      <c r="J2298" s="369"/>
    </row>
    <row r="2299" spans="1:10" x14ac:dyDescent="0.25">
      <c r="A2299" s="350"/>
      <c r="B2299" s="370" t="s">
        <v>11979</v>
      </c>
      <c r="C2299" s="352"/>
      <c r="D2299" s="376">
        <f>I1880</f>
        <v>24</v>
      </c>
      <c r="E2299" s="376">
        <f>0.085+0.15</f>
        <v>0.23499999999999999</v>
      </c>
      <c r="F2299" s="376">
        <f>0.15</f>
        <v>0.15</v>
      </c>
      <c r="G2299" s="370" t="s">
        <v>16</v>
      </c>
      <c r="H2299" s="376">
        <f>ROUND(D2299*E2299*F2299,2)</f>
        <v>0.85</v>
      </c>
      <c r="I2299" s="377" t="str">
        <f>J2296</f>
        <v>m³</v>
      </c>
      <c r="J2299" s="369"/>
    </row>
    <row r="2300" spans="1:10" x14ac:dyDescent="0.25">
      <c r="A2300" s="350"/>
      <c r="B2300" s="370" t="s">
        <v>11980</v>
      </c>
      <c r="C2300" s="352"/>
      <c r="D2300" s="376">
        <f>I2219-2</f>
        <v>38</v>
      </c>
      <c r="E2300" s="376">
        <f>0.05+0.15</f>
        <v>0.2</v>
      </c>
      <c r="F2300" s="376">
        <f>0.15</f>
        <v>0.15</v>
      </c>
      <c r="G2300" s="370" t="s">
        <v>16</v>
      </c>
      <c r="H2300" s="376">
        <f>ROUND(D2300*E2300*F2300,2)</f>
        <v>1.1399999999999999</v>
      </c>
      <c r="I2300" s="377" t="str">
        <f>I2299</f>
        <v>m³</v>
      </c>
      <c r="J2300" s="369"/>
    </row>
    <row r="2301" spans="1:10" x14ac:dyDescent="0.25">
      <c r="A2301" s="350"/>
      <c r="B2301" s="370"/>
      <c r="C2301" s="352"/>
      <c r="D2301" s="376"/>
      <c r="E2301" s="376"/>
      <c r="F2301" s="376"/>
      <c r="G2301" s="370"/>
      <c r="H2301" s="376"/>
      <c r="I2301" s="377"/>
      <c r="J2301" s="369"/>
    </row>
    <row r="2302" spans="1:10" x14ac:dyDescent="0.25">
      <c r="A2302" s="350"/>
      <c r="B2302" s="370" t="s">
        <v>11891</v>
      </c>
      <c r="C2302" s="352"/>
      <c r="D2302" s="376"/>
      <c r="E2302" s="376"/>
      <c r="F2302" s="376"/>
      <c r="G2302" s="370"/>
      <c r="H2302" s="376"/>
      <c r="I2302" s="377"/>
      <c r="J2302" s="369"/>
    </row>
    <row r="2303" spans="1:10" ht="15.75" thickBot="1" x14ac:dyDescent="0.3">
      <c r="A2303" s="350"/>
      <c r="B2303" s="370"/>
      <c r="C2303" s="352"/>
      <c r="D2303" s="376"/>
      <c r="E2303" s="376"/>
      <c r="F2303" s="376"/>
      <c r="G2303" s="370"/>
      <c r="H2303" s="376"/>
      <c r="I2303" s="377"/>
      <c r="J2303" s="369"/>
    </row>
    <row r="2304" spans="1:10" s="40" customFormat="1" ht="15.75" thickBot="1" x14ac:dyDescent="0.3">
      <c r="A2304" s="46" t="s">
        <v>12193</v>
      </c>
      <c r="B2304" s="60" t="str">
        <f>VLOOKUP(A2304,PO!$A$8:$K$433,4,FALSE)</f>
        <v>Reaterro manual de valas com compactação mecanizada.</v>
      </c>
      <c r="C2304" s="47"/>
      <c r="D2304" s="48"/>
      <c r="E2304" s="47"/>
      <c r="F2304" s="49"/>
      <c r="G2304" s="50"/>
      <c r="H2304" s="50"/>
      <c r="I2304" s="50">
        <f>H2312</f>
        <v>1.78</v>
      </c>
      <c r="J2304" s="284" t="str">
        <f>VLOOKUP(A2304,PO!$A$8:$K$433,5,FALSE)</f>
        <v>m³</v>
      </c>
    </row>
    <row r="2305" spans="1:10" x14ac:dyDescent="0.25">
      <c r="A2305" s="350"/>
      <c r="B2305" s="370"/>
      <c r="C2305" s="352"/>
      <c r="D2305" s="376"/>
      <c r="E2305" s="376"/>
      <c r="F2305" s="376"/>
      <c r="G2305" s="370"/>
      <c r="H2305" s="376"/>
      <c r="I2305" s="377"/>
      <c r="J2305" s="369"/>
    </row>
    <row r="2306" spans="1:10" x14ac:dyDescent="0.25">
      <c r="A2306" s="350"/>
      <c r="B2306" s="360" t="s">
        <v>10886</v>
      </c>
      <c r="C2306" s="352"/>
      <c r="D2306" s="406" t="s">
        <v>11981</v>
      </c>
      <c r="E2306" s="406" t="s">
        <v>11982</v>
      </c>
      <c r="F2306" s="406"/>
      <c r="G2306" s="370"/>
      <c r="H2306" s="363" t="s">
        <v>14</v>
      </c>
      <c r="I2306" s="363" t="s">
        <v>15</v>
      </c>
      <c r="J2306" s="369"/>
    </row>
    <row r="2307" spans="1:10" x14ac:dyDescent="0.25">
      <c r="A2307" s="350"/>
      <c r="B2307" s="370" t="s">
        <v>11979</v>
      </c>
      <c r="C2307" s="352"/>
      <c r="D2307" s="376">
        <f>D2299</f>
        <v>24</v>
      </c>
      <c r="E2307" s="376">
        <f>3.14159265359*(0.0425^2)*D2307</f>
        <v>0.13618804153312652</v>
      </c>
      <c r="F2307" s="376"/>
      <c r="G2307" s="370" t="s">
        <v>16</v>
      </c>
      <c r="H2307" s="376">
        <f>E2307</f>
        <v>0.13618804153312652</v>
      </c>
      <c r="I2307" s="377" t="str">
        <f>J2304</f>
        <v>m³</v>
      </c>
      <c r="J2307" s="369"/>
    </row>
    <row r="2308" spans="1:10" x14ac:dyDescent="0.25">
      <c r="A2308" s="350"/>
      <c r="B2308" s="370" t="s">
        <v>11980</v>
      </c>
      <c r="C2308" s="352"/>
      <c r="D2308" s="376">
        <f>D2300</f>
        <v>38</v>
      </c>
      <c r="E2308" s="376">
        <f>3.14159265359*(0.025^2)*D2308</f>
        <v>7.4612825522762521E-2</v>
      </c>
      <c r="F2308" s="376"/>
      <c r="G2308" s="370" t="s">
        <v>16</v>
      </c>
      <c r="H2308" s="376">
        <f>E2308</f>
        <v>7.4612825522762521E-2</v>
      </c>
      <c r="I2308" s="377" t="str">
        <f>I2307</f>
        <v>m³</v>
      </c>
      <c r="J2308" s="369"/>
    </row>
    <row r="2309" spans="1:10" x14ac:dyDescent="0.25">
      <c r="A2309" s="350"/>
      <c r="B2309" s="370"/>
      <c r="C2309" s="352"/>
      <c r="D2309" s="376"/>
      <c r="E2309" s="376"/>
      <c r="F2309" s="376"/>
      <c r="G2309" s="370"/>
      <c r="H2309" s="376"/>
      <c r="I2309" s="377"/>
      <c r="J2309" s="369"/>
    </row>
    <row r="2310" spans="1:10" x14ac:dyDescent="0.25">
      <c r="A2310" s="350"/>
      <c r="B2310" s="352" t="s">
        <v>11983</v>
      </c>
      <c r="C2310" s="352"/>
      <c r="D2310" s="352"/>
      <c r="E2310" s="376" t="str">
        <f>I2299</f>
        <v>m³</v>
      </c>
      <c r="F2310" s="370"/>
      <c r="G2310" s="370" t="s">
        <v>16</v>
      </c>
      <c r="H2310" s="376">
        <f>I2296</f>
        <v>1.9899999999999998</v>
      </c>
      <c r="I2310" s="377" t="str">
        <f>J2304</f>
        <v>m³</v>
      </c>
      <c r="J2310" s="369"/>
    </row>
    <row r="2311" spans="1:10" x14ac:dyDescent="0.25">
      <c r="A2311" s="350"/>
      <c r="B2311" s="352"/>
      <c r="C2311" s="352"/>
      <c r="D2311" s="352"/>
      <c r="E2311" s="352"/>
      <c r="F2311" s="370"/>
      <c r="G2311" s="352"/>
      <c r="H2311" s="352"/>
      <c r="I2311" s="352"/>
      <c r="J2311" s="369"/>
    </row>
    <row r="2312" spans="1:10" x14ac:dyDescent="0.25">
      <c r="A2312" s="350"/>
      <c r="B2312" s="352" t="s">
        <v>11984</v>
      </c>
      <c r="C2312" s="352"/>
      <c r="D2312" s="352"/>
      <c r="E2312" s="352"/>
      <c r="F2312" s="370"/>
      <c r="G2312" s="370" t="s">
        <v>16</v>
      </c>
      <c r="H2312" s="376">
        <f>ROUND(H2310-(H2307+H2308),2)</f>
        <v>1.78</v>
      </c>
      <c r="I2312" s="377" t="str">
        <f>J2304</f>
        <v>m³</v>
      </c>
      <c r="J2312" s="369"/>
    </row>
    <row r="2313" spans="1:10" x14ac:dyDescent="0.25">
      <c r="A2313" s="350"/>
      <c r="B2313" s="370"/>
      <c r="C2313" s="352"/>
      <c r="D2313" s="376"/>
      <c r="E2313" s="376"/>
      <c r="F2313" s="376"/>
      <c r="G2313" s="370"/>
      <c r="H2313" s="376"/>
      <c r="I2313" s="377"/>
      <c r="J2313" s="369"/>
    </row>
    <row r="2314" spans="1:10" x14ac:dyDescent="0.25">
      <c r="A2314" s="350"/>
      <c r="B2314" s="370" t="s">
        <v>11891</v>
      </c>
      <c r="C2314" s="352"/>
      <c r="D2314" s="376"/>
      <c r="E2314" s="376"/>
      <c r="F2314" s="376"/>
      <c r="G2314" s="370"/>
      <c r="H2314" s="376"/>
      <c r="I2314" s="377"/>
      <c r="J2314" s="369"/>
    </row>
    <row r="2315" spans="1:10" ht="15.75" thickBot="1" x14ac:dyDescent="0.3">
      <c r="A2315" s="350"/>
      <c r="B2315" s="370"/>
      <c r="C2315" s="352"/>
      <c r="D2315" s="376"/>
      <c r="E2315" s="376"/>
      <c r="F2315" s="376"/>
      <c r="G2315" s="370"/>
      <c r="H2315" s="376"/>
      <c r="I2315" s="377"/>
      <c r="J2315" s="369"/>
    </row>
    <row r="2316" spans="1:10" ht="15.75" thickBot="1" x14ac:dyDescent="0.3">
      <c r="A2316" s="36" t="s">
        <v>94</v>
      </c>
      <c r="B2316" s="37" t="str">
        <f>VLOOKUP(A2316,PO!$A$8:$K$425,4,FALSE)</f>
        <v>INSTALAÇÕES DE REDE LÓGICA E TELEFONIA</v>
      </c>
      <c r="C2316" s="38"/>
      <c r="D2316" s="37"/>
      <c r="E2316" s="38"/>
      <c r="F2316" s="294"/>
      <c r="G2316" s="38"/>
      <c r="H2316" s="38"/>
      <c r="I2316" s="38"/>
      <c r="J2316" s="39"/>
    </row>
    <row r="2317" spans="1:10" ht="15.75" thickBot="1" x14ac:dyDescent="0.3">
      <c r="A2317" s="350"/>
      <c r="B2317" s="352"/>
      <c r="C2317" s="352"/>
      <c r="D2317" s="352"/>
      <c r="E2317" s="352"/>
      <c r="F2317" s="370"/>
      <c r="G2317" s="352"/>
      <c r="H2317" s="352"/>
      <c r="I2317" s="352"/>
      <c r="J2317" s="369"/>
    </row>
    <row r="2318" spans="1:10" ht="15.75" thickBot="1" x14ac:dyDescent="0.3">
      <c r="A2318" s="41" t="s">
        <v>243</v>
      </c>
      <c r="B2318" s="42" t="str">
        <f>VLOOKUP(A2318,PO!$A$8:$K$425,4,FALSE)</f>
        <v>CABO, ELETRODUTO E ELETROCALHA</v>
      </c>
      <c r="C2318" s="43"/>
      <c r="D2318" s="43"/>
      <c r="E2318" s="43"/>
      <c r="F2318" s="295"/>
      <c r="G2318" s="43"/>
      <c r="H2318" s="43"/>
      <c r="I2318" s="43"/>
      <c r="J2318" s="44"/>
    </row>
    <row r="2319" spans="1:10" ht="15.75" thickBot="1" x14ac:dyDescent="0.3">
      <c r="A2319" s="347"/>
      <c r="B2319" s="205"/>
      <c r="C2319" s="205"/>
      <c r="D2319" s="348"/>
      <c r="E2319" s="205"/>
      <c r="F2319" s="237"/>
      <c r="G2319" s="208"/>
      <c r="H2319" s="208"/>
      <c r="I2319" s="208"/>
      <c r="J2319" s="349"/>
    </row>
    <row r="2320" spans="1:10" s="40" customFormat="1" ht="15.75" thickBot="1" x14ac:dyDescent="0.3">
      <c r="A2320" s="46" t="s">
        <v>241</v>
      </c>
      <c r="B2320" s="60" t="str">
        <f>VLOOKUP(A2320,PO!$A$8:$K$433,4,FALSE)</f>
        <v>Luva para eletroduto, PVC, roscável, DN 25 mm (3/4"), para circuitos terminais, instalada em parede - fornecimento e instalação.</v>
      </c>
      <c r="C2320" s="47"/>
      <c r="D2320" s="48"/>
      <c r="E2320" s="47"/>
      <c r="F2320" s="49"/>
      <c r="G2320" s="50"/>
      <c r="H2320" s="50"/>
      <c r="I2320" s="50">
        <f>H2323</f>
        <v>123</v>
      </c>
      <c r="J2320" s="284" t="str">
        <f>VLOOKUP(A2320,PO!$A$8:$K$433,5,FALSE)</f>
        <v>und</v>
      </c>
    </row>
    <row r="2321" spans="1:10" x14ac:dyDescent="0.25">
      <c r="A2321" s="350"/>
      <c r="B2321" s="370"/>
      <c r="C2321" s="352"/>
      <c r="D2321" s="376"/>
      <c r="E2321" s="376"/>
      <c r="F2321" s="376"/>
      <c r="G2321" s="370"/>
      <c r="H2321" s="376"/>
      <c r="I2321" s="377"/>
      <c r="J2321" s="369"/>
    </row>
    <row r="2322" spans="1:10" x14ac:dyDescent="0.25">
      <c r="A2322" s="350"/>
      <c r="B2322" s="360" t="s">
        <v>10886</v>
      </c>
      <c r="C2322" s="352"/>
      <c r="D2322" s="406" t="s">
        <v>10927</v>
      </c>
      <c r="E2322" s="376"/>
      <c r="F2322" s="376"/>
      <c r="G2322" s="370"/>
      <c r="H2322" s="363" t="s">
        <v>14</v>
      </c>
      <c r="I2322" s="363" t="s">
        <v>15</v>
      </c>
      <c r="J2322" s="369"/>
    </row>
    <row r="2323" spans="1:10" x14ac:dyDescent="0.25">
      <c r="A2323" s="350"/>
      <c r="B2323" s="370" t="s">
        <v>11989</v>
      </c>
      <c r="C2323" s="352"/>
      <c r="D2323" s="376">
        <v>123</v>
      </c>
      <c r="E2323" s="376"/>
      <c r="F2323" s="376"/>
      <c r="G2323" s="370" t="s">
        <v>16</v>
      </c>
      <c r="H2323" s="376">
        <f>ROUND(D2323,2)</f>
        <v>123</v>
      </c>
      <c r="I2323" s="377" t="str">
        <f>J2320</f>
        <v>und</v>
      </c>
      <c r="J2323" s="369"/>
    </row>
    <row r="2324" spans="1:10" x14ac:dyDescent="0.25">
      <c r="A2324" s="350"/>
      <c r="B2324" s="370"/>
      <c r="C2324" s="352"/>
      <c r="D2324" s="376"/>
      <c r="E2324" s="376"/>
      <c r="F2324" s="376"/>
      <c r="G2324" s="370"/>
      <c r="H2324" s="376"/>
      <c r="I2324" s="377"/>
      <c r="J2324" s="369"/>
    </row>
    <row r="2325" spans="1:10" x14ac:dyDescent="0.25">
      <c r="A2325" s="350"/>
      <c r="B2325" s="370" t="s">
        <v>11990</v>
      </c>
      <c r="C2325" s="352"/>
      <c r="D2325" s="376"/>
      <c r="E2325" s="376"/>
      <c r="F2325" s="376"/>
      <c r="G2325" s="370"/>
      <c r="H2325" s="376"/>
      <c r="I2325" s="377"/>
      <c r="J2325" s="369"/>
    </row>
    <row r="2326" spans="1:10" ht="15.75" thickBot="1" x14ac:dyDescent="0.3">
      <c r="A2326" s="350"/>
      <c r="B2326" s="370"/>
      <c r="C2326" s="352"/>
      <c r="D2326" s="376"/>
      <c r="E2326" s="376"/>
      <c r="F2326" s="376"/>
      <c r="G2326" s="370"/>
      <c r="H2326" s="376"/>
      <c r="I2326" s="377"/>
      <c r="J2326" s="369"/>
    </row>
    <row r="2327" spans="1:10" s="40" customFormat="1" ht="15.75" thickBot="1" x14ac:dyDescent="0.3">
      <c r="A2327" s="46" t="s">
        <v>11694</v>
      </c>
      <c r="B2327" s="60" t="str">
        <f>VLOOKUP(A2327,PO!$A$8:$K$433,4,FALSE)</f>
        <v>Curva 90 graus para eletroduto, PVC, roscável, DN 25 mm (3/4"), para circuitos terminais, instalada em forro - fornecimento e instalação.</v>
      </c>
      <c r="C2327" s="47"/>
      <c r="D2327" s="48"/>
      <c r="E2327" s="47"/>
      <c r="F2327" s="49"/>
      <c r="G2327" s="50"/>
      <c r="H2327" s="50"/>
      <c r="I2327" s="50">
        <f>H2330</f>
        <v>42</v>
      </c>
      <c r="J2327" s="284" t="str">
        <f>VLOOKUP(A2327,PO!$A$8:$K$433,5,FALSE)</f>
        <v>und</v>
      </c>
    </row>
    <row r="2328" spans="1:10" x14ac:dyDescent="0.25">
      <c r="A2328" s="350"/>
      <c r="B2328" s="370"/>
      <c r="C2328" s="352"/>
      <c r="D2328" s="376"/>
      <c r="E2328" s="376"/>
      <c r="F2328" s="376"/>
      <c r="G2328" s="370"/>
      <c r="H2328" s="376"/>
      <c r="I2328" s="377"/>
      <c r="J2328" s="369"/>
    </row>
    <row r="2329" spans="1:10" x14ac:dyDescent="0.25">
      <c r="A2329" s="350"/>
      <c r="B2329" s="360" t="s">
        <v>10886</v>
      </c>
      <c r="C2329" s="352"/>
      <c r="D2329" s="406" t="s">
        <v>10927</v>
      </c>
      <c r="E2329" s="376"/>
      <c r="F2329" s="376"/>
      <c r="G2329" s="370"/>
      <c r="H2329" s="363" t="s">
        <v>14</v>
      </c>
      <c r="I2329" s="363" t="s">
        <v>15</v>
      </c>
      <c r="J2329" s="369"/>
    </row>
    <row r="2330" spans="1:10" x14ac:dyDescent="0.25">
      <c r="A2330" s="350"/>
      <c r="B2330" s="370" t="s">
        <v>11989</v>
      </c>
      <c r="C2330" s="352"/>
      <c r="D2330" s="376">
        <v>42</v>
      </c>
      <c r="E2330" s="376"/>
      <c r="F2330" s="376"/>
      <c r="G2330" s="370" t="s">
        <v>16</v>
      </c>
      <c r="H2330" s="376">
        <f>ROUND(D2330,2)</f>
        <v>42</v>
      </c>
      <c r="I2330" s="377" t="str">
        <f>J2327</f>
        <v>und</v>
      </c>
      <c r="J2330" s="369"/>
    </row>
    <row r="2331" spans="1:10" x14ac:dyDescent="0.25">
      <c r="A2331" s="350"/>
      <c r="B2331" s="370"/>
      <c r="C2331" s="352"/>
      <c r="D2331" s="376"/>
      <c r="E2331" s="376"/>
      <c r="F2331" s="376"/>
      <c r="G2331" s="370"/>
      <c r="H2331" s="376"/>
      <c r="I2331" s="377"/>
      <c r="J2331" s="369"/>
    </row>
    <row r="2332" spans="1:10" x14ac:dyDescent="0.25">
      <c r="A2332" s="350"/>
      <c r="B2332" s="370" t="s">
        <v>11990</v>
      </c>
      <c r="C2332" s="352"/>
      <c r="D2332" s="376"/>
      <c r="E2332" s="376"/>
      <c r="F2332" s="376"/>
      <c r="G2332" s="370"/>
      <c r="H2332" s="376"/>
      <c r="I2332" s="377"/>
      <c r="J2332" s="369"/>
    </row>
    <row r="2333" spans="1:10" ht="15.75" thickBot="1" x14ac:dyDescent="0.3">
      <c r="A2333" s="350"/>
      <c r="B2333" s="370"/>
      <c r="C2333" s="352"/>
      <c r="D2333" s="376"/>
      <c r="E2333" s="376"/>
      <c r="F2333" s="376"/>
      <c r="G2333" s="370"/>
      <c r="H2333" s="376"/>
      <c r="I2333" s="377"/>
      <c r="J2333" s="369"/>
    </row>
    <row r="2334" spans="1:10" s="40" customFormat="1" ht="15.75" thickBot="1" x14ac:dyDescent="0.3">
      <c r="A2334" s="46" t="s">
        <v>11695</v>
      </c>
      <c r="B2334" s="60" t="str">
        <f>VLOOKUP(A2334,PO!$A$8:$K$433,4,FALSE)</f>
        <v>Eletroduto de PVC rígido roscável, com conexões Ø 25 mm (3/4") - fornecimento e instalação</v>
      </c>
      <c r="C2334" s="47"/>
      <c r="D2334" s="48"/>
      <c r="E2334" s="47"/>
      <c r="F2334" s="49"/>
      <c r="G2334" s="50"/>
      <c r="H2334" s="50"/>
      <c r="I2334" s="50">
        <f>H2337</f>
        <v>246</v>
      </c>
      <c r="J2334" s="284" t="str">
        <f>VLOOKUP(A2334,PO!$A$8:$K$433,5,FALSE)</f>
        <v>m</v>
      </c>
    </row>
    <row r="2335" spans="1:10" x14ac:dyDescent="0.25">
      <c r="A2335" s="350"/>
      <c r="B2335" s="370"/>
      <c r="C2335" s="352"/>
      <c r="D2335" s="376"/>
      <c r="E2335" s="376"/>
      <c r="F2335" s="376"/>
      <c r="G2335" s="370"/>
      <c r="H2335" s="376"/>
      <c r="I2335" s="377"/>
      <c r="J2335" s="369"/>
    </row>
    <row r="2336" spans="1:10" x14ac:dyDescent="0.25">
      <c r="A2336" s="350"/>
      <c r="B2336" s="360" t="s">
        <v>10886</v>
      </c>
      <c r="C2336" s="352"/>
      <c r="D2336" s="406" t="s">
        <v>10927</v>
      </c>
      <c r="E2336" s="376"/>
      <c r="F2336" s="376"/>
      <c r="G2336" s="370"/>
      <c r="H2336" s="363" t="s">
        <v>14</v>
      </c>
      <c r="I2336" s="363" t="s">
        <v>15</v>
      </c>
      <c r="J2336" s="369"/>
    </row>
    <row r="2337" spans="1:10" x14ac:dyDescent="0.25">
      <c r="A2337" s="350"/>
      <c r="B2337" s="370" t="s">
        <v>11989</v>
      </c>
      <c r="C2337" s="352"/>
      <c r="D2337" s="376">
        <v>246</v>
      </c>
      <c r="E2337" s="376"/>
      <c r="F2337" s="376"/>
      <c r="G2337" s="370" t="s">
        <v>16</v>
      </c>
      <c r="H2337" s="376">
        <f>ROUND(D2337,2)</f>
        <v>246</v>
      </c>
      <c r="I2337" s="377" t="str">
        <f>J2334</f>
        <v>m</v>
      </c>
      <c r="J2337" s="369"/>
    </row>
    <row r="2338" spans="1:10" x14ac:dyDescent="0.25">
      <c r="A2338" s="350"/>
      <c r="B2338" s="370"/>
      <c r="C2338" s="352"/>
      <c r="D2338" s="376"/>
      <c r="E2338" s="376"/>
      <c r="F2338" s="376"/>
      <c r="G2338" s="370"/>
      <c r="H2338" s="376"/>
      <c r="I2338" s="377"/>
      <c r="J2338" s="369"/>
    </row>
    <row r="2339" spans="1:10" x14ac:dyDescent="0.25">
      <c r="A2339" s="350"/>
      <c r="B2339" s="370" t="s">
        <v>11990</v>
      </c>
      <c r="C2339" s="352"/>
      <c r="D2339" s="376"/>
      <c r="E2339" s="376"/>
      <c r="F2339" s="376"/>
      <c r="G2339" s="370"/>
      <c r="H2339" s="376"/>
      <c r="I2339" s="377"/>
      <c r="J2339" s="369"/>
    </row>
    <row r="2340" spans="1:10" ht="15.75" thickBot="1" x14ac:dyDescent="0.3">
      <c r="A2340" s="350"/>
      <c r="B2340" s="370"/>
      <c r="C2340" s="352"/>
      <c r="D2340" s="376"/>
      <c r="E2340" s="376"/>
      <c r="F2340" s="376"/>
      <c r="G2340" s="370"/>
      <c r="H2340" s="376"/>
      <c r="I2340" s="377"/>
      <c r="J2340" s="369"/>
    </row>
    <row r="2341" spans="1:10" s="40" customFormat="1" ht="15.75" thickBot="1" x14ac:dyDescent="0.3">
      <c r="A2341" s="46" t="s">
        <v>11696</v>
      </c>
      <c r="B2341" s="60" t="str">
        <f>VLOOKUP(A2341,PO!$A$8:$K$433,4,FALSE)</f>
        <v>Eletrocalha perfurada em chapa de aço galvanizado, com tampa largura 100 mm x altura 50 mm, instalação superior com bucha, inclusive conexões</v>
      </c>
      <c r="C2341" s="47"/>
      <c r="D2341" s="48"/>
      <c r="E2341" s="47"/>
      <c r="F2341" s="49"/>
      <c r="G2341" s="50"/>
      <c r="H2341" s="50"/>
      <c r="I2341" s="50">
        <f>H2344</f>
        <v>81</v>
      </c>
      <c r="J2341" s="284" t="str">
        <f>VLOOKUP(A2341,PO!$A$8:$K$433,5,FALSE)</f>
        <v>m</v>
      </c>
    </row>
    <row r="2342" spans="1:10" x14ac:dyDescent="0.25">
      <c r="A2342" s="350"/>
      <c r="B2342" s="370"/>
      <c r="C2342" s="352"/>
      <c r="D2342" s="376"/>
      <c r="E2342" s="376"/>
      <c r="F2342" s="376"/>
      <c r="G2342" s="370"/>
      <c r="H2342" s="376"/>
      <c r="I2342" s="377"/>
      <c r="J2342" s="369"/>
    </row>
    <row r="2343" spans="1:10" x14ac:dyDescent="0.25">
      <c r="A2343" s="350"/>
      <c r="B2343" s="360" t="s">
        <v>10886</v>
      </c>
      <c r="C2343" s="352"/>
      <c r="D2343" s="406" t="s">
        <v>10927</v>
      </c>
      <c r="E2343" s="376"/>
      <c r="F2343" s="376"/>
      <c r="G2343" s="370"/>
      <c r="H2343" s="363" t="s">
        <v>14</v>
      </c>
      <c r="I2343" s="363" t="s">
        <v>15</v>
      </c>
      <c r="J2343" s="369"/>
    </row>
    <row r="2344" spans="1:10" x14ac:dyDescent="0.25">
      <c r="A2344" s="350"/>
      <c r="B2344" s="370" t="s">
        <v>11989</v>
      </c>
      <c r="C2344" s="352"/>
      <c r="D2344" s="376">
        <v>81</v>
      </c>
      <c r="E2344" s="376"/>
      <c r="F2344" s="376"/>
      <c r="G2344" s="370" t="s">
        <v>16</v>
      </c>
      <c r="H2344" s="376">
        <f>ROUND(D2344,2)</f>
        <v>81</v>
      </c>
      <c r="I2344" s="377" t="str">
        <f>J2341</f>
        <v>m</v>
      </c>
      <c r="J2344" s="369"/>
    </row>
    <row r="2345" spans="1:10" x14ac:dyDescent="0.25">
      <c r="A2345" s="350"/>
      <c r="B2345" s="370"/>
      <c r="C2345" s="352"/>
      <c r="D2345" s="376"/>
      <c r="E2345" s="376"/>
      <c r="F2345" s="376"/>
      <c r="G2345" s="370"/>
      <c r="H2345" s="376"/>
      <c r="I2345" s="377"/>
      <c r="J2345" s="369"/>
    </row>
    <row r="2346" spans="1:10" x14ac:dyDescent="0.25">
      <c r="A2346" s="350"/>
      <c r="B2346" s="370" t="s">
        <v>11990</v>
      </c>
      <c r="C2346" s="352"/>
      <c r="D2346" s="376"/>
      <c r="E2346" s="376"/>
      <c r="F2346" s="376"/>
      <c r="G2346" s="370"/>
      <c r="H2346" s="376"/>
      <c r="I2346" s="377"/>
      <c r="J2346" s="369"/>
    </row>
    <row r="2347" spans="1:10" ht="15.75" thickBot="1" x14ac:dyDescent="0.3">
      <c r="A2347" s="350"/>
      <c r="B2347" s="370"/>
      <c r="C2347" s="352"/>
      <c r="D2347" s="376"/>
      <c r="E2347" s="376"/>
      <c r="F2347" s="376"/>
      <c r="G2347" s="370"/>
      <c r="H2347" s="376"/>
      <c r="I2347" s="377"/>
      <c r="J2347" s="369"/>
    </row>
    <row r="2348" spans="1:10" s="40" customFormat="1" ht="15.75" thickBot="1" x14ac:dyDescent="0.3">
      <c r="A2348" s="46" t="s">
        <v>11697</v>
      </c>
      <c r="B2348" s="60" t="str">
        <f>VLOOKUP(A2348,PO!$A$8:$K$433,4,FALSE)</f>
        <v>Cabo UTP 4P Categoria 6, Instalado em Edificação Institucional. Fornecimento e Instalação</v>
      </c>
      <c r="C2348" s="47"/>
      <c r="D2348" s="48"/>
      <c r="E2348" s="47"/>
      <c r="F2348" s="49"/>
      <c r="G2348" s="50"/>
      <c r="H2348" s="50"/>
      <c r="I2348" s="50">
        <f>H2351</f>
        <v>2010</v>
      </c>
      <c r="J2348" s="284" t="str">
        <f>VLOOKUP(A2348,PO!$A$8:$K$433,5,FALSE)</f>
        <v>m</v>
      </c>
    </row>
    <row r="2349" spans="1:10" x14ac:dyDescent="0.25">
      <c r="A2349" s="350"/>
      <c r="B2349" s="370"/>
      <c r="C2349" s="352"/>
      <c r="D2349" s="376"/>
      <c r="E2349" s="376"/>
      <c r="F2349" s="376"/>
      <c r="G2349" s="370"/>
      <c r="H2349" s="376"/>
      <c r="I2349" s="377"/>
      <c r="J2349" s="369"/>
    </row>
    <row r="2350" spans="1:10" x14ac:dyDescent="0.25">
      <c r="A2350" s="350"/>
      <c r="B2350" s="360" t="s">
        <v>10886</v>
      </c>
      <c r="C2350" s="352"/>
      <c r="D2350" s="406" t="s">
        <v>10927</v>
      </c>
      <c r="E2350" s="376"/>
      <c r="F2350" s="376"/>
      <c r="G2350" s="370"/>
      <c r="H2350" s="363" t="s">
        <v>14</v>
      </c>
      <c r="I2350" s="363" t="s">
        <v>15</v>
      </c>
      <c r="J2350" s="369"/>
    </row>
    <row r="2351" spans="1:10" x14ac:dyDescent="0.25">
      <c r="A2351" s="350"/>
      <c r="B2351" s="370" t="s">
        <v>11989</v>
      </c>
      <c r="C2351" s="352"/>
      <c r="D2351" s="376">
        <v>2010</v>
      </c>
      <c r="E2351" s="376"/>
      <c r="F2351" s="376"/>
      <c r="G2351" s="370" t="s">
        <v>16</v>
      </c>
      <c r="H2351" s="376">
        <f>ROUND(D2351,2)</f>
        <v>2010</v>
      </c>
      <c r="I2351" s="377" t="str">
        <f>J2348</f>
        <v>m</v>
      </c>
      <c r="J2351" s="369"/>
    </row>
    <row r="2352" spans="1:10" x14ac:dyDescent="0.25">
      <c r="A2352" s="350"/>
      <c r="B2352" s="370"/>
      <c r="C2352" s="352"/>
      <c r="D2352" s="376"/>
      <c r="E2352" s="376"/>
      <c r="F2352" s="376"/>
      <c r="G2352" s="370"/>
      <c r="H2352" s="376"/>
      <c r="I2352" s="377"/>
      <c r="J2352" s="369"/>
    </row>
    <row r="2353" spans="1:10" x14ac:dyDescent="0.25">
      <c r="A2353" s="350"/>
      <c r="B2353" s="370" t="s">
        <v>11990</v>
      </c>
      <c r="C2353" s="352"/>
      <c r="D2353" s="376"/>
      <c r="E2353" s="376"/>
      <c r="F2353" s="376"/>
      <c r="G2353" s="370"/>
      <c r="H2353" s="376"/>
      <c r="I2353" s="377"/>
      <c r="J2353" s="369"/>
    </row>
    <row r="2354" spans="1:10" ht="15.75" thickBot="1" x14ac:dyDescent="0.3">
      <c r="A2354" s="350"/>
      <c r="B2354" s="370"/>
      <c r="C2354" s="352"/>
      <c r="D2354" s="376"/>
      <c r="E2354" s="376"/>
      <c r="F2354" s="376"/>
      <c r="G2354" s="370"/>
      <c r="H2354" s="376"/>
      <c r="I2354" s="377"/>
      <c r="J2354" s="369"/>
    </row>
    <row r="2355" spans="1:10" ht="15.75" thickBot="1" x14ac:dyDescent="0.3">
      <c r="A2355" s="41" t="s">
        <v>11197</v>
      </c>
      <c r="B2355" s="42" t="str">
        <f>VLOOKUP(A2355,PO!$A$8:$K$425,4,FALSE)</f>
        <v>TOMADA</v>
      </c>
      <c r="C2355" s="43"/>
      <c r="D2355" s="43"/>
      <c r="E2355" s="43"/>
      <c r="F2355" s="295"/>
      <c r="G2355" s="43"/>
      <c r="H2355" s="43"/>
      <c r="I2355" s="43"/>
      <c r="J2355" s="44"/>
    </row>
    <row r="2356" spans="1:10" ht="15.75" thickBot="1" x14ac:dyDescent="0.3">
      <c r="A2356" s="347"/>
      <c r="B2356" s="205"/>
      <c r="C2356" s="205"/>
      <c r="D2356" s="348"/>
      <c r="E2356" s="205"/>
      <c r="F2356" s="237"/>
      <c r="G2356" s="208"/>
      <c r="H2356" s="208"/>
      <c r="I2356" s="208"/>
      <c r="J2356" s="349"/>
    </row>
    <row r="2357" spans="1:10" s="40" customFormat="1" ht="15.75" thickBot="1" x14ac:dyDescent="0.3">
      <c r="A2357" s="46" t="s">
        <v>11198</v>
      </c>
      <c r="B2357" s="60" t="str">
        <f>VLOOKUP(A2357,PO!$A$8:$K$433,4,FALSE)</f>
        <v>Caixa retangular 4" x 2" alta (2,20 m do piso), PVC, instalada em parede - fornecimento e instalação. </v>
      </c>
      <c r="C2357" s="47"/>
      <c r="D2357" s="48"/>
      <c r="E2357" s="47"/>
      <c r="F2357" s="49"/>
      <c r="G2357" s="50"/>
      <c r="H2357" s="50"/>
      <c r="I2357" s="50">
        <f>H2360</f>
        <v>37</v>
      </c>
      <c r="J2357" s="284" t="str">
        <f>VLOOKUP(A2357,PO!$A$8:$K$433,5,FALSE)</f>
        <v>unid.</v>
      </c>
    </row>
    <row r="2358" spans="1:10" x14ac:dyDescent="0.25">
      <c r="A2358" s="350"/>
      <c r="B2358" s="370"/>
      <c r="C2358" s="352"/>
      <c r="D2358" s="376"/>
      <c r="E2358" s="376"/>
      <c r="F2358" s="376"/>
      <c r="G2358" s="370"/>
      <c r="H2358" s="376"/>
      <c r="I2358" s="377"/>
      <c r="J2358" s="369"/>
    </row>
    <row r="2359" spans="1:10" x14ac:dyDescent="0.25">
      <c r="A2359" s="350"/>
      <c r="B2359" s="360" t="s">
        <v>10886</v>
      </c>
      <c r="C2359" s="352"/>
      <c r="D2359" s="406" t="s">
        <v>10927</v>
      </c>
      <c r="E2359" s="376"/>
      <c r="F2359" s="376"/>
      <c r="G2359" s="370"/>
      <c r="H2359" s="363" t="s">
        <v>14</v>
      </c>
      <c r="I2359" s="363" t="s">
        <v>15</v>
      </c>
      <c r="J2359" s="369"/>
    </row>
    <row r="2360" spans="1:10" x14ac:dyDescent="0.25">
      <c r="A2360" s="350"/>
      <c r="B2360" s="370" t="s">
        <v>11989</v>
      </c>
      <c r="C2360" s="352"/>
      <c r="D2360" s="376">
        <v>37</v>
      </c>
      <c r="E2360" s="376"/>
      <c r="F2360" s="376"/>
      <c r="G2360" s="370" t="s">
        <v>16</v>
      </c>
      <c r="H2360" s="376">
        <f>ROUND(D2360,2)</f>
        <v>37</v>
      </c>
      <c r="I2360" s="377" t="str">
        <f>J2357</f>
        <v>unid.</v>
      </c>
      <c r="J2360" s="369"/>
    </row>
    <row r="2361" spans="1:10" x14ac:dyDescent="0.25">
      <c r="A2361" s="350"/>
      <c r="B2361" s="370"/>
      <c r="C2361" s="352"/>
      <c r="D2361" s="376"/>
      <c r="E2361" s="376"/>
      <c r="F2361" s="376"/>
      <c r="G2361" s="370"/>
      <c r="H2361" s="376"/>
      <c r="I2361" s="377"/>
      <c r="J2361" s="369"/>
    </row>
    <row r="2362" spans="1:10" x14ac:dyDescent="0.25">
      <c r="A2362" s="350"/>
      <c r="B2362" s="370" t="s">
        <v>11990</v>
      </c>
      <c r="C2362" s="352"/>
      <c r="D2362" s="376"/>
      <c r="E2362" s="376"/>
      <c r="F2362" s="376"/>
      <c r="G2362" s="370"/>
      <c r="H2362" s="376"/>
      <c r="I2362" s="377"/>
      <c r="J2362" s="369"/>
    </row>
    <row r="2363" spans="1:10" ht="15.75" thickBot="1" x14ac:dyDescent="0.3">
      <c r="A2363" s="350"/>
      <c r="B2363" s="370"/>
      <c r="C2363" s="352"/>
      <c r="D2363" s="376"/>
      <c r="E2363" s="376"/>
      <c r="F2363" s="376"/>
      <c r="G2363" s="370"/>
      <c r="H2363" s="376"/>
      <c r="I2363" s="377"/>
      <c r="J2363" s="369"/>
    </row>
    <row r="2364" spans="1:10" s="40" customFormat="1" ht="15.75" thickBot="1" x14ac:dyDescent="0.3">
      <c r="A2364" s="46" t="s">
        <v>11200</v>
      </c>
      <c r="B2364" s="60" t="str">
        <f>VLOOKUP(A2364,PO!$A$8:$K$433,4,FALSE)</f>
        <v>Caixa retangular 4" x 2" baixa (0,30 m do piso), PVC, instalada em parede - fornecimento e instalação. </v>
      </c>
      <c r="C2364" s="47"/>
      <c r="D2364" s="48"/>
      <c r="E2364" s="47"/>
      <c r="F2364" s="49"/>
      <c r="G2364" s="50"/>
      <c r="H2364" s="50"/>
      <c r="I2364" s="50">
        <f>H2367</f>
        <v>10</v>
      </c>
      <c r="J2364" s="284" t="str">
        <f>VLOOKUP(A2364,PO!$A$8:$K$433,5,FALSE)</f>
        <v>unid.</v>
      </c>
    </row>
    <row r="2365" spans="1:10" x14ac:dyDescent="0.25">
      <c r="A2365" s="350"/>
      <c r="B2365" s="370"/>
      <c r="C2365" s="352"/>
      <c r="D2365" s="376"/>
      <c r="E2365" s="376"/>
      <c r="F2365" s="376"/>
      <c r="G2365" s="370"/>
      <c r="H2365" s="376"/>
      <c r="I2365" s="377"/>
      <c r="J2365" s="369"/>
    </row>
    <row r="2366" spans="1:10" x14ac:dyDescent="0.25">
      <c r="A2366" s="350"/>
      <c r="B2366" s="360" t="s">
        <v>10886</v>
      </c>
      <c r="C2366" s="352"/>
      <c r="D2366" s="406" t="s">
        <v>10927</v>
      </c>
      <c r="E2366" s="376"/>
      <c r="F2366" s="376"/>
      <c r="G2366" s="370"/>
      <c r="H2366" s="363" t="s">
        <v>14</v>
      </c>
      <c r="I2366" s="363" t="s">
        <v>15</v>
      </c>
      <c r="J2366" s="369"/>
    </row>
    <row r="2367" spans="1:10" x14ac:dyDescent="0.25">
      <c r="A2367" s="350"/>
      <c r="B2367" s="370" t="s">
        <v>11989</v>
      </c>
      <c r="C2367" s="352"/>
      <c r="D2367" s="376">
        <v>10</v>
      </c>
      <c r="E2367" s="376"/>
      <c r="F2367" s="376"/>
      <c r="G2367" s="370" t="s">
        <v>16</v>
      </c>
      <c r="H2367" s="376">
        <f>ROUND(D2367,2)</f>
        <v>10</v>
      </c>
      <c r="I2367" s="377" t="str">
        <f>J2364</f>
        <v>unid.</v>
      </c>
      <c r="J2367" s="369"/>
    </row>
    <row r="2368" spans="1:10" x14ac:dyDescent="0.25">
      <c r="A2368" s="350"/>
      <c r="B2368" s="370"/>
      <c r="C2368" s="352"/>
      <c r="D2368" s="376"/>
      <c r="E2368" s="376"/>
      <c r="F2368" s="376"/>
      <c r="G2368" s="370"/>
      <c r="H2368" s="376"/>
      <c r="I2368" s="377"/>
      <c r="J2368" s="369"/>
    </row>
    <row r="2369" spans="1:10" x14ac:dyDescent="0.25">
      <c r="A2369" s="350"/>
      <c r="B2369" s="370" t="s">
        <v>11990</v>
      </c>
      <c r="C2369" s="352"/>
      <c r="D2369" s="376"/>
      <c r="E2369" s="376"/>
      <c r="F2369" s="376"/>
      <c r="G2369" s="370"/>
      <c r="H2369" s="376"/>
      <c r="I2369" s="377"/>
      <c r="J2369" s="369"/>
    </row>
    <row r="2370" spans="1:10" ht="15.75" thickBot="1" x14ac:dyDescent="0.3">
      <c r="A2370" s="350"/>
      <c r="B2370" s="370"/>
      <c r="C2370" s="352"/>
      <c r="D2370" s="376"/>
      <c r="E2370" s="376"/>
      <c r="F2370" s="376"/>
      <c r="G2370" s="370"/>
      <c r="H2370" s="376"/>
      <c r="I2370" s="377"/>
      <c r="J2370" s="369"/>
    </row>
    <row r="2371" spans="1:10" s="40" customFormat="1" ht="15.75" thickBot="1" x14ac:dyDescent="0.3">
      <c r="A2371" s="46" t="s">
        <v>11201</v>
      </c>
      <c r="B2371" s="60" t="str">
        <f>VLOOKUP(A2371,PO!$A$8:$K$433,4,FALSE)</f>
        <v>Tomada RJ45, CAT 6, com placa 2x4", 1 módulo - fornecimento e instalação.</v>
      </c>
      <c r="C2371" s="47"/>
      <c r="D2371" s="48"/>
      <c r="E2371" s="47"/>
      <c r="F2371" s="49"/>
      <c r="G2371" s="50"/>
      <c r="H2371" s="50"/>
      <c r="I2371" s="50">
        <f>H2374</f>
        <v>27</v>
      </c>
      <c r="J2371" s="284" t="str">
        <f>VLOOKUP(A2371,PO!$A$8:$K$433,5,FALSE)</f>
        <v>unid.</v>
      </c>
    </row>
    <row r="2372" spans="1:10" x14ac:dyDescent="0.25">
      <c r="A2372" s="350"/>
      <c r="B2372" s="370"/>
      <c r="C2372" s="352"/>
      <c r="D2372" s="376"/>
      <c r="E2372" s="376"/>
      <c r="F2372" s="376"/>
      <c r="G2372" s="370"/>
      <c r="H2372" s="376"/>
      <c r="I2372" s="377"/>
      <c r="J2372" s="369"/>
    </row>
    <row r="2373" spans="1:10" x14ac:dyDescent="0.25">
      <c r="A2373" s="350"/>
      <c r="B2373" s="360" t="s">
        <v>10886</v>
      </c>
      <c r="C2373" s="352"/>
      <c r="D2373" s="406" t="s">
        <v>10927</v>
      </c>
      <c r="E2373" s="376"/>
      <c r="F2373" s="376"/>
      <c r="G2373" s="370"/>
      <c r="H2373" s="363" t="s">
        <v>14</v>
      </c>
      <c r="I2373" s="363" t="s">
        <v>15</v>
      </c>
      <c r="J2373" s="369"/>
    </row>
    <row r="2374" spans="1:10" x14ac:dyDescent="0.25">
      <c r="A2374" s="350"/>
      <c r="B2374" s="370" t="s">
        <v>11989</v>
      </c>
      <c r="C2374" s="352"/>
      <c r="D2374" s="376">
        <v>27</v>
      </c>
      <c r="E2374" s="376"/>
      <c r="F2374" s="376"/>
      <c r="G2374" s="370" t="s">
        <v>16</v>
      </c>
      <c r="H2374" s="376">
        <f>ROUND(D2374,2)</f>
        <v>27</v>
      </c>
      <c r="I2374" s="377" t="str">
        <f>J2371</f>
        <v>unid.</v>
      </c>
      <c r="J2374" s="369"/>
    </row>
    <row r="2375" spans="1:10" x14ac:dyDescent="0.25">
      <c r="A2375" s="350"/>
      <c r="B2375" s="370"/>
      <c r="C2375" s="352"/>
      <c r="D2375" s="376"/>
      <c r="E2375" s="376"/>
      <c r="F2375" s="376"/>
      <c r="G2375" s="370"/>
      <c r="H2375" s="376"/>
      <c r="I2375" s="377"/>
      <c r="J2375" s="369"/>
    </row>
    <row r="2376" spans="1:10" x14ac:dyDescent="0.25">
      <c r="A2376" s="350"/>
      <c r="B2376" s="370" t="s">
        <v>11990</v>
      </c>
      <c r="C2376" s="352"/>
      <c r="D2376" s="376"/>
      <c r="E2376" s="376"/>
      <c r="F2376" s="376"/>
      <c r="G2376" s="370"/>
      <c r="H2376" s="376"/>
      <c r="I2376" s="377"/>
      <c r="J2376" s="369"/>
    </row>
    <row r="2377" spans="1:10" ht="15.75" thickBot="1" x14ac:dyDescent="0.3">
      <c r="A2377" s="350"/>
      <c r="B2377" s="370"/>
      <c r="C2377" s="352"/>
      <c r="D2377" s="376"/>
      <c r="E2377" s="376"/>
      <c r="F2377" s="376"/>
      <c r="G2377" s="370"/>
      <c r="H2377" s="376"/>
      <c r="I2377" s="377"/>
      <c r="J2377" s="369"/>
    </row>
    <row r="2378" spans="1:10" s="40" customFormat="1" ht="15.75" thickBot="1" x14ac:dyDescent="0.3">
      <c r="A2378" s="46" t="s">
        <v>11202</v>
      </c>
      <c r="B2378" s="60" t="str">
        <f>VLOOKUP(A2378,PO!$A$8:$K$433,4,FALSE)</f>
        <v>Tomada RJ45, CAT 6, com placa 2x4", 2 módulos - fornecimento e instalação.</v>
      </c>
      <c r="C2378" s="47"/>
      <c r="D2378" s="48"/>
      <c r="E2378" s="47"/>
      <c r="F2378" s="49"/>
      <c r="G2378" s="50"/>
      <c r="H2378" s="50"/>
      <c r="I2378" s="50">
        <f>H2381</f>
        <v>20</v>
      </c>
      <c r="J2378" s="284" t="str">
        <f>VLOOKUP(A2378,PO!$A$8:$K$433,5,FALSE)</f>
        <v>unid.</v>
      </c>
    </row>
    <row r="2379" spans="1:10" x14ac:dyDescent="0.25">
      <c r="A2379" s="350"/>
      <c r="B2379" s="370"/>
      <c r="C2379" s="352"/>
      <c r="D2379" s="376"/>
      <c r="E2379" s="376"/>
      <c r="F2379" s="376"/>
      <c r="G2379" s="370"/>
      <c r="H2379" s="376"/>
      <c r="I2379" s="377"/>
      <c r="J2379" s="369"/>
    </row>
    <row r="2380" spans="1:10" x14ac:dyDescent="0.25">
      <c r="A2380" s="350"/>
      <c r="B2380" s="360" t="s">
        <v>10886</v>
      </c>
      <c r="C2380" s="352"/>
      <c r="D2380" s="406" t="s">
        <v>10927</v>
      </c>
      <c r="E2380" s="376"/>
      <c r="F2380" s="376"/>
      <c r="G2380" s="370"/>
      <c r="H2380" s="363" t="s">
        <v>14</v>
      </c>
      <c r="I2380" s="363" t="s">
        <v>15</v>
      </c>
      <c r="J2380" s="369"/>
    </row>
    <row r="2381" spans="1:10" x14ac:dyDescent="0.25">
      <c r="A2381" s="350"/>
      <c r="B2381" s="370" t="s">
        <v>11989</v>
      </c>
      <c r="C2381" s="352"/>
      <c r="D2381" s="376">
        <v>20</v>
      </c>
      <c r="E2381" s="376"/>
      <c r="F2381" s="376"/>
      <c r="G2381" s="370" t="s">
        <v>16</v>
      </c>
      <c r="H2381" s="376">
        <f>ROUND(D2381,2)</f>
        <v>20</v>
      </c>
      <c r="I2381" s="377" t="str">
        <f>J2378</f>
        <v>unid.</v>
      </c>
      <c r="J2381" s="369"/>
    </row>
    <row r="2382" spans="1:10" x14ac:dyDescent="0.25">
      <c r="A2382" s="350"/>
      <c r="B2382" s="370"/>
      <c r="C2382" s="352"/>
      <c r="D2382" s="376"/>
      <c r="E2382" s="376"/>
      <c r="F2382" s="376"/>
      <c r="G2382" s="370"/>
      <c r="H2382" s="376"/>
      <c r="I2382" s="377"/>
      <c r="J2382" s="369"/>
    </row>
    <row r="2383" spans="1:10" x14ac:dyDescent="0.25">
      <c r="A2383" s="350"/>
      <c r="B2383" s="370" t="s">
        <v>11990</v>
      </c>
      <c r="C2383" s="352"/>
      <c r="D2383" s="376"/>
      <c r="E2383" s="376"/>
      <c r="F2383" s="376"/>
      <c r="G2383" s="370"/>
      <c r="H2383" s="376"/>
      <c r="I2383" s="377"/>
      <c r="J2383" s="369"/>
    </row>
    <row r="2384" spans="1:10" ht="15.75" thickBot="1" x14ac:dyDescent="0.3">
      <c r="A2384" s="350"/>
      <c r="B2384" s="370"/>
      <c r="C2384" s="352"/>
      <c r="D2384" s="376"/>
      <c r="E2384" s="376"/>
      <c r="F2384" s="376"/>
      <c r="G2384" s="370"/>
      <c r="H2384" s="376"/>
      <c r="I2384" s="377"/>
      <c r="J2384" s="369"/>
    </row>
    <row r="2385" spans="1:10" ht="15.75" thickBot="1" x14ac:dyDescent="0.3">
      <c r="A2385" s="41" t="s">
        <v>11203</v>
      </c>
      <c r="B2385" s="42" t="str">
        <f>VLOOKUP(A2385,PO!$A$8:$K$425,4,FALSE)</f>
        <v>DIVERSOS</v>
      </c>
      <c r="C2385" s="43"/>
      <c r="D2385" s="43"/>
      <c r="E2385" s="43"/>
      <c r="F2385" s="295"/>
      <c r="G2385" s="43"/>
      <c r="H2385" s="43"/>
      <c r="I2385" s="43"/>
      <c r="J2385" s="44"/>
    </row>
    <row r="2386" spans="1:10" ht="15.75" thickBot="1" x14ac:dyDescent="0.3">
      <c r="A2386" s="347"/>
      <c r="B2386" s="205"/>
      <c r="C2386" s="205"/>
      <c r="D2386" s="348"/>
      <c r="E2386" s="205"/>
      <c r="F2386" s="237"/>
      <c r="G2386" s="208"/>
      <c r="H2386" s="208"/>
      <c r="I2386" s="208"/>
      <c r="J2386" s="349"/>
    </row>
    <row r="2387" spans="1:10" s="40" customFormat="1" ht="15.75" thickBot="1" x14ac:dyDescent="0.3">
      <c r="A2387" s="46" t="s">
        <v>11204</v>
      </c>
      <c r="B2387" s="60" t="str">
        <f>VLOOKUP(A2387,PO!$A$8:$K$433,4,FALSE)</f>
        <v>Rack de parede fechado, 19", 17U - fornecimento e instalação.</v>
      </c>
      <c r="C2387" s="47"/>
      <c r="D2387" s="48"/>
      <c r="E2387" s="47"/>
      <c r="F2387" s="49"/>
      <c r="G2387" s="50"/>
      <c r="H2387" s="50"/>
      <c r="I2387" s="50">
        <f>H2390</f>
        <v>1</v>
      </c>
      <c r="J2387" s="284" t="str">
        <f>VLOOKUP(A2387,PO!$A$8:$K$433,5,FALSE)</f>
        <v>unid.</v>
      </c>
    </row>
    <row r="2388" spans="1:10" x14ac:dyDescent="0.25">
      <c r="A2388" s="350"/>
      <c r="B2388" s="370"/>
      <c r="C2388" s="352"/>
      <c r="D2388" s="376"/>
      <c r="E2388" s="376"/>
      <c r="F2388" s="376"/>
      <c r="G2388" s="370"/>
      <c r="H2388" s="376"/>
      <c r="I2388" s="377"/>
      <c r="J2388" s="369"/>
    </row>
    <row r="2389" spans="1:10" x14ac:dyDescent="0.25">
      <c r="A2389" s="350"/>
      <c r="B2389" s="360" t="s">
        <v>10886</v>
      </c>
      <c r="C2389" s="352"/>
      <c r="D2389" s="406" t="s">
        <v>10927</v>
      </c>
      <c r="E2389" s="376"/>
      <c r="F2389" s="376"/>
      <c r="G2389" s="370"/>
      <c r="H2389" s="363" t="s">
        <v>14</v>
      </c>
      <c r="I2389" s="363" t="s">
        <v>15</v>
      </c>
      <c r="J2389" s="369"/>
    </row>
    <row r="2390" spans="1:10" x14ac:dyDescent="0.25">
      <c r="A2390" s="350"/>
      <c r="B2390" s="370" t="s">
        <v>11989</v>
      </c>
      <c r="C2390" s="352"/>
      <c r="D2390" s="376">
        <v>1</v>
      </c>
      <c r="E2390" s="376"/>
      <c r="F2390" s="376"/>
      <c r="G2390" s="370" t="s">
        <v>16</v>
      </c>
      <c r="H2390" s="376">
        <f>ROUND(D2390,2)</f>
        <v>1</v>
      </c>
      <c r="I2390" s="377" t="str">
        <f>J2387</f>
        <v>unid.</v>
      </c>
      <c r="J2390" s="369"/>
    </row>
    <row r="2391" spans="1:10" x14ac:dyDescent="0.25">
      <c r="A2391" s="350"/>
      <c r="B2391" s="370"/>
      <c r="C2391" s="352"/>
      <c r="D2391" s="376"/>
      <c r="E2391" s="376"/>
      <c r="F2391" s="376"/>
      <c r="G2391" s="370"/>
      <c r="H2391" s="376"/>
      <c r="I2391" s="377"/>
      <c r="J2391" s="369"/>
    </row>
    <row r="2392" spans="1:10" x14ac:dyDescent="0.25">
      <c r="A2392" s="350"/>
      <c r="B2392" s="370" t="s">
        <v>11990</v>
      </c>
      <c r="C2392" s="352"/>
      <c r="D2392" s="376"/>
      <c r="E2392" s="376"/>
      <c r="F2392" s="376"/>
      <c r="G2392" s="370"/>
      <c r="H2392" s="376"/>
      <c r="I2392" s="377"/>
      <c r="J2392" s="369"/>
    </row>
    <row r="2393" spans="1:10" ht="15.75" thickBot="1" x14ac:dyDescent="0.3">
      <c r="A2393" s="350"/>
      <c r="B2393" s="370"/>
      <c r="C2393" s="352"/>
      <c r="D2393" s="376"/>
      <c r="E2393" s="376"/>
      <c r="F2393" s="376"/>
      <c r="G2393" s="370"/>
      <c r="H2393" s="376"/>
      <c r="I2393" s="377"/>
      <c r="J2393" s="369"/>
    </row>
    <row r="2394" spans="1:10" s="40" customFormat="1" ht="15.75" thickBot="1" x14ac:dyDescent="0.3">
      <c r="A2394" s="46" t="s">
        <v>11205</v>
      </c>
      <c r="B2394" s="60" t="str">
        <f>VLOOKUP(A2394,PO!$A$8:$K$433,4,FALSE)</f>
        <v>Switch Poe 24 Portas - fornecimento e instalação. </v>
      </c>
      <c r="C2394" s="47"/>
      <c r="D2394" s="48"/>
      <c r="E2394" s="47"/>
      <c r="F2394" s="49"/>
      <c r="G2394" s="50"/>
      <c r="H2394" s="50"/>
      <c r="I2394" s="50">
        <f>H2397</f>
        <v>3</v>
      </c>
      <c r="J2394" s="284" t="str">
        <f>VLOOKUP(A2394,PO!$A$8:$K$433,5,FALSE)</f>
        <v>unid.</v>
      </c>
    </row>
    <row r="2395" spans="1:10" x14ac:dyDescent="0.25">
      <c r="A2395" s="350"/>
      <c r="B2395" s="370"/>
      <c r="C2395" s="352"/>
      <c r="D2395" s="376"/>
      <c r="E2395" s="376"/>
      <c r="F2395" s="376"/>
      <c r="G2395" s="370"/>
      <c r="H2395" s="376"/>
      <c r="I2395" s="377"/>
      <c r="J2395" s="369"/>
    </row>
    <row r="2396" spans="1:10" x14ac:dyDescent="0.25">
      <c r="A2396" s="350"/>
      <c r="B2396" s="360" t="s">
        <v>10886</v>
      </c>
      <c r="C2396" s="352"/>
      <c r="D2396" s="406" t="s">
        <v>10927</v>
      </c>
      <c r="E2396" s="376"/>
      <c r="F2396" s="376"/>
      <c r="G2396" s="370"/>
      <c r="H2396" s="363" t="s">
        <v>14</v>
      </c>
      <c r="I2396" s="363" t="s">
        <v>15</v>
      </c>
      <c r="J2396" s="369"/>
    </row>
    <row r="2397" spans="1:10" x14ac:dyDescent="0.25">
      <c r="A2397" s="350"/>
      <c r="B2397" s="370" t="s">
        <v>11989</v>
      </c>
      <c r="C2397" s="352"/>
      <c r="D2397" s="376">
        <v>3</v>
      </c>
      <c r="E2397" s="376"/>
      <c r="F2397" s="376"/>
      <c r="G2397" s="370" t="s">
        <v>16</v>
      </c>
      <c r="H2397" s="376">
        <f>ROUND(D2397,2)</f>
        <v>3</v>
      </c>
      <c r="I2397" s="377" t="str">
        <f>J2394</f>
        <v>unid.</v>
      </c>
      <c r="J2397" s="369"/>
    </row>
    <row r="2398" spans="1:10" x14ac:dyDescent="0.25">
      <c r="A2398" s="350"/>
      <c r="B2398" s="370"/>
      <c r="C2398" s="352"/>
      <c r="D2398" s="376"/>
      <c r="E2398" s="376"/>
      <c r="F2398" s="376"/>
      <c r="G2398" s="370"/>
      <c r="H2398" s="376"/>
      <c r="I2398" s="377"/>
      <c r="J2398" s="369"/>
    </row>
    <row r="2399" spans="1:10" x14ac:dyDescent="0.25">
      <c r="A2399" s="350"/>
      <c r="B2399" s="370" t="s">
        <v>11990</v>
      </c>
      <c r="C2399" s="352"/>
      <c r="D2399" s="376"/>
      <c r="E2399" s="376"/>
      <c r="F2399" s="376"/>
      <c r="G2399" s="370"/>
      <c r="H2399" s="376"/>
      <c r="I2399" s="377"/>
      <c r="J2399" s="369"/>
    </row>
    <row r="2400" spans="1:10" ht="15.75" thickBot="1" x14ac:dyDescent="0.3">
      <c r="A2400" s="350"/>
      <c r="B2400" s="370"/>
      <c r="C2400" s="352"/>
      <c r="D2400" s="376"/>
      <c r="E2400" s="376"/>
      <c r="F2400" s="376"/>
      <c r="G2400" s="370"/>
      <c r="H2400" s="376"/>
      <c r="I2400" s="377"/>
      <c r="J2400" s="369"/>
    </row>
    <row r="2401" spans="1:10" s="40" customFormat="1" ht="15.75" thickBot="1" x14ac:dyDescent="0.3">
      <c r="A2401" s="46" t="s">
        <v>11698</v>
      </c>
      <c r="B2401" s="60" t="str">
        <f>VLOOKUP(A2401,PO!$A$8:$K$433,4,FALSE)</f>
        <v>Patch Panel 24 portas, categoria 6 - fornecimento e instalação.</v>
      </c>
      <c r="C2401" s="47"/>
      <c r="D2401" s="48"/>
      <c r="E2401" s="47"/>
      <c r="F2401" s="49"/>
      <c r="G2401" s="50"/>
      <c r="H2401" s="50"/>
      <c r="I2401" s="50">
        <f>H2404</f>
        <v>3</v>
      </c>
      <c r="J2401" s="284" t="str">
        <f>VLOOKUP(A2401,PO!$A$8:$K$433,5,FALSE)</f>
        <v>unid.</v>
      </c>
    </row>
    <row r="2402" spans="1:10" x14ac:dyDescent="0.25">
      <c r="A2402" s="350"/>
      <c r="B2402" s="370"/>
      <c r="C2402" s="352"/>
      <c r="D2402" s="376"/>
      <c r="E2402" s="376"/>
      <c r="F2402" s="376"/>
      <c r="G2402" s="370"/>
      <c r="H2402" s="376"/>
      <c r="I2402" s="377"/>
      <c r="J2402" s="369"/>
    </row>
    <row r="2403" spans="1:10" x14ac:dyDescent="0.25">
      <c r="A2403" s="350"/>
      <c r="B2403" s="360" t="s">
        <v>10886</v>
      </c>
      <c r="C2403" s="352"/>
      <c r="D2403" s="406" t="s">
        <v>10927</v>
      </c>
      <c r="E2403" s="376"/>
      <c r="F2403" s="376"/>
      <c r="G2403" s="370"/>
      <c r="H2403" s="363" t="s">
        <v>14</v>
      </c>
      <c r="I2403" s="363" t="s">
        <v>15</v>
      </c>
      <c r="J2403" s="369"/>
    </row>
    <row r="2404" spans="1:10" x14ac:dyDescent="0.25">
      <c r="A2404" s="350"/>
      <c r="B2404" s="370" t="s">
        <v>11989</v>
      </c>
      <c r="C2404" s="352"/>
      <c r="D2404" s="376">
        <v>3</v>
      </c>
      <c r="E2404" s="376"/>
      <c r="F2404" s="376"/>
      <c r="G2404" s="370" t="s">
        <v>16</v>
      </c>
      <c r="H2404" s="376">
        <f>ROUND(D2404,2)</f>
        <v>3</v>
      </c>
      <c r="I2404" s="377" t="str">
        <f>J2401</f>
        <v>unid.</v>
      </c>
      <c r="J2404" s="369"/>
    </row>
    <row r="2405" spans="1:10" x14ac:dyDescent="0.25">
      <c r="A2405" s="350"/>
      <c r="B2405" s="370"/>
      <c r="C2405" s="352"/>
      <c r="D2405" s="376"/>
      <c r="E2405" s="376"/>
      <c r="F2405" s="376"/>
      <c r="G2405" s="370"/>
      <c r="H2405" s="376"/>
      <c r="I2405" s="377"/>
      <c r="J2405" s="369"/>
    </row>
    <row r="2406" spans="1:10" x14ac:dyDescent="0.25">
      <c r="A2406" s="350"/>
      <c r="B2406" s="370" t="s">
        <v>11990</v>
      </c>
      <c r="C2406" s="352"/>
      <c r="D2406" s="376"/>
      <c r="E2406" s="376"/>
      <c r="F2406" s="376"/>
      <c r="G2406" s="370"/>
      <c r="H2406" s="376"/>
      <c r="I2406" s="377"/>
      <c r="J2406" s="369"/>
    </row>
    <row r="2407" spans="1:10" ht="15.75" thickBot="1" x14ac:dyDescent="0.3">
      <c r="A2407" s="350"/>
      <c r="B2407" s="370"/>
      <c r="C2407" s="352"/>
      <c r="D2407" s="376"/>
      <c r="E2407" s="376"/>
      <c r="F2407" s="376"/>
      <c r="G2407" s="370"/>
      <c r="H2407" s="376"/>
      <c r="I2407" s="377"/>
      <c r="J2407" s="369"/>
    </row>
    <row r="2408" spans="1:10" s="40" customFormat="1" ht="15.75" thickBot="1" x14ac:dyDescent="0.3">
      <c r="A2408" s="46" t="s">
        <v>11699</v>
      </c>
      <c r="B2408" s="60" t="str">
        <f>VLOOKUP(A2408,PO!$A$8:$K$433,4,FALSE)</f>
        <v>Régua para rack 19" - 9 tomadas - fornecimento e instalação.</v>
      </c>
      <c r="C2408" s="47"/>
      <c r="D2408" s="48"/>
      <c r="E2408" s="47"/>
      <c r="F2408" s="49"/>
      <c r="G2408" s="50"/>
      <c r="H2408" s="50"/>
      <c r="I2408" s="50">
        <f>H2411</f>
        <v>1</v>
      </c>
      <c r="J2408" s="284" t="str">
        <f>VLOOKUP(A2408,PO!$A$8:$K$433,5,FALSE)</f>
        <v>unid.</v>
      </c>
    </row>
    <row r="2409" spans="1:10" x14ac:dyDescent="0.25">
      <c r="A2409" s="350"/>
      <c r="B2409" s="370"/>
      <c r="C2409" s="352"/>
      <c r="D2409" s="376"/>
      <c r="E2409" s="376"/>
      <c r="F2409" s="376"/>
      <c r="G2409" s="370"/>
      <c r="H2409" s="376"/>
      <c r="I2409" s="377"/>
      <c r="J2409" s="369"/>
    </row>
    <row r="2410" spans="1:10" x14ac:dyDescent="0.25">
      <c r="A2410" s="350"/>
      <c r="B2410" s="360" t="s">
        <v>10886</v>
      </c>
      <c r="C2410" s="352"/>
      <c r="D2410" s="406" t="s">
        <v>10927</v>
      </c>
      <c r="E2410" s="376"/>
      <c r="F2410" s="376"/>
      <c r="G2410" s="370"/>
      <c r="H2410" s="363" t="s">
        <v>14</v>
      </c>
      <c r="I2410" s="363" t="s">
        <v>15</v>
      </c>
      <c r="J2410" s="369"/>
    </row>
    <row r="2411" spans="1:10" x14ac:dyDescent="0.25">
      <c r="A2411" s="350"/>
      <c r="B2411" s="370" t="s">
        <v>11989</v>
      </c>
      <c r="C2411" s="352"/>
      <c r="D2411" s="376">
        <v>1</v>
      </c>
      <c r="E2411" s="376"/>
      <c r="F2411" s="376"/>
      <c r="G2411" s="370" t="s">
        <v>16</v>
      </c>
      <c r="H2411" s="376">
        <f>ROUND(D2411,2)</f>
        <v>1</v>
      </c>
      <c r="I2411" s="377" t="str">
        <f>J2408</f>
        <v>unid.</v>
      </c>
      <c r="J2411" s="369"/>
    </row>
    <row r="2412" spans="1:10" x14ac:dyDescent="0.25">
      <c r="A2412" s="350"/>
      <c r="B2412" s="370"/>
      <c r="C2412" s="352"/>
      <c r="D2412" s="376"/>
      <c r="E2412" s="376"/>
      <c r="F2412" s="376"/>
      <c r="G2412" s="370"/>
      <c r="H2412" s="376"/>
      <c r="I2412" s="377"/>
      <c r="J2412" s="369"/>
    </row>
    <row r="2413" spans="1:10" x14ac:dyDescent="0.25">
      <c r="A2413" s="350"/>
      <c r="B2413" s="370" t="s">
        <v>11990</v>
      </c>
      <c r="C2413" s="352"/>
      <c r="D2413" s="376"/>
      <c r="E2413" s="376"/>
      <c r="F2413" s="376"/>
      <c r="G2413" s="370"/>
      <c r="H2413" s="376"/>
      <c r="I2413" s="377"/>
      <c r="J2413" s="369"/>
    </row>
    <row r="2414" spans="1:10" ht="15.75" thickBot="1" x14ac:dyDescent="0.3">
      <c r="A2414" s="350"/>
      <c r="B2414" s="370"/>
      <c r="C2414" s="352"/>
      <c r="D2414" s="376"/>
      <c r="E2414" s="376"/>
      <c r="F2414" s="376"/>
      <c r="G2414" s="370"/>
      <c r="H2414" s="376"/>
      <c r="I2414" s="377"/>
      <c r="J2414" s="369"/>
    </row>
    <row r="2415" spans="1:10" s="40" customFormat="1" ht="15.75" thickBot="1" x14ac:dyDescent="0.3">
      <c r="A2415" s="46" t="s">
        <v>11700</v>
      </c>
      <c r="B2415" s="60" t="str">
        <f>VLOOKUP(A2415,PO!$A$8:$K$433,4,FALSE)</f>
        <v>Guia organizadora p/ Rack 19"  - fornecimento e instalação.</v>
      </c>
      <c r="C2415" s="47"/>
      <c r="D2415" s="48"/>
      <c r="E2415" s="47"/>
      <c r="F2415" s="49"/>
      <c r="G2415" s="50"/>
      <c r="H2415" s="50"/>
      <c r="I2415" s="50">
        <f>H2418</f>
        <v>6</v>
      </c>
      <c r="J2415" s="284" t="str">
        <f>VLOOKUP(A2415,PO!$A$8:$K$433,5,FALSE)</f>
        <v>unid.</v>
      </c>
    </row>
    <row r="2416" spans="1:10" x14ac:dyDescent="0.25">
      <c r="A2416" s="350"/>
      <c r="B2416" s="370"/>
      <c r="C2416" s="352"/>
      <c r="D2416" s="376"/>
      <c r="E2416" s="376"/>
      <c r="F2416" s="376"/>
      <c r="G2416" s="370"/>
      <c r="H2416" s="376"/>
      <c r="I2416" s="377"/>
      <c r="J2416" s="369"/>
    </row>
    <row r="2417" spans="1:10" x14ac:dyDescent="0.25">
      <c r="A2417" s="350"/>
      <c r="B2417" s="360" t="s">
        <v>10886</v>
      </c>
      <c r="C2417" s="352"/>
      <c r="D2417" s="406" t="s">
        <v>10927</v>
      </c>
      <c r="E2417" s="376"/>
      <c r="F2417" s="376"/>
      <c r="G2417" s="370"/>
      <c r="H2417" s="363" t="s">
        <v>14</v>
      </c>
      <c r="I2417" s="363" t="s">
        <v>15</v>
      </c>
      <c r="J2417" s="369"/>
    </row>
    <row r="2418" spans="1:10" x14ac:dyDescent="0.25">
      <c r="A2418" s="350"/>
      <c r="B2418" s="370" t="s">
        <v>11989</v>
      </c>
      <c r="C2418" s="352"/>
      <c r="D2418" s="376">
        <v>6</v>
      </c>
      <c r="E2418" s="376"/>
      <c r="F2418" s="376"/>
      <c r="G2418" s="370" t="s">
        <v>16</v>
      </c>
      <c r="H2418" s="376">
        <f>ROUND(D2418,2)</f>
        <v>6</v>
      </c>
      <c r="I2418" s="377" t="str">
        <f>J2415</f>
        <v>unid.</v>
      </c>
      <c r="J2418" s="369"/>
    </row>
    <row r="2419" spans="1:10" x14ac:dyDescent="0.25">
      <c r="A2419" s="350"/>
      <c r="B2419" s="370"/>
      <c r="C2419" s="352"/>
      <c r="D2419" s="376"/>
      <c r="E2419" s="376"/>
      <c r="F2419" s="376"/>
      <c r="G2419" s="370"/>
      <c r="H2419" s="376"/>
      <c r="I2419" s="377"/>
      <c r="J2419" s="369"/>
    </row>
    <row r="2420" spans="1:10" x14ac:dyDescent="0.25">
      <c r="A2420" s="350"/>
      <c r="B2420" s="370" t="s">
        <v>11990</v>
      </c>
      <c r="C2420" s="352"/>
      <c r="D2420" s="376"/>
      <c r="E2420" s="376"/>
      <c r="F2420" s="376"/>
      <c r="G2420" s="370"/>
      <c r="H2420" s="376"/>
      <c r="I2420" s="377"/>
      <c r="J2420" s="369"/>
    </row>
    <row r="2421" spans="1:10" ht="15.75" thickBot="1" x14ac:dyDescent="0.3">
      <c r="A2421" s="350"/>
      <c r="B2421" s="370"/>
      <c r="C2421" s="352"/>
      <c r="D2421" s="376"/>
      <c r="E2421" s="376"/>
      <c r="F2421" s="376"/>
      <c r="G2421" s="370"/>
      <c r="H2421" s="376"/>
      <c r="I2421" s="377"/>
      <c r="J2421" s="369"/>
    </row>
    <row r="2422" spans="1:10" s="40" customFormat="1" ht="15.75" thickBot="1" x14ac:dyDescent="0.3">
      <c r="A2422" s="46" t="s">
        <v>11701</v>
      </c>
      <c r="B2422" s="60" t="str">
        <f>VLOOKUP(A2422,PO!$A$8:$K$433,4,FALSE)</f>
        <v>Quadro de Telefonia 60x60 - embutir - fornecimento e instalação.</v>
      </c>
      <c r="C2422" s="47"/>
      <c r="D2422" s="48"/>
      <c r="E2422" s="47"/>
      <c r="F2422" s="49"/>
      <c r="G2422" s="50"/>
      <c r="H2422" s="50"/>
      <c r="I2422" s="50">
        <f>H2425</f>
        <v>1</v>
      </c>
      <c r="J2422" s="284" t="str">
        <f>VLOOKUP(A2422,PO!$A$8:$K$433,5,FALSE)</f>
        <v>unid.</v>
      </c>
    </row>
    <row r="2423" spans="1:10" x14ac:dyDescent="0.25">
      <c r="A2423" s="350"/>
      <c r="B2423" s="370"/>
      <c r="C2423" s="352"/>
      <c r="D2423" s="376"/>
      <c r="E2423" s="376"/>
      <c r="F2423" s="376"/>
      <c r="G2423" s="370"/>
      <c r="H2423" s="376"/>
      <c r="I2423" s="377"/>
      <c r="J2423" s="369"/>
    </row>
    <row r="2424" spans="1:10" x14ac:dyDescent="0.25">
      <c r="A2424" s="350"/>
      <c r="B2424" s="360" t="s">
        <v>10886</v>
      </c>
      <c r="C2424" s="352"/>
      <c r="D2424" s="406" t="s">
        <v>10927</v>
      </c>
      <c r="E2424" s="376"/>
      <c r="F2424" s="376"/>
      <c r="G2424" s="370"/>
      <c r="H2424" s="363" t="s">
        <v>14</v>
      </c>
      <c r="I2424" s="363" t="s">
        <v>15</v>
      </c>
      <c r="J2424" s="369"/>
    </row>
    <row r="2425" spans="1:10" x14ac:dyDescent="0.25">
      <c r="A2425" s="350"/>
      <c r="B2425" s="370" t="s">
        <v>11989</v>
      </c>
      <c r="C2425" s="352"/>
      <c r="D2425" s="376">
        <v>1</v>
      </c>
      <c r="E2425" s="376"/>
      <c r="F2425" s="376"/>
      <c r="G2425" s="370" t="s">
        <v>16</v>
      </c>
      <c r="H2425" s="376">
        <f>ROUND(D2425,2)</f>
        <v>1</v>
      </c>
      <c r="I2425" s="377" t="str">
        <f>J2422</f>
        <v>unid.</v>
      </c>
      <c r="J2425" s="369"/>
    </row>
    <row r="2426" spans="1:10" x14ac:dyDescent="0.25">
      <c r="A2426" s="350"/>
      <c r="B2426" s="370"/>
      <c r="C2426" s="352"/>
      <c r="D2426" s="376"/>
      <c r="E2426" s="376"/>
      <c r="F2426" s="376"/>
      <c r="G2426" s="370"/>
      <c r="H2426" s="376"/>
      <c r="I2426" s="377"/>
      <c r="J2426" s="369"/>
    </row>
    <row r="2427" spans="1:10" x14ac:dyDescent="0.25">
      <c r="A2427" s="350"/>
      <c r="B2427" s="370" t="s">
        <v>11990</v>
      </c>
      <c r="C2427" s="352"/>
      <c r="D2427" s="376"/>
      <c r="E2427" s="376"/>
      <c r="F2427" s="376"/>
      <c r="G2427" s="370"/>
      <c r="H2427" s="376"/>
      <c r="I2427" s="377"/>
      <c r="J2427" s="369"/>
    </row>
    <row r="2428" spans="1:10" ht="15.75" thickBot="1" x14ac:dyDescent="0.3">
      <c r="A2428" s="350"/>
      <c r="B2428" s="370"/>
      <c r="C2428" s="352"/>
      <c r="D2428" s="376"/>
      <c r="E2428" s="376"/>
      <c r="F2428" s="376"/>
      <c r="G2428" s="370"/>
      <c r="H2428" s="376"/>
      <c r="I2428" s="377"/>
      <c r="J2428" s="369"/>
    </row>
    <row r="2429" spans="1:10" s="40" customFormat="1" ht="15.75" thickBot="1" x14ac:dyDescent="0.3">
      <c r="A2429" s="46" t="s">
        <v>11702</v>
      </c>
      <c r="B2429" s="60" t="str">
        <f>VLOOKUP(A2429,PO!$A$8:$K$433,4,FALSE)</f>
        <v>Bloco de conexão rápida - fornecimento e instalação.</v>
      </c>
      <c r="C2429" s="47"/>
      <c r="D2429" s="48"/>
      <c r="E2429" s="47"/>
      <c r="F2429" s="49"/>
      <c r="G2429" s="50"/>
      <c r="H2429" s="50"/>
      <c r="I2429" s="50">
        <f>H2432</f>
        <v>2</v>
      </c>
      <c r="J2429" s="284" t="str">
        <f>VLOOKUP(A2429,PO!$A$8:$K$433,5,FALSE)</f>
        <v>unid.</v>
      </c>
    </row>
    <row r="2430" spans="1:10" x14ac:dyDescent="0.25">
      <c r="A2430" s="350"/>
      <c r="B2430" s="370"/>
      <c r="C2430" s="352"/>
      <c r="D2430" s="376"/>
      <c r="E2430" s="376"/>
      <c r="F2430" s="376"/>
      <c r="G2430" s="370"/>
      <c r="H2430" s="376"/>
      <c r="I2430" s="377"/>
      <c r="J2430" s="369"/>
    </row>
    <row r="2431" spans="1:10" x14ac:dyDescent="0.25">
      <c r="A2431" s="350"/>
      <c r="B2431" s="360" t="s">
        <v>10886</v>
      </c>
      <c r="C2431" s="352"/>
      <c r="D2431" s="406" t="s">
        <v>10927</v>
      </c>
      <c r="E2431" s="376"/>
      <c r="F2431" s="376"/>
      <c r="G2431" s="370"/>
      <c r="H2431" s="363" t="s">
        <v>14</v>
      </c>
      <c r="I2431" s="363" t="s">
        <v>15</v>
      </c>
      <c r="J2431" s="369"/>
    </row>
    <row r="2432" spans="1:10" x14ac:dyDescent="0.25">
      <c r="A2432" s="350"/>
      <c r="B2432" s="370" t="s">
        <v>11989</v>
      </c>
      <c r="C2432" s="352"/>
      <c r="D2432" s="376">
        <v>2</v>
      </c>
      <c r="E2432" s="376"/>
      <c r="F2432" s="376"/>
      <c r="G2432" s="370" t="s">
        <v>16</v>
      </c>
      <c r="H2432" s="376">
        <f>ROUND(D2432,2)</f>
        <v>2</v>
      </c>
      <c r="I2432" s="377" t="str">
        <f>J2429</f>
        <v>unid.</v>
      </c>
      <c r="J2432" s="369"/>
    </row>
    <row r="2433" spans="1:10" x14ac:dyDescent="0.25">
      <c r="A2433" s="350"/>
      <c r="B2433" s="370"/>
      <c r="C2433" s="352"/>
      <c r="D2433" s="376"/>
      <c r="E2433" s="376"/>
      <c r="F2433" s="376"/>
      <c r="G2433" s="370"/>
      <c r="H2433" s="376"/>
      <c r="I2433" s="377"/>
      <c r="J2433" s="369"/>
    </row>
    <row r="2434" spans="1:10" x14ac:dyDescent="0.25">
      <c r="A2434" s="350"/>
      <c r="B2434" s="370" t="s">
        <v>11990</v>
      </c>
      <c r="C2434" s="352"/>
      <c r="D2434" s="376"/>
      <c r="E2434" s="376"/>
      <c r="F2434" s="376"/>
      <c r="G2434" s="370"/>
      <c r="H2434" s="376"/>
      <c r="I2434" s="377"/>
      <c r="J2434" s="369"/>
    </row>
    <row r="2435" spans="1:10" ht="15.75" thickBot="1" x14ac:dyDescent="0.3">
      <c r="A2435" s="350"/>
      <c r="B2435" s="370"/>
      <c r="C2435" s="352"/>
      <c r="D2435" s="376"/>
      <c r="E2435" s="376"/>
      <c r="F2435" s="376"/>
      <c r="G2435" s="370"/>
      <c r="H2435" s="376"/>
      <c r="I2435" s="377"/>
      <c r="J2435" s="369"/>
    </row>
    <row r="2436" spans="1:10" ht="15.75" thickBot="1" x14ac:dyDescent="0.3">
      <c r="A2436" s="41" t="s">
        <v>11703</v>
      </c>
      <c r="B2436" s="42" t="str">
        <f>VLOOKUP(A2436,PO!$A$8:$K$425,4,FALSE)</f>
        <v>RASGO E FECHAMENTO DE RASGO EM ALVENARIA</v>
      </c>
      <c r="C2436" s="43"/>
      <c r="D2436" s="43"/>
      <c r="E2436" s="43"/>
      <c r="F2436" s="295"/>
      <c r="G2436" s="43"/>
      <c r="H2436" s="43"/>
      <c r="I2436" s="43"/>
      <c r="J2436" s="44"/>
    </row>
    <row r="2437" spans="1:10" ht="15.75" thickBot="1" x14ac:dyDescent="0.3">
      <c r="A2437" s="347"/>
      <c r="B2437" s="205"/>
      <c r="C2437" s="205"/>
      <c r="D2437" s="348"/>
      <c r="E2437" s="205"/>
      <c r="F2437" s="237"/>
      <c r="G2437" s="208"/>
      <c r="H2437" s="208"/>
      <c r="I2437" s="208"/>
      <c r="J2437" s="349"/>
    </row>
    <row r="2438" spans="1:10" s="40" customFormat="1" ht="15.75" thickBot="1" x14ac:dyDescent="0.3">
      <c r="A2438" s="46" t="s">
        <v>11704</v>
      </c>
      <c r="B2438" s="60" t="str">
        <f>VLOOKUP(A2438,PO!$A$8:$K$433,4,FALSE)</f>
        <v>Rasgo em alvenaria para eletroduto com diâmetros menores ou iguais a 40 mm</v>
      </c>
      <c r="C2438" s="47"/>
      <c r="D2438" s="48"/>
      <c r="E2438" s="47"/>
      <c r="F2438" s="49"/>
      <c r="G2438" s="50"/>
      <c r="H2438" s="50"/>
      <c r="I2438" s="50">
        <f>SUM(H2441:H2442)</f>
        <v>38.1</v>
      </c>
      <c r="J2438" s="284" t="str">
        <f>VLOOKUP(A2438,PO!$A$8:$K$433,5,FALSE)</f>
        <v>m</v>
      </c>
    </row>
    <row r="2439" spans="1:10" x14ac:dyDescent="0.25">
      <c r="A2439" s="350"/>
      <c r="B2439" s="370"/>
      <c r="C2439" s="352"/>
      <c r="D2439" s="376"/>
      <c r="E2439" s="376"/>
      <c r="F2439" s="376"/>
      <c r="G2439" s="370"/>
      <c r="H2439" s="376"/>
      <c r="I2439" s="377"/>
      <c r="J2439" s="369"/>
    </row>
    <row r="2440" spans="1:10" x14ac:dyDescent="0.25">
      <c r="A2440" s="350"/>
      <c r="B2440" s="360" t="s">
        <v>10886</v>
      </c>
      <c r="C2440" s="352"/>
      <c r="D2440" s="406" t="s">
        <v>10927</v>
      </c>
      <c r="E2440" s="406" t="s">
        <v>10930</v>
      </c>
      <c r="F2440" s="376"/>
      <c r="G2440" s="370"/>
      <c r="H2440" s="363" t="s">
        <v>14</v>
      </c>
      <c r="I2440" s="363" t="s">
        <v>15</v>
      </c>
      <c r="J2440" s="369"/>
    </row>
    <row r="2441" spans="1:10" x14ac:dyDescent="0.25">
      <c r="A2441" s="350"/>
      <c r="B2441" s="370" t="s">
        <v>11997</v>
      </c>
      <c r="C2441" s="352"/>
      <c r="D2441" s="376">
        <v>37</v>
      </c>
      <c r="E2441" s="376">
        <v>0.3</v>
      </c>
      <c r="F2441" s="376"/>
      <c r="G2441" s="370" t="s">
        <v>16</v>
      </c>
      <c r="H2441" s="376">
        <f>ROUND(D2441*E2441,2)</f>
        <v>11.1</v>
      </c>
      <c r="I2441" s="377" t="str">
        <f>J2438</f>
        <v>m</v>
      </c>
      <c r="J2441" s="369"/>
    </row>
    <row r="2442" spans="1:10" x14ac:dyDescent="0.25">
      <c r="A2442" s="350"/>
      <c r="B2442" s="370" t="s">
        <v>11998</v>
      </c>
      <c r="C2442" s="352"/>
      <c r="D2442" s="376">
        <v>10</v>
      </c>
      <c r="E2442" s="376">
        <v>2.7</v>
      </c>
      <c r="F2442" s="376"/>
      <c r="G2442" s="370" t="s">
        <v>16</v>
      </c>
      <c r="H2442" s="376">
        <f>ROUND(D2442*E2442,2)</f>
        <v>27</v>
      </c>
      <c r="I2442" s="377" t="str">
        <f>I2441</f>
        <v>m</v>
      </c>
      <c r="J2442" s="369"/>
    </row>
    <row r="2443" spans="1:10" x14ac:dyDescent="0.25">
      <c r="A2443" s="350"/>
      <c r="B2443" s="370"/>
      <c r="C2443" s="352"/>
      <c r="D2443" s="376"/>
      <c r="E2443" s="376"/>
      <c r="F2443" s="376"/>
      <c r="G2443" s="370"/>
      <c r="H2443" s="376"/>
      <c r="I2443" s="377"/>
      <c r="J2443" s="369"/>
    </row>
    <row r="2444" spans="1:10" x14ac:dyDescent="0.25">
      <c r="A2444" s="350"/>
      <c r="B2444" s="370" t="s">
        <v>11990</v>
      </c>
      <c r="C2444" s="352"/>
      <c r="D2444" s="376"/>
      <c r="E2444" s="376"/>
      <c r="F2444" s="376"/>
      <c r="G2444" s="370"/>
      <c r="H2444" s="376"/>
      <c r="I2444" s="377"/>
      <c r="J2444" s="369"/>
    </row>
    <row r="2445" spans="1:10" ht="15.75" thickBot="1" x14ac:dyDescent="0.3">
      <c r="A2445" s="350"/>
      <c r="B2445" s="370"/>
      <c r="C2445" s="352"/>
      <c r="D2445" s="376"/>
      <c r="E2445" s="376"/>
      <c r="F2445" s="376"/>
      <c r="G2445" s="370"/>
      <c r="H2445" s="376"/>
      <c r="I2445" s="377"/>
      <c r="J2445" s="369"/>
    </row>
    <row r="2446" spans="1:10" s="40" customFormat="1" ht="15.75" thickBot="1" x14ac:dyDescent="0.3">
      <c r="A2446" s="46" t="s">
        <v>11705</v>
      </c>
      <c r="B2446" s="60" t="str">
        <f>VLOOKUP(A2446,PO!$A$8:$K$433,4,FALSE)</f>
        <v>Enchimento de rasgo em alvenaria com argamassa mista traço 1:4, para tubulação de 1/2" a 25 mm</v>
      </c>
      <c r="C2446" s="47"/>
      <c r="D2446" s="48"/>
      <c r="E2446" s="47"/>
      <c r="F2446" s="49"/>
      <c r="G2446" s="50"/>
      <c r="H2446" s="50"/>
      <c r="I2446" s="50">
        <f>SUM(H2449:H2450)</f>
        <v>38.1</v>
      </c>
      <c r="J2446" s="284" t="str">
        <f>VLOOKUP(A2446,PO!$A$8:$K$433,5,FALSE)</f>
        <v>m</v>
      </c>
    </row>
    <row r="2447" spans="1:10" x14ac:dyDescent="0.25">
      <c r="A2447" s="350"/>
      <c r="B2447" s="370"/>
      <c r="C2447" s="352"/>
      <c r="D2447" s="376"/>
      <c r="E2447" s="376"/>
      <c r="F2447" s="376"/>
      <c r="G2447" s="370"/>
      <c r="H2447" s="376"/>
      <c r="I2447" s="377"/>
      <c r="J2447" s="369"/>
    </row>
    <row r="2448" spans="1:10" x14ac:dyDescent="0.25">
      <c r="A2448" s="350"/>
      <c r="B2448" s="360" t="s">
        <v>10886</v>
      </c>
      <c r="C2448" s="352"/>
      <c r="D2448" s="406" t="s">
        <v>10927</v>
      </c>
      <c r="E2448" s="406" t="s">
        <v>10930</v>
      </c>
      <c r="F2448" s="376"/>
      <c r="G2448" s="370"/>
      <c r="H2448" s="363" t="s">
        <v>14</v>
      </c>
      <c r="I2448" s="363" t="s">
        <v>15</v>
      </c>
      <c r="J2448" s="369"/>
    </row>
    <row r="2449" spans="1:16" x14ac:dyDescent="0.25">
      <c r="A2449" s="350"/>
      <c r="B2449" s="370" t="s">
        <v>11997</v>
      </c>
      <c r="C2449" s="352"/>
      <c r="D2449" s="376">
        <v>37</v>
      </c>
      <c r="E2449" s="376">
        <v>0.3</v>
      </c>
      <c r="F2449" s="376"/>
      <c r="G2449" s="370" t="s">
        <v>16</v>
      </c>
      <c r="H2449" s="376">
        <f>ROUND(D2449*E2449,2)</f>
        <v>11.1</v>
      </c>
      <c r="I2449" s="377" t="str">
        <f>J2446</f>
        <v>m</v>
      </c>
      <c r="J2449" s="369"/>
    </row>
    <row r="2450" spans="1:16" x14ac:dyDescent="0.25">
      <c r="A2450" s="350"/>
      <c r="B2450" s="370" t="s">
        <v>11998</v>
      </c>
      <c r="C2450" s="352"/>
      <c r="D2450" s="376">
        <v>10</v>
      </c>
      <c r="E2450" s="376">
        <v>2.7</v>
      </c>
      <c r="F2450" s="376"/>
      <c r="G2450" s="370" t="s">
        <v>16</v>
      </c>
      <c r="H2450" s="376">
        <f>ROUND(D2450*E2450,2)</f>
        <v>27</v>
      </c>
      <c r="I2450" s="377" t="str">
        <f>I2449</f>
        <v>m</v>
      </c>
      <c r="J2450" s="369"/>
    </row>
    <row r="2451" spans="1:16" x14ac:dyDescent="0.25">
      <c r="A2451" s="350"/>
      <c r="B2451" s="370"/>
      <c r="C2451" s="352"/>
      <c r="D2451" s="376"/>
      <c r="E2451" s="376"/>
      <c r="F2451" s="376"/>
      <c r="G2451" s="370"/>
      <c r="H2451" s="376"/>
      <c r="I2451" s="377"/>
      <c r="J2451" s="369"/>
    </row>
    <row r="2452" spans="1:16" x14ac:dyDescent="0.25">
      <c r="A2452" s="350"/>
      <c r="B2452" s="370" t="s">
        <v>11990</v>
      </c>
      <c r="C2452" s="352"/>
      <c r="D2452" s="376"/>
      <c r="E2452" s="376"/>
      <c r="F2452" s="376"/>
      <c r="G2452" s="370"/>
      <c r="H2452" s="376"/>
      <c r="I2452" s="377"/>
      <c r="J2452" s="369"/>
    </row>
    <row r="2453" spans="1:16" ht="15.75" thickBot="1" x14ac:dyDescent="0.3">
      <c r="A2453" s="350"/>
      <c r="B2453" s="370"/>
      <c r="C2453" s="352"/>
      <c r="D2453" s="376"/>
      <c r="E2453" s="376"/>
      <c r="F2453" s="376"/>
      <c r="G2453" s="370"/>
      <c r="H2453" s="376"/>
      <c r="I2453" s="377"/>
      <c r="J2453" s="369"/>
    </row>
    <row r="2454" spans="1:16" ht="15.75" thickBot="1" x14ac:dyDescent="0.3">
      <c r="A2454" s="36" t="s">
        <v>95</v>
      </c>
      <c r="B2454" s="37" t="str">
        <f>VLOOKUP(A2454,PO!$A$8:$K$425,4,FALSE)</f>
        <v>SERVIÇOS DIVERSOS</v>
      </c>
      <c r="C2454" s="38"/>
      <c r="D2454" s="37"/>
      <c r="E2454" s="38"/>
      <c r="F2454" s="294"/>
      <c r="G2454" s="38"/>
      <c r="H2454" s="38"/>
      <c r="I2454" s="38"/>
      <c r="J2454" s="39"/>
    </row>
    <row r="2455" spans="1:16" ht="15.75" thickBot="1" x14ac:dyDescent="0.3">
      <c r="A2455" s="350"/>
      <c r="B2455" s="352"/>
      <c r="C2455" s="352"/>
      <c r="D2455" s="352"/>
      <c r="E2455" s="352"/>
      <c r="F2455" s="370"/>
      <c r="G2455" s="352"/>
      <c r="H2455" s="352"/>
      <c r="I2455" s="352"/>
      <c r="J2455" s="369"/>
    </row>
    <row r="2456" spans="1:16" ht="15.75" thickBot="1" x14ac:dyDescent="0.3">
      <c r="A2456" s="41" t="s">
        <v>11206</v>
      </c>
      <c r="B2456" s="42" t="str">
        <f>VLOOKUP(A2456,PO!$A$8:$K$425,4,FALSE)</f>
        <v xml:space="preserve">LIMPEZA E ARREMATES FINAIS </v>
      </c>
      <c r="C2456" s="43"/>
      <c r="D2456" s="43"/>
      <c r="E2456" s="43"/>
      <c r="F2456" s="295"/>
      <c r="G2456" s="43"/>
      <c r="H2456" s="43"/>
      <c r="I2456" s="43"/>
      <c r="J2456" s="44"/>
    </row>
    <row r="2457" spans="1:16" ht="15.75" thickBot="1" x14ac:dyDescent="0.3">
      <c r="A2457" s="347"/>
      <c r="B2457" s="205"/>
      <c r="C2457" s="205"/>
      <c r="D2457" s="348"/>
      <c r="E2457" s="205"/>
      <c r="F2457" s="237"/>
      <c r="G2457" s="208"/>
      <c r="H2457" s="208"/>
      <c r="I2457" s="208"/>
      <c r="J2457" s="349"/>
    </row>
    <row r="2458" spans="1:16" s="40" customFormat="1" ht="15.75" thickBot="1" x14ac:dyDescent="0.3">
      <c r="A2458" s="46" t="s">
        <v>11207</v>
      </c>
      <c r="B2458" s="60" t="str">
        <f>VLOOKUP(A2458,PO!$A$8:$K$433,4,FALSE)</f>
        <v>Limpeza final da obra</v>
      </c>
      <c r="C2458" s="47"/>
      <c r="D2458" s="48"/>
      <c r="E2458" s="47"/>
      <c r="F2458" s="49"/>
      <c r="G2458" s="50"/>
      <c r="H2458" s="50"/>
      <c r="I2458" s="50">
        <f>H2461</f>
        <v>477</v>
      </c>
      <c r="J2458" s="284" t="str">
        <f>VLOOKUP(A2458,PO!$A$8:$K$433,5,FALSE)</f>
        <v>m²</v>
      </c>
    </row>
    <row r="2459" spans="1:16" x14ac:dyDescent="0.25">
      <c r="A2459" s="350"/>
      <c r="B2459" s="370"/>
      <c r="C2459" s="352"/>
      <c r="D2459" s="376"/>
      <c r="E2459" s="376"/>
      <c r="F2459" s="376"/>
      <c r="G2459" s="370"/>
      <c r="H2459" s="376"/>
      <c r="I2459" s="377"/>
      <c r="J2459" s="369"/>
    </row>
    <row r="2460" spans="1:16" x14ac:dyDescent="0.25">
      <c r="A2460" s="350"/>
      <c r="B2460" s="360" t="s">
        <v>10886</v>
      </c>
      <c r="C2460" s="352"/>
      <c r="D2460" s="406" t="s">
        <v>10936</v>
      </c>
      <c r="E2460" s="376"/>
      <c r="F2460" s="376"/>
      <c r="G2460" s="370"/>
      <c r="H2460" s="363" t="s">
        <v>14</v>
      </c>
      <c r="I2460" s="363" t="s">
        <v>15</v>
      </c>
      <c r="J2460" s="369"/>
    </row>
    <row r="2461" spans="1:16" x14ac:dyDescent="0.25">
      <c r="A2461" s="350"/>
      <c r="B2461" s="370" t="s">
        <v>12068</v>
      </c>
      <c r="C2461" s="352"/>
      <c r="D2461" s="376">
        <v>477</v>
      </c>
      <c r="E2461" s="376"/>
      <c r="F2461" s="376"/>
      <c r="G2461" s="370" t="s">
        <v>16</v>
      </c>
      <c r="H2461" s="376">
        <f>ROUND(D2461,2)</f>
        <v>477</v>
      </c>
      <c r="I2461" s="377" t="str">
        <f>J2458</f>
        <v>m²</v>
      </c>
      <c r="J2461" s="369"/>
    </row>
    <row r="2462" spans="1:16" ht="15.75" thickBot="1" x14ac:dyDescent="0.3">
      <c r="A2462" s="477"/>
      <c r="B2462" s="478"/>
      <c r="C2462" s="479"/>
      <c r="D2462" s="480"/>
      <c r="E2462" s="480"/>
      <c r="F2462" s="480"/>
      <c r="G2462" s="478"/>
      <c r="H2462" s="480"/>
      <c r="I2462" s="481"/>
      <c r="J2462" s="482"/>
    </row>
    <row r="2463" spans="1:16" x14ac:dyDescent="0.25">
      <c r="B2463" s="175"/>
      <c r="D2463" s="199"/>
      <c r="E2463" s="199"/>
      <c r="F2463" s="199"/>
      <c r="G2463" s="175"/>
      <c r="H2463" s="199"/>
      <c r="I2463" s="200"/>
    </row>
    <row r="2464" spans="1:16" x14ac:dyDescent="0.25">
      <c r="O2464" s="175"/>
      <c r="P2464" s="175"/>
    </row>
    <row r="2465" spans="13:17" x14ac:dyDescent="0.25">
      <c r="O2465" s="175"/>
      <c r="P2465" s="175"/>
    </row>
    <row r="2466" spans="13:17" x14ac:dyDescent="0.25">
      <c r="O2466" s="175"/>
      <c r="P2466" s="175"/>
    </row>
    <row r="2467" spans="13:17" x14ac:dyDescent="0.25">
      <c r="M2467" s="242"/>
      <c r="O2467" s="175"/>
      <c r="P2467" s="175"/>
    </row>
    <row r="2468" spans="13:17" x14ac:dyDescent="0.25">
      <c r="O2468" s="175"/>
      <c r="P2468" s="175"/>
    </row>
    <row r="2469" spans="13:17" x14ac:dyDescent="0.25">
      <c r="O2469" s="175"/>
      <c r="P2469" s="175"/>
    </row>
    <row r="2470" spans="13:17" x14ac:dyDescent="0.25">
      <c r="O2470" s="175"/>
      <c r="P2470" s="175"/>
      <c r="Q2470" s="35">
        <v>1</v>
      </c>
    </row>
    <row r="2471" spans="13:17" x14ac:dyDescent="0.25">
      <c r="O2471" s="175"/>
      <c r="Q2471" s="35">
        <v>1</v>
      </c>
    </row>
    <row r="2472" spans="13:17" x14ac:dyDescent="0.25">
      <c r="M2472" s="242"/>
      <c r="O2472" s="175"/>
    </row>
    <row r="2473" spans="13:17" x14ac:dyDescent="0.25">
      <c r="M2473" s="242"/>
      <c r="O2473" s="175"/>
    </row>
    <row r="2474" spans="13:17" x14ac:dyDescent="0.25">
      <c r="M2474" s="242"/>
      <c r="O2474" s="175"/>
    </row>
    <row r="2475" spans="13:17" x14ac:dyDescent="0.25">
      <c r="M2475" s="242"/>
      <c r="O2475" s="175"/>
    </row>
    <row r="2476" spans="13:17" x14ac:dyDescent="0.25">
      <c r="M2476" s="236"/>
      <c r="O2476" s="175"/>
      <c r="Q2476" s="35">
        <v>1</v>
      </c>
    </row>
    <row r="2477" spans="13:17" x14ac:dyDescent="0.25">
      <c r="O2477" s="175"/>
    </row>
    <row r="2478" spans="13:17" x14ac:dyDescent="0.25">
      <c r="Q2478" s="35">
        <f>SUM(Q1965:Q2477)</f>
        <v>3</v>
      </c>
    </row>
  </sheetData>
  <mergeCells count="234">
    <mergeCell ref="A1012:J1012"/>
    <mergeCell ref="B1027:G1027"/>
    <mergeCell ref="A354:J354"/>
    <mergeCell ref="A367:F367"/>
    <mergeCell ref="A205:J205"/>
    <mergeCell ref="A300:J300"/>
    <mergeCell ref="B437:D437"/>
    <mergeCell ref="B466:H466"/>
    <mergeCell ref="A541:B541"/>
    <mergeCell ref="A542:B542"/>
    <mergeCell ref="A747:J747"/>
    <mergeCell ref="B735:D735"/>
    <mergeCell ref="B736:D736"/>
    <mergeCell ref="B756:D756"/>
    <mergeCell ref="B757:D757"/>
    <mergeCell ref="B759:C759"/>
    <mergeCell ref="B760:C760"/>
    <mergeCell ref="B758:D758"/>
    <mergeCell ref="B831:H831"/>
    <mergeCell ref="B713:D713"/>
    <mergeCell ref="A591:C591"/>
    <mergeCell ref="A606:C606"/>
    <mergeCell ref="A627:C627"/>
    <mergeCell ref="B659:D659"/>
    <mergeCell ref="B717:D717"/>
    <mergeCell ref="B718:D718"/>
    <mergeCell ref="B719:D719"/>
    <mergeCell ref="B720:D720"/>
    <mergeCell ref="B721:D721"/>
    <mergeCell ref="B761:C761"/>
    <mergeCell ref="B762:C762"/>
    <mergeCell ref="B764:D764"/>
    <mergeCell ref="B765:D765"/>
    <mergeCell ref="B766:D766"/>
    <mergeCell ref="B767:D767"/>
    <mergeCell ref="B734:D734"/>
    <mergeCell ref="B973:D973"/>
    <mergeCell ref="B974:D974"/>
    <mergeCell ref="B968:C968"/>
    <mergeCell ref="B910:D910"/>
    <mergeCell ref="B932:D932"/>
    <mergeCell ref="B942:D942"/>
    <mergeCell ref="B967:D967"/>
    <mergeCell ref="B768:D768"/>
    <mergeCell ref="B769:D769"/>
    <mergeCell ref="B928:D928"/>
    <mergeCell ref="B929:D929"/>
    <mergeCell ref="B931:D931"/>
    <mergeCell ref="B933:D933"/>
    <mergeCell ref="B923:D923"/>
    <mergeCell ref="B924:D924"/>
    <mergeCell ref="B925:D925"/>
    <mergeCell ref="B926:D926"/>
    <mergeCell ref="B927:D927"/>
    <mergeCell ref="B848:D848"/>
    <mergeCell ref="B1007:D1007"/>
    <mergeCell ref="B999:D999"/>
    <mergeCell ref="B1003:D1003"/>
    <mergeCell ref="B997:D997"/>
    <mergeCell ref="B998:D998"/>
    <mergeCell ref="B975:D975"/>
    <mergeCell ref="B976:D976"/>
    <mergeCell ref="B953:D953"/>
    <mergeCell ref="B889:D889"/>
    <mergeCell ref="B969:D969"/>
    <mergeCell ref="B960:D960"/>
    <mergeCell ref="B901:D901"/>
    <mergeCell ref="B895:D895"/>
    <mergeCell ref="B896:D896"/>
    <mergeCell ref="B952:D952"/>
    <mergeCell ref="B955:D955"/>
    <mergeCell ref="B959:D959"/>
    <mergeCell ref="B917:D917"/>
    <mergeCell ref="B918:D918"/>
    <mergeCell ref="B919:D919"/>
    <mergeCell ref="B920:D920"/>
    <mergeCell ref="B956:D956"/>
    <mergeCell ref="B957:D957"/>
    <mergeCell ref="B958:D958"/>
    <mergeCell ref="B1238:D1238"/>
    <mergeCell ref="B1239:D1239"/>
    <mergeCell ref="B731:D731"/>
    <mergeCell ref="B732:D732"/>
    <mergeCell ref="B1230:D1230"/>
    <mergeCell ref="B1231:D1231"/>
    <mergeCell ref="B1232:D1232"/>
    <mergeCell ref="B977:D977"/>
    <mergeCell ref="B978:D978"/>
    <mergeCell ref="B979:D979"/>
    <mergeCell ref="B970:D970"/>
    <mergeCell ref="B971:D971"/>
    <mergeCell ref="B972:D972"/>
    <mergeCell ref="B743:D743"/>
    <mergeCell ref="B751:F751"/>
    <mergeCell ref="B912:G912"/>
    <mergeCell ref="B921:D921"/>
    <mergeCell ref="B922:D922"/>
    <mergeCell ref="B1141:D1141"/>
    <mergeCell ref="B1161:D1161"/>
    <mergeCell ref="A1081:J1081"/>
    <mergeCell ref="B944:G944"/>
    <mergeCell ref="B1004:D1004"/>
    <mergeCell ref="B1070:C1070"/>
    <mergeCell ref="C2:J2"/>
    <mergeCell ref="A126:J126"/>
    <mergeCell ref="A144:J144"/>
    <mergeCell ref="A142:F142"/>
    <mergeCell ref="A154:F154"/>
    <mergeCell ref="B470:B480"/>
    <mergeCell ref="B885:D885"/>
    <mergeCell ref="B888:D888"/>
    <mergeCell ref="A156:J156"/>
    <mergeCell ref="A170:J170"/>
    <mergeCell ref="A185:F185"/>
    <mergeCell ref="A168:F168"/>
    <mergeCell ref="A183:F183"/>
    <mergeCell ref="B374:B384"/>
    <mergeCell ref="A216:F216"/>
    <mergeCell ref="A331:F331"/>
    <mergeCell ref="A238:F238"/>
    <mergeCell ref="B887:D887"/>
    <mergeCell ref="B641:D641"/>
    <mergeCell ref="B886:D886"/>
    <mergeCell ref="B710:C710"/>
    <mergeCell ref="B711:C711"/>
    <mergeCell ref="A352:F352"/>
    <mergeCell ref="B723:D723"/>
    <mergeCell ref="M507:O507"/>
    <mergeCell ref="M508:O508"/>
    <mergeCell ref="M496:O496"/>
    <mergeCell ref="M497:O497"/>
    <mergeCell ref="M498:O498"/>
    <mergeCell ref="M499:O499"/>
    <mergeCell ref="M502:O502"/>
    <mergeCell ref="M503:O503"/>
    <mergeCell ref="M504:O504"/>
    <mergeCell ref="M505:O505"/>
    <mergeCell ref="M506:O506"/>
    <mergeCell ref="M509:O509"/>
    <mergeCell ref="B707:D707"/>
    <mergeCell ref="B709:D709"/>
    <mergeCell ref="B708:D708"/>
    <mergeCell ref="M510:O510"/>
    <mergeCell ref="M511:O511"/>
    <mergeCell ref="B1005:D1005"/>
    <mergeCell ref="B1006:D1006"/>
    <mergeCell ref="B842:D842"/>
    <mergeCell ref="B843:C843"/>
    <mergeCell ref="B844:D844"/>
    <mergeCell ref="B722:D722"/>
    <mergeCell ref="B737:D737"/>
    <mergeCell ref="B738:D738"/>
    <mergeCell ref="B724:D724"/>
    <mergeCell ref="B725:D725"/>
    <mergeCell ref="B1000:D1000"/>
    <mergeCell ref="B1001:D1001"/>
    <mergeCell ref="B1002:D1002"/>
    <mergeCell ref="B996:C996"/>
    <mergeCell ref="B733:D733"/>
    <mergeCell ref="B897:D897"/>
    <mergeCell ref="B893:D893"/>
    <mergeCell ref="A729:J729"/>
    <mergeCell ref="B1187:D1187"/>
    <mergeCell ref="B1221:D1221"/>
    <mergeCell ref="B1222:D1222"/>
    <mergeCell ref="B1223:D1223"/>
    <mergeCell ref="B712:C712"/>
    <mergeCell ref="B715:D715"/>
    <mergeCell ref="B716:D716"/>
    <mergeCell ref="B1168:D1168"/>
    <mergeCell ref="B1169:D1169"/>
    <mergeCell ref="B1170:D1170"/>
    <mergeCell ref="B1153:D1153"/>
    <mergeCell ref="B1154:D1154"/>
    <mergeCell ref="B1159:D1159"/>
    <mergeCell ref="B1160:D1160"/>
    <mergeCell ref="B890:D890"/>
    <mergeCell ref="B891:D891"/>
    <mergeCell ref="B892:D892"/>
    <mergeCell ref="B894:D894"/>
    <mergeCell ref="B899:D899"/>
    <mergeCell ref="B900:D900"/>
    <mergeCell ref="B1180:D1180"/>
    <mergeCell ref="B1064:F1064"/>
    <mergeCell ref="B1060:F1060"/>
    <mergeCell ref="B1051:B1057"/>
    <mergeCell ref="B1266:D1266"/>
    <mergeCell ref="B1267:D1267"/>
    <mergeCell ref="B1268:D1268"/>
    <mergeCell ref="B845:D845"/>
    <mergeCell ref="B846:D846"/>
    <mergeCell ref="B847:D847"/>
    <mergeCell ref="B1162:D1162"/>
    <mergeCell ref="B1224:D1224"/>
    <mergeCell ref="B1225:D1225"/>
    <mergeCell ref="B1226:D1226"/>
    <mergeCell ref="B1227:D1227"/>
    <mergeCell ref="B1228:D1228"/>
    <mergeCell ref="B1229:D1229"/>
    <mergeCell ref="B1240:D1240"/>
    <mergeCell ref="B1143:D1143"/>
    <mergeCell ref="B1142:D1142"/>
    <mergeCell ref="B849:D849"/>
    <mergeCell ref="B850:D850"/>
    <mergeCell ref="B851:D851"/>
    <mergeCell ref="B852:D852"/>
    <mergeCell ref="B1108:C1108"/>
    <mergeCell ref="B954:D954"/>
    <mergeCell ref="B1181:D1181"/>
    <mergeCell ref="B1182:D1182"/>
    <mergeCell ref="A1675:J1675"/>
    <mergeCell ref="B1233:D1233"/>
    <mergeCell ref="B853:D853"/>
    <mergeCell ref="B854:D854"/>
    <mergeCell ref="B862:D862"/>
    <mergeCell ref="B863:C863"/>
    <mergeCell ref="B864:D864"/>
    <mergeCell ref="B874:D874"/>
    <mergeCell ref="B865:D865"/>
    <mergeCell ref="B866:D866"/>
    <mergeCell ref="B867:D867"/>
    <mergeCell ref="B868:D868"/>
    <mergeCell ref="B869:D869"/>
    <mergeCell ref="B870:D870"/>
    <mergeCell ref="B871:D871"/>
    <mergeCell ref="B872:D872"/>
    <mergeCell ref="B873:D873"/>
    <mergeCell ref="B1090:C1090"/>
    <mergeCell ref="B1086:C1086"/>
    <mergeCell ref="B1102:F1102"/>
    <mergeCell ref="B1171:D1171"/>
    <mergeCell ref="B1175:D1175"/>
    <mergeCell ref="B1176:D1176"/>
    <mergeCell ref="B1163:D1163"/>
  </mergeCells>
  <phoneticPr fontId="34" type="noConversion"/>
  <pageMargins left="0.51181102362204722" right="0.51181102362204722" top="0.92500000000000004" bottom="0.78740157480314965" header="0.31496062992125984" footer="0.31496062992125984"/>
  <pageSetup paperSize="9" scale="61" fitToHeight="0" orientation="portrait" r:id="rId1"/>
  <headerFooter>
    <oddHeader>&amp;L
CNPJ: 27.651.907/0001-77&amp;C&amp;G&amp;R
IE: 00000004780094</oddHeader>
    <oddFooter>&amp;CAv. Abunã, 2914 – Sala D – Liberdade – Porto Velho – Rondônia – Brasil – CEP 76.803-888
+55 69 99283 9999  +55 69 4141 6641
proj.nova@outlook.com&amp;RPágina &amp;P de &amp;N</oddFooter>
  </headerFooter>
  <rowBreaks count="4" manualBreakCount="4">
    <brk id="465" max="9" man="1"/>
    <brk id="608" max="9" man="1"/>
    <brk id="879" max="9" man="1"/>
    <brk id="1102" max="9" man="1"/>
  </rowBreaks>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P2252"/>
  <sheetViews>
    <sheetView showZeros="0" view="pageBreakPreview" topLeftCell="A644" zoomScaleNormal="100" zoomScaleSheetLayoutView="100" workbookViewId="0">
      <selection activeCell="E657" sqref="E657"/>
    </sheetView>
  </sheetViews>
  <sheetFormatPr defaultColWidth="10.28515625" defaultRowHeight="14.25" x14ac:dyDescent="0.2"/>
  <cols>
    <col min="1" max="1" width="15.5703125" style="106" customWidth="1"/>
    <col min="2" max="2" width="52.42578125" style="108" customWidth="1"/>
    <col min="3" max="3" width="7.28515625" style="106" bestFit="1" customWidth="1"/>
    <col min="4" max="4" width="16.7109375" style="106" customWidth="1"/>
    <col min="5" max="5" width="11.140625" style="106" bestFit="1" customWidth="1"/>
    <col min="6" max="6" width="12.7109375" style="106" bestFit="1" customWidth="1"/>
    <col min="7" max="7" width="10.5703125" style="106" bestFit="1" customWidth="1"/>
    <col min="8" max="8" width="11.5703125" style="106" bestFit="1" customWidth="1"/>
    <col min="9" max="16384" width="10.28515625" style="106"/>
  </cols>
  <sheetData>
    <row r="1" spans="1:16" s="2" customFormat="1" ht="7.5" customHeight="1" x14ac:dyDescent="0.25">
      <c r="A1" s="1"/>
      <c r="B1" s="1"/>
      <c r="C1" s="1"/>
      <c r="D1" s="1"/>
      <c r="E1" s="1"/>
      <c r="F1" s="1"/>
      <c r="G1" s="1"/>
      <c r="H1" s="1"/>
      <c r="I1" s="1"/>
      <c r="J1" s="1"/>
    </row>
    <row r="2" spans="1:16" s="5" customFormat="1" ht="32.25" customHeight="1" x14ac:dyDescent="0.25">
      <c r="A2" s="7" t="s">
        <v>0</v>
      </c>
      <c r="B2" s="752" t="s">
        <v>11667</v>
      </c>
      <c r="C2" s="752"/>
      <c r="D2" s="752"/>
      <c r="E2" s="752"/>
      <c r="F2" s="752"/>
      <c r="G2" s="6"/>
      <c r="H2" s="8"/>
      <c r="I2" s="4"/>
      <c r="J2" s="10"/>
    </row>
    <row r="3" spans="1:16" s="5" customFormat="1" ht="15.75" x14ac:dyDescent="0.25">
      <c r="A3" s="7" t="s">
        <v>1</v>
      </c>
      <c r="B3" s="3" t="s">
        <v>11666</v>
      </c>
      <c r="C3" s="10"/>
      <c r="D3" s="6"/>
      <c r="E3" s="9"/>
      <c r="F3" s="10"/>
      <c r="G3" s="6"/>
      <c r="H3" s="8"/>
      <c r="I3" s="4"/>
      <c r="J3" s="10"/>
    </row>
    <row r="4" spans="1:16" s="5" customFormat="1" ht="15.75" x14ac:dyDescent="0.25">
      <c r="A4" s="7" t="s">
        <v>2</v>
      </c>
      <c r="B4" s="3" t="s">
        <v>3</v>
      </c>
      <c r="C4" s="10"/>
      <c r="D4" s="6"/>
      <c r="E4" s="9"/>
      <c r="F4" s="10"/>
      <c r="G4" s="6"/>
      <c r="H4" s="8"/>
      <c r="I4" s="4"/>
      <c r="J4" s="10"/>
    </row>
    <row r="5" spans="1:16" s="14" customFormat="1" ht="15.75" x14ac:dyDescent="0.25">
      <c r="A5" s="7" t="s">
        <v>4</v>
      </c>
      <c r="B5" s="61">
        <v>43812</v>
      </c>
      <c r="C5" s="54"/>
      <c r="D5" s="12"/>
      <c r="E5" s="12"/>
      <c r="F5" s="9"/>
      <c r="G5" s="12"/>
      <c r="H5" s="8"/>
      <c r="I5" s="13"/>
      <c r="J5" s="54"/>
      <c r="K5" s="5"/>
      <c r="L5" s="5"/>
      <c r="M5" s="5"/>
      <c r="N5" s="5"/>
      <c r="O5" s="5"/>
      <c r="P5" s="5"/>
    </row>
    <row r="6" spans="1:16" s="62" customFormat="1" ht="15.75" customHeight="1" x14ac:dyDescent="0.2">
      <c r="A6" s="753" t="s">
        <v>22</v>
      </c>
      <c r="B6" s="753"/>
      <c r="C6" s="753"/>
      <c r="D6" s="753"/>
      <c r="E6" s="753"/>
      <c r="F6" s="753"/>
    </row>
    <row r="7" spans="1:16" ht="15.75" x14ac:dyDescent="0.2">
      <c r="A7" s="587" t="s">
        <v>8</v>
      </c>
      <c r="B7" s="743" t="s">
        <v>23</v>
      </c>
      <c r="C7" s="743"/>
      <c r="D7" s="743"/>
      <c r="E7" s="743"/>
      <c r="F7" s="588" t="s">
        <v>24</v>
      </c>
    </row>
    <row r="8" spans="1:16" ht="30.75" customHeight="1" x14ac:dyDescent="0.2">
      <c r="A8" s="63" t="s">
        <v>274</v>
      </c>
      <c r="B8" s="744" t="str">
        <f>PO!D10</f>
        <v>Administração e controle - Responsável Técnico (Engenheiro).</v>
      </c>
      <c r="C8" s="744"/>
      <c r="D8" s="744"/>
      <c r="E8" s="744"/>
      <c r="F8" s="107" t="s">
        <v>249</v>
      </c>
    </row>
    <row r="9" spans="1:16" x14ac:dyDescent="0.2">
      <c r="A9" s="745" t="s">
        <v>25</v>
      </c>
      <c r="B9" s="745"/>
      <c r="C9" s="745"/>
      <c r="D9" s="745"/>
      <c r="E9" s="745"/>
      <c r="F9" s="745"/>
    </row>
    <row r="10" spans="1:16" x14ac:dyDescent="0.2">
      <c r="A10" s="64" t="s">
        <v>8</v>
      </c>
      <c r="B10" s="64" t="s">
        <v>26</v>
      </c>
      <c r="C10" s="64" t="s">
        <v>27</v>
      </c>
      <c r="D10" s="64" t="s">
        <v>28</v>
      </c>
      <c r="E10" s="64" t="s">
        <v>29</v>
      </c>
      <c r="F10" s="64" t="s">
        <v>30</v>
      </c>
    </row>
    <row r="11" spans="1:16" x14ac:dyDescent="0.2">
      <c r="A11" s="65">
        <v>90777</v>
      </c>
      <c r="B11" s="66" t="s">
        <v>10885</v>
      </c>
      <c r="C11" s="67" t="s">
        <v>43</v>
      </c>
      <c r="D11" s="155">
        <f>2*22</f>
        <v>44</v>
      </c>
      <c r="E11" s="174">
        <v>88.24</v>
      </c>
      <c r="F11" s="174">
        <f>D11*E11</f>
        <v>3882.56</v>
      </c>
    </row>
    <row r="12" spans="1:16" x14ac:dyDescent="0.2">
      <c r="A12" s="65">
        <v>90780</v>
      </c>
      <c r="B12" s="112" t="s">
        <v>11161</v>
      </c>
      <c r="C12" s="67" t="s">
        <v>43</v>
      </c>
      <c r="D12" s="155">
        <f>22*4</f>
        <v>88</v>
      </c>
      <c r="E12" s="174">
        <v>28.09</v>
      </c>
      <c r="F12" s="174">
        <f>D12*E12</f>
        <v>2471.92</v>
      </c>
    </row>
    <row r="13" spans="1:16" x14ac:dyDescent="0.2">
      <c r="A13" s="71"/>
      <c r="B13" s="62"/>
      <c r="C13" s="72"/>
      <c r="D13" s="76" t="s">
        <v>32</v>
      </c>
      <c r="E13" s="77"/>
      <c r="F13" s="78">
        <f>F12*E13</f>
        <v>0</v>
      </c>
    </row>
    <row r="14" spans="1:16" x14ac:dyDescent="0.2">
      <c r="A14" s="71"/>
      <c r="B14" s="62"/>
      <c r="C14" s="72"/>
      <c r="D14" s="73" t="s">
        <v>33</v>
      </c>
      <c r="E14" s="74"/>
      <c r="F14" s="78">
        <f>SUM(F11:F12)</f>
        <v>6354.48</v>
      </c>
    </row>
    <row r="15" spans="1:16" x14ac:dyDescent="0.2">
      <c r="A15" s="79"/>
      <c r="B15" s="76"/>
      <c r="C15" s="73"/>
      <c r="D15" s="80" t="s">
        <v>34</v>
      </c>
      <c r="E15" s="81"/>
      <c r="F15" s="82">
        <f>F14</f>
        <v>6354.48</v>
      </c>
    </row>
    <row r="16" spans="1:16" x14ac:dyDescent="0.2">
      <c r="A16" s="79"/>
      <c r="B16" s="76"/>
      <c r="C16" s="73"/>
      <c r="D16" s="83"/>
      <c r="E16" s="84"/>
      <c r="F16" s="85"/>
    </row>
    <row r="17" spans="1:6" x14ac:dyDescent="0.2">
      <c r="A17" s="746" t="s">
        <v>35</v>
      </c>
      <c r="B17" s="747"/>
      <c r="C17" s="747"/>
      <c r="D17" s="747"/>
      <c r="E17" s="747"/>
      <c r="F17" s="748"/>
    </row>
    <row r="18" spans="1:6" x14ac:dyDescent="0.2">
      <c r="A18" s="64" t="s">
        <v>8</v>
      </c>
      <c r="B18" s="64" t="s">
        <v>26</v>
      </c>
      <c r="C18" s="64" t="s">
        <v>27</v>
      </c>
      <c r="D18" s="64" t="s">
        <v>28</v>
      </c>
      <c r="E18" s="64" t="s">
        <v>29</v>
      </c>
      <c r="F18" s="64" t="s">
        <v>30</v>
      </c>
    </row>
    <row r="19" spans="1:6" x14ac:dyDescent="0.2">
      <c r="A19" s="86"/>
      <c r="B19" s="96"/>
      <c r="C19" s="88"/>
      <c r="D19" s="156"/>
      <c r="E19" s="90"/>
      <c r="F19" s="69">
        <f t="shared" ref="F19" si="0">D19*E19</f>
        <v>0</v>
      </c>
    </row>
    <row r="20" spans="1:6" x14ac:dyDescent="0.2">
      <c r="A20" s="92"/>
      <c r="B20" s="87"/>
      <c r="C20" s="88"/>
      <c r="D20" s="93"/>
      <c r="E20" s="94"/>
      <c r="F20" s="69"/>
    </row>
    <row r="21" spans="1:6" x14ac:dyDescent="0.2">
      <c r="A21" s="95"/>
      <c r="B21" s="96"/>
      <c r="C21" s="97"/>
      <c r="D21" s="98"/>
      <c r="E21" s="99"/>
      <c r="F21" s="91"/>
    </row>
    <row r="22" spans="1:6" x14ac:dyDescent="0.2">
      <c r="A22" s="95"/>
      <c r="B22" s="96"/>
      <c r="C22" s="97"/>
      <c r="D22" s="98"/>
      <c r="E22" s="99"/>
      <c r="F22" s="100"/>
    </row>
    <row r="23" spans="1:6" x14ac:dyDescent="0.2">
      <c r="A23" s="95"/>
      <c r="B23" s="96"/>
      <c r="C23" s="97"/>
      <c r="D23" s="98"/>
      <c r="E23" s="99"/>
      <c r="F23" s="100"/>
    </row>
    <row r="24" spans="1:6" x14ac:dyDescent="0.2">
      <c r="A24" s="79"/>
      <c r="B24" s="76"/>
      <c r="C24" s="73"/>
      <c r="D24" s="80" t="s">
        <v>36</v>
      </c>
      <c r="E24" s="81"/>
      <c r="F24" s="101">
        <f>SUM(F19:F23)</f>
        <v>0</v>
      </c>
    </row>
    <row r="25" spans="1:6" x14ac:dyDescent="0.2">
      <c r="A25" s="79"/>
      <c r="B25" s="76"/>
      <c r="C25" s="73"/>
      <c r="D25" s="83"/>
      <c r="E25" s="84"/>
      <c r="F25" s="85"/>
    </row>
    <row r="26" spans="1:6" x14ac:dyDescent="0.2">
      <c r="A26" s="746" t="s">
        <v>37</v>
      </c>
      <c r="B26" s="747"/>
      <c r="C26" s="747"/>
      <c r="D26" s="747"/>
      <c r="E26" s="747"/>
      <c r="F26" s="748"/>
    </row>
    <row r="27" spans="1:6" x14ac:dyDescent="0.2">
      <c r="A27" s="64" t="s">
        <v>8</v>
      </c>
      <c r="B27" s="64" t="s">
        <v>26</v>
      </c>
      <c r="C27" s="64" t="s">
        <v>27</v>
      </c>
      <c r="D27" s="64" t="s">
        <v>28</v>
      </c>
      <c r="E27" s="64" t="s">
        <v>29</v>
      </c>
      <c r="F27" s="64" t="s">
        <v>30</v>
      </c>
    </row>
    <row r="28" spans="1:6" x14ac:dyDescent="0.2">
      <c r="A28" s="86"/>
      <c r="B28" s="102"/>
      <c r="C28" s="88"/>
      <c r="D28" s="89"/>
      <c r="E28" s="90"/>
      <c r="F28" s="91"/>
    </row>
    <row r="29" spans="1:6" x14ac:dyDescent="0.2">
      <c r="A29" s="92"/>
      <c r="B29" s="87"/>
      <c r="C29" s="88"/>
      <c r="D29" s="103"/>
      <c r="E29" s="94"/>
      <c r="F29" s="100"/>
    </row>
    <row r="30" spans="1:6" x14ac:dyDescent="0.2">
      <c r="A30" s="95"/>
      <c r="B30" s="96"/>
      <c r="C30" s="97"/>
      <c r="D30" s="98"/>
      <c r="E30" s="99"/>
      <c r="F30" s="104"/>
    </row>
    <row r="31" spans="1:6" x14ac:dyDescent="0.2">
      <c r="A31" s="79"/>
      <c r="B31" s="76"/>
      <c r="C31" s="73"/>
      <c r="D31" s="80" t="s">
        <v>38</v>
      </c>
      <c r="E31" s="81"/>
      <c r="F31" s="101">
        <f>ROUND(SUM(F28:F28),2)</f>
        <v>0</v>
      </c>
    </row>
    <row r="32" spans="1:6" x14ac:dyDescent="0.2">
      <c r="A32" s="79"/>
      <c r="B32" s="76"/>
      <c r="C32" s="73"/>
      <c r="D32" s="83"/>
      <c r="E32" s="84"/>
      <c r="F32" s="85"/>
    </row>
    <row r="33" spans="1:6" x14ac:dyDescent="0.2">
      <c r="A33" s="749" t="s">
        <v>39</v>
      </c>
      <c r="B33" s="750"/>
      <c r="C33" s="750"/>
      <c r="D33" s="750"/>
      <c r="E33" s="751"/>
      <c r="F33" s="105">
        <f>ROUND(F15+F24+F31,2)</f>
        <v>6354.48</v>
      </c>
    </row>
    <row r="34" spans="1:6" ht="15.75" x14ac:dyDescent="0.2">
      <c r="A34" s="587" t="s">
        <v>8</v>
      </c>
      <c r="B34" s="743" t="s">
        <v>23</v>
      </c>
      <c r="C34" s="743"/>
      <c r="D34" s="743"/>
      <c r="E34" s="743"/>
      <c r="F34" s="588" t="s">
        <v>24</v>
      </c>
    </row>
    <row r="35" spans="1:6" ht="15" customHeight="1" x14ac:dyDescent="0.2">
      <c r="A35" s="63" t="s">
        <v>10882</v>
      </c>
      <c r="B35" s="744" t="str">
        <f>PO!D28</f>
        <v>Demolição de contrapiso até 3 cm, de forma manual, sem reaproveitamento.</v>
      </c>
      <c r="C35" s="744"/>
      <c r="D35" s="744"/>
      <c r="E35" s="744"/>
      <c r="F35" s="107" t="s">
        <v>164</v>
      </c>
    </row>
    <row r="36" spans="1:6" x14ac:dyDescent="0.2">
      <c r="A36" s="745" t="s">
        <v>25</v>
      </c>
      <c r="B36" s="745"/>
      <c r="C36" s="745"/>
      <c r="D36" s="745"/>
      <c r="E36" s="745"/>
      <c r="F36" s="745"/>
    </row>
    <row r="37" spans="1:6" x14ac:dyDescent="0.2">
      <c r="A37" s="64" t="s">
        <v>8</v>
      </c>
      <c r="B37" s="64" t="s">
        <v>26</v>
      </c>
      <c r="C37" s="64" t="s">
        <v>27</v>
      </c>
      <c r="D37" s="64" t="s">
        <v>28</v>
      </c>
      <c r="E37" s="64" t="s">
        <v>29</v>
      </c>
      <c r="F37" s="64" t="s">
        <v>30</v>
      </c>
    </row>
    <row r="38" spans="1:6" x14ac:dyDescent="0.2">
      <c r="A38" s="262">
        <v>88316</v>
      </c>
      <c r="B38" s="507" t="s">
        <v>10944</v>
      </c>
      <c r="C38" s="113" t="s">
        <v>10945</v>
      </c>
      <c r="D38" s="303">
        <v>0.9</v>
      </c>
      <c r="E38" s="174">
        <v>16.940000000000001</v>
      </c>
      <c r="F38" s="174">
        <f>D38*E38</f>
        <v>15.246000000000002</v>
      </c>
    </row>
    <row r="39" spans="1:6" x14ac:dyDescent="0.2">
      <c r="A39" s="65">
        <v>88309</v>
      </c>
      <c r="B39" s="507" t="s">
        <v>10949</v>
      </c>
      <c r="C39" s="113" t="s">
        <v>10945</v>
      </c>
      <c r="D39" s="589">
        <v>0.14000000000000001</v>
      </c>
      <c r="E39" s="174">
        <v>20.43</v>
      </c>
      <c r="F39" s="174">
        <f>D39*E39</f>
        <v>2.8602000000000003</v>
      </c>
    </row>
    <row r="40" spans="1:6" x14ac:dyDescent="0.2">
      <c r="A40" s="65"/>
      <c r="B40" s="66"/>
      <c r="C40" s="67"/>
      <c r="D40" s="155"/>
      <c r="E40" s="99"/>
      <c r="F40" s="100"/>
    </row>
    <row r="41" spans="1:6" x14ac:dyDescent="0.2">
      <c r="A41" s="71"/>
      <c r="B41" s="62"/>
      <c r="C41" s="72"/>
      <c r="D41" s="73" t="s">
        <v>31</v>
      </c>
      <c r="E41" s="74"/>
      <c r="F41" s="75">
        <f>F38+F39+F40</f>
        <v>18.106200000000001</v>
      </c>
    </row>
    <row r="42" spans="1:6" x14ac:dyDescent="0.2">
      <c r="A42" s="71"/>
      <c r="B42" s="62"/>
      <c r="C42" s="72"/>
      <c r="D42" s="76" t="s">
        <v>32</v>
      </c>
      <c r="E42" s="77"/>
      <c r="F42" s="78">
        <f>F41*E42</f>
        <v>0</v>
      </c>
    </row>
    <row r="43" spans="1:6" x14ac:dyDescent="0.2">
      <c r="A43" s="71"/>
      <c r="B43" s="62"/>
      <c r="C43" s="72"/>
      <c r="D43" s="73" t="s">
        <v>33</v>
      </c>
      <c r="E43" s="74"/>
      <c r="F43" s="78">
        <f>SUM(F41:F42)</f>
        <v>18.106200000000001</v>
      </c>
    </row>
    <row r="44" spans="1:6" x14ac:dyDescent="0.2">
      <c r="A44" s="79"/>
      <c r="B44" s="76"/>
      <c r="C44" s="73"/>
      <c r="D44" s="80" t="s">
        <v>34</v>
      </c>
      <c r="E44" s="81"/>
      <c r="F44" s="82">
        <f>F43</f>
        <v>18.106200000000001</v>
      </c>
    </row>
    <row r="45" spans="1:6" x14ac:dyDescent="0.2">
      <c r="A45" s="79"/>
      <c r="B45" s="76"/>
      <c r="C45" s="73"/>
      <c r="D45" s="83"/>
      <c r="E45" s="84"/>
      <c r="F45" s="85"/>
    </row>
    <row r="46" spans="1:6" x14ac:dyDescent="0.2">
      <c r="A46" s="746" t="s">
        <v>35</v>
      </c>
      <c r="B46" s="747"/>
      <c r="C46" s="747"/>
      <c r="D46" s="747"/>
      <c r="E46" s="747"/>
      <c r="F46" s="748"/>
    </row>
    <row r="47" spans="1:6" x14ac:dyDescent="0.2">
      <c r="A47" s="64" t="s">
        <v>8</v>
      </c>
      <c r="B47" s="64" t="s">
        <v>26</v>
      </c>
      <c r="C47" s="64" t="s">
        <v>27</v>
      </c>
      <c r="D47" s="64" t="s">
        <v>28</v>
      </c>
      <c r="E47" s="64" t="s">
        <v>29</v>
      </c>
      <c r="F47" s="64" t="s">
        <v>30</v>
      </c>
    </row>
    <row r="48" spans="1:6" x14ac:dyDescent="0.2">
      <c r="A48" s="65"/>
      <c r="B48" s="66"/>
      <c r="C48" s="88"/>
      <c r="D48" s="89"/>
      <c r="E48" s="173"/>
      <c r="F48" s="174"/>
    </row>
    <row r="49" spans="1:6" x14ac:dyDescent="0.2">
      <c r="A49" s="65"/>
      <c r="B49" s="66"/>
      <c r="C49" s="88"/>
      <c r="D49" s="89"/>
      <c r="E49" s="173"/>
      <c r="F49" s="174"/>
    </row>
    <row r="50" spans="1:6" x14ac:dyDescent="0.2">
      <c r="A50" s="65"/>
      <c r="B50" s="66"/>
      <c r="C50" s="97"/>
      <c r="D50" s="98"/>
      <c r="E50" s="173"/>
      <c r="F50" s="174"/>
    </row>
    <row r="51" spans="1:6" x14ac:dyDescent="0.2">
      <c r="A51" s="79"/>
      <c r="B51" s="76"/>
      <c r="C51" s="73"/>
      <c r="D51" s="80" t="s">
        <v>36</v>
      </c>
      <c r="E51" s="81"/>
      <c r="F51" s="101">
        <f>SUM(F48:F50)</f>
        <v>0</v>
      </c>
    </row>
    <row r="52" spans="1:6" x14ac:dyDescent="0.2">
      <c r="A52" s="79"/>
      <c r="B52" s="76"/>
      <c r="C52" s="73"/>
      <c r="D52" s="83"/>
      <c r="E52" s="84"/>
      <c r="F52" s="85"/>
    </row>
    <row r="53" spans="1:6" x14ac:dyDescent="0.2">
      <c r="A53" s="746" t="s">
        <v>37</v>
      </c>
      <c r="B53" s="747"/>
      <c r="C53" s="747"/>
      <c r="D53" s="747"/>
      <c r="E53" s="747"/>
      <c r="F53" s="748"/>
    </row>
    <row r="54" spans="1:6" x14ac:dyDescent="0.2">
      <c r="A54" s="64" t="s">
        <v>8</v>
      </c>
      <c r="B54" s="64" t="s">
        <v>26</v>
      </c>
      <c r="C54" s="64" t="s">
        <v>27</v>
      </c>
      <c r="D54" s="64" t="s">
        <v>28</v>
      </c>
      <c r="E54" s="64" t="s">
        <v>29</v>
      </c>
      <c r="F54" s="64" t="s">
        <v>30</v>
      </c>
    </row>
    <row r="55" spans="1:6" x14ac:dyDescent="0.2">
      <c r="A55" s="65"/>
      <c r="B55" s="66"/>
      <c r="C55" s="88"/>
      <c r="D55" s="89"/>
      <c r="E55" s="173"/>
      <c r="F55" s="174"/>
    </row>
    <row r="56" spans="1:6" x14ac:dyDescent="0.2">
      <c r="A56" s="92"/>
      <c r="B56" s="87"/>
      <c r="C56" s="88"/>
      <c r="D56" s="103"/>
      <c r="E56" s="94"/>
      <c r="F56" s="100"/>
    </row>
    <row r="57" spans="1:6" x14ac:dyDescent="0.2">
      <c r="A57" s="95"/>
      <c r="B57" s="96"/>
      <c r="C57" s="97"/>
      <c r="D57" s="98"/>
      <c r="E57" s="99"/>
      <c r="F57" s="104"/>
    </row>
    <row r="58" spans="1:6" x14ac:dyDescent="0.2">
      <c r="A58" s="79"/>
      <c r="B58" s="76"/>
      <c r="C58" s="73"/>
      <c r="D58" s="80" t="s">
        <v>38</v>
      </c>
      <c r="E58" s="81"/>
      <c r="F58" s="101">
        <f>ROUND(SUM(F55:F55),2)</f>
        <v>0</v>
      </c>
    </row>
    <row r="59" spans="1:6" x14ac:dyDescent="0.2">
      <c r="A59" s="79"/>
      <c r="B59" s="76"/>
      <c r="C59" s="73"/>
      <c r="D59" s="83"/>
      <c r="E59" s="84"/>
      <c r="F59" s="85"/>
    </row>
    <row r="60" spans="1:6" x14ac:dyDescent="0.2">
      <c r="A60" s="749" t="s">
        <v>39</v>
      </c>
      <c r="B60" s="750"/>
      <c r="C60" s="750"/>
      <c r="D60" s="750"/>
      <c r="E60" s="751"/>
      <c r="F60" s="105">
        <f>ROUND(F44+F51+F58,2)</f>
        <v>18.11</v>
      </c>
    </row>
    <row r="61" spans="1:6" ht="15.75" x14ac:dyDescent="0.2">
      <c r="A61" s="587" t="s">
        <v>8</v>
      </c>
      <c r="B61" s="743" t="s">
        <v>23</v>
      </c>
      <c r="C61" s="743"/>
      <c r="D61" s="743"/>
      <c r="E61" s="743"/>
      <c r="F61" s="588" t="s">
        <v>24</v>
      </c>
    </row>
    <row r="62" spans="1:6" ht="15" x14ac:dyDescent="0.2">
      <c r="A62" s="63" t="s">
        <v>10883</v>
      </c>
      <c r="B62" s="744" t="str">
        <f>PO!D33</f>
        <v>Remoção de peitoril em concreto</v>
      </c>
      <c r="C62" s="744"/>
      <c r="D62" s="744"/>
      <c r="E62" s="744"/>
      <c r="F62" s="107" t="s">
        <v>47</v>
      </c>
    </row>
    <row r="63" spans="1:6" x14ac:dyDescent="0.2">
      <c r="A63" s="745" t="s">
        <v>25</v>
      </c>
      <c r="B63" s="745"/>
      <c r="C63" s="745"/>
      <c r="D63" s="745"/>
      <c r="E63" s="745"/>
      <c r="F63" s="745"/>
    </row>
    <row r="64" spans="1:6" x14ac:dyDescent="0.2">
      <c r="A64" s="64" t="s">
        <v>8</v>
      </c>
      <c r="B64" s="64" t="s">
        <v>26</v>
      </c>
      <c r="C64" s="64" t="s">
        <v>27</v>
      </c>
      <c r="D64" s="64" t="s">
        <v>28</v>
      </c>
      <c r="E64" s="64" t="s">
        <v>29</v>
      </c>
      <c r="F64" s="64" t="s">
        <v>30</v>
      </c>
    </row>
    <row r="65" spans="1:6" x14ac:dyDescent="0.2">
      <c r="A65" s="65">
        <v>88316</v>
      </c>
      <c r="B65" s="216" t="s">
        <v>10944</v>
      </c>
      <c r="C65" s="67" t="s">
        <v>10945</v>
      </c>
      <c r="D65" s="155">
        <v>0.2</v>
      </c>
      <c r="E65" s="174">
        <v>16.940000000000001</v>
      </c>
      <c r="F65" s="174">
        <f>ROUND(D65*E65,2)</f>
        <v>3.39</v>
      </c>
    </row>
    <row r="66" spans="1:6" x14ac:dyDescent="0.2">
      <c r="A66" s="65"/>
      <c r="B66" s="66"/>
      <c r="C66" s="67"/>
      <c r="D66" s="70"/>
      <c r="E66" s="68"/>
      <c r="F66" s="69"/>
    </row>
    <row r="67" spans="1:6" x14ac:dyDescent="0.2">
      <c r="A67" s="65"/>
      <c r="B67" s="66"/>
      <c r="C67" s="67"/>
      <c r="D67" s="70"/>
      <c r="E67" s="68"/>
      <c r="F67" s="69"/>
    </row>
    <row r="68" spans="1:6" x14ac:dyDescent="0.2">
      <c r="A68" s="71"/>
      <c r="B68" s="62"/>
      <c r="C68" s="72"/>
      <c r="D68" s="73" t="s">
        <v>31</v>
      </c>
      <c r="E68" s="74"/>
      <c r="F68" s="75">
        <f>F65+F66+F67</f>
        <v>3.39</v>
      </c>
    </row>
    <row r="69" spans="1:6" x14ac:dyDescent="0.2">
      <c r="A69" s="71"/>
      <c r="B69" s="62"/>
      <c r="C69" s="72"/>
      <c r="D69" s="76" t="s">
        <v>32</v>
      </c>
      <c r="E69" s="77"/>
      <c r="F69" s="78">
        <f>F68*E69</f>
        <v>0</v>
      </c>
    </row>
    <row r="70" spans="1:6" x14ac:dyDescent="0.2">
      <c r="A70" s="71"/>
      <c r="B70" s="62"/>
      <c r="C70" s="72"/>
      <c r="D70" s="73" t="s">
        <v>33</v>
      </c>
      <c r="E70" s="74"/>
      <c r="F70" s="78">
        <f>SUM(F68:F69)</f>
        <v>3.39</v>
      </c>
    </row>
    <row r="71" spans="1:6" x14ac:dyDescent="0.2">
      <c r="A71" s="79"/>
      <c r="B71" s="76"/>
      <c r="C71" s="73"/>
      <c r="D71" s="80" t="s">
        <v>34</v>
      </c>
      <c r="E71" s="81"/>
      <c r="F71" s="82">
        <f>F70</f>
        <v>3.39</v>
      </c>
    </row>
    <row r="72" spans="1:6" x14ac:dyDescent="0.2">
      <c r="A72" s="79"/>
      <c r="B72" s="76"/>
      <c r="C72" s="73"/>
      <c r="D72" s="83"/>
      <c r="E72" s="84"/>
      <c r="F72" s="85"/>
    </row>
    <row r="73" spans="1:6" x14ac:dyDescent="0.2">
      <c r="A73" s="746" t="s">
        <v>35</v>
      </c>
      <c r="B73" s="747"/>
      <c r="C73" s="747"/>
      <c r="D73" s="747"/>
      <c r="E73" s="747"/>
      <c r="F73" s="748"/>
    </row>
    <row r="74" spans="1:6" x14ac:dyDescent="0.2">
      <c r="A74" s="64" t="s">
        <v>8</v>
      </c>
      <c r="B74" s="64" t="s">
        <v>26</v>
      </c>
      <c r="C74" s="64" t="s">
        <v>27</v>
      </c>
      <c r="D74" s="64" t="s">
        <v>28</v>
      </c>
      <c r="E74" s="64" t="s">
        <v>29</v>
      </c>
      <c r="F74" s="64" t="s">
        <v>30</v>
      </c>
    </row>
    <row r="75" spans="1:6" x14ac:dyDescent="0.2">
      <c r="A75" s="65"/>
      <c r="B75" s="87"/>
      <c r="C75" s="88"/>
      <c r="D75" s="89"/>
      <c r="E75" s="173"/>
      <c r="F75" s="174">
        <f>D75*E75</f>
        <v>0</v>
      </c>
    </row>
    <row r="76" spans="1:6" x14ac:dyDescent="0.2">
      <c r="A76" s="65"/>
      <c r="B76" s="87"/>
      <c r="C76" s="88"/>
      <c r="D76" s="89"/>
      <c r="E76" s="173"/>
      <c r="F76" s="174">
        <f>D76*E76</f>
        <v>0</v>
      </c>
    </row>
    <row r="77" spans="1:6" x14ac:dyDescent="0.2">
      <c r="A77" s="95"/>
      <c r="B77" s="96"/>
      <c r="C77" s="97"/>
      <c r="D77" s="98"/>
      <c r="E77" s="99"/>
      <c r="F77" s="100"/>
    </row>
    <row r="78" spans="1:6" x14ac:dyDescent="0.2">
      <c r="A78" s="79"/>
      <c r="B78" s="76"/>
      <c r="C78" s="73"/>
      <c r="D78" s="80" t="s">
        <v>36</v>
      </c>
      <c r="E78" s="81"/>
      <c r="F78" s="101">
        <f>SUM(F75:F77)</f>
        <v>0</v>
      </c>
    </row>
    <row r="79" spans="1:6" x14ac:dyDescent="0.2">
      <c r="A79" s="79"/>
      <c r="B79" s="76"/>
      <c r="C79" s="73"/>
      <c r="D79" s="83"/>
      <c r="E79" s="84"/>
      <c r="F79" s="85"/>
    </row>
    <row r="80" spans="1:6" x14ac:dyDescent="0.2">
      <c r="A80" s="746" t="s">
        <v>37</v>
      </c>
      <c r="B80" s="747"/>
      <c r="C80" s="747"/>
      <c r="D80" s="747"/>
      <c r="E80" s="747"/>
      <c r="F80" s="748"/>
    </row>
    <row r="81" spans="1:6" x14ac:dyDescent="0.2">
      <c r="A81" s="64" t="s">
        <v>8</v>
      </c>
      <c r="B81" s="64" t="s">
        <v>26</v>
      </c>
      <c r="C81" s="64" t="s">
        <v>27</v>
      </c>
      <c r="D81" s="64" t="s">
        <v>28</v>
      </c>
      <c r="E81" s="64" t="s">
        <v>29</v>
      </c>
      <c r="F81" s="64" t="s">
        <v>30</v>
      </c>
    </row>
    <row r="82" spans="1:6" x14ac:dyDescent="0.2">
      <c r="A82" s="86"/>
      <c r="B82" s="102"/>
      <c r="C82" s="88"/>
      <c r="D82" s="89"/>
      <c r="E82" s="90"/>
      <c r="F82" s="91"/>
    </row>
    <row r="83" spans="1:6" x14ac:dyDescent="0.2">
      <c r="A83" s="92"/>
      <c r="B83" s="87"/>
      <c r="C83" s="88"/>
      <c r="D83" s="103"/>
      <c r="E83" s="94"/>
      <c r="F83" s="100"/>
    </row>
    <row r="84" spans="1:6" x14ac:dyDescent="0.2">
      <c r="A84" s="95"/>
      <c r="B84" s="96"/>
      <c r="C84" s="97"/>
      <c r="D84" s="98"/>
      <c r="E84" s="99"/>
      <c r="F84" s="104"/>
    </row>
    <row r="85" spans="1:6" x14ac:dyDescent="0.2">
      <c r="A85" s="79"/>
      <c r="B85" s="76"/>
      <c r="C85" s="73"/>
      <c r="D85" s="80" t="s">
        <v>38</v>
      </c>
      <c r="E85" s="81"/>
      <c r="F85" s="101">
        <f>ROUND(SUM(F82:F82),2)</f>
        <v>0</v>
      </c>
    </row>
    <row r="86" spans="1:6" x14ac:dyDescent="0.2">
      <c r="A86" s="79"/>
      <c r="B86" s="76"/>
      <c r="C86" s="73"/>
      <c r="D86" s="83"/>
      <c r="E86" s="84"/>
      <c r="F86" s="85"/>
    </row>
    <row r="87" spans="1:6" x14ac:dyDescent="0.2">
      <c r="A87" s="749" t="s">
        <v>39</v>
      </c>
      <c r="B87" s="750"/>
      <c r="C87" s="750"/>
      <c r="D87" s="750"/>
      <c r="E87" s="751"/>
      <c r="F87" s="105">
        <f>ROUND(F71+F78+F85,2)</f>
        <v>3.39</v>
      </c>
    </row>
    <row r="88" spans="1:6" ht="15.75" x14ac:dyDescent="0.2">
      <c r="A88" s="587" t="s">
        <v>8</v>
      </c>
      <c r="B88" s="743" t="s">
        <v>23</v>
      </c>
      <c r="C88" s="743"/>
      <c r="D88" s="743"/>
      <c r="E88" s="743"/>
      <c r="F88" s="588" t="s">
        <v>24</v>
      </c>
    </row>
    <row r="89" spans="1:6" ht="15" x14ac:dyDescent="0.2">
      <c r="A89" s="63" t="s">
        <v>12247</v>
      </c>
      <c r="B89" s="744" t="str">
        <f>PO!D35</f>
        <v>Demolição de estrutura de madeira</v>
      </c>
      <c r="C89" s="744"/>
      <c r="D89" s="744"/>
      <c r="E89" s="744"/>
      <c r="F89" s="107" t="s">
        <v>164</v>
      </c>
    </row>
    <row r="90" spans="1:6" x14ac:dyDescent="0.2">
      <c r="A90" s="745" t="s">
        <v>25</v>
      </c>
      <c r="B90" s="745"/>
      <c r="C90" s="745"/>
      <c r="D90" s="745"/>
      <c r="E90" s="745"/>
      <c r="F90" s="745"/>
    </row>
    <row r="91" spans="1:6" x14ac:dyDescent="0.2">
      <c r="A91" s="64" t="s">
        <v>8</v>
      </c>
      <c r="B91" s="64" t="s">
        <v>26</v>
      </c>
      <c r="C91" s="64" t="s">
        <v>27</v>
      </c>
      <c r="D91" s="64" t="s">
        <v>28</v>
      </c>
      <c r="E91" s="64" t="s">
        <v>29</v>
      </c>
      <c r="F91" s="64" t="s">
        <v>30</v>
      </c>
    </row>
    <row r="92" spans="1:6" x14ac:dyDescent="0.2">
      <c r="A92" s="65">
        <v>88239</v>
      </c>
      <c r="B92" s="216" t="s">
        <v>10959</v>
      </c>
      <c r="C92" s="67" t="s">
        <v>10945</v>
      </c>
      <c r="D92" s="155">
        <v>0.3</v>
      </c>
      <c r="E92" s="174">
        <v>16.72</v>
      </c>
      <c r="F92" s="174">
        <f>ROUND(D92*E92,2)</f>
        <v>5.0199999999999996</v>
      </c>
    </row>
    <row r="93" spans="1:6" x14ac:dyDescent="0.2">
      <c r="A93" s="65">
        <v>88261</v>
      </c>
      <c r="B93" s="66" t="s">
        <v>10958</v>
      </c>
      <c r="C93" s="67" t="s">
        <v>10945</v>
      </c>
      <c r="D93" s="155">
        <v>0.84989999999999999</v>
      </c>
      <c r="E93" s="174">
        <v>19.93</v>
      </c>
      <c r="F93" s="174">
        <f>ROUND(D93*E93,2)</f>
        <v>16.940000000000001</v>
      </c>
    </row>
    <row r="94" spans="1:6" x14ac:dyDescent="0.2">
      <c r="A94" s="65"/>
      <c r="B94" s="66"/>
      <c r="C94" s="67"/>
      <c r="D94" s="70"/>
      <c r="E94" s="68"/>
      <c r="F94" s="69"/>
    </row>
    <row r="95" spans="1:6" x14ac:dyDescent="0.2">
      <c r="A95" s="71"/>
      <c r="B95" s="62"/>
      <c r="C95" s="72"/>
      <c r="D95" s="73" t="s">
        <v>31</v>
      </c>
      <c r="E95" s="74"/>
      <c r="F95" s="75">
        <f>F92+F93+F94</f>
        <v>21.96</v>
      </c>
    </row>
    <row r="96" spans="1:6" x14ac:dyDescent="0.2">
      <c r="A96" s="71"/>
      <c r="B96" s="62"/>
      <c r="C96" s="72"/>
      <c r="D96" s="76" t="s">
        <v>32</v>
      </c>
      <c r="E96" s="77"/>
      <c r="F96" s="78">
        <f>F95*E96</f>
        <v>0</v>
      </c>
    </row>
    <row r="97" spans="1:6" x14ac:dyDescent="0.2">
      <c r="A97" s="71"/>
      <c r="B97" s="62"/>
      <c r="C97" s="72"/>
      <c r="D97" s="73" t="s">
        <v>33</v>
      </c>
      <c r="E97" s="74"/>
      <c r="F97" s="78">
        <f>SUM(F95:F96)</f>
        <v>21.96</v>
      </c>
    </row>
    <row r="98" spans="1:6" x14ac:dyDescent="0.2">
      <c r="A98" s="79"/>
      <c r="B98" s="76"/>
      <c r="C98" s="73"/>
      <c r="D98" s="80" t="s">
        <v>34</v>
      </c>
      <c r="E98" s="81"/>
      <c r="F98" s="82">
        <f>F97</f>
        <v>21.96</v>
      </c>
    </row>
    <row r="99" spans="1:6" x14ac:dyDescent="0.2">
      <c r="A99" s="79"/>
      <c r="B99" s="76"/>
      <c r="C99" s="73"/>
      <c r="D99" s="83"/>
      <c r="E99" s="84"/>
      <c r="F99" s="85"/>
    </row>
    <row r="100" spans="1:6" x14ac:dyDescent="0.2">
      <c r="A100" s="746" t="s">
        <v>35</v>
      </c>
      <c r="B100" s="747"/>
      <c r="C100" s="747"/>
      <c r="D100" s="747"/>
      <c r="E100" s="747"/>
      <c r="F100" s="748"/>
    </row>
    <row r="101" spans="1:6" x14ac:dyDescent="0.2">
      <c r="A101" s="64" t="s">
        <v>8</v>
      </c>
      <c r="B101" s="64" t="s">
        <v>26</v>
      </c>
      <c r="C101" s="64" t="s">
        <v>27</v>
      </c>
      <c r="D101" s="64" t="s">
        <v>28</v>
      </c>
      <c r="E101" s="64" t="s">
        <v>29</v>
      </c>
      <c r="F101" s="64" t="s">
        <v>30</v>
      </c>
    </row>
    <row r="102" spans="1:6" x14ac:dyDescent="0.2">
      <c r="A102" s="65"/>
      <c r="B102" s="87"/>
      <c r="C102" s="88"/>
      <c r="D102" s="89"/>
      <c r="E102" s="173"/>
      <c r="F102" s="174">
        <f>D102*E102</f>
        <v>0</v>
      </c>
    </row>
    <row r="103" spans="1:6" x14ac:dyDescent="0.2">
      <c r="A103" s="65"/>
      <c r="B103" s="87"/>
      <c r="C103" s="88"/>
      <c r="D103" s="89"/>
      <c r="E103" s="173"/>
      <c r="F103" s="174">
        <f>D103*E103</f>
        <v>0</v>
      </c>
    </row>
    <row r="104" spans="1:6" x14ac:dyDescent="0.2">
      <c r="A104" s="95"/>
      <c r="B104" s="96"/>
      <c r="C104" s="97"/>
      <c r="D104" s="98"/>
      <c r="E104" s="99"/>
      <c r="F104" s="100"/>
    </row>
    <row r="105" spans="1:6" x14ac:dyDescent="0.2">
      <c r="A105" s="79"/>
      <c r="B105" s="76"/>
      <c r="C105" s="73"/>
      <c r="D105" s="80" t="s">
        <v>36</v>
      </c>
      <c r="E105" s="81"/>
      <c r="F105" s="101">
        <f>SUM(F102:F104)</f>
        <v>0</v>
      </c>
    </row>
    <row r="106" spans="1:6" x14ac:dyDescent="0.2">
      <c r="A106" s="79"/>
      <c r="B106" s="76"/>
      <c r="C106" s="73"/>
      <c r="D106" s="83"/>
      <c r="E106" s="84"/>
      <c r="F106" s="85"/>
    </row>
    <row r="107" spans="1:6" x14ac:dyDescent="0.2">
      <c r="A107" s="746" t="s">
        <v>37</v>
      </c>
      <c r="B107" s="747"/>
      <c r="C107" s="747"/>
      <c r="D107" s="747"/>
      <c r="E107" s="747"/>
      <c r="F107" s="748"/>
    </row>
    <row r="108" spans="1:6" x14ac:dyDescent="0.2">
      <c r="A108" s="64" t="s">
        <v>8</v>
      </c>
      <c r="B108" s="64" t="s">
        <v>26</v>
      </c>
      <c r="C108" s="64" t="s">
        <v>27</v>
      </c>
      <c r="D108" s="64" t="s">
        <v>28</v>
      </c>
      <c r="E108" s="64" t="s">
        <v>29</v>
      </c>
      <c r="F108" s="64" t="s">
        <v>30</v>
      </c>
    </row>
    <row r="109" spans="1:6" x14ac:dyDescent="0.2">
      <c r="A109" s="86"/>
      <c r="B109" s="102"/>
      <c r="C109" s="88"/>
      <c r="D109" s="89"/>
      <c r="E109" s="90"/>
      <c r="F109" s="91"/>
    </row>
    <row r="110" spans="1:6" x14ac:dyDescent="0.2">
      <c r="A110" s="92"/>
      <c r="B110" s="87"/>
      <c r="C110" s="88"/>
      <c r="D110" s="103"/>
      <c r="E110" s="94"/>
      <c r="F110" s="100"/>
    </row>
    <row r="111" spans="1:6" x14ac:dyDescent="0.2">
      <c r="A111" s="95"/>
      <c r="B111" s="96"/>
      <c r="C111" s="97"/>
      <c r="D111" s="98"/>
      <c r="E111" s="99"/>
      <c r="F111" s="104"/>
    </row>
    <row r="112" spans="1:6" x14ac:dyDescent="0.2">
      <c r="A112" s="79"/>
      <c r="B112" s="76"/>
      <c r="C112" s="73"/>
      <c r="D112" s="80" t="s">
        <v>38</v>
      </c>
      <c r="E112" s="81"/>
      <c r="F112" s="101">
        <f>ROUND(SUM(F109:F109),2)</f>
        <v>0</v>
      </c>
    </row>
    <row r="113" spans="1:6" x14ac:dyDescent="0.2">
      <c r="A113" s="79"/>
      <c r="B113" s="76"/>
      <c r="C113" s="73"/>
      <c r="D113" s="83"/>
      <c r="E113" s="84"/>
      <c r="F113" s="85"/>
    </row>
    <row r="114" spans="1:6" x14ac:dyDescent="0.2">
      <c r="A114" s="749" t="s">
        <v>39</v>
      </c>
      <c r="B114" s="750"/>
      <c r="C114" s="750"/>
      <c r="D114" s="750"/>
      <c r="E114" s="751"/>
      <c r="F114" s="105">
        <f>ROUND(F98+F105+F112,2)</f>
        <v>21.96</v>
      </c>
    </row>
    <row r="115" spans="1:6" ht="15.75" x14ac:dyDescent="0.2">
      <c r="A115" s="587" t="s">
        <v>8</v>
      </c>
      <c r="B115" s="743" t="s">
        <v>23</v>
      </c>
      <c r="C115" s="743"/>
      <c r="D115" s="743"/>
      <c r="E115" s="743"/>
      <c r="F115" s="588" t="s">
        <v>24</v>
      </c>
    </row>
    <row r="116" spans="1:6" ht="15" x14ac:dyDescent="0.2">
      <c r="A116" s="63" t="s">
        <v>10881</v>
      </c>
      <c r="B116" s="744" t="str">
        <f>PO!D37</f>
        <v>Retirada de torneiras</v>
      </c>
      <c r="C116" s="744"/>
      <c r="D116" s="744"/>
      <c r="E116" s="744"/>
      <c r="F116" s="107" t="s">
        <v>10884</v>
      </c>
    </row>
    <row r="117" spans="1:6" x14ac:dyDescent="0.2">
      <c r="A117" s="745" t="s">
        <v>25</v>
      </c>
      <c r="B117" s="745"/>
      <c r="C117" s="745"/>
      <c r="D117" s="745"/>
      <c r="E117" s="745"/>
      <c r="F117" s="745"/>
    </row>
    <row r="118" spans="1:6" x14ac:dyDescent="0.2">
      <c r="A118" s="64" t="s">
        <v>8</v>
      </c>
      <c r="B118" s="64" t="s">
        <v>26</v>
      </c>
      <c r="C118" s="64" t="s">
        <v>27</v>
      </c>
      <c r="D118" s="64" t="s">
        <v>28</v>
      </c>
      <c r="E118" s="64" t="s">
        <v>29</v>
      </c>
      <c r="F118" s="64" t="s">
        <v>30</v>
      </c>
    </row>
    <row r="119" spans="1:6" x14ac:dyDescent="0.2">
      <c r="A119" s="65">
        <v>88267</v>
      </c>
      <c r="B119" s="87" t="s">
        <v>11812</v>
      </c>
      <c r="C119" s="67" t="s">
        <v>10945</v>
      </c>
      <c r="D119" s="155">
        <v>0.26</v>
      </c>
      <c r="E119" s="174">
        <v>19.64</v>
      </c>
      <c r="F119" s="174">
        <f>ROUND(D119*E119,2)</f>
        <v>5.1100000000000003</v>
      </c>
    </row>
    <row r="120" spans="1:6" x14ac:dyDescent="0.2">
      <c r="A120" s="65"/>
      <c r="B120" s="66"/>
      <c r="C120" s="67"/>
      <c r="D120" s="155"/>
      <c r="E120" s="174"/>
      <c r="F120" s="174"/>
    </row>
    <row r="121" spans="1:6" x14ac:dyDescent="0.2">
      <c r="A121" s="65"/>
      <c r="B121" s="66"/>
      <c r="C121" s="67"/>
      <c r="D121" s="155"/>
      <c r="E121" s="174"/>
      <c r="F121" s="174"/>
    </row>
    <row r="122" spans="1:6" x14ac:dyDescent="0.2">
      <c r="A122" s="71"/>
      <c r="B122" s="62"/>
      <c r="C122" s="72"/>
      <c r="D122" s="73" t="s">
        <v>31</v>
      </c>
      <c r="E122" s="74"/>
      <c r="F122" s="75">
        <f>F119+F120+F121</f>
        <v>5.1100000000000003</v>
      </c>
    </row>
    <row r="123" spans="1:6" x14ac:dyDescent="0.2">
      <c r="A123" s="71"/>
      <c r="B123" s="62"/>
      <c r="C123" s="72"/>
      <c r="D123" s="76" t="s">
        <v>32</v>
      </c>
      <c r="E123" s="77"/>
      <c r="F123" s="78">
        <f>F122*E123</f>
        <v>0</v>
      </c>
    </row>
    <row r="124" spans="1:6" x14ac:dyDescent="0.2">
      <c r="A124" s="71"/>
      <c r="B124" s="62"/>
      <c r="C124" s="72"/>
      <c r="D124" s="73" t="s">
        <v>33</v>
      </c>
      <c r="E124" s="74"/>
      <c r="F124" s="78">
        <f>SUM(F122:F123)</f>
        <v>5.1100000000000003</v>
      </c>
    </row>
    <row r="125" spans="1:6" x14ac:dyDescent="0.2">
      <c r="A125" s="79"/>
      <c r="B125" s="76"/>
      <c r="C125" s="73"/>
      <c r="D125" s="80" t="s">
        <v>34</v>
      </c>
      <c r="E125" s="81"/>
      <c r="F125" s="82">
        <f>F124</f>
        <v>5.1100000000000003</v>
      </c>
    </row>
    <row r="126" spans="1:6" x14ac:dyDescent="0.2">
      <c r="A126" s="79"/>
      <c r="B126" s="76"/>
      <c r="C126" s="73"/>
      <c r="D126" s="83"/>
      <c r="E126" s="84"/>
      <c r="F126" s="85"/>
    </row>
    <row r="127" spans="1:6" x14ac:dyDescent="0.2">
      <c r="A127" s="746" t="s">
        <v>35</v>
      </c>
      <c r="B127" s="747"/>
      <c r="C127" s="747"/>
      <c r="D127" s="747"/>
      <c r="E127" s="747"/>
      <c r="F127" s="748"/>
    </row>
    <row r="128" spans="1:6" x14ac:dyDescent="0.2">
      <c r="A128" s="64" t="s">
        <v>8</v>
      </c>
      <c r="B128" s="64" t="s">
        <v>26</v>
      </c>
      <c r="C128" s="64" t="s">
        <v>27</v>
      </c>
      <c r="D128" s="64" t="s">
        <v>28</v>
      </c>
      <c r="E128" s="64" t="s">
        <v>29</v>
      </c>
      <c r="F128" s="64" t="s">
        <v>30</v>
      </c>
    </row>
    <row r="129" spans="1:6" x14ac:dyDescent="0.2">
      <c r="A129" s="65"/>
      <c r="B129" s="87"/>
      <c r="C129" s="88"/>
      <c r="D129" s="89"/>
      <c r="E129" s="173"/>
      <c r="F129" s="174">
        <f>D129*E129</f>
        <v>0</v>
      </c>
    </row>
    <row r="130" spans="1:6" x14ac:dyDescent="0.2">
      <c r="A130" s="65"/>
      <c r="B130" s="87"/>
      <c r="C130" s="88"/>
      <c r="D130" s="89"/>
      <c r="E130" s="173"/>
      <c r="F130" s="174">
        <f>D130*E130</f>
        <v>0</v>
      </c>
    </row>
    <row r="131" spans="1:6" x14ac:dyDescent="0.2">
      <c r="A131" s="95"/>
      <c r="B131" s="96"/>
      <c r="C131" s="97"/>
      <c r="D131" s="98"/>
      <c r="E131" s="99"/>
      <c r="F131" s="100"/>
    </row>
    <row r="132" spans="1:6" x14ac:dyDescent="0.2">
      <c r="A132" s="79"/>
      <c r="B132" s="76"/>
      <c r="C132" s="73"/>
      <c r="D132" s="80" t="s">
        <v>36</v>
      </c>
      <c r="E132" s="81"/>
      <c r="F132" s="101">
        <f>SUM(F129:F131)</f>
        <v>0</v>
      </c>
    </row>
    <row r="133" spans="1:6" x14ac:dyDescent="0.2">
      <c r="A133" s="79"/>
      <c r="B133" s="76"/>
      <c r="C133" s="73"/>
      <c r="D133" s="83"/>
      <c r="E133" s="84"/>
      <c r="F133" s="85"/>
    </row>
    <row r="134" spans="1:6" x14ac:dyDescent="0.2">
      <c r="A134" s="746" t="s">
        <v>37</v>
      </c>
      <c r="B134" s="747"/>
      <c r="C134" s="747"/>
      <c r="D134" s="747"/>
      <c r="E134" s="747"/>
      <c r="F134" s="748"/>
    </row>
    <row r="135" spans="1:6" x14ac:dyDescent="0.2">
      <c r="A135" s="64" t="s">
        <v>8</v>
      </c>
      <c r="B135" s="64" t="s">
        <v>26</v>
      </c>
      <c r="C135" s="64" t="s">
        <v>27</v>
      </c>
      <c r="D135" s="64" t="s">
        <v>28</v>
      </c>
      <c r="E135" s="64" t="s">
        <v>29</v>
      </c>
      <c r="F135" s="64" t="s">
        <v>30</v>
      </c>
    </row>
    <row r="136" spans="1:6" x14ac:dyDescent="0.2">
      <c r="A136" s="86"/>
      <c r="B136" s="102"/>
      <c r="C136" s="88"/>
      <c r="D136" s="89"/>
      <c r="E136" s="90"/>
      <c r="F136" s="91"/>
    </row>
    <row r="137" spans="1:6" x14ac:dyDescent="0.2">
      <c r="A137" s="92"/>
      <c r="B137" s="87"/>
      <c r="C137" s="88"/>
      <c r="D137" s="103"/>
      <c r="E137" s="94"/>
      <c r="F137" s="100"/>
    </row>
    <row r="138" spans="1:6" x14ac:dyDescent="0.2">
      <c r="A138" s="95"/>
      <c r="B138" s="96"/>
      <c r="C138" s="97"/>
      <c r="D138" s="98"/>
      <c r="E138" s="99"/>
      <c r="F138" s="104"/>
    </row>
    <row r="139" spans="1:6" x14ac:dyDescent="0.2">
      <c r="A139" s="79"/>
      <c r="B139" s="76"/>
      <c r="C139" s="73"/>
      <c r="D139" s="80" t="s">
        <v>38</v>
      </c>
      <c r="E139" s="81"/>
      <c r="F139" s="101">
        <f>ROUND(SUM(F136:F136),2)</f>
        <v>0</v>
      </c>
    </row>
    <row r="140" spans="1:6" x14ac:dyDescent="0.2">
      <c r="A140" s="79"/>
      <c r="B140" s="76"/>
      <c r="C140" s="73"/>
      <c r="D140" s="83"/>
      <c r="E140" s="84"/>
      <c r="F140" s="85"/>
    </row>
    <row r="141" spans="1:6" x14ac:dyDescent="0.2">
      <c r="A141" s="749" t="s">
        <v>39</v>
      </c>
      <c r="B141" s="750"/>
      <c r="C141" s="750"/>
      <c r="D141" s="750"/>
      <c r="E141" s="751"/>
      <c r="F141" s="105">
        <f>ROUND(F125+F132+F139,2)</f>
        <v>5.1100000000000003</v>
      </c>
    </row>
    <row r="142" spans="1:6" ht="15.75" x14ac:dyDescent="0.2">
      <c r="A142" s="587" t="s">
        <v>8</v>
      </c>
      <c r="B142" s="743" t="s">
        <v>23</v>
      </c>
      <c r="C142" s="743"/>
      <c r="D142" s="743"/>
      <c r="E142" s="743"/>
      <c r="F142" s="588" t="s">
        <v>24</v>
      </c>
    </row>
    <row r="143" spans="1:6" ht="15" x14ac:dyDescent="0.2">
      <c r="A143" s="63" t="s">
        <v>12248</v>
      </c>
      <c r="B143" s="744" t="str">
        <f>PO!D38</f>
        <v>Retirada de ventilador de teto metálico</v>
      </c>
      <c r="C143" s="744"/>
      <c r="D143" s="744"/>
      <c r="E143" s="744"/>
      <c r="F143" s="107" t="s">
        <v>10884</v>
      </c>
    </row>
    <row r="144" spans="1:6" x14ac:dyDescent="0.2">
      <c r="A144" s="745" t="s">
        <v>25</v>
      </c>
      <c r="B144" s="745"/>
      <c r="C144" s="745"/>
      <c r="D144" s="745"/>
      <c r="E144" s="745"/>
      <c r="F144" s="745"/>
    </row>
    <row r="145" spans="1:6" x14ac:dyDescent="0.2">
      <c r="A145" s="64" t="s">
        <v>8</v>
      </c>
      <c r="B145" s="64" t="s">
        <v>26</v>
      </c>
      <c r="C145" s="64" t="s">
        <v>27</v>
      </c>
      <c r="D145" s="64" t="s">
        <v>28</v>
      </c>
      <c r="E145" s="64" t="s">
        <v>29</v>
      </c>
      <c r="F145" s="64" t="s">
        <v>30</v>
      </c>
    </row>
    <row r="146" spans="1:6" x14ac:dyDescent="0.2">
      <c r="A146" s="65">
        <v>88264</v>
      </c>
      <c r="B146" s="216" t="s">
        <v>10976</v>
      </c>
      <c r="C146" s="67" t="s">
        <v>10945</v>
      </c>
      <c r="D146" s="155">
        <v>0.2</v>
      </c>
      <c r="E146" s="174">
        <v>21.08</v>
      </c>
      <c r="F146" s="174">
        <f>ROUND(D146*E146,2)</f>
        <v>4.22</v>
      </c>
    </row>
    <row r="147" spans="1:6" x14ac:dyDescent="0.2">
      <c r="A147" s="65">
        <v>88316</v>
      </c>
      <c r="B147" s="216" t="s">
        <v>10944</v>
      </c>
      <c r="C147" s="67" t="s">
        <v>10945</v>
      </c>
      <c r="D147" s="155">
        <v>0.2</v>
      </c>
      <c r="E147" s="174">
        <v>16.940000000000001</v>
      </c>
      <c r="F147" s="174">
        <f>ROUND(D147*E147,2)</f>
        <v>3.39</v>
      </c>
    </row>
    <row r="148" spans="1:6" x14ac:dyDescent="0.2">
      <c r="A148" s="65"/>
      <c r="B148" s="66"/>
      <c r="C148" s="67"/>
      <c r="D148" s="155"/>
      <c r="E148" s="174"/>
      <c r="F148" s="174"/>
    </row>
    <row r="149" spans="1:6" x14ac:dyDescent="0.2">
      <c r="A149" s="71"/>
      <c r="B149" s="62"/>
      <c r="C149" s="72"/>
      <c r="D149" s="73" t="s">
        <v>31</v>
      </c>
      <c r="E149" s="74"/>
      <c r="F149" s="75">
        <f>F146+F147+F148</f>
        <v>7.6099999999999994</v>
      </c>
    </row>
    <row r="150" spans="1:6" x14ac:dyDescent="0.2">
      <c r="A150" s="71"/>
      <c r="B150" s="62"/>
      <c r="C150" s="72"/>
      <c r="D150" s="76" t="s">
        <v>32</v>
      </c>
      <c r="E150" s="77"/>
      <c r="F150" s="78">
        <f>F149*E150</f>
        <v>0</v>
      </c>
    </row>
    <row r="151" spans="1:6" x14ac:dyDescent="0.2">
      <c r="A151" s="71"/>
      <c r="B151" s="62"/>
      <c r="C151" s="72"/>
      <c r="D151" s="73" t="s">
        <v>33</v>
      </c>
      <c r="E151" s="74"/>
      <c r="F151" s="78">
        <f>SUM(F149:F150)</f>
        <v>7.6099999999999994</v>
      </c>
    </row>
    <row r="152" spans="1:6" x14ac:dyDescent="0.2">
      <c r="A152" s="79"/>
      <c r="B152" s="76"/>
      <c r="C152" s="73"/>
      <c r="D152" s="80" t="s">
        <v>34</v>
      </c>
      <c r="E152" s="81"/>
      <c r="F152" s="82">
        <f>F151</f>
        <v>7.6099999999999994</v>
      </c>
    </row>
    <row r="153" spans="1:6" x14ac:dyDescent="0.2">
      <c r="A153" s="79"/>
      <c r="B153" s="76"/>
      <c r="C153" s="73"/>
      <c r="D153" s="83"/>
      <c r="E153" s="84"/>
      <c r="F153" s="85"/>
    </row>
    <row r="154" spans="1:6" x14ac:dyDescent="0.2">
      <c r="A154" s="746" t="s">
        <v>35</v>
      </c>
      <c r="B154" s="747"/>
      <c r="C154" s="747"/>
      <c r="D154" s="747"/>
      <c r="E154" s="747"/>
      <c r="F154" s="748"/>
    </row>
    <row r="155" spans="1:6" x14ac:dyDescent="0.2">
      <c r="A155" s="64" t="s">
        <v>8</v>
      </c>
      <c r="B155" s="64" t="s">
        <v>26</v>
      </c>
      <c r="C155" s="64" t="s">
        <v>27</v>
      </c>
      <c r="D155" s="64" t="s">
        <v>28</v>
      </c>
      <c r="E155" s="64" t="s">
        <v>29</v>
      </c>
      <c r="F155" s="64" t="s">
        <v>30</v>
      </c>
    </row>
    <row r="156" spans="1:6" x14ac:dyDescent="0.2">
      <c r="A156" s="65"/>
      <c r="B156" s="87"/>
      <c r="C156" s="88"/>
      <c r="D156" s="89"/>
      <c r="E156" s="173"/>
      <c r="F156" s="174">
        <f>D156*E156</f>
        <v>0</v>
      </c>
    </row>
    <row r="157" spans="1:6" x14ac:dyDescent="0.2">
      <c r="A157" s="65"/>
      <c r="B157" s="87"/>
      <c r="C157" s="88"/>
      <c r="D157" s="89"/>
      <c r="E157" s="173"/>
      <c r="F157" s="174">
        <f>D157*E157</f>
        <v>0</v>
      </c>
    </row>
    <row r="158" spans="1:6" x14ac:dyDescent="0.2">
      <c r="A158" s="95"/>
      <c r="B158" s="96"/>
      <c r="C158" s="97"/>
      <c r="D158" s="98"/>
      <c r="E158" s="99"/>
      <c r="F158" s="100"/>
    </row>
    <row r="159" spans="1:6" x14ac:dyDescent="0.2">
      <c r="A159" s="79"/>
      <c r="B159" s="76"/>
      <c r="C159" s="73"/>
      <c r="D159" s="80" t="s">
        <v>36</v>
      </c>
      <c r="E159" s="81"/>
      <c r="F159" s="101">
        <f>SUM(F156:F158)</f>
        <v>0</v>
      </c>
    </row>
    <row r="160" spans="1:6" x14ac:dyDescent="0.2">
      <c r="A160" s="79"/>
      <c r="B160" s="76"/>
      <c r="C160" s="73"/>
      <c r="D160" s="83"/>
      <c r="E160" s="84"/>
      <c r="F160" s="85"/>
    </row>
    <row r="161" spans="1:6" x14ac:dyDescent="0.2">
      <c r="A161" s="746" t="s">
        <v>37</v>
      </c>
      <c r="B161" s="747"/>
      <c r="C161" s="747"/>
      <c r="D161" s="747"/>
      <c r="E161" s="747"/>
      <c r="F161" s="748"/>
    </row>
    <row r="162" spans="1:6" x14ac:dyDescent="0.2">
      <c r="A162" s="64" t="s">
        <v>8</v>
      </c>
      <c r="B162" s="64" t="s">
        <v>26</v>
      </c>
      <c r="C162" s="64" t="s">
        <v>27</v>
      </c>
      <c r="D162" s="64" t="s">
        <v>28</v>
      </c>
      <c r="E162" s="64" t="s">
        <v>29</v>
      </c>
      <c r="F162" s="64" t="s">
        <v>30</v>
      </c>
    </row>
    <row r="163" spans="1:6" x14ac:dyDescent="0.2">
      <c r="A163" s="86"/>
      <c r="B163" s="102"/>
      <c r="C163" s="88"/>
      <c r="D163" s="89"/>
      <c r="E163" s="90"/>
      <c r="F163" s="91"/>
    </row>
    <row r="164" spans="1:6" x14ac:dyDescent="0.2">
      <c r="A164" s="92"/>
      <c r="B164" s="87"/>
      <c r="C164" s="88"/>
      <c r="D164" s="103"/>
      <c r="E164" s="94"/>
      <c r="F164" s="100"/>
    </row>
    <row r="165" spans="1:6" x14ac:dyDescent="0.2">
      <c r="A165" s="95"/>
      <c r="B165" s="96"/>
      <c r="C165" s="97"/>
      <c r="D165" s="98"/>
      <c r="E165" s="99"/>
      <c r="F165" s="104"/>
    </row>
    <row r="166" spans="1:6" x14ac:dyDescent="0.2">
      <c r="A166" s="79"/>
      <c r="B166" s="76"/>
      <c r="C166" s="73"/>
      <c r="D166" s="80" t="s">
        <v>38</v>
      </c>
      <c r="E166" s="81"/>
      <c r="F166" s="101">
        <f>ROUND(SUM(F163:F163),2)</f>
        <v>0</v>
      </c>
    </row>
    <row r="167" spans="1:6" x14ac:dyDescent="0.2">
      <c r="A167" s="79"/>
      <c r="B167" s="76"/>
      <c r="C167" s="73"/>
      <c r="D167" s="83"/>
      <c r="E167" s="84"/>
      <c r="F167" s="85"/>
    </row>
    <row r="168" spans="1:6" x14ac:dyDescent="0.2">
      <c r="A168" s="749" t="s">
        <v>39</v>
      </c>
      <c r="B168" s="750"/>
      <c r="C168" s="750"/>
      <c r="D168" s="750"/>
      <c r="E168" s="751"/>
      <c r="F168" s="105">
        <f>ROUND(F152+F159+F166,2)</f>
        <v>7.61</v>
      </c>
    </row>
    <row r="169" spans="1:6" ht="15.75" x14ac:dyDescent="0.2">
      <c r="A169" s="587" t="s">
        <v>8</v>
      </c>
      <c r="B169" s="743" t="s">
        <v>23</v>
      </c>
      <c r="C169" s="743"/>
      <c r="D169" s="743"/>
      <c r="E169" s="743"/>
      <c r="F169" s="588" t="s">
        <v>11771</v>
      </c>
    </row>
    <row r="170" spans="1:6" ht="15" customHeight="1" x14ac:dyDescent="0.2">
      <c r="A170" s="63" t="s">
        <v>10953</v>
      </c>
      <c r="B170" s="744" t="str">
        <f>PO!D41</f>
        <v>Destinação e transporte de resíduos em caminhão basculante.</v>
      </c>
      <c r="C170" s="744"/>
      <c r="D170" s="744"/>
      <c r="E170" s="744"/>
      <c r="F170" s="107" t="s">
        <v>41</v>
      </c>
    </row>
    <row r="171" spans="1:6" x14ac:dyDescent="0.2">
      <c r="A171" s="745" t="s">
        <v>25</v>
      </c>
      <c r="B171" s="745"/>
      <c r="C171" s="745"/>
      <c r="D171" s="745"/>
      <c r="E171" s="745"/>
      <c r="F171" s="745"/>
    </row>
    <row r="172" spans="1:6" x14ac:dyDescent="0.2">
      <c r="A172" s="64" t="s">
        <v>8</v>
      </c>
      <c r="B172" s="64" t="s">
        <v>26</v>
      </c>
      <c r="C172" s="64" t="s">
        <v>11771</v>
      </c>
      <c r="D172" s="64" t="s">
        <v>28</v>
      </c>
      <c r="E172" s="64" t="s">
        <v>29</v>
      </c>
      <c r="F172" s="64" t="s">
        <v>30</v>
      </c>
    </row>
    <row r="173" spans="1:6" x14ac:dyDescent="0.2">
      <c r="A173" s="65"/>
      <c r="B173" s="66"/>
      <c r="C173" s="67"/>
      <c r="D173" s="155"/>
      <c r="E173" s="287"/>
      <c r="F173" s="288"/>
    </row>
    <row r="174" spans="1:6" x14ac:dyDescent="0.2">
      <c r="A174" s="65"/>
      <c r="B174" s="66"/>
      <c r="C174" s="67"/>
      <c r="D174" s="70"/>
      <c r="E174" s="68"/>
      <c r="F174" s="69"/>
    </row>
    <row r="175" spans="1:6" x14ac:dyDescent="0.2">
      <c r="A175" s="65"/>
      <c r="B175" s="66"/>
      <c r="C175" s="67"/>
      <c r="D175" s="70"/>
      <c r="E175" s="68"/>
      <c r="F175" s="69"/>
    </row>
    <row r="176" spans="1:6" x14ac:dyDescent="0.2">
      <c r="A176" s="71"/>
      <c r="B176" s="62"/>
      <c r="C176" s="72"/>
      <c r="D176" s="73" t="s">
        <v>31</v>
      </c>
      <c r="E176" s="74"/>
      <c r="F176" s="75">
        <f>F173+F174+F175</f>
        <v>0</v>
      </c>
    </row>
    <row r="177" spans="1:6" x14ac:dyDescent="0.2">
      <c r="A177" s="71"/>
      <c r="B177" s="62"/>
      <c r="C177" s="72"/>
      <c r="D177" s="76" t="s">
        <v>32</v>
      </c>
      <c r="E177" s="77"/>
      <c r="F177" s="78">
        <f>F176*E177</f>
        <v>0</v>
      </c>
    </row>
    <row r="178" spans="1:6" x14ac:dyDescent="0.2">
      <c r="A178" s="71"/>
      <c r="B178" s="62"/>
      <c r="C178" s="72"/>
      <c r="D178" s="73" t="s">
        <v>33</v>
      </c>
      <c r="E178" s="74"/>
      <c r="F178" s="78">
        <f>SUM(F176:F177)</f>
        <v>0</v>
      </c>
    </row>
    <row r="179" spans="1:6" x14ac:dyDescent="0.2">
      <c r="A179" s="79"/>
      <c r="B179" s="76"/>
      <c r="C179" s="73"/>
      <c r="D179" s="80" t="s">
        <v>34</v>
      </c>
      <c r="E179" s="81"/>
      <c r="F179" s="82">
        <f>F178</f>
        <v>0</v>
      </c>
    </row>
    <row r="180" spans="1:6" x14ac:dyDescent="0.2">
      <c r="A180" s="79"/>
      <c r="B180" s="76"/>
      <c r="C180" s="73"/>
      <c r="D180" s="83"/>
      <c r="E180" s="84"/>
      <c r="F180" s="85"/>
    </row>
    <row r="181" spans="1:6" x14ac:dyDescent="0.2">
      <c r="A181" s="746" t="s">
        <v>35</v>
      </c>
      <c r="B181" s="747"/>
      <c r="C181" s="747"/>
      <c r="D181" s="747"/>
      <c r="E181" s="747"/>
      <c r="F181" s="748"/>
    </row>
    <row r="182" spans="1:6" x14ac:dyDescent="0.2">
      <c r="A182" s="64" t="s">
        <v>8</v>
      </c>
      <c r="B182" s="64" t="s">
        <v>26</v>
      </c>
      <c r="C182" s="64" t="s">
        <v>11771</v>
      </c>
      <c r="D182" s="64" t="s">
        <v>28</v>
      </c>
      <c r="E182" s="64" t="s">
        <v>29</v>
      </c>
      <c r="F182" s="64" t="s">
        <v>30</v>
      </c>
    </row>
    <row r="183" spans="1:6" ht="22.5" x14ac:dyDescent="0.2">
      <c r="A183" s="65">
        <v>97915</v>
      </c>
      <c r="B183" s="87" t="s">
        <v>11772</v>
      </c>
      <c r="C183" s="88" t="s">
        <v>11773</v>
      </c>
      <c r="D183" s="89">
        <v>1</v>
      </c>
      <c r="E183" s="174">
        <v>0.66</v>
      </c>
      <c r="F183" s="174">
        <f>D183*E183</f>
        <v>0.66</v>
      </c>
    </row>
    <row r="184" spans="1:6" x14ac:dyDescent="0.2">
      <c r="A184" s="65">
        <v>72897</v>
      </c>
      <c r="B184" s="87" t="s">
        <v>11774</v>
      </c>
      <c r="C184" s="88" t="s">
        <v>41</v>
      </c>
      <c r="D184" s="89">
        <v>1</v>
      </c>
      <c r="E184" s="174">
        <v>20.43</v>
      </c>
      <c r="F184" s="174">
        <f>D184*E184</f>
        <v>20.43</v>
      </c>
    </row>
    <row r="185" spans="1:6" x14ac:dyDescent="0.2">
      <c r="A185" s="95"/>
      <c r="B185" s="96"/>
      <c r="C185" s="97"/>
      <c r="D185" s="98"/>
      <c r="E185" s="99"/>
      <c r="F185" s="100"/>
    </row>
    <row r="186" spans="1:6" x14ac:dyDescent="0.2">
      <c r="A186" s="79"/>
      <c r="B186" s="76"/>
      <c r="C186" s="73"/>
      <c r="D186" s="80" t="s">
        <v>36</v>
      </c>
      <c r="E186" s="81"/>
      <c r="F186" s="101">
        <f>SUM(F183:F185)</f>
        <v>21.09</v>
      </c>
    </row>
    <row r="187" spans="1:6" x14ac:dyDescent="0.2">
      <c r="A187" s="79"/>
      <c r="B187" s="76"/>
      <c r="C187" s="73"/>
      <c r="D187" s="83"/>
      <c r="E187" s="84"/>
      <c r="F187" s="85"/>
    </row>
    <row r="188" spans="1:6" x14ac:dyDescent="0.2">
      <c r="A188" s="746" t="s">
        <v>37</v>
      </c>
      <c r="B188" s="747"/>
      <c r="C188" s="747"/>
      <c r="D188" s="747"/>
      <c r="E188" s="747"/>
      <c r="F188" s="748"/>
    </row>
    <row r="189" spans="1:6" x14ac:dyDescent="0.2">
      <c r="A189" s="64" t="s">
        <v>8</v>
      </c>
      <c r="B189" s="64" t="s">
        <v>26</v>
      </c>
      <c r="C189" s="64" t="s">
        <v>11771</v>
      </c>
      <c r="D189" s="64" t="s">
        <v>28</v>
      </c>
      <c r="E189" s="64" t="s">
        <v>29</v>
      </c>
      <c r="F189" s="64" t="s">
        <v>30</v>
      </c>
    </row>
    <row r="190" spans="1:6" x14ac:dyDescent="0.2">
      <c r="A190" s="86"/>
      <c r="B190" s="102"/>
      <c r="C190" s="88"/>
      <c r="D190" s="89"/>
      <c r="E190" s="90"/>
      <c r="F190" s="91"/>
    </row>
    <row r="191" spans="1:6" x14ac:dyDescent="0.2">
      <c r="A191" s="92"/>
      <c r="B191" s="87"/>
      <c r="C191" s="88"/>
      <c r="D191" s="103"/>
      <c r="E191" s="94"/>
      <c r="F191" s="100"/>
    </row>
    <row r="192" spans="1:6" x14ac:dyDescent="0.2">
      <c r="A192" s="95"/>
      <c r="B192" s="96"/>
      <c r="C192" s="97"/>
      <c r="D192" s="98"/>
      <c r="E192" s="99"/>
      <c r="F192" s="104"/>
    </row>
    <row r="193" spans="1:6" x14ac:dyDescent="0.2">
      <c r="A193" s="79"/>
      <c r="B193" s="76"/>
      <c r="C193" s="73"/>
      <c r="D193" s="80" t="s">
        <v>38</v>
      </c>
      <c r="E193" s="81"/>
      <c r="F193" s="101">
        <f>ROUND(SUM(F190:F190),2)</f>
        <v>0</v>
      </c>
    </row>
    <row r="194" spans="1:6" x14ac:dyDescent="0.2">
      <c r="A194" s="79"/>
      <c r="B194" s="76"/>
      <c r="C194" s="73"/>
      <c r="D194" s="83"/>
      <c r="E194" s="84"/>
      <c r="F194" s="85"/>
    </row>
    <row r="195" spans="1:6" x14ac:dyDescent="0.2">
      <c r="A195" s="749" t="s">
        <v>39</v>
      </c>
      <c r="B195" s="750"/>
      <c r="C195" s="750"/>
      <c r="D195" s="750"/>
      <c r="E195" s="751"/>
      <c r="F195" s="105">
        <f>ROUND(F179+F186+F193,2)</f>
        <v>21.09</v>
      </c>
    </row>
    <row r="196" spans="1:6" ht="15.75" x14ac:dyDescent="0.2">
      <c r="A196" s="587" t="s">
        <v>8</v>
      </c>
      <c r="B196" s="743" t="s">
        <v>23</v>
      </c>
      <c r="C196" s="743"/>
      <c r="D196" s="743"/>
      <c r="E196" s="743"/>
      <c r="F196" s="588" t="s">
        <v>11771</v>
      </c>
    </row>
    <row r="197" spans="1:6" ht="15" customHeight="1" x14ac:dyDescent="0.2">
      <c r="A197" s="63" t="s">
        <v>10956</v>
      </c>
      <c r="B197" s="744" t="str">
        <f>PO!D44</f>
        <v>Capina e limpeza manual de terreno</v>
      </c>
      <c r="C197" s="744"/>
      <c r="D197" s="744"/>
      <c r="E197" s="744"/>
      <c r="F197" s="107" t="s">
        <v>249</v>
      </c>
    </row>
    <row r="198" spans="1:6" x14ac:dyDescent="0.2">
      <c r="A198" s="745" t="s">
        <v>25</v>
      </c>
      <c r="B198" s="745"/>
      <c r="C198" s="745"/>
      <c r="D198" s="745"/>
      <c r="E198" s="745"/>
      <c r="F198" s="745"/>
    </row>
    <row r="199" spans="1:6" x14ac:dyDescent="0.2">
      <c r="A199" s="64" t="s">
        <v>8</v>
      </c>
      <c r="B199" s="64" t="s">
        <v>26</v>
      </c>
      <c r="C199" s="64" t="s">
        <v>11771</v>
      </c>
      <c r="D199" s="64" t="s">
        <v>28</v>
      </c>
      <c r="E199" s="64" t="s">
        <v>29</v>
      </c>
      <c r="F199" s="64" t="s">
        <v>30</v>
      </c>
    </row>
    <row r="200" spans="1:6" x14ac:dyDescent="0.2">
      <c r="A200" s="65"/>
      <c r="B200" s="66"/>
      <c r="C200" s="67"/>
      <c r="D200" s="155"/>
      <c r="E200" s="287"/>
      <c r="F200" s="288"/>
    </row>
    <row r="201" spans="1:6" x14ac:dyDescent="0.2">
      <c r="A201" s="65">
        <v>88316</v>
      </c>
      <c r="B201" s="66" t="s">
        <v>5397</v>
      </c>
      <c r="C201" s="67" t="s">
        <v>43</v>
      </c>
      <c r="D201" s="70">
        <v>0.08</v>
      </c>
      <c r="E201" s="68">
        <v>16.920000000000002</v>
      </c>
      <c r="F201" s="174">
        <f>D201*E201</f>
        <v>1.3536000000000001</v>
      </c>
    </row>
    <row r="202" spans="1:6" x14ac:dyDescent="0.2">
      <c r="A202" s="65"/>
      <c r="B202" s="66"/>
      <c r="C202" s="67"/>
      <c r="D202" s="70"/>
      <c r="E202" s="68"/>
      <c r="F202" s="69"/>
    </row>
    <row r="203" spans="1:6" x14ac:dyDescent="0.2">
      <c r="A203" s="71"/>
      <c r="B203" s="62"/>
      <c r="C203" s="72"/>
      <c r="D203" s="73" t="s">
        <v>31</v>
      </c>
      <c r="E203" s="74"/>
      <c r="F203" s="75">
        <f>F200+F201+F202</f>
        <v>1.3536000000000001</v>
      </c>
    </row>
    <row r="204" spans="1:6" x14ac:dyDescent="0.2">
      <c r="A204" s="71"/>
      <c r="B204" s="62"/>
      <c r="C204" s="72"/>
      <c r="D204" s="76" t="s">
        <v>32</v>
      </c>
      <c r="E204" s="77"/>
      <c r="F204" s="78">
        <f>F203*E204</f>
        <v>0</v>
      </c>
    </row>
    <row r="205" spans="1:6" x14ac:dyDescent="0.2">
      <c r="A205" s="71"/>
      <c r="B205" s="62"/>
      <c r="C205" s="72"/>
      <c r="D205" s="73" t="s">
        <v>33</v>
      </c>
      <c r="E205" s="74"/>
      <c r="F205" s="78">
        <f>SUM(F203:F204)</f>
        <v>1.3536000000000001</v>
      </c>
    </row>
    <row r="206" spans="1:6" x14ac:dyDescent="0.2">
      <c r="A206" s="79"/>
      <c r="B206" s="76"/>
      <c r="C206" s="73"/>
      <c r="D206" s="80" t="s">
        <v>34</v>
      </c>
      <c r="E206" s="81"/>
      <c r="F206" s="82">
        <f>F205</f>
        <v>1.3536000000000001</v>
      </c>
    </row>
    <row r="207" spans="1:6" x14ac:dyDescent="0.2">
      <c r="A207" s="79"/>
      <c r="B207" s="76"/>
      <c r="C207" s="73"/>
      <c r="D207" s="83"/>
      <c r="E207" s="84"/>
      <c r="F207" s="85"/>
    </row>
    <row r="208" spans="1:6" x14ac:dyDescent="0.2">
      <c r="A208" s="746" t="s">
        <v>35</v>
      </c>
      <c r="B208" s="747"/>
      <c r="C208" s="747"/>
      <c r="D208" s="747"/>
      <c r="E208" s="747"/>
      <c r="F208" s="748"/>
    </row>
    <row r="209" spans="1:6" x14ac:dyDescent="0.2">
      <c r="A209" s="64" t="s">
        <v>8</v>
      </c>
      <c r="B209" s="64" t="s">
        <v>26</v>
      </c>
      <c r="C209" s="64" t="s">
        <v>11771</v>
      </c>
      <c r="D209" s="64" t="s">
        <v>28</v>
      </c>
      <c r="E209" s="64" t="s">
        <v>29</v>
      </c>
      <c r="F209" s="64" t="s">
        <v>30</v>
      </c>
    </row>
    <row r="210" spans="1:6" x14ac:dyDescent="0.2">
      <c r="A210" s="65"/>
      <c r="B210" s="87"/>
      <c r="C210" s="88"/>
      <c r="D210" s="89"/>
      <c r="E210" s="174"/>
      <c r="F210" s="174">
        <f>D210*E210</f>
        <v>0</v>
      </c>
    </row>
    <row r="211" spans="1:6" x14ac:dyDescent="0.2">
      <c r="A211" s="65"/>
      <c r="B211" s="87"/>
      <c r="C211" s="88"/>
      <c r="D211" s="89"/>
      <c r="E211" s="174"/>
      <c r="F211" s="174"/>
    </row>
    <row r="212" spans="1:6" x14ac:dyDescent="0.2">
      <c r="A212" s="95"/>
      <c r="B212" s="96"/>
      <c r="C212" s="97"/>
      <c r="D212" s="98"/>
      <c r="E212" s="99"/>
      <c r="F212" s="100"/>
    </row>
    <row r="213" spans="1:6" x14ac:dyDescent="0.2">
      <c r="A213" s="79"/>
      <c r="B213" s="76"/>
      <c r="C213" s="73"/>
      <c r="D213" s="80" t="s">
        <v>36</v>
      </c>
      <c r="E213" s="81"/>
      <c r="F213" s="101">
        <f>SUM(F210:F212)</f>
        <v>0</v>
      </c>
    </row>
    <row r="214" spans="1:6" x14ac:dyDescent="0.2">
      <c r="A214" s="79"/>
      <c r="B214" s="76"/>
      <c r="C214" s="73"/>
      <c r="D214" s="83"/>
      <c r="E214" s="84"/>
      <c r="F214" s="85"/>
    </row>
    <row r="215" spans="1:6" x14ac:dyDescent="0.2">
      <c r="A215" s="746" t="s">
        <v>37</v>
      </c>
      <c r="B215" s="747"/>
      <c r="C215" s="747"/>
      <c r="D215" s="747"/>
      <c r="E215" s="747"/>
      <c r="F215" s="748"/>
    </row>
    <row r="216" spans="1:6" x14ac:dyDescent="0.2">
      <c r="A216" s="64" t="s">
        <v>8</v>
      </c>
      <c r="B216" s="64" t="s">
        <v>26</v>
      </c>
      <c r="C216" s="64" t="s">
        <v>11771</v>
      </c>
      <c r="D216" s="64" t="s">
        <v>28</v>
      </c>
      <c r="E216" s="64" t="s">
        <v>29</v>
      </c>
      <c r="F216" s="64" t="s">
        <v>30</v>
      </c>
    </row>
    <row r="217" spans="1:6" x14ac:dyDescent="0.2">
      <c r="A217" s="86"/>
      <c r="B217" s="102"/>
      <c r="C217" s="88"/>
      <c r="D217" s="89"/>
      <c r="E217" s="90"/>
      <c r="F217" s="91"/>
    </row>
    <row r="218" spans="1:6" x14ac:dyDescent="0.2">
      <c r="A218" s="92"/>
      <c r="B218" s="87"/>
      <c r="C218" s="88"/>
      <c r="D218" s="103"/>
      <c r="E218" s="94"/>
      <c r="F218" s="100"/>
    </row>
    <row r="219" spans="1:6" x14ac:dyDescent="0.2">
      <c r="A219" s="95"/>
      <c r="B219" s="96"/>
      <c r="C219" s="97"/>
      <c r="D219" s="98"/>
      <c r="E219" s="99"/>
      <c r="F219" s="104"/>
    </row>
    <row r="220" spans="1:6" x14ac:dyDescent="0.2">
      <c r="A220" s="79"/>
      <c r="B220" s="76"/>
      <c r="C220" s="73"/>
      <c r="D220" s="80" t="s">
        <v>38</v>
      </c>
      <c r="E220" s="81"/>
      <c r="F220" s="101">
        <f>ROUND(SUM(F217:F217),2)</f>
        <v>0</v>
      </c>
    </row>
    <row r="221" spans="1:6" x14ac:dyDescent="0.2">
      <c r="A221" s="79"/>
      <c r="B221" s="76"/>
      <c r="C221" s="73"/>
      <c r="D221" s="83"/>
      <c r="E221" s="84"/>
      <c r="F221" s="85"/>
    </row>
    <row r="222" spans="1:6" x14ac:dyDescent="0.2">
      <c r="A222" s="749" t="s">
        <v>39</v>
      </c>
      <c r="B222" s="750"/>
      <c r="C222" s="750"/>
      <c r="D222" s="750"/>
      <c r="E222" s="751"/>
      <c r="F222" s="105">
        <f>ROUND(F206+F213+F220,2)</f>
        <v>1.35</v>
      </c>
    </row>
    <row r="223" spans="1:6" ht="15.75" x14ac:dyDescent="0.2">
      <c r="A223" s="587" t="s">
        <v>8</v>
      </c>
      <c r="B223" s="743" t="s">
        <v>23</v>
      </c>
      <c r="C223" s="743"/>
      <c r="D223" s="743"/>
      <c r="E223" s="743"/>
      <c r="F223" s="588" t="s">
        <v>11771</v>
      </c>
    </row>
    <row r="224" spans="1:6" ht="15" customHeight="1" x14ac:dyDescent="0.2">
      <c r="A224" s="63" t="s">
        <v>10967</v>
      </c>
      <c r="B224" s="744" t="str">
        <f>PO!D50</f>
        <v>Fechamento de construção temporária em chapa de madeira compensada e=1,0mm, com reaproveitamento de 2x.</v>
      </c>
      <c r="C224" s="744"/>
      <c r="D224" s="744"/>
      <c r="E224" s="744"/>
      <c r="F224" s="107" t="s">
        <v>164</v>
      </c>
    </row>
    <row r="225" spans="1:6" x14ac:dyDescent="0.2">
      <c r="A225" s="745" t="s">
        <v>25</v>
      </c>
      <c r="B225" s="745"/>
      <c r="C225" s="745"/>
      <c r="D225" s="745"/>
      <c r="E225" s="745"/>
      <c r="F225" s="745"/>
    </row>
    <row r="226" spans="1:6" x14ac:dyDescent="0.2">
      <c r="A226" s="64" t="s">
        <v>8</v>
      </c>
      <c r="B226" s="64" t="s">
        <v>26</v>
      </c>
      <c r="C226" s="64" t="s">
        <v>11771</v>
      </c>
      <c r="D226" s="64" t="s">
        <v>28</v>
      </c>
      <c r="E226" s="64" t="s">
        <v>29</v>
      </c>
      <c r="F226" s="64" t="s">
        <v>30</v>
      </c>
    </row>
    <row r="227" spans="1:6" x14ac:dyDescent="0.2">
      <c r="A227" s="65"/>
      <c r="B227" s="66"/>
      <c r="C227" s="67"/>
      <c r="D227" s="155"/>
      <c r="E227" s="287"/>
      <c r="F227" s="288"/>
    </row>
    <row r="228" spans="1:6" x14ac:dyDescent="0.2">
      <c r="A228" s="65">
        <v>88262</v>
      </c>
      <c r="B228" s="66" t="s">
        <v>5350</v>
      </c>
      <c r="C228" s="67" t="s">
        <v>43</v>
      </c>
      <c r="D228" s="70">
        <v>0.8</v>
      </c>
      <c r="E228" s="68">
        <v>19.920000000000002</v>
      </c>
      <c r="F228" s="174">
        <f>D228*E228</f>
        <v>15.936000000000002</v>
      </c>
    </row>
    <row r="229" spans="1:6" x14ac:dyDescent="0.2">
      <c r="A229" s="65">
        <v>88310</v>
      </c>
      <c r="B229" s="66" t="s">
        <v>5391</v>
      </c>
      <c r="C229" s="67" t="s">
        <v>43</v>
      </c>
      <c r="D229" s="70">
        <v>0.3</v>
      </c>
      <c r="E229" s="68">
        <v>21.17</v>
      </c>
      <c r="F229" s="174">
        <f t="shared" ref="F229:F230" si="1">D229*E229</f>
        <v>6.351</v>
      </c>
    </row>
    <row r="230" spans="1:6" x14ac:dyDescent="0.2">
      <c r="A230" s="65">
        <v>88316</v>
      </c>
      <c r="B230" s="66" t="s">
        <v>5397</v>
      </c>
      <c r="C230" s="67" t="s">
        <v>43</v>
      </c>
      <c r="D230" s="70">
        <v>0.95</v>
      </c>
      <c r="E230" s="68">
        <v>16.920000000000002</v>
      </c>
      <c r="F230" s="174">
        <f t="shared" si="1"/>
        <v>16.074000000000002</v>
      </c>
    </row>
    <row r="231" spans="1:6" x14ac:dyDescent="0.2">
      <c r="A231" s="65"/>
      <c r="B231" s="66"/>
      <c r="C231" s="67"/>
      <c r="D231" s="70"/>
      <c r="E231" s="68"/>
      <c r="F231" s="69"/>
    </row>
    <row r="232" spans="1:6" x14ac:dyDescent="0.2">
      <c r="A232" s="71"/>
      <c r="B232" s="62"/>
      <c r="C232" s="72"/>
      <c r="D232" s="73" t="s">
        <v>31</v>
      </c>
      <c r="E232" s="74"/>
      <c r="F232" s="75">
        <f>SUM(F228:F231)</f>
        <v>38.361000000000004</v>
      </c>
    </row>
    <row r="233" spans="1:6" x14ac:dyDescent="0.2">
      <c r="A233" s="71"/>
      <c r="B233" s="62"/>
      <c r="C233" s="72"/>
      <c r="D233" s="76" t="s">
        <v>32</v>
      </c>
      <c r="E233" s="77"/>
      <c r="F233" s="78">
        <f>F232*E233</f>
        <v>0</v>
      </c>
    </row>
    <row r="234" spans="1:6" x14ac:dyDescent="0.2">
      <c r="A234" s="71"/>
      <c r="B234" s="62"/>
      <c r="C234" s="72"/>
      <c r="D234" s="73" t="s">
        <v>33</v>
      </c>
      <c r="E234" s="74"/>
      <c r="F234" s="78">
        <f>SUM(F232:F233)</f>
        <v>38.361000000000004</v>
      </c>
    </row>
    <row r="235" spans="1:6" x14ac:dyDescent="0.2">
      <c r="A235" s="79"/>
      <c r="B235" s="76"/>
      <c r="C235" s="73"/>
      <c r="D235" s="80" t="s">
        <v>34</v>
      </c>
      <c r="E235" s="81"/>
      <c r="F235" s="82">
        <f>F234</f>
        <v>38.361000000000004</v>
      </c>
    </row>
    <row r="236" spans="1:6" x14ac:dyDescent="0.2">
      <c r="A236" s="79"/>
      <c r="B236" s="76"/>
      <c r="C236" s="73"/>
      <c r="D236" s="83"/>
      <c r="E236" s="84"/>
      <c r="F236" s="85"/>
    </row>
    <row r="237" spans="1:6" x14ac:dyDescent="0.2">
      <c r="A237" s="746" t="s">
        <v>35</v>
      </c>
      <c r="B237" s="747"/>
      <c r="C237" s="747"/>
      <c r="D237" s="747"/>
      <c r="E237" s="747"/>
      <c r="F237" s="748"/>
    </row>
    <row r="238" spans="1:6" x14ac:dyDescent="0.2">
      <c r="A238" s="64" t="s">
        <v>8</v>
      </c>
      <c r="B238" s="64" t="s">
        <v>26</v>
      </c>
      <c r="C238" s="64" t="s">
        <v>11771</v>
      </c>
      <c r="D238" s="64" t="s">
        <v>28</v>
      </c>
      <c r="E238" s="64" t="s">
        <v>29</v>
      </c>
      <c r="F238" s="64" t="s">
        <v>30</v>
      </c>
    </row>
    <row r="239" spans="1:6" x14ac:dyDescent="0.2">
      <c r="A239" s="65"/>
      <c r="B239" s="87"/>
      <c r="C239" s="88"/>
      <c r="D239" s="89"/>
      <c r="E239" s="174"/>
      <c r="F239" s="174"/>
    </row>
    <row r="240" spans="1:6" x14ac:dyDescent="0.2">
      <c r="A240" s="65">
        <v>1106</v>
      </c>
      <c r="B240" s="87" t="s">
        <v>6562</v>
      </c>
      <c r="C240" s="88" t="s">
        <v>506</v>
      </c>
      <c r="D240" s="614">
        <v>0.6</v>
      </c>
      <c r="E240" s="615">
        <v>0.85</v>
      </c>
      <c r="F240" s="174">
        <f t="shared" ref="F240:F244" si="2">D240*E240</f>
        <v>0.51</v>
      </c>
    </row>
    <row r="241" spans="1:6" ht="22.5" x14ac:dyDescent="0.2">
      <c r="A241" s="65">
        <v>1350</v>
      </c>
      <c r="B241" s="96" t="s">
        <v>13349</v>
      </c>
      <c r="C241" s="97" t="s">
        <v>13806</v>
      </c>
      <c r="D241" s="613">
        <v>0.22727269999999999</v>
      </c>
      <c r="E241" s="615">
        <v>43.22</v>
      </c>
      <c r="F241" s="174">
        <f t="shared" si="2"/>
        <v>9.8227260940000001</v>
      </c>
    </row>
    <row r="242" spans="1:6" ht="22.5" x14ac:dyDescent="0.2">
      <c r="A242" s="65">
        <v>4491</v>
      </c>
      <c r="B242" s="96" t="s">
        <v>9358</v>
      </c>
      <c r="C242" s="97" t="s">
        <v>282</v>
      </c>
      <c r="D242" s="613">
        <v>1.58</v>
      </c>
      <c r="E242" s="615">
        <v>2.96</v>
      </c>
      <c r="F242" s="174">
        <f t="shared" si="2"/>
        <v>4.6768000000000001</v>
      </c>
    </row>
    <row r="243" spans="1:6" x14ac:dyDescent="0.2">
      <c r="A243" s="65">
        <v>5061</v>
      </c>
      <c r="B243" s="96" t="s">
        <v>9474</v>
      </c>
      <c r="C243" s="97" t="s">
        <v>506</v>
      </c>
      <c r="D243" s="613">
        <v>0.15</v>
      </c>
      <c r="E243" s="615">
        <v>9.93</v>
      </c>
      <c r="F243" s="174">
        <f t="shared" si="2"/>
        <v>1.4894999999999998</v>
      </c>
    </row>
    <row r="244" spans="1:6" x14ac:dyDescent="0.2">
      <c r="A244" s="65">
        <v>1899</v>
      </c>
      <c r="B244" s="96" t="s">
        <v>9003</v>
      </c>
      <c r="C244" s="97" t="s">
        <v>5201</v>
      </c>
      <c r="D244" s="613">
        <v>2.1999999999999999E-2</v>
      </c>
      <c r="E244" s="99">
        <v>18.989999999999998</v>
      </c>
      <c r="F244" s="174">
        <f t="shared" si="2"/>
        <v>0.41777999999999993</v>
      </c>
    </row>
    <row r="245" spans="1:6" x14ac:dyDescent="0.2">
      <c r="A245" s="79"/>
      <c r="B245" s="76"/>
      <c r="C245" s="73"/>
      <c r="D245" s="80" t="s">
        <v>36</v>
      </c>
      <c r="E245" s="81"/>
      <c r="F245" s="101">
        <f>SUM(F239:F244)</f>
        <v>16.916806094000002</v>
      </c>
    </row>
    <row r="246" spans="1:6" x14ac:dyDescent="0.2">
      <c r="A246" s="79"/>
      <c r="B246" s="76"/>
      <c r="C246" s="73"/>
      <c r="D246" s="83"/>
      <c r="E246" s="84"/>
      <c r="F246" s="85"/>
    </row>
    <row r="247" spans="1:6" x14ac:dyDescent="0.2">
      <c r="A247" s="746" t="s">
        <v>37</v>
      </c>
      <c r="B247" s="747"/>
      <c r="C247" s="747"/>
      <c r="D247" s="747"/>
      <c r="E247" s="747"/>
      <c r="F247" s="748"/>
    </row>
    <row r="248" spans="1:6" x14ac:dyDescent="0.2">
      <c r="A248" s="64" t="s">
        <v>8</v>
      </c>
      <c r="B248" s="64" t="s">
        <v>26</v>
      </c>
      <c r="C248" s="64" t="s">
        <v>11771</v>
      </c>
      <c r="D248" s="64" t="s">
        <v>28</v>
      </c>
      <c r="E248" s="64" t="s">
        <v>29</v>
      </c>
      <c r="F248" s="64" t="s">
        <v>30</v>
      </c>
    </row>
    <row r="249" spans="1:6" x14ac:dyDescent="0.2">
      <c r="A249" s="86"/>
      <c r="B249" s="102"/>
      <c r="C249" s="88"/>
      <c r="D249" s="89"/>
      <c r="E249" s="90"/>
      <c r="F249" s="91"/>
    </row>
    <row r="250" spans="1:6" x14ac:dyDescent="0.2">
      <c r="A250" s="92"/>
      <c r="B250" s="87"/>
      <c r="C250" s="88"/>
      <c r="D250" s="103"/>
      <c r="E250" s="94"/>
      <c r="F250" s="100"/>
    </row>
    <row r="251" spans="1:6" x14ac:dyDescent="0.2">
      <c r="A251" s="95"/>
      <c r="B251" s="96"/>
      <c r="C251" s="97"/>
      <c r="D251" s="98"/>
      <c r="E251" s="99"/>
      <c r="F251" s="104"/>
    </row>
    <row r="252" spans="1:6" x14ac:dyDescent="0.2">
      <c r="A252" s="79"/>
      <c r="B252" s="76"/>
      <c r="C252" s="73"/>
      <c r="D252" s="80" t="s">
        <v>38</v>
      </c>
      <c r="E252" s="81"/>
      <c r="F252" s="101">
        <f>ROUND(SUM(F249:F249),2)</f>
        <v>0</v>
      </c>
    </row>
    <row r="253" spans="1:6" x14ac:dyDescent="0.2">
      <c r="A253" s="79"/>
      <c r="B253" s="76"/>
      <c r="C253" s="73"/>
      <c r="D253" s="83"/>
      <c r="E253" s="84"/>
      <c r="F253" s="85"/>
    </row>
    <row r="254" spans="1:6" x14ac:dyDescent="0.2">
      <c r="A254" s="749" t="s">
        <v>39</v>
      </c>
      <c r="B254" s="750"/>
      <c r="C254" s="750"/>
      <c r="D254" s="750"/>
      <c r="E254" s="751"/>
      <c r="F254" s="105">
        <f>ROUND(F235+F245+F252,2)</f>
        <v>55.28</v>
      </c>
    </row>
    <row r="255" spans="1:6" ht="15.75" x14ac:dyDescent="0.2">
      <c r="A255" s="587" t="s">
        <v>8</v>
      </c>
      <c r="B255" s="743" t="s">
        <v>23</v>
      </c>
      <c r="C255" s="743"/>
      <c r="D255" s="743"/>
      <c r="E255" s="743"/>
      <c r="F255" s="588" t="s">
        <v>11771</v>
      </c>
    </row>
    <row r="256" spans="1:6" s="289" customFormat="1" ht="33" customHeight="1" x14ac:dyDescent="0.2">
      <c r="A256" s="63" t="s">
        <v>10973</v>
      </c>
      <c r="B256" s="744" t="str">
        <f>PO!D51</f>
        <v>Aluguel de dois containers em chapa de aço para escritório e depósito (L=2,20, C=6,20m, H=2,50m).</v>
      </c>
      <c r="C256" s="744"/>
      <c r="D256" s="744"/>
      <c r="E256" s="744"/>
      <c r="F256" s="107" t="s">
        <v>10884</v>
      </c>
    </row>
    <row r="257" spans="1:6" x14ac:dyDescent="0.2">
      <c r="A257" s="745" t="s">
        <v>25</v>
      </c>
      <c r="B257" s="745"/>
      <c r="C257" s="745"/>
      <c r="D257" s="745"/>
      <c r="E257" s="745"/>
      <c r="F257" s="745"/>
    </row>
    <row r="258" spans="1:6" x14ac:dyDescent="0.2">
      <c r="A258" s="64" t="s">
        <v>8</v>
      </c>
      <c r="B258" s="64" t="s">
        <v>26</v>
      </c>
      <c r="C258" s="64" t="s">
        <v>11771</v>
      </c>
      <c r="D258" s="64" t="s">
        <v>28</v>
      </c>
      <c r="E258" s="64" t="s">
        <v>29</v>
      </c>
      <c r="F258" s="64" t="s">
        <v>30</v>
      </c>
    </row>
    <row r="259" spans="1:6" x14ac:dyDescent="0.2">
      <c r="A259" s="65"/>
      <c r="B259" s="66"/>
      <c r="C259" s="67"/>
      <c r="D259" s="155"/>
      <c r="E259" s="174"/>
      <c r="F259" s="288">
        <f>D259*E259</f>
        <v>0</v>
      </c>
    </row>
    <row r="260" spans="1:6" x14ac:dyDescent="0.2">
      <c r="A260" s="65"/>
      <c r="B260" s="66"/>
      <c r="C260" s="67"/>
      <c r="D260" s="155"/>
      <c r="E260" s="287"/>
      <c r="F260" s="288"/>
    </row>
    <row r="261" spans="1:6" x14ac:dyDescent="0.2">
      <c r="A261" s="65"/>
      <c r="B261" s="66"/>
      <c r="C261" s="67"/>
      <c r="D261" s="70"/>
      <c r="E261" s="68"/>
      <c r="F261" s="69"/>
    </row>
    <row r="262" spans="1:6" x14ac:dyDescent="0.2">
      <c r="A262" s="71"/>
      <c r="B262" s="62"/>
      <c r="C262" s="72"/>
      <c r="D262" s="73" t="s">
        <v>31</v>
      </c>
      <c r="E262" s="74"/>
      <c r="F262" s="75">
        <f>F259+F260+F261</f>
        <v>0</v>
      </c>
    </row>
    <row r="263" spans="1:6" x14ac:dyDescent="0.2">
      <c r="A263" s="71"/>
      <c r="B263" s="62"/>
      <c r="C263" s="72"/>
      <c r="D263" s="76" t="s">
        <v>32</v>
      </c>
      <c r="E263" s="77"/>
      <c r="F263" s="78">
        <f>F262*E263</f>
        <v>0</v>
      </c>
    </row>
    <row r="264" spans="1:6" x14ac:dyDescent="0.2">
      <c r="A264" s="71"/>
      <c r="B264" s="62"/>
      <c r="C264" s="72"/>
      <c r="D264" s="73" t="s">
        <v>33</v>
      </c>
      <c r="E264" s="74"/>
      <c r="F264" s="78">
        <f>SUM(F262:F263)</f>
        <v>0</v>
      </c>
    </row>
    <row r="265" spans="1:6" x14ac:dyDescent="0.2">
      <c r="A265" s="79"/>
      <c r="B265" s="76"/>
      <c r="C265" s="73"/>
      <c r="D265" s="80" t="s">
        <v>34</v>
      </c>
      <c r="E265" s="81"/>
      <c r="F265" s="82">
        <f>F264</f>
        <v>0</v>
      </c>
    </row>
    <row r="266" spans="1:6" x14ac:dyDescent="0.2">
      <c r="A266" s="79"/>
      <c r="B266" s="76"/>
      <c r="C266" s="73"/>
      <c r="D266" s="83"/>
      <c r="E266" s="84"/>
      <c r="F266" s="85"/>
    </row>
    <row r="267" spans="1:6" x14ac:dyDescent="0.2">
      <c r="A267" s="746" t="s">
        <v>35</v>
      </c>
      <c r="B267" s="747"/>
      <c r="C267" s="747"/>
      <c r="D267" s="747"/>
      <c r="E267" s="747"/>
      <c r="F267" s="748"/>
    </row>
    <row r="268" spans="1:6" x14ac:dyDescent="0.2">
      <c r="A268" s="64" t="s">
        <v>8</v>
      </c>
      <c r="B268" s="64" t="s">
        <v>26</v>
      </c>
      <c r="C268" s="64" t="s">
        <v>11771</v>
      </c>
      <c r="D268" s="64" t="s">
        <v>28</v>
      </c>
      <c r="E268" s="64" t="s">
        <v>29</v>
      </c>
      <c r="F268" s="64" t="s">
        <v>30</v>
      </c>
    </row>
    <row r="269" spans="1:6" x14ac:dyDescent="0.2">
      <c r="A269" s="65"/>
      <c r="B269" s="87"/>
      <c r="C269" s="88"/>
      <c r="D269" s="89"/>
      <c r="E269" s="688"/>
      <c r="F269" s="174"/>
    </row>
    <row r="270" spans="1:6" ht="22.5" x14ac:dyDescent="0.2">
      <c r="A270" s="65">
        <v>10776</v>
      </c>
      <c r="B270" s="87" t="s">
        <v>11775</v>
      </c>
      <c r="C270" s="88" t="s">
        <v>249</v>
      </c>
      <c r="D270" s="89">
        <v>2</v>
      </c>
      <c r="E270" s="620">
        <v>407.81</v>
      </c>
      <c r="F270" s="174">
        <f>D270*E270</f>
        <v>815.62</v>
      </c>
    </row>
    <row r="271" spans="1:6" x14ac:dyDescent="0.2">
      <c r="A271" s="95"/>
      <c r="B271" s="96"/>
      <c r="C271" s="97"/>
      <c r="D271" s="98"/>
      <c r="E271" s="99"/>
      <c r="F271" s="100"/>
    </row>
    <row r="272" spans="1:6" x14ac:dyDescent="0.2">
      <c r="A272" s="79"/>
      <c r="B272" s="76"/>
      <c r="C272" s="73"/>
      <c r="D272" s="80" t="s">
        <v>36</v>
      </c>
      <c r="E272" s="81"/>
      <c r="F272" s="101">
        <f>SUM(F269:F271)</f>
        <v>815.62</v>
      </c>
    </row>
    <row r="273" spans="1:6" x14ac:dyDescent="0.2">
      <c r="A273" s="79"/>
      <c r="B273" s="76"/>
      <c r="C273" s="73"/>
      <c r="D273" s="83"/>
      <c r="E273" s="84"/>
      <c r="F273" s="85"/>
    </row>
    <row r="274" spans="1:6" x14ac:dyDescent="0.2">
      <c r="A274" s="746" t="s">
        <v>37</v>
      </c>
      <c r="B274" s="747"/>
      <c r="C274" s="747"/>
      <c r="D274" s="747"/>
      <c r="E274" s="747"/>
      <c r="F274" s="748"/>
    </row>
    <row r="275" spans="1:6" x14ac:dyDescent="0.2">
      <c r="A275" s="64" t="s">
        <v>8</v>
      </c>
      <c r="B275" s="64" t="s">
        <v>26</v>
      </c>
      <c r="C275" s="64" t="s">
        <v>11771</v>
      </c>
      <c r="D275" s="64" t="s">
        <v>28</v>
      </c>
      <c r="E275" s="64" t="s">
        <v>29</v>
      </c>
      <c r="F275" s="64" t="s">
        <v>30</v>
      </c>
    </row>
    <row r="276" spans="1:6" x14ac:dyDescent="0.2">
      <c r="A276" s="86"/>
      <c r="B276" s="102"/>
      <c r="C276" s="88"/>
      <c r="D276" s="89"/>
      <c r="E276" s="90"/>
      <c r="F276" s="91"/>
    </row>
    <row r="277" spans="1:6" x14ac:dyDescent="0.2">
      <c r="A277" s="92"/>
      <c r="B277" s="87"/>
      <c r="C277" s="88"/>
      <c r="D277" s="103"/>
      <c r="E277" s="94"/>
      <c r="F277" s="100"/>
    </row>
    <row r="278" spans="1:6" x14ac:dyDescent="0.2">
      <c r="A278" s="95"/>
      <c r="B278" s="96"/>
      <c r="C278" s="97"/>
      <c r="D278" s="98"/>
      <c r="E278" s="99"/>
      <c r="F278" s="104"/>
    </row>
    <row r="279" spans="1:6" x14ac:dyDescent="0.2">
      <c r="A279" s="79"/>
      <c r="B279" s="76"/>
      <c r="C279" s="73"/>
      <c r="D279" s="80" t="s">
        <v>38</v>
      </c>
      <c r="E279" s="81"/>
      <c r="F279" s="101">
        <f>ROUND(SUM(F276:F276),2)</f>
        <v>0</v>
      </c>
    </row>
    <row r="280" spans="1:6" x14ac:dyDescent="0.2">
      <c r="A280" s="79"/>
      <c r="B280" s="76"/>
      <c r="C280" s="73"/>
      <c r="D280" s="83"/>
      <c r="E280" s="84"/>
      <c r="F280" s="85"/>
    </row>
    <row r="281" spans="1:6" x14ac:dyDescent="0.2">
      <c r="A281" s="749" t="s">
        <v>39</v>
      </c>
      <c r="B281" s="750"/>
      <c r="C281" s="750"/>
      <c r="D281" s="750"/>
      <c r="E281" s="751"/>
      <c r="F281" s="105">
        <f>ROUND(F265+F272+F279,2)</f>
        <v>815.62</v>
      </c>
    </row>
    <row r="282" spans="1:6" ht="15.75" x14ac:dyDescent="0.2">
      <c r="A282" s="587" t="s">
        <v>8</v>
      </c>
      <c r="B282" s="743" t="s">
        <v>23</v>
      </c>
      <c r="C282" s="743"/>
      <c r="D282" s="743"/>
      <c r="E282" s="743"/>
      <c r="F282" s="588" t="s">
        <v>11771</v>
      </c>
    </row>
    <row r="283" spans="1:6" s="289" customFormat="1" ht="15" customHeight="1" x14ac:dyDescent="0.2">
      <c r="A283" s="63" t="s">
        <v>10975</v>
      </c>
      <c r="B283" s="744" t="str">
        <f>PO!D52</f>
        <v>Placa de Obra em Chapa de aço Galvanizado (2,40m x 1,20m).</v>
      </c>
      <c r="C283" s="744"/>
      <c r="D283" s="744"/>
      <c r="E283" s="744"/>
      <c r="F283" s="107" t="s">
        <v>11068</v>
      </c>
    </row>
    <row r="284" spans="1:6" x14ac:dyDescent="0.2">
      <c r="A284" s="745" t="s">
        <v>25</v>
      </c>
      <c r="B284" s="745"/>
      <c r="C284" s="745"/>
      <c r="D284" s="745"/>
      <c r="E284" s="745"/>
      <c r="F284" s="745"/>
    </row>
    <row r="285" spans="1:6" x14ac:dyDescent="0.2">
      <c r="A285" s="64" t="s">
        <v>8</v>
      </c>
      <c r="B285" s="64" t="s">
        <v>26</v>
      </c>
      <c r="C285" s="64" t="s">
        <v>11771</v>
      </c>
      <c r="D285" s="64" t="s">
        <v>28</v>
      </c>
      <c r="E285" s="64" t="s">
        <v>29</v>
      </c>
      <c r="F285" s="64" t="s">
        <v>30</v>
      </c>
    </row>
    <row r="286" spans="1:6" x14ac:dyDescent="0.2">
      <c r="A286" s="65"/>
      <c r="B286" s="66"/>
      <c r="C286" s="67"/>
      <c r="D286" s="155"/>
      <c r="E286" s="615"/>
      <c r="F286" s="618"/>
    </row>
    <row r="287" spans="1:6" x14ac:dyDescent="0.2">
      <c r="A287" s="65">
        <v>88262</v>
      </c>
      <c r="B287" s="66" t="s">
        <v>5350</v>
      </c>
      <c r="C287" s="67" t="s">
        <v>43</v>
      </c>
      <c r="D287" s="155">
        <v>1</v>
      </c>
      <c r="E287" s="287">
        <v>19.920000000000002</v>
      </c>
      <c r="F287" s="288">
        <f>D287*E287</f>
        <v>19.920000000000002</v>
      </c>
    </row>
    <row r="288" spans="1:6" x14ac:dyDescent="0.2">
      <c r="A288" s="65">
        <v>88316</v>
      </c>
      <c r="B288" s="66" t="s">
        <v>5397</v>
      </c>
      <c r="C288" s="67" t="s">
        <v>43</v>
      </c>
      <c r="D288" s="155">
        <v>2</v>
      </c>
      <c r="E288" s="287">
        <v>16.920000000000002</v>
      </c>
      <c r="F288" s="288">
        <f t="shared" ref="F288" si="3">D288*E288</f>
        <v>33.840000000000003</v>
      </c>
    </row>
    <row r="289" spans="1:6" x14ac:dyDescent="0.2">
      <c r="A289" s="65"/>
      <c r="B289" s="66"/>
      <c r="C289" s="67"/>
      <c r="D289" s="155"/>
      <c r="E289" s="287"/>
      <c r="F289" s="288"/>
    </row>
    <row r="290" spans="1:6" x14ac:dyDescent="0.2">
      <c r="A290" s="65"/>
      <c r="B290" s="66"/>
      <c r="C290" s="67"/>
      <c r="D290" s="155"/>
      <c r="E290" s="287"/>
      <c r="F290" s="288"/>
    </row>
    <row r="291" spans="1:6" x14ac:dyDescent="0.2">
      <c r="A291" s="65"/>
      <c r="B291" s="66"/>
      <c r="C291" s="67"/>
      <c r="D291" s="155"/>
      <c r="E291" s="287"/>
      <c r="F291" s="288"/>
    </row>
    <row r="292" spans="1:6" x14ac:dyDescent="0.2">
      <c r="A292" s="65"/>
      <c r="B292" s="66"/>
      <c r="C292" s="67"/>
      <c r="D292" s="70"/>
      <c r="E292" s="68"/>
      <c r="F292" s="69"/>
    </row>
    <row r="293" spans="1:6" x14ac:dyDescent="0.2">
      <c r="A293" s="71"/>
      <c r="B293" s="62"/>
      <c r="C293" s="72"/>
      <c r="D293" s="73" t="s">
        <v>31</v>
      </c>
      <c r="E293" s="74"/>
      <c r="F293" s="75">
        <f>SUM(F287:F292)</f>
        <v>53.760000000000005</v>
      </c>
    </row>
    <row r="294" spans="1:6" x14ac:dyDescent="0.2">
      <c r="A294" s="71"/>
      <c r="B294" s="62"/>
      <c r="C294" s="72"/>
      <c r="D294" s="76" t="s">
        <v>32</v>
      </c>
      <c r="E294" s="77"/>
      <c r="F294" s="78">
        <f>F293*E294</f>
        <v>0</v>
      </c>
    </row>
    <row r="295" spans="1:6" x14ac:dyDescent="0.2">
      <c r="A295" s="71"/>
      <c r="B295" s="62"/>
      <c r="C295" s="72"/>
      <c r="D295" s="73" t="s">
        <v>33</v>
      </c>
      <c r="E295" s="74"/>
      <c r="F295" s="78">
        <f>SUM(F293:F294)</f>
        <v>53.760000000000005</v>
      </c>
    </row>
    <row r="296" spans="1:6" x14ac:dyDescent="0.2">
      <c r="A296" s="79"/>
      <c r="B296" s="76"/>
      <c r="C296" s="73"/>
      <c r="D296" s="80" t="s">
        <v>34</v>
      </c>
      <c r="E296" s="81"/>
      <c r="F296" s="82">
        <f>F295</f>
        <v>53.760000000000005</v>
      </c>
    </row>
    <row r="297" spans="1:6" x14ac:dyDescent="0.2">
      <c r="A297" s="79"/>
      <c r="B297" s="76"/>
      <c r="C297" s="73"/>
      <c r="D297" s="83"/>
      <c r="E297" s="84"/>
      <c r="F297" s="85"/>
    </row>
    <row r="298" spans="1:6" x14ac:dyDescent="0.2">
      <c r="A298" s="746" t="s">
        <v>35</v>
      </c>
      <c r="B298" s="747"/>
      <c r="C298" s="747"/>
      <c r="D298" s="747"/>
      <c r="E298" s="747"/>
      <c r="F298" s="748"/>
    </row>
    <row r="299" spans="1:6" x14ac:dyDescent="0.2">
      <c r="A299" s="64" t="s">
        <v>8</v>
      </c>
      <c r="B299" s="64" t="s">
        <v>26</v>
      </c>
      <c r="C299" s="64" t="s">
        <v>11771</v>
      </c>
      <c r="D299" s="64" t="s">
        <v>28</v>
      </c>
      <c r="E299" s="64" t="s">
        <v>29</v>
      </c>
      <c r="F299" s="64" t="s">
        <v>30</v>
      </c>
    </row>
    <row r="300" spans="1:6" x14ac:dyDescent="0.2">
      <c r="A300" s="65"/>
      <c r="B300" s="87"/>
      <c r="C300" s="88"/>
      <c r="D300" s="89"/>
      <c r="E300" s="615"/>
      <c r="F300" s="622"/>
    </row>
    <row r="301" spans="1:6" ht="22.5" x14ac:dyDescent="0.2">
      <c r="A301" s="65">
        <v>4417</v>
      </c>
      <c r="B301" s="87" t="s">
        <v>9715</v>
      </c>
      <c r="C301" s="88" t="s">
        <v>282</v>
      </c>
      <c r="D301" s="614">
        <v>1</v>
      </c>
      <c r="E301" s="620">
        <v>3.2</v>
      </c>
      <c r="F301" s="616">
        <f>D301*E301</f>
        <v>3.2</v>
      </c>
    </row>
    <row r="302" spans="1:6" ht="22.5" x14ac:dyDescent="0.2">
      <c r="A302" s="65">
        <v>4491</v>
      </c>
      <c r="B302" s="96" t="s">
        <v>9358</v>
      </c>
      <c r="C302" s="97" t="s">
        <v>282</v>
      </c>
      <c r="D302" s="619">
        <v>4</v>
      </c>
      <c r="E302" s="620">
        <v>2.96</v>
      </c>
      <c r="F302" s="616">
        <f t="shared" ref="F302:F304" si="4">D302*E302</f>
        <v>11.84</v>
      </c>
    </row>
    <row r="303" spans="1:6" ht="22.5" x14ac:dyDescent="0.2">
      <c r="A303" s="65">
        <v>4813</v>
      </c>
      <c r="B303" s="87" t="s">
        <v>9307</v>
      </c>
      <c r="C303" s="88" t="s">
        <v>13809</v>
      </c>
      <c r="D303" s="89">
        <v>1</v>
      </c>
      <c r="E303" s="621">
        <v>300</v>
      </c>
      <c r="F303" s="616">
        <f t="shared" si="4"/>
        <v>300</v>
      </c>
    </row>
    <row r="304" spans="1:6" x14ac:dyDescent="0.2">
      <c r="A304" s="65">
        <v>5075</v>
      </c>
      <c r="B304" s="87" t="s">
        <v>9475</v>
      </c>
      <c r="C304" s="88" t="s">
        <v>506</v>
      </c>
      <c r="D304" s="89">
        <v>0.11</v>
      </c>
      <c r="E304" s="621">
        <v>10.1</v>
      </c>
      <c r="F304" s="616">
        <f t="shared" si="4"/>
        <v>1.111</v>
      </c>
    </row>
    <row r="305" spans="1:6" x14ac:dyDescent="0.2">
      <c r="A305" s="95"/>
      <c r="B305" s="96"/>
      <c r="C305" s="97"/>
      <c r="D305" s="98"/>
      <c r="E305" s="99"/>
      <c r="F305" s="100"/>
    </row>
    <row r="306" spans="1:6" x14ac:dyDescent="0.2">
      <c r="A306" s="79"/>
      <c r="B306" s="76"/>
      <c r="C306" s="73"/>
      <c r="D306" s="80" t="s">
        <v>36</v>
      </c>
      <c r="E306" s="81"/>
      <c r="F306" s="101">
        <f>SUM(F301:F305)</f>
        <v>316.15100000000001</v>
      </c>
    </row>
    <row r="307" spans="1:6" x14ac:dyDescent="0.2">
      <c r="A307" s="79"/>
      <c r="B307" s="76"/>
      <c r="C307" s="73"/>
      <c r="D307" s="83"/>
      <c r="E307" s="84"/>
      <c r="F307" s="85"/>
    </row>
    <row r="308" spans="1:6" x14ac:dyDescent="0.2">
      <c r="A308" s="746" t="s">
        <v>37</v>
      </c>
      <c r="B308" s="747"/>
      <c r="C308" s="747"/>
      <c r="D308" s="747"/>
      <c r="E308" s="747"/>
      <c r="F308" s="748"/>
    </row>
    <row r="309" spans="1:6" x14ac:dyDescent="0.2">
      <c r="A309" s="64" t="s">
        <v>8</v>
      </c>
      <c r="B309" s="64" t="s">
        <v>26</v>
      </c>
      <c r="C309" s="64" t="s">
        <v>11771</v>
      </c>
      <c r="D309" s="64" t="s">
        <v>28</v>
      </c>
      <c r="E309" s="64" t="s">
        <v>29</v>
      </c>
      <c r="F309" s="64" t="s">
        <v>30</v>
      </c>
    </row>
    <row r="310" spans="1:6" x14ac:dyDescent="0.2">
      <c r="A310" s="86"/>
      <c r="B310" s="102"/>
      <c r="C310" s="88"/>
      <c r="D310" s="89"/>
      <c r="E310" s="90"/>
      <c r="F310" s="91"/>
    </row>
    <row r="311" spans="1:6" ht="33.75" x14ac:dyDescent="0.2">
      <c r="A311" s="65">
        <v>94962</v>
      </c>
      <c r="B311" s="87" t="s">
        <v>13807</v>
      </c>
      <c r="C311" s="88" t="s">
        <v>13808</v>
      </c>
      <c r="D311" s="103">
        <v>0.01</v>
      </c>
      <c r="E311" s="94">
        <v>324.19</v>
      </c>
      <c r="F311" s="616">
        <f>D311*E311</f>
        <v>3.2419000000000002</v>
      </c>
    </row>
    <row r="312" spans="1:6" x14ac:dyDescent="0.2">
      <c r="A312" s="95"/>
      <c r="B312" s="96"/>
      <c r="C312" s="97"/>
      <c r="D312" s="98"/>
      <c r="E312" s="99"/>
      <c r="F312" s="104"/>
    </row>
    <row r="313" spans="1:6" x14ac:dyDescent="0.2">
      <c r="A313" s="79"/>
      <c r="B313" s="76"/>
      <c r="C313" s="73"/>
      <c r="D313" s="80" t="s">
        <v>38</v>
      </c>
      <c r="E313" s="81"/>
      <c r="F313" s="101">
        <f>SUM(F311:F312)</f>
        <v>3.2419000000000002</v>
      </c>
    </row>
    <row r="314" spans="1:6" x14ac:dyDescent="0.2">
      <c r="A314" s="79"/>
      <c r="B314" s="76"/>
      <c r="C314" s="73"/>
      <c r="D314" s="83"/>
      <c r="E314" s="84"/>
      <c r="F314" s="85"/>
    </row>
    <row r="315" spans="1:6" x14ac:dyDescent="0.2">
      <c r="A315" s="749" t="s">
        <v>39</v>
      </c>
      <c r="B315" s="750"/>
      <c r="C315" s="750"/>
      <c r="D315" s="750"/>
      <c r="E315" s="751"/>
      <c r="F315" s="105">
        <f>ROUND(F296+F306+F313,2)</f>
        <v>373.15</v>
      </c>
    </row>
    <row r="316" spans="1:6" ht="15.75" x14ac:dyDescent="0.2">
      <c r="A316" s="587" t="s">
        <v>8</v>
      </c>
      <c r="B316" s="743" t="s">
        <v>23</v>
      </c>
      <c r="C316" s="743"/>
      <c r="D316" s="743"/>
      <c r="E316" s="743"/>
      <c r="F316" s="588" t="s">
        <v>24</v>
      </c>
    </row>
    <row r="317" spans="1:6" ht="15" x14ac:dyDescent="0.2">
      <c r="A317" s="63" t="s">
        <v>11021</v>
      </c>
      <c r="B317" s="744" t="str">
        <f>PO!D59</f>
        <v>Regularização de fundo de vala com soquete</v>
      </c>
      <c r="C317" s="744"/>
      <c r="D317" s="744"/>
      <c r="E317" s="744"/>
      <c r="F317" s="107" t="str">
        <f>PO!E59</f>
        <v>m²</v>
      </c>
    </row>
    <row r="318" spans="1:6" x14ac:dyDescent="0.2">
      <c r="A318" s="745" t="s">
        <v>25</v>
      </c>
      <c r="B318" s="745"/>
      <c r="C318" s="745"/>
      <c r="D318" s="745"/>
      <c r="E318" s="745"/>
      <c r="F318" s="745"/>
    </row>
    <row r="319" spans="1:6" x14ac:dyDescent="0.2">
      <c r="A319" s="64" t="s">
        <v>8</v>
      </c>
      <c r="B319" s="64" t="s">
        <v>26</v>
      </c>
      <c r="C319" s="64" t="s">
        <v>27</v>
      </c>
      <c r="D319" s="64" t="s">
        <v>28</v>
      </c>
      <c r="E319" s="64" t="s">
        <v>29</v>
      </c>
      <c r="F319" s="64" t="s">
        <v>30</v>
      </c>
    </row>
    <row r="320" spans="1:6" x14ac:dyDescent="0.2">
      <c r="A320" s="262">
        <v>88316</v>
      </c>
      <c r="B320" s="507" t="s">
        <v>10944</v>
      </c>
      <c r="C320" s="113" t="s">
        <v>10945</v>
      </c>
      <c r="D320" s="265">
        <v>1.5</v>
      </c>
      <c r="E320" s="174">
        <v>16.940000000000001</v>
      </c>
      <c r="F320" s="174">
        <f>D320*E320</f>
        <v>25.410000000000004</v>
      </c>
    </row>
    <row r="321" spans="1:6" x14ac:dyDescent="0.2">
      <c r="A321" s="65"/>
      <c r="B321" s="66"/>
      <c r="C321" s="67"/>
      <c r="D321" s="265"/>
      <c r="E321" s="174"/>
      <c r="F321" s="174"/>
    </row>
    <row r="322" spans="1:6" x14ac:dyDescent="0.2">
      <c r="A322" s="65"/>
      <c r="B322" s="66"/>
      <c r="C322" s="67"/>
      <c r="D322" s="155"/>
      <c r="E322" s="99"/>
      <c r="F322" s="100"/>
    </row>
    <row r="323" spans="1:6" x14ac:dyDescent="0.2">
      <c r="A323" s="71"/>
      <c r="B323" s="62"/>
      <c r="C323" s="72"/>
      <c r="D323" s="73" t="s">
        <v>31</v>
      </c>
      <c r="E323" s="74"/>
      <c r="F323" s="75">
        <f>F320+F321+F322</f>
        <v>25.410000000000004</v>
      </c>
    </row>
    <row r="324" spans="1:6" x14ac:dyDescent="0.2">
      <c r="A324" s="71"/>
      <c r="B324" s="62"/>
      <c r="C324" s="72"/>
      <c r="D324" s="76" t="s">
        <v>32</v>
      </c>
      <c r="E324" s="77"/>
      <c r="F324" s="78">
        <f>F323*E324</f>
        <v>0</v>
      </c>
    </row>
    <row r="325" spans="1:6" x14ac:dyDescent="0.2">
      <c r="A325" s="71"/>
      <c r="B325" s="62"/>
      <c r="C325" s="72"/>
      <c r="D325" s="73" t="s">
        <v>33</v>
      </c>
      <c r="E325" s="74"/>
      <c r="F325" s="78">
        <f>SUM(F323:F324)</f>
        <v>25.410000000000004</v>
      </c>
    </row>
    <row r="326" spans="1:6" x14ac:dyDescent="0.2">
      <c r="A326" s="79"/>
      <c r="B326" s="76"/>
      <c r="C326" s="73"/>
      <c r="D326" s="80" t="s">
        <v>34</v>
      </c>
      <c r="E326" s="81"/>
      <c r="F326" s="82">
        <f>F325</f>
        <v>25.410000000000004</v>
      </c>
    </row>
    <row r="327" spans="1:6" x14ac:dyDescent="0.2">
      <c r="A327" s="79"/>
      <c r="B327" s="76"/>
      <c r="C327" s="73"/>
      <c r="D327" s="83"/>
      <c r="E327" s="84"/>
      <c r="F327" s="85"/>
    </row>
    <row r="328" spans="1:6" x14ac:dyDescent="0.2">
      <c r="A328" s="746" t="s">
        <v>35</v>
      </c>
      <c r="B328" s="747"/>
      <c r="C328" s="747"/>
      <c r="D328" s="747"/>
      <c r="E328" s="747"/>
      <c r="F328" s="748"/>
    </row>
    <row r="329" spans="1:6" x14ac:dyDescent="0.2">
      <c r="A329" s="64" t="s">
        <v>8</v>
      </c>
      <c r="B329" s="64" t="s">
        <v>26</v>
      </c>
      <c r="C329" s="64" t="s">
        <v>27</v>
      </c>
      <c r="D329" s="64" t="s">
        <v>28</v>
      </c>
      <c r="E329" s="64" t="s">
        <v>29</v>
      </c>
      <c r="F329" s="64" t="s">
        <v>30</v>
      </c>
    </row>
    <row r="330" spans="1:6" x14ac:dyDescent="0.2">
      <c r="A330" s="262"/>
      <c r="B330" s="507"/>
      <c r="C330" s="113"/>
      <c r="D330" s="265"/>
      <c r="E330" s="174"/>
      <c r="F330" s="174"/>
    </row>
    <row r="331" spans="1:6" x14ac:dyDescent="0.2">
      <c r="A331" s="262"/>
      <c r="B331" s="507"/>
      <c r="C331" s="113"/>
      <c r="D331" s="265"/>
      <c r="E331" s="174"/>
      <c r="F331" s="174"/>
    </row>
    <row r="332" spans="1:6" x14ac:dyDescent="0.2">
      <c r="A332" s="65"/>
      <c r="B332" s="87"/>
      <c r="C332" s="88"/>
      <c r="D332" s="89"/>
      <c r="E332" s="174"/>
      <c r="F332" s="174"/>
    </row>
    <row r="333" spans="1:6" x14ac:dyDescent="0.2">
      <c r="A333" s="79"/>
      <c r="B333" s="76"/>
      <c r="C333" s="73"/>
      <c r="D333" s="80" t="s">
        <v>36</v>
      </c>
      <c r="E333" s="81"/>
      <c r="F333" s="101">
        <f>SUM(F330:F332)</f>
        <v>0</v>
      </c>
    </row>
    <row r="334" spans="1:6" x14ac:dyDescent="0.2">
      <c r="A334" s="79"/>
      <c r="B334" s="76"/>
      <c r="C334" s="73"/>
      <c r="D334" s="83"/>
      <c r="E334" s="84"/>
      <c r="F334" s="85"/>
    </row>
    <row r="335" spans="1:6" x14ac:dyDescent="0.2">
      <c r="A335" s="746" t="s">
        <v>37</v>
      </c>
      <c r="B335" s="747"/>
      <c r="C335" s="747"/>
      <c r="D335" s="747"/>
      <c r="E335" s="747"/>
      <c r="F335" s="748"/>
    </row>
    <row r="336" spans="1:6" x14ac:dyDescent="0.2">
      <c r="A336" s="64" t="s">
        <v>8</v>
      </c>
      <c r="B336" s="64" t="s">
        <v>26</v>
      </c>
      <c r="C336" s="64" t="s">
        <v>27</v>
      </c>
      <c r="D336" s="64" t="s">
        <v>28</v>
      </c>
      <c r="E336" s="64" t="s">
        <v>29</v>
      </c>
      <c r="F336" s="64" t="s">
        <v>30</v>
      </c>
    </row>
    <row r="337" spans="1:6" x14ac:dyDescent="0.2">
      <c r="A337" s="65"/>
      <c r="B337" s="66"/>
      <c r="C337" s="88"/>
      <c r="D337" s="89"/>
      <c r="E337" s="173"/>
      <c r="F337" s="174"/>
    </row>
    <row r="338" spans="1:6" x14ac:dyDescent="0.2">
      <c r="A338" s="92"/>
      <c r="B338" s="87"/>
      <c r="C338" s="88"/>
      <c r="D338" s="103"/>
      <c r="E338" s="94"/>
      <c r="F338" s="100"/>
    </row>
    <row r="339" spans="1:6" x14ac:dyDescent="0.2">
      <c r="A339" s="95"/>
      <c r="B339" s="96"/>
      <c r="C339" s="97"/>
      <c r="D339" s="98"/>
      <c r="E339" s="99"/>
      <c r="F339" s="104"/>
    </row>
    <row r="340" spans="1:6" x14ac:dyDescent="0.2">
      <c r="A340" s="79"/>
      <c r="B340" s="76"/>
      <c r="C340" s="73"/>
      <c r="D340" s="80" t="s">
        <v>38</v>
      </c>
      <c r="E340" s="81"/>
      <c r="F340" s="101">
        <f>ROUND(SUM(F337:F337),2)</f>
        <v>0</v>
      </c>
    </row>
    <row r="341" spans="1:6" x14ac:dyDescent="0.2">
      <c r="A341" s="79"/>
      <c r="B341" s="76"/>
      <c r="C341" s="73"/>
      <c r="D341" s="83"/>
      <c r="E341" s="84"/>
      <c r="F341" s="85"/>
    </row>
    <row r="342" spans="1:6" x14ac:dyDescent="0.2">
      <c r="A342" s="749" t="s">
        <v>39</v>
      </c>
      <c r="B342" s="750"/>
      <c r="C342" s="750"/>
      <c r="D342" s="750"/>
      <c r="E342" s="751"/>
      <c r="F342" s="105">
        <f>ROUND(F326+F333+F340,2)</f>
        <v>25.41</v>
      </c>
    </row>
    <row r="343" spans="1:6" ht="15.75" x14ac:dyDescent="0.2">
      <c r="A343" s="587" t="s">
        <v>8</v>
      </c>
      <c r="B343" s="743" t="s">
        <v>23</v>
      </c>
      <c r="C343" s="743"/>
      <c r="D343" s="743"/>
      <c r="E343" s="743"/>
      <c r="F343" s="588" t="s">
        <v>11771</v>
      </c>
    </row>
    <row r="344" spans="1:6" s="289" customFormat="1" ht="15" customHeight="1" x14ac:dyDescent="0.2">
      <c r="A344" s="63" t="s">
        <v>11020</v>
      </c>
      <c r="B344" s="744" t="str">
        <f>PO!D89</f>
        <v>Impermeabilização de estruturas enterradas, com tinta asfáltica, duas demãos</v>
      </c>
      <c r="C344" s="744"/>
      <c r="D344" s="744"/>
      <c r="E344" s="744"/>
      <c r="F344" s="107" t="str">
        <f>PO!E89</f>
        <v>m²</v>
      </c>
    </row>
    <row r="345" spans="1:6" x14ac:dyDescent="0.2">
      <c r="A345" s="745" t="s">
        <v>25</v>
      </c>
      <c r="B345" s="745"/>
      <c r="C345" s="745"/>
      <c r="D345" s="745"/>
      <c r="E345" s="745"/>
      <c r="F345" s="745"/>
    </row>
    <row r="346" spans="1:6" x14ac:dyDescent="0.2">
      <c r="A346" s="64" t="s">
        <v>8</v>
      </c>
      <c r="B346" s="64" t="s">
        <v>26</v>
      </c>
      <c r="C346" s="64" t="s">
        <v>11771</v>
      </c>
      <c r="D346" s="64" t="s">
        <v>28</v>
      </c>
      <c r="E346" s="64" t="s">
        <v>29</v>
      </c>
      <c r="F346" s="64" t="s">
        <v>30</v>
      </c>
    </row>
    <row r="347" spans="1:6" x14ac:dyDescent="0.2">
      <c r="A347" s="65"/>
      <c r="B347" s="66"/>
      <c r="C347" s="67"/>
      <c r="D347" s="155"/>
      <c r="E347" s="615"/>
      <c r="F347" s="618">
        <f>D347*E347</f>
        <v>0</v>
      </c>
    </row>
    <row r="348" spans="1:6" x14ac:dyDescent="0.2">
      <c r="A348" s="262">
        <v>88316</v>
      </c>
      <c r="B348" s="507" t="s">
        <v>10944</v>
      </c>
      <c r="C348" s="113" t="s">
        <v>10945</v>
      </c>
      <c r="D348" s="265">
        <v>0.4</v>
      </c>
      <c r="E348" s="174">
        <v>16.940000000000001</v>
      </c>
      <c r="F348" s="288">
        <f>D348*E348</f>
        <v>6.7760000000000007</v>
      </c>
    </row>
    <row r="349" spans="1:6" x14ac:dyDescent="0.2">
      <c r="A349" s="65"/>
      <c r="B349" s="66"/>
      <c r="C349" s="67"/>
      <c r="D349" s="155"/>
      <c r="E349" s="287"/>
      <c r="F349" s="288">
        <f t="shared" ref="F349:F350" si="5">D349*E349</f>
        <v>0</v>
      </c>
    </row>
    <row r="350" spans="1:6" x14ac:dyDescent="0.2">
      <c r="A350" s="65"/>
      <c r="B350" s="66"/>
      <c r="C350" s="67"/>
      <c r="D350" s="155"/>
      <c r="E350" s="287"/>
      <c r="F350" s="288">
        <f t="shared" si="5"/>
        <v>0</v>
      </c>
    </row>
    <row r="351" spans="1:6" x14ac:dyDescent="0.2">
      <c r="A351" s="65"/>
      <c r="B351" s="66"/>
      <c r="C351" s="67"/>
      <c r="D351" s="70"/>
      <c r="E351" s="68"/>
      <c r="F351" s="69"/>
    </row>
    <row r="352" spans="1:6" x14ac:dyDescent="0.2">
      <c r="A352" s="71"/>
      <c r="B352" s="62"/>
      <c r="C352" s="72"/>
      <c r="D352" s="73" t="s">
        <v>31</v>
      </c>
      <c r="E352" s="74"/>
      <c r="F352" s="75">
        <f>F347+F348+F351</f>
        <v>6.7760000000000007</v>
      </c>
    </row>
    <row r="353" spans="1:6" x14ac:dyDescent="0.2">
      <c r="A353" s="71"/>
      <c r="B353" s="62"/>
      <c r="C353" s="72"/>
      <c r="D353" s="76" t="s">
        <v>32</v>
      </c>
      <c r="E353" s="77"/>
      <c r="F353" s="78">
        <f>F352*E353</f>
        <v>0</v>
      </c>
    </row>
    <row r="354" spans="1:6" x14ac:dyDescent="0.2">
      <c r="A354" s="71"/>
      <c r="B354" s="62"/>
      <c r="C354" s="72"/>
      <c r="D354" s="73" t="s">
        <v>33</v>
      </c>
      <c r="E354" s="74"/>
      <c r="F354" s="78">
        <f>SUM(F352:F353)</f>
        <v>6.7760000000000007</v>
      </c>
    </row>
    <row r="355" spans="1:6" x14ac:dyDescent="0.2">
      <c r="A355" s="79"/>
      <c r="B355" s="76"/>
      <c r="C355" s="73"/>
      <c r="D355" s="80" t="s">
        <v>34</v>
      </c>
      <c r="E355" s="81"/>
      <c r="F355" s="82">
        <f>F354</f>
        <v>6.7760000000000007</v>
      </c>
    </row>
    <row r="356" spans="1:6" x14ac:dyDescent="0.2">
      <c r="A356" s="79"/>
      <c r="B356" s="76"/>
      <c r="C356" s="73"/>
      <c r="D356" s="83"/>
      <c r="E356" s="84"/>
      <c r="F356" s="85"/>
    </row>
    <row r="357" spans="1:6" x14ac:dyDescent="0.2">
      <c r="A357" s="746" t="s">
        <v>35</v>
      </c>
      <c r="B357" s="747"/>
      <c r="C357" s="747"/>
      <c r="D357" s="747"/>
      <c r="E357" s="747"/>
      <c r="F357" s="748"/>
    </row>
    <row r="358" spans="1:6" x14ac:dyDescent="0.2">
      <c r="A358" s="64" t="s">
        <v>8</v>
      </c>
      <c r="B358" s="64" t="s">
        <v>26</v>
      </c>
      <c r="C358" s="64" t="s">
        <v>11771</v>
      </c>
      <c r="D358" s="64" t="s">
        <v>28</v>
      </c>
      <c r="E358" s="64" t="s">
        <v>29</v>
      </c>
      <c r="F358" s="64" t="s">
        <v>30</v>
      </c>
    </row>
    <row r="359" spans="1:6" x14ac:dyDescent="0.2">
      <c r="A359" s="65"/>
      <c r="B359" s="87"/>
      <c r="C359" s="88"/>
      <c r="D359" s="89"/>
      <c r="E359" s="615"/>
      <c r="F359" s="622">
        <f>D359*E359</f>
        <v>0</v>
      </c>
    </row>
    <row r="360" spans="1:6" ht="22.5" x14ac:dyDescent="0.2">
      <c r="A360" s="65">
        <v>7319</v>
      </c>
      <c r="B360" s="87" t="s">
        <v>10263</v>
      </c>
      <c r="C360" s="88" t="s">
        <v>5201</v>
      </c>
      <c r="D360" s="614">
        <v>0.43</v>
      </c>
      <c r="E360" s="620">
        <v>7.07</v>
      </c>
      <c r="F360" s="616">
        <f>D360*E360</f>
        <v>3.0401000000000002</v>
      </c>
    </row>
    <row r="361" spans="1:6" x14ac:dyDescent="0.2">
      <c r="A361" s="65"/>
      <c r="B361" s="96"/>
      <c r="C361" s="97"/>
      <c r="D361" s="619"/>
      <c r="E361" s="620"/>
      <c r="F361" s="616">
        <f t="shared" ref="F361:F363" si="6">D361*E361</f>
        <v>0</v>
      </c>
    </row>
    <row r="362" spans="1:6" x14ac:dyDescent="0.2">
      <c r="A362" s="65"/>
      <c r="B362" s="87"/>
      <c r="C362" s="88"/>
      <c r="D362" s="89"/>
      <c r="E362" s="621"/>
      <c r="F362" s="616">
        <f t="shared" si="6"/>
        <v>0</v>
      </c>
    </row>
    <row r="363" spans="1:6" x14ac:dyDescent="0.2">
      <c r="A363" s="65"/>
      <c r="B363" s="87"/>
      <c r="C363" s="88"/>
      <c r="D363" s="89"/>
      <c r="E363" s="621"/>
      <c r="F363" s="616">
        <f t="shared" si="6"/>
        <v>0</v>
      </c>
    </row>
    <row r="364" spans="1:6" x14ac:dyDescent="0.2">
      <c r="A364" s="95"/>
      <c r="B364" s="96"/>
      <c r="C364" s="97"/>
      <c r="D364" s="98"/>
      <c r="E364" s="99"/>
      <c r="F364" s="100"/>
    </row>
    <row r="365" spans="1:6" x14ac:dyDescent="0.2">
      <c r="A365" s="79"/>
      <c r="B365" s="76"/>
      <c r="C365" s="73"/>
      <c r="D365" s="80" t="s">
        <v>36</v>
      </c>
      <c r="E365" s="81"/>
      <c r="F365" s="101">
        <f>SUM(F359:F364)</f>
        <v>3.0401000000000002</v>
      </c>
    </row>
    <row r="366" spans="1:6" x14ac:dyDescent="0.2">
      <c r="A366" s="79"/>
      <c r="B366" s="76"/>
      <c r="C366" s="73"/>
      <c r="D366" s="83"/>
      <c r="E366" s="84"/>
      <c r="F366" s="85"/>
    </row>
    <row r="367" spans="1:6" x14ac:dyDescent="0.2">
      <c r="A367" s="746" t="s">
        <v>37</v>
      </c>
      <c r="B367" s="747"/>
      <c r="C367" s="747"/>
      <c r="D367" s="747"/>
      <c r="E367" s="747"/>
      <c r="F367" s="748"/>
    </row>
    <row r="368" spans="1:6" x14ac:dyDescent="0.2">
      <c r="A368" s="64" t="s">
        <v>8</v>
      </c>
      <c r="B368" s="64" t="s">
        <v>26</v>
      </c>
      <c r="C368" s="64" t="s">
        <v>11771</v>
      </c>
      <c r="D368" s="64" t="s">
        <v>28</v>
      </c>
      <c r="E368" s="64" t="s">
        <v>29</v>
      </c>
      <c r="F368" s="64" t="s">
        <v>30</v>
      </c>
    </row>
    <row r="369" spans="1:6" x14ac:dyDescent="0.2">
      <c r="A369" s="86"/>
      <c r="B369" s="102"/>
      <c r="C369" s="88"/>
      <c r="D369" s="89"/>
      <c r="E369" s="90"/>
      <c r="F369" s="91"/>
    </row>
    <row r="370" spans="1:6" x14ac:dyDescent="0.2">
      <c r="A370" s="65"/>
      <c r="B370" s="87"/>
      <c r="C370" s="88"/>
      <c r="D370" s="103"/>
      <c r="E370" s="94"/>
      <c r="F370" s="616">
        <f>D370*E370</f>
        <v>0</v>
      </c>
    </row>
    <row r="371" spans="1:6" x14ac:dyDescent="0.2">
      <c r="A371" s="95"/>
      <c r="B371" s="96"/>
      <c r="C371" s="97"/>
      <c r="D371" s="98"/>
      <c r="E371" s="99"/>
      <c r="F371" s="104"/>
    </row>
    <row r="372" spans="1:6" x14ac:dyDescent="0.2">
      <c r="A372" s="79"/>
      <c r="B372" s="76"/>
      <c r="C372" s="73"/>
      <c r="D372" s="80" t="s">
        <v>38</v>
      </c>
      <c r="E372" s="81"/>
      <c r="F372" s="101">
        <f>ROUND(SUM(F369:F369),2)</f>
        <v>0</v>
      </c>
    </row>
    <row r="373" spans="1:6" x14ac:dyDescent="0.2">
      <c r="A373" s="79"/>
      <c r="B373" s="76"/>
      <c r="C373" s="73"/>
      <c r="D373" s="83"/>
      <c r="E373" s="84"/>
      <c r="F373" s="85"/>
    </row>
    <row r="374" spans="1:6" x14ac:dyDescent="0.2">
      <c r="A374" s="749" t="s">
        <v>39</v>
      </c>
      <c r="B374" s="750"/>
      <c r="C374" s="750"/>
      <c r="D374" s="750"/>
      <c r="E374" s="751"/>
      <c r="F374" s="105">
        <f>ROUND(F355+F365+F372,2)</f>
        <v>9.82</v>
      </c>
    </row>
    <row r="375" spans="1:6" ht="15.75" x14ac:dyDescent="0.2">
      <c r="A375" s="587" t="s">
        <v>8</v>
      </c>
      <c r="B375" s="743" t="s">
        <v>23</v>
      </c>
      <c r="C375" s="743"/>
      <c r="D375" s="743"/>
      <c r="E375" s="743"/>
      <c r="F375" s="588" t="s">
        <v>11771</v>
      </c>
    </row>
    <row r="376" spans="1:6" s="289" customFormat="1" ht="15" customHeight="1" x14ac:dyDescent="0.2">
      <c r="A376" s="63" t="s">
        <v>11025</v>
      </c>
      <c r="B376" s="744" t="str">
        <f>PO!D94</f>
        <v>Viga em aço estrutural em Perfil "C".</v>
      </c>
      <c r="C376" s="744"/>
      <c r="D376" s="744"/>
      <c r="E376" s="744"/>
      <c r="F376" s="107" t="str">
        <f>PO!E94</f>
        <v>kg</v>
      </c>
    </row>
    <row r="377" spans="1:6" x14ac:dyDescent="0.2">
      <c r="A377" s="745" t="s">
        <v>25</v>
      </c>
      <c r="B377" s="745"/>
      <c r="C377" s="745"/>
      <c r="D377" s="745"/>
      <c r="E377" s="745"/>
      <c r="F377" s="745"/>
    </row>
    <row r="378" spans="1:6" x14ac:dyDescent="0.2">
      <c r="A378" s="64" t="s">
        <v>8</v>
      </c>
      <c r="B378" s="64" t="s">
        <v>26</v>
      </c>
      <c r="C378" s="64" t="s">
        <v>11771</v>
      </c>
      <c r="D378" s="64" t="s">
        <v>28</v>
      </c>
      <c r="E378" s="64" t="s">
        <v>29</v>
      </c>
      <c r="F378" s="64" t="s">
        <v>30</v>
      </c>
    </row>
    <row r="379" spans="1:6" x14ac:dyDescent="0.2">
      <c r="A379" s="65"/>
      <c r="B379" s="66"/>
      <c r="C379" s="67"/>
      <c r="D379" s="155"/>
      <c r="E379" s="615"/>
      <c r="F379" s="618"/>
    </row>
    <row r="380" spans="1:6" x14ac:dyDescent="0.2">
      <c r="A380" s="262">
        <v>88315</v>
      </c>
      <c r="B380" s="507" t="s">
        <v>5396</v>
      </c>
      <c r="C380" s="113" t="s">
        <v>43</v>
      </c>
      <c r="D380" s="265">
        <v>0.12</v>
      </c>
      <c r="E380" s="615">
        <v>20.329999999999998</v>
      </c>
      <c r="F380" s="288">
        <f>D380*E380</f>
        <v>2.4395999999999995</v>
      </c>
    </row>
    <row r="381" spans="1:6" x14ac:dyDescent="0.2">
      <c r="A381" s="262">
        <v>88316</v>
      </c>
      <c r="B381" s="507" t="s">
        <v>10944</v>
      </c>
      <c r="C381" s="113" t="s">
        <v>10945</v>
      </c>
      <c r="D381" s="265">
        <v>0.12</v>
      </c>
      <c r="E381" s="174">
        <v>16.940000000000001</v>
      </c>
      <c r="F381" s="288">
        <f t="shared" ref="F381:F382" si="7">D381*E381</f>
        <v>2.0327999999999999</v>
      </c>
    </row>
    <row r="382" spans="1:6" x14ac:dyDescent="0.2">
      <c r="A382" s="65"/>
      <c r="B382" s="66"/>
      <c r="C382" s="67"/>
      <c r="D382" s="155"/>
      <c r="E382" s="287"/>
      <c r="F382" s="288">
        <f t="shared" si="7"/>
        <v>0</v>
      </c>
    </row>
    <row r="383" spans="1:6" x14ac:dyDescent="0.2">
      <c r="A383" s="65"/>
      <c r="B383" s="66"/>
      <c r="C383" s="67"/>
      <c r="D383" s="70"/>
      <c r="E383" s="68"/>
      <c r="F383" s="69"/>
    </row>
    <row r="384" spans="1:6" x14ac:dyDescent="0.2">
      <c r="A384" s="71"/>
      <c r="B384" s="62"/>
      <c r="C384" s="72"/>
      <c r="D384" s="73" t="s">
        <v>31</v>
      </c>
      <c r="E384" s="74"/>
      <c r="F384" s="75">
        <f>SUM(F380:F383)</f>
        <v>4.4723999999999995</v>
      </c>
    </row>
    <row r="385" spans="1:6" x14ac:dyDescent="0.2">
      <c r="A385" s="71"/>
      <c r="B385" s="62"/>
      <c r="C385" s="72"/>
      <c r="D385" s="76" t="s">
        <v>32</v>
      </c>
      <c r="E385" s="77"/>
      <c r="F385" s="78">
        <f>F384*E385</f>
        <v>0</v>
      </c>
    </row>
    <row r="386" spans="1:6" x14ac:dyDescent="0.2">
      <c r="A386" s="71"/>
      <c r="B386" s="62"/>
      <c r="C386" s="72"/>
      <c r="D386" s="73" t="s">
        <v>33</v>
      </c>
      <c r="E386" s="74"/>
      <c r="F386" s="78">
        <f>SUM(F384:F385)</f>
        <v>4.4723999999999995</v>
      </c>
    </row>
    <row r="387" spans="1:6" x14ac:dyDescent="0.2">
      <c r="A387" s="79"/>
      <c r="B387" s="76"/>
      <c r="C387" s="73"/>
      <c r="D387" s="80" t="s">
        <v>34</v>
      </c>
      <c r="E387" s="81"/>
      <c r="F387" s="82">
        <f>F386</f>
        <v>4.4723999999999995</v>
      </c>
    </row>
    <row r="388" spans="1:6" x14ac:dyDescent="0.2">
      <c r="A388" s="79"/>
      <c r="B388" s="76"/>
      <c r="C388" s="73"/>
      <c r="D388" s="83"/>
      <c r="E388" s="84"/>
      <c r="F388" s="85"/>
    </row>
    <row r="389" spans="1:6" x14ac:dyDescent="0.2">
      <c r="A389" s="746" t="s">
        <v>35</v>
      </c>
      <c r="B389" s="747"/>
      <c r="C389" s="747"/>
      <c r="D389" s="747"/>
      <c r="E389" s="747"/>
      <c r="F389" s="748"/>
    </row>
    <row r="390" spans="1:6" x14ac:dyDescent="0.2">
      <c r="A390" s="64" t="s">
        <v>8</v>
      </c>
      <c r="B390" s="64" t="s">
        <v>26</v>
      </c>
      <c r="C390" s="64" t="s">
        <v>11771</v>
      </c>
      <c r="D390" s="64" t="s">
        <v>28</v>
      </c>
      <c r="E390" s="64" t="s">
        <v>29</v>
      </c>
      <c r="F390" s="64" t="s">
        <v>30</v>
      </c>
    </row>
    <row r="391" spans="1:6" x14ac:dyDescent="0.2">
      <c r="A391" s="65"/>
      <c r="B391" s="87"/>
      <c r="C391" s="88"/>
      <c r="D391" s="89"/>
      <c r="E391" s="615"/>
      <c r="F391" s="622"/>
    </row>
    <row r="392" spans="1:6" ht="22.5" x14ac:dyDescent="0.2">
      <c r="A392" s="65">
        <v>43082</v>
      </c>
      <c r="B392" s="87" t="s">
        <v>13644</v>
      </c>
      <c r="C392" s="88" t="s">
        <v>506</v>
      </c>
      <c r="D392" s="614">
        <v>1.05</v>
      </c>
      <c r="E392" s="620">
        <v>5.85</v>
      </c>
      <c r="F392" s="616">
        <f>D392*E392</f>
        <v>6.1425000000000001</v>
      </c>
    </row>
    <row r="393" spans="1:6" x14ac:dyDescent="0.2">
      <c r="A393" s="65"/>
      <c r="B393" s="96"/>
      <c r="C393" s="97"/>
      <c r="D393" s="619"/>
      <c r="E393" s="620"/>
      <c r="F393" s="616"/>
    </row>
    <row r="394" spans="1:6" x14ac:dyDescent="0.2">
      <c r="A394" s="65"/>
      <c r="B394" s="87"/>
      <c r="C394" s="88"/>
      <c r="D394" s="89"/>
      <c r="E394" s="621"/>
      <c r="F394" s="616"/>
    </row>
    <row r="395" spans="1:6" x14ac:dyDescent="0.2">
      <c r="A395" s="65"/>
      <c r="B395" s="87"/>
      <c r="C395" s="88"/>
      <c r="D395" s="89"/>
      <c r="E395" s="621"/>
      <c r="F395" s="616"/>
    </row>
    <row r="396" spans="1:6" x14ac:dyDescent="0.2">
      <c r="A396" s="95"/>
      <c r="B396" s="96"/>
      <c r="C396" s="97"/>
      <c r="D396" s="98"/>
      <c r="E396" s="99"/>
      <c r="F396" s="100"/>
    </row>
    <row r="397" spans="1:6" x14ac:dyDescent="0.2">
      <c r="A397" s="79"/>
      <c r="B397" s="76"/>
      <c r="C397" s="73"/>
      <c r="D397" s="80" t="s">
        <v>36</v>
      </c>
      <c r="E397" s="81"/>
      <c r="F397" s="101">
        <f>SUM(F391:F396)</f>
        <v>6.1425000000000001</v>
      </c>
    </row>
    <row r="398" spans="1:6" x14ac:dyDescent="0.2">
      <c r="A398" s="79"/>
      <c r="B398" s="76"/>
      <c r="C398" s="73"/>
      <c r="D398" s="83"/>
      <c r="E398" s="84"/>
      <c r="F398" s="85"/>
    </row>
    <row r="399" spans="1:6" x14ac:dyDescent="0.2">
      <c r="A399" s="746" t="s">
        <v>37</v>
      </c>
      <c r="B399" s="747"/>
      <c r="C399" s="747"/>
      <c r="D399" s="747"/>
      <c r="E399" s="747"/>
      <c r="F399" s="748"/>
    </row>
    <row r="400" spans="1:6" x14ac:dyDescent="0.2">
      <c r="A400" s="64" t="s">
        <v>8</v>
      </c>
      <c r="B400" s="64" t="s">
        <v>26</v>
      </c>
      <c r="C400" s="64" t="s">
        <v>11771</v>
      </c>
      <c r="D400" s="64" t="s">
        <v>28</v>
      </c>
      <c r="E400" s="64" t="s">
        <v>29</v>
      </c>
      <c r="F400" s="64" t="s">
        <v>30</v>
      </c>
    </row>
    <row r="401" spans="1:6" x14ac:dyDescent="0.2">
      <c r="A401" s="86"/>
      <c r="B401" s="102"/>
      <c r="C401" s="88"/>
      <c r="D401" s="89"/>
      <c r="E401" s="90"/>
      <c r="F401" s="91"/>
    </row>
    <row r="402" spans="1:6" ht="22.5" x14ac:dyDescent="0.2">
      <c r="A402" s="65">
        <v>98746</v>
      </c>
      <c r="B402" s="87" t="s">
        <v>2305</v>
      </c>
      <c r="C402" s="88" t="s">
        <v>282</v>
      </c>
      <c r="D402" s="103">
        <v>6.0000000000000001E-3</v>
      </c>
      <c r="E402" s="94">
        <v>43.46</v>
      </c>
      <c r="F402" s="616">
        <f>D402*E402</f>
        <v>0.26075999999999999</v>
      </c>
    </row>
    <row r="403" spans="1:6" x14ac:dyDescent="0.2">
      <c r="A403" s="95"/>
      <c r="B403" s="96"/>
      <c r="C403" s="97"/>
      <c r="D403" s="98"/>
      <c r="E403" s="99"/>
      <c r="F403" s="104"/>
    </row>
    <row r="404" spans="1:6" x14ac:dyDescent="0.2">
      <c r="A404" s="79"/>
      <c r="B404" s="76"/>
      <c r="C404" s="73"/>
      <c r="D404" s="80" t="s">
        <v>38</v>
      </c>
      <c r="E404" s="81"/>
      <c r="F404" s="101">
        <f>SUM(F402:F403)</f>
        <v>0.26075999999999999</v>
      </c>
    </row>
    <row r="405" spans="1:6" x14ac:dyDescent="0.2">
      <c r="A405" s="79"/>
      <c r="B405" s="76"/>
      <c r="C405" s="73"/>
      <c r="D405" s="83"/>
      <c r="E405" s="84"/>
      <c r="F405" s="85"/>
    </row>
    <row r="406" spans="1:6" x14ac:dyDescent="0.2">
      <c r="A406" s="749" t="s">
        <v>39</v>
      </c>
      <c r="B406" s="750"/>
      <c r="C406" s="750"/>
      <c r="D406" s="750"/>
      <c r="E406" s="751"/>
      <c r="F406" s="105">
        <f>ROUND(F387+F397+F404,2)</f>
        <v>10.88</v>
      </c>
    </row>
    <row r="407" spans="1:6" ht="15.75" x14ac:dyDescent="0.2">
      <c r="A407" s="587" t="s">
        <v>8</v>
      </c>
      <c r="B407" s="743" t="s">
        <v>23</v>
      </c>
      <c r="C407" s="743"/>
      <c r="D407" s="743"/>
      <c r="E407" s="743"/>
      <c r="F407" s="588" t="s">
        <v>11771</v>
      </c>
    </row>
    <row r="408" spans="1:6" s="289" customFormat="1" ht="15" customHeight="1" x14ac:dyDescent="0.2">
      <c r="A408" s="63" t="s">
        <v>11036</v>
      </c>
      <c r="B408" s="744" t="str">
        <f>PO!D96</f>
        <v>Pilar em aço estrutural em Perfil "C".</v>
      </c>
      <c r="C408" s="744"/>
      <c r="D408" s="744"/>
      <c r="E408" s="744"/>
      <c r="F408" s="107" t="str">
        <f>PO!E96</f>
        <v>kg</v>
      </c>
    </row>
    <row r="409" spans="1:6" x14ac:dyDescent="0.2">
      <c r="A409" s="745" t="s">
        <v>25</v>
      </c>
      <c r="B409" s="745"/>
      <c r="C409" s="745"/>
      <c r="D409" s="745"/>
      <c r="E409" s="745"/>
      <c r="F409" s="745"/>
    </row>
    <row r="410" spans="1:6" x14ac:dyDescent="0.2">
      <c r="A410" s="64" t="s">
        <v>8</v>
      </c>
      <c r="B410" s="64" t="s">
        <v>26</v>
      </c>
      <c r="C410" s="64" t="s">
        <v>11771</v>
      </c>
      <c r="D410" s="64" t="s">
        <v>28</v>
      </c>
      <c r="E410" s="64" t="s">
        <v>29</v>
      </c>
      <c r="F410" s="64" t="s">
        <v>30</v>
      </c>
    </row>
    <row r="411" spans="1:6" x14ac:dyDescent="0.2">
      <c r="A411" s="65"/>
      <c r="B411" s="66"/>
      <c r="C411" s="67"/>
      <c r="D411" s="155"/>
      <c r="E411" s="615"/>
      <c r="F411" s="618"/>
    </row>
    <row r="412" spans="1:6" x14ac:dyDescent="0.2">
      <c r="A412" s="262">
        <v>88315</v>
      </c>
      <c r="B412" s="507" t="s">
        <v>5396</v>
      </c>
      <c r="C412" s="113" t="s">
        <v>43</v>
      </c>
      <c r="D412" s="265">
        <v>0.12</v>
      </c>
      <c r="E412" s="615">
        <v>20.329999999999998</v>
      </c>
      <c r="F412" s="288">
        <f>D412*E412</f>
        <v>2.4395999999999995</v>
      </c>
    </row>
    <row r="413" spans="1:6" x14ac:dyDescent="0.2">
      <c r="A413" s="262">
        <v>88316</v>
      </c>
      <c r="B413" s="507" t="s">
        <v>10944</v>
      </c>
      <c r="C413" s="113" t="s">
        <v>10945</v>
      </c>
      <c r="D413" s="265">
        <v>0.12</v>
      </c>
      <c r="E413" s="174">
        <v>16.940000000000001</v>
      </c>
      <c r="F413" s="288">
        <f t="shared" ref="F413:F414" si="8">D413*E413</f>
        <v>2.0327999999999999</v>
      </c>
    </row>
    <row r="414" spans="1:6" x14ac:dyDescent="0.2">
      <c r="A414" s="65"/>
      <c r="B414" s="66"/>
      <c r="C414" s="67"/>
      <c r="D414" s="155"/>
      <c r="E414" s="287"/>
      <c r="F414" s="288">
        <f t="shared" si="8"/>
        <v>0</v>
      </c>
    </row>
    <row r="415" spans="1:6" x14ac:dyDescent="0.2">
      <c r="A415" s="65"/>
      <c r="B415" s="66"/>
      <c r="C415" s="67"/>
      <c r="D415" s="70"/>
      <c r="E415" s="68"/>
      <c r="F415" s="69"/>
    </row>
    <row r="416" spans="1:6" x14ac:dyDescent="0.2">
      <c r="A416" s="71"/>
      <c r="B416" s="62"/>
      <c r="C416" s="72"/>
      <c r="D416" s="73" t="s">
        <v>31</v>
      </c>
      <c r="E416" s="74"/>
      <c r="F416" s="75">
        <f>F411+F412+F415</f>
        <v>2.4395999999999995</v>
      </c>
    </row>
    <row r="417" spans="1:6" x14ac:dyDescent="0.2">
      <c r="A417" s="71"/>
      <c r="B417" s="62"/>
      <c r="C417" s="72"/>
      <c r="D417" s="76" t="s">
        <v>32</v>
      </c>
      <c r="E417" s="77"/>
      <c r="F417" s="78">
        <f>F416*E417</f>
        <v>0</v>
      </c>
    </row>
    <row r="418" spans="1:6" x14ac:dyDescent="0.2">
      <c r="A418" s="71"/>
      <c r="B418" s="62"/>
      <c r="C418" s="72"/>
      <c r="D418" s="73" t="s">
        <v>33</v>
      </c>
      <c r="E418" s="74"/>
      <c r="F418" s="78">
        <f>SUM(F416:F417)</f>
        <v>2.4395999999999995</v>
      </c>
    </row>
    <row r="419" spans="1:6" x14ac:dyDescent="0.2">
      <c r="A419" s="79"/>
      <c r="B419" s="76"/>
      <c r="C419" s="73"/>
      <c r="D419" s="80" t="s">
        <v>34</v>
      </c>
      <c r="E419" s="81"/>
      <c r="F419" s="82">
        <f>F418</f>
        <v>2.4395999999999995</v>
      </c>
    </row>
    <row r="420" spans="1:6" x14ac:dyDescent="0.2">
      <c r="A420" s="79"/>
      <c r="B420" s="76"/>
      <c r="C420" s="73"/>
      <c r="D420" s="83"/>
      <c r="E420" s="84"/>
      <c r="F420" s="85"/>
    </row>
    <row r="421" spans="1:6" x14ac:dyDescent="0.2">
      <c r="A421" s="746" t="s">
        <v>35</v>
      </c>
      <c r="B421" s="747"/>
      <c r="C421" s="747"/>
      <c r="D421" s="747"/>
      <c r="E421" s="747"/>
      <c r="F421" s="748"/>
    </row>
    <row r="422" spans="1:6" x14ac:dyDescent="0.2">
      <c r="A422" s="64" t="s">
        <v>8</v>
      </c>
      <c r="B422" s="64" t="s">
        <v>26</v>
      </c>
      <c r="C422" s="64" t="s">
        <v>11771</v>
      </c>
      <c r="D422" s="64" t="s">
        <v>28</v>
      </c>
      <c r="E422" s="64" t="s">
        <v>29</v>
      </c>
      <c r="F422" s="64" t="s">
        <v>30</v>
      </c>
    </row>
    <row r="423" spans="1:6" x14ac:dyDescent="0.2">
      <c r="A423" s="65"/>
      <c r="B423" s="87"/>
      <c r="C423" s="88"/>
      <c r="D423" s="89"/>
      <c r="E423" s="615"/>
      <c r="F423" s="622"/>
    </row>
    <row r="424" spans="1:6" ht="22.5" x14ac:dyDescent="0.2">
      <c r="A424" s="65">
        <v>43082</v>
      </c>
      <c r="B424" s="87" t="s">
        <v>13644</v>
      </c>
      <c r="C424" s="88" t="s">
        <v>506</v>
      </c>
      <c r="D424" s="614">
        <v>1.05</v>
      </c>
      <c r="E424" s="620">
        <v>5.85</v>
      </c>
      <c r="F424" s="616">
        <f>D424*E424</f>
        <v>6.1425000000000001</v>
      </c>
    </row>
    <row r="425" spans="1:6" x14ac:dyDescent="0.2">
      <c r="A425" s="65"/>
      <c r="B425" s="96"/>
      <c r="C425" s="97"/>
      <c r="D425" s="619"/>
      <c r="E425" s="620"/>
      <c r="F425" s="616">
        <f t="shared" ref="F425:F427" si="9">D425*E425</f>
        <v>0</v>
      </c>
    </row>
    <row r="426" spans="1:6" x14ac:dyDescent="0.2">
      <c r="A426" s="65"/>
      <c r="B426" s="87"/>
      <c r="C426" s="88"/>
      <c r="D426" s="89"/>
      <c r="E426" s="621"/>
      <c r="F426" s="616">
        <f t="shared" si="9"/>
        <v>0</v>
      </c>
    </row>
    <row r="427" spans="1:6" x14ac:dyDescent="0.2">
      <c r="A427" s="65"/>
      <c r="B427" s="87"/>
      <c r="C427" s="88"/>
      <c r="D427" s="89"/>
      <c r="E427" s="621"/>
      <c r="F427" s="616">
        <f t="shared" si="9"/>
        <v>0</v>
      </c>
    </row>
    <row r="428" spans="1:6" x14ac:dyDescent="0.2">
      <c r="A428" s="95"/>
      <c r="B428" s="96"/>
      <c r="C428" s="97"/>
      <c r="D428" s="98"/>
      <c r="E428" s="99"/>
      <c r="F428" s="100"/>
    </row>
    <row r="429" spans="1:6" x14ac:dyDescent="0.2">
      <c r="A429" s="79"/>
      <c r="B429" s="76"/>
      <c r="C429" s="73"/>
      <c r="D429" s="80" t="s">
        <v>36</v>
      </c>
      <c r="E429" s="81"/>
      <c r="F429" s="101">
        <f>SUM(F423:F428)</f>
        <v>6.1425000000000001</v>
      </c>
    </row>
    <row r="430" spans="1:6" x14ac:dyDescent="0.2">
      <c r="A430" s="79"/>
      <c r="B430" s="76"/>
      <c r="C430" s="73"/>
      <c r="D430" s="83"/>
      <c r="E430" s="84"/>
      <c r="F430" s="85"/>
    </row>
    <row r="431" spans="1:6" x14ac:dyDescent="0.2">
      <c r="A431" s="746" t="s">
        <v>37</v>
      </c>
      <c r="B431" s="747"/>
      <c r="C431" s="747"/>
      <c r="D431" s="747"/>
      <c r="E431" s="747"/>
      <c r="F431" s="748"/>
    </row>
    <row r="432" spans="1:6" x14ac:dyDescent="0.2">
      <c r="A432" s="64" t="s">
        <v>8</v>
      </c>
      <c r="B432" s="64" t="s">
        <v>26</v>
      </c>
      <c r="C432" s="64" t="s">
        <v>11771</v>
      </c>
      <c r="D432" s="64" t="s">
        <v>28</v>
      </c>
      <c r="E432" s="64" t="s">
        <v>29</v>
      </c>
      <c r="F432" s="64" t="s">
        <v>30</v>
      </c>
    </row>
    <row r="433" spans="1:6" x14ac:dyDescent="0.2">
      <c r="A433" s="86"/>
      <c r="B433" s="102"/>
      <c r="C433" s="88"/>
      <c r="D433" s="89"/>
      <c r="E433" s="90"/>
      <c r="F433" s="91"/>
    </row>
    <row r="434" spans="1:6" ht="22.5" x14ac:dyDescent="0.2">
      <c r="A434" s="65">
        <v>98746</v>
      </c>
      <c r="B434" s="87" t="s">
        <v>2305</v>
      </c>
      <c r="C434" s="88" t="s">
        <v>282</v>
      </c>
      <c r="D434" s="103">
        <v>6.0000000000000001E-3</v>
      </c>
      <c r="E434" s="94">
        <v>43.46</v>
      </c>
      <c r="F434" s="616">
        <f>D434*E434</f>
        <v>0.26075999999999999</v>
      </c>
    </row>
    <row r="435" spans="1:6" x14ac:dyDescent="0.2">
      <c r="A435" s="95"/>
      <c r="B435" s="96"/>
      <c r="C435" s="97"/>
      <c r="D435" s="98"/>
      <c r="E435" s="99"/>
      <c r="F435" s="104"/>
    </row>
    <row r="436" spans="1:6" x14ac:dyDescent="0.2">
      <c r="A436" s="79"/>
      <c r="B436" s="76"/>
      <c r="C436" s="73"/>
      <c r="D436" s="80" t="s">
        <v>38</v>
      </c>
      <c r="E436" s="81"/>
      <c r="F436" s="101">
        <f>ROUND(SUM(F433:F433),2)</f>
        <v>0</v>
      </c>
    </row>
    <row r="437" spans="1:6" x14ac:dyDescent="0.2">
      <c r="A437" s="79"/>
      <c r="B437" s="76"/>
      <c r="C437" s="73"/>
      <c r="D437" s="83"/>
      <c r="E437" s="84"/>
      <c r="F437" s="85"/>
    </row>
    <row r="438" spans="1:6" x14ac:dyDescent="0.2">
      <c r="A438" s="749" t="s">
        <v>39</v>
      </c>
      <c r="B438" s="750"/>
      <c r="C438" s="750"/>
      <c r="D438" s="750"/>
      <c r="E438" s="751"/>
      <c r="F438" s="105">
        <f>ROUND(F419+F429+F436,2)</f>
        <v>8.58</v>
      </c>
    </row>
    <row r="439" spans="1:6" ht="15.75" x14ac:dyDescent="0.2">
      <c r="A439" s="587" t="s">
        <v>8</v>
      </c>
      <c r="B439" s="743" t="s">
        <v>23</v>
      </c>
      <c r="C439" s="743"/>
      <c r="D439" s="743"/>
      <c r="E439" s="743"/>
      <c r="F439" s="588" t="s">
        <v>11771</v>
      </c>
    </row>
    <row r="440" spans="1:6" s="289" customFormat="1" ht="15" customHeight="1" x14ac:dyDescent="0.2">
      <c r="A440" s="63" t="s">
        <v>11040</v>
      </c>
      <c r="B440" s="744" t="str">
        <f>PO!D99</f>
        <v>Fundo anticorrosivo a base de oxido de ferro (zarcão), duas demãos - Fornecimento e pintura</v>
      </c>
      <c r="C440" s="744"/>
      <c r="D440" s="744"/>
      <c r="E440" s="744"/>
      <c r="F440" s="107" t="str">
        <f>PO!E99</f>
        <v>m²</v>
      </c>
    </row>
    <row r="441" spans="1:6" x14ac:dyDescent="0.2">
      <c r="A441" s="745" t="s">
        <v>25</v>
      </c>
      <c r="B441" s="745"/>
      <c r="C441" s="745"/>
      <c r="D441" s="745"/>
      <c r="E441" s="745"/>
      <c r="F441" s="745"/>
    </row>
    <row r="442" spans="1:6" x14ac:dyDescent="0.2">
      <c r="A442" s="64" t="s">
        <v>8</v>
      </c>
      <c r="B442" s="64" t="s">
        <v>26</v>
      </c>
      <c r="C442" s="64" t="s">
        <v>11771</v>
      </c>
      <c r="D442" s="64" t="s">
        <v>28</v>
      </c>
      <c r="E442" s="64" t="s">
        <v>29</v>
      </c>
      <c r="F442" s="64" t="s">
        <v>30</v>
      </c>
    </row>
    <row r="443" spans="1:6" x14ac:dyDescent="0.2">
      <c r="A443" s="65"/>
      <c r="B443" s="66"/>
      <c r="C443" s="67"/>
      <c r="D443" s="155"/>
      <c r="E443" s="615"/>
      <c r="F443" s="618"/>
    </row>
    <row r="444" spans="1:6" x14ac:dyDescent="0.2">
      <c r="A444" s="262">
        <v>88310</v>
      </c>
      <c r="B444" s="507" t="s">
        <v>13810</v>
      </c>
      <c r="C444" s="113" t="s">
        <v>43</v>
      </c>
      <c r="D444" s="265">
        <v>0.4</v>
      </c>
      <c r="E444" s="615">
        <v>21.17</v>
      </c>
      <c r="F444" s="288">
        <f>D444*E444</f>
        <v>8.4680000000000017</v>
      </c>
    </row>
    <row r="445" spans="1:6" x14ac:dyDescent="0.2">
      <c r="A445" s="262">
        <v>88316</v>
      </c>
      <c r="B445" s="507" t="s">
        <v>10944</v>
      </c>
      <c r="C445" s="113" t="s">
        <v>10945</v>
      </c>
      <c r="D445" s="265">
        <v>0.3</v>
      </c>
      <c r="E445" s="620">
        <v>16.940000000000001</v>
      </c>
      <c r="F445" s="623">
        <f t="shared" ref="F445:F446" si="10">D445*E445</f>
        <v>5.0819999999999999</v>
      </c>
    </row>
    <row r="446" spans="1:6" x14ac:dyDescent="0.2">
      <c r="A446" s="65"/>
      <c r="B446" s="66"/>
      <c r="C446" s="67"/>
      <c r="D446" s="155"/>
      <c r="E446" s="287"/>
      <c r="F446" s="288">
        <f t="shared" si="10"/>
        <v>0</v>
      </c>
    </row>
    <row r="447" spans="1:6" x14ac:dyDescent="0.2">
      <c r="A447" s="65"/>
      <c r="B447" s="66"/>
      <c r="C447" s="67"/>
      <c r="D447" s="70"/>
      <c r="E447" s="68"/>
      <c r="F447" s="69"/>
    </row>
    <row r="448" spans="1:6" x14ac:dyDescent="0.2">
      <c r="A448" s="71"/>
      <c r="B448" s="62"/>
      <c r="C448" s="72"/>
      <c r="D448" s="73" t="s">
        <v>31</v>
      </c>
      <c r="E448" s="74"/>
      <c r="F448" s="75">
        <f>F443+F444+F447</f>
        <v>8.4680000000000017</v>
      </c>
    </row>
    <row r="449" spans="1:6" x14ac:dyDescent="0.2">
      <c r="A449" s="71"/>
      <c r="B449" s="62"/>
      <c r="C449" s="72"/>
      <c r="D449" s="76" t="s">
        <v>32</v>
      </c>
      <c r="E449" s="77"/>
      <c r="F449" s="78">
        <f>F448*E449</f>
        <v>0</v>
      </c>
    </row>
    <row r="450" spans="1:6" x14ac:dyDescent="0.2">
      <c r="A450" s="71"/>
      <c r="B450" s="62"/>
      <c r="C450" s="72"/>
      <c r="D450" s="73" t="s">
        <v>33</v>
      </c>
      <c r="E450" s="74"/>
      <c r="F450" s="78">
        <f>SUM(F448:F449)</f>
        <v>8.4680000000000017</v>
      </c>
    </row>
    <row r="451" spans="1:6" x14ac:dyDescent="0.2">
      <c r="A451" s="79"/>
      <c r="B451" s="76"/>
      <c r="C451" s="73"/>
      <c r="D451" s="80" t="s">
        <v>34</v>
      </c>
      <c r="E451" s="81"/>
      <c r="F451" s="82">
        <f>F450</f>
        <v>8.4680000000000017</v>
      </c>
    </row>
    <row r="452" spans="1:6" x14ac:dyDescent="0.2">
      <c r="A452" s="79"/>
      <c r="B452" s="76"/>
      <c r="C452" s="73"/>
      <c r="D452" s="83"/>
      <c r="E452" s="84"/>
      <c r="F452" s="85"/>
    </row>
    <row r="453" spans="1:6" x14ac:dyDescent="0.2">
      <c r="A453" s="746" t="s">
        <v>35</v>
      </c>
      <c r="B453" s="747"/>
      <c r="C453" s="747"/>
      <c r="D453" s="747"/>
      <c r="E453" s="747"/>
      <c r="F453" s="748"/>
    </row>
    <row r="454" spans="1:6" x14ac:dyDescent="0.2">
      <c r="A454" s="64" t="s">
        <v>8</v>
      </c>
      <c r="B454" s="64" t="s">
        <v>26</v>
      </c>
      <c r="C454" s="64" t="s">
        <v>11771</v>
      </c>
      <c r="D454" s="64" t="s">
        <v>28</v>
      </c>
      <c r="E454" s="64" t="s">
        <v>29</v>
      </c>
      <c r="F454" s="64" t="s">
        <v>30</v>
      </c>
    </row>
    <row r="455" spans="1:6" x14ac:dyDescent="0.2">
      <c r="A455" s="65"/>
      <c r="B455" s="87"/>
      <c r="C455" s="88"/>
      <c r="D455" s="89"/>
      <c r="E455" s="615"/>
      <c r="F455" s="622"/>
    </row>
    <row r="456" spans="1:6" x14ac:dyDescent="0.2">
      <c r="A456" s="65">
        <v>7307</v>
      </c>
      <c r="B456" s="87" t="s">
        <v>7912</v>
      </c>
      <c r="C456" s="88" t="s">
        <v>11692</v>
      </c>
      <c r="D456" s="614">
        <v>0.24</v>
      </c>
      <c r="E456" s="620">
        <v>23.66</v>
      </c>
      <c r="F456" s="616">
        <f>D456*E456</f>
        <v>5.6783999999999999</v>
      </c>
    </row>
    <row r="457" spans="1:6" x14ac:dyDescent="0.2">
      <c r="A457" s="65"/>
      <c r="B457" s="96"/>
      <c r="C457" s="97"/>
      <c r="D457" s="619"/>
      <c r="E457" s="620"/>
      <c r="F457" s="616">
        <f t="shared" ref="F457:F459" si="11">D457*E457</f>
        <v>0</v>
      </c>
    </row>
    <row r="458" spans="1:6" x14ac:dyDescent="0.2">
      <c r="A458" s="65"/>
      <c r="B458" s="87"/>
      <c r="C458" s="88"/>
      <c r="D458" s="89"/>
      <c r="E458" s="621"/>
      <c r="F458" s="616">
        <f t="shared" si="11"/>
        <v>0</v>
      </c>
    </row>
    <row r="459" spans="1:6" x14ac:dyDescent="0.2">
      <c r="A459" s="65"/>
      <c r="B459" s="87"/>
      <c r="C459" s="88"/>
      <c r="D459" s="89"/>
      <c r="E459" s="621"/>
      <c r="F459" s="616">
        <f t="shared" si="11"/>
        <v>0</v>
      </c>
    </row>
    <row r="460" spans="1:6" x14ac:dyDescent="0.2">
      <c r="A460" s="95"/>
      <c r="B460" s="96"/>
      <c r="C460" s="97"/>
      <c r="D460" s="98"/>
      <c r="E460" s="99"/>
      <c r="F460" s="100"/>
    </row>
    <row r="461" spans="1:6" x14ac:dyDescent="0.2">
      <c r="A461" s="79"/>
      <c r="B461" s="76"/>
      <c r="C461" s="73"/>
      <c r="D461" s="80" t="s">
        <v>36</v>
      </c>
      <c r="E461" s="81"/>
      <c r="F461" s="101">
        <f>SUM(F455:F460)</f>
        <v>5.6783999999999999</v>
      </c>
    </row>
    <row r="462" spans="1:6" x14ac:dyDescent="0.2">
      <c r="A462" s="79"/>
      <c r="B462" s="76"/>
      <c r="C462" s="73"/>
      <c r="D462" s="83"/>
      <c r="E462" s="84"/>
      <c r="F462" s="85"/>
    </row>
    <row r="463" spans="1:6" x14ac:dyDescent="0.2">
      <c r="A463" s="746" t="s">
        <v>37</v>
      </c>
      <c r="B463" s="747"/>
      <c r="C463" s="747"/>
      <c r="D463" s="747"/>
      <c r="E463" s="747"/>
      <c r="F463" s="748"/>
    </row>
    <row r="464" spans="1:6" x14ac:dyDescent="0.2">
      <c r="A464" s="64" t="s">
        <v>8</v>
      </c>
      <c r="B464" s="64" t="s">
        <v>26</v>
      </c>
      <c r="C464" s="64" t="s">
        <v>11771</v>
      </c>
      <c r="D464" s="64" t="s">
        <v>28</v>
      </c>
      <c r="E464" s="64" t="s">
        <v>29</v>
      </c>
      <c r="F464" s="64" t="s">
        <v>30</v>
      </c>
    </row>
    <row r="465" spans="1:6" x14ac:dyDescent="0.2">
      <c r="A465" s="86"/>
      <c r="B465" s="102"/>
      <c r="C465" s="88"/>
      <c r="D465" s="89"/>
      <c r="E465" s="90"/>
      <c r="F465" s="91"/>
    </row>
    <row r="466" spans="1:6" x14ac:dyDescent="0.2">
      <c r="A466" s="65"/>
      <c r="B466" s="87"/>
      <c r="C466" s="88"/>
      <c r="D466" s="103"/>
      <c r="E466" s="94"/>
      <c r="F466" s="616">
        <f>D466*E466</f>
        <v>0</v>
      </c>
    </row>
    <row r="467" spans="1:6" x14ac:dyDescent="0.2">
      <c r="A467" s="95"/>
      <c r="B467" s="96"/>
      <c r="C467" s="97"/>
      <c r="D467" s="98"/>
      <c r="E467" s="99"/>
      <c r="F467" s="104"/>
    </row>
    <row r="468" spans="1:6" x14ac:dyDescent="0.2">
      <c r="A468" s="79"/>
      <c r="B468" s="76"/>
      <c r="C468" s="73"/>
      <c r="D468" s="80" t="s">
        <v>38</v>
      </c>
      <c r="E468" s="81"/>
      <c r="F468" s="101">
        <f>ROUND(SUM(F465:F465),2)</f>
        <v>0</v>
      </c>
    </row>
    <row r="469" spans="1:6" x14ac:dyDescent="0.2">
      <c r="A469" s="79"/>
      <c r="B469" s="76"/>
      <c r="C469" s="73"/>
      <c r="D469" s="83"/>
      <c r="E469" s="84"/>
      <c r="F469" s="85"/>
    </row>
    <row r="470" spans="1:6" x14ac:dyDescent="0.2">
      <c r="A470" s="749" t="s">
        <v>39</v>
      </c>
      <c r="B470" s="750"/>
      <c r="C470" s="750"/>
      <c r="D470" s="750"/>
      <c r="E470" s="751"/>
      <c r="F470" s="105">
        <f>ROUND(F451+F461+F468,2)</f>
        <v>14.15</v>
      </c>
    </row>
    <row r="471" spans="1:6" ht="15.75" x14ac:dyDescent="0.2">
      <c r="A471" s="587" t="s">
        <v>8</v>
      </c>
      <c r="B471" s="743" t="s">
        <v>23</v>
      </c>
      <c r="C471" s="743"/>
      <c r="D471" s="743"/>
      <c r="E471" s="743"/>
      <c r="F471" s="588" t="s">
        <v>11771</v>
      </c>
    </row>
    <row r="472" spans="1:6" s="289" customFormat="1" ht="15" customHeight="1" x14ac:dyDescent="0.2">
      <c r="A472" s="63" t="s">
        <v>11041</v>
      </c>
      <c r="B472" s="744" t="str">
        <f>PO!D104</f>
        <v>Tela de aço soldada galvanizada/zincada para alvenaria, fio d = *1,20 a 1,70* mm, malha 15 x 15 mm, (c x l) *50 x 6* cm</v>
      </c>
      <c r="C472" s="744"/>
      <c r="D472" s="744"/>
      <c r="E472" s="744"/>
      <c r="F472" s="107" t="str">
        <f>PO!E104</f>
        <v>m</v>
      </c>
    </row>
    <row r="473" spans="1:6" x14ac:dyDescent="0.2">
      <c r="A473" s="745" t="s">
        <v>25</v>
      </c>
      <c r="B473" s="745"/>
      <c r="C473" s="745"/>
      <c r="D473" s="745"/>
      <c r="E473" s="745"/>
      <c r="F473" s="745"/>
    </row>
    <row r="474" spans="1:6" x14ac:dyDescent="0.2">
      <c r="A474" s="64" t="s">
        <v>8</v>
      </c>
      <c r="B474" s="64" t="s">
        <v>26</v>
      </c>
      <c r="C474" s="64" t="s">
        <v>11771</v>
      </c>
      <c r="D474" s="64" t="s">
        <v>28</v>
      </c>
      <c r="E474" s="64" t="s">
        <v>29</v>
      </c>
      <c r="F474" s="64" t="s">
        <v>30</v>
      </c>
    </row>
    <row r="475" spans="1:6" x14ac:dyDescent="0.2">
      <c r="A475" s="65"/>
      <c r="B475" s="66"/>
      <c r="C475" s="67"/>
      <c r="D475" s="155"/>
      <c r="E475" s="615"/>
      <c r="F475" s="618"/>
    </row>
    <row r="476" spans="1:6" x14ac:dyDescent="0.2">
      <c r="A476" s="262">
        <v>88309</v>
      </c>
      <c r="B476" s="507" t="s">
        <v>5390</v>
      </c>
      <c r="C476" s="113" t="s">
        <v>10945</v>
      </c>
      <c r="D476" s="265">
        <v>0.02</v>
      </c>
      <c r="E476" s="615">
        <v>20.43</v>
      </c>
      <c r="F476" s="288">
        <f>D476*E476</f>
        <v>0.40860000000000002</v>
      </c>
    </row>
    <row r="477" spans="1:6" x14ac:dyDescent="0.2">
      <c r="A477" s="262">
        <v>88316</v>
      </c>
      <c r="B477" s="507" t="s">
        <v>10944</v>
      </c>
      <c r="C477" s="113" t="s">
        <v>10945</v>
      </c>
      <c r="D477" s="265">
        <v>0.02</v>
      </c>
      <c r="E477" s="620">
        <v>16.940000000000001</v>
      </c>
      <c r="F477" s="623">
        <f t="shared" ref="F477:F478" si="12">D477*E477</f>
        <v>0.33880000000000005</v>
      </c>
    </row>
    <row r="478" spans="1:6" x14ac:dyDescent="0.2">
      <c r="A478" s="65"/>
      <c r="B478" s="66"/>
      <c r="C478" s="67"/>
      <c r="D478" s="155"/>
      <c r="E478" s="287"/>
      <c r="F478" s="288">
        <f t="shared" si="12"/>
        <v>0</v>
      </c>
    </row>
    <row r="479" spans="1:6" x14ac:dyDescent="0.2">
      <c r="A479" s="65"/>
      <c r="B479" s="66"/>
      <c r="C479" s="67"/>
      <c r="D479" s="70"/>
      <c r="E479" s="68"/>
      <c r="F479" s="69"/>
    </row>
    <row r="480" spans="1:6" x14ac:dyDescent="0.2">
      <c r="A480" s="71"/>
      <c r="B480" s="62"/>
      <c r="C480" s="72"/>
      <c r="D480" s="73" t="s">
        <v>31</v>
      </c>
      <c r="E480" s="74"/>
      <c r="F480" s="75">
        <f>SUM(F476:F479)</f>
        <v>0.74740000000000006</v>
      </c>
    </row>
    <row r="481" spans="1:6" x14ac:dyDescent="0.2">
      <c r="A481" s="71"/>
      <c r="B481" s="62"/>
      <c r="C481" s="72"/>
      <c r="D481" s="76" t="s">
        <v>32</v>
      </c>
      <c r="E481" s="77"/>
      <c r="F481" s="78">
        <f>F480*E481</f>
        <v>0</v>
      </c>
    </row>
    <row r="482" spans="1:6" x14ac:dyDescent="0.2">
      <c r="A482" s="71"/>
      <c r="B482" s="62"/>
      <c r="C482" s="72"/>
      <c r="D482" s="73" t="s">
        <v>33</v>
      </c>
      <c r="E482" s="74"/>
      <c r="F482" s="78">
        <f>SUM(F480:F481)</f>
        <v>0.74740000000000006</v>
      </c>
    </row>
    <row r="483" spans="1:6" x14ac:dyDescent="0.2">
      <c r="A483" s="79"/>
      <c r="B483" s="76"/>
      <c r="C483" s="73"/>
      <c r="D483" s="80" t="s">
        <v>34</v>
      </c>
      <c r="E483" s="81"/>
      <c r="F483" s="82">
        <f>F482</f>
        <v>0.74740000000000006</v>
      </c>
    </row>
    <row r="484" spans="1:6" x14ac:dyDescent="0.2">
      <c r="A484" s="79"/>
      <c r="B484" s="76"/>
      <c r="C484" s="73"/>
      <c r="D484" s="83"/>
      <c r="E484" s="84"/>
      <c r="F484" s="85"/>
    </row>
    <row r="485" spans="1:6" x14ac:dyDescent="0.2">
      <c r="A485" s="746" t="s">
        <v>35</v>
      </c>
      <c r="B485" s="747"/>
      <c r="C485" s="747"/>
      <c r="D485" s="747"/>
      <c r="E485" s="747"/>
      <c r="F485" s="748"/>
    </row>
    <row r="486" spans="1:6" x14ac:dyDescent="0.2">
      <c r="A486" s="64" t="s">
        <v>8</v>
      </c>
      <c r="B486" s="64" t="s">
        <v>26</v>
      </c>
      <c r="C486" s="64" t="s">
        <v>11771</v>
      </c>
      <c r="D486" s="64" t="s">
        <v>28</v>
      </c>
      <c r="E486" s="64" t="s">
        <v>29</v>
      </c>
      <c r="F486" s="64" t="s">
        <v>30</v>
      </c>
    </row>
    <row r="487" spans="1:6" x14ac:dyDescent="0.2">
      <c r="A487" s="65"/>
      <c r="B487" s="87"/>
      <c r="C487" s="88"/>
      <c r="D487" s="89"/>
      <c r="E487" s="615"/>
      <c r="F487" s="622"/>
    </row>
    <row r="488" spans="1:6" ht="22.5" x14ac:dyDescent="0.2">
      <c r="A488" s="65">
        <v>34550</v>
      </c>
      <c r="B488" s="87" t="s">
        <v>10118</v>
      </c>
      <c r="C488" s="88" t="s">
        <v>47</v>
      </c>
      <c r="D488" s="614">
        <v>1</v>
      </c>
      <c r="E488" s="620">
        <v>1.31</v>
      </c>
      <c r="F488" s="616">
        <f>D488*E488</f>
        <v>1.31</v>
      </c>
    </row>
    <row r="489" spans="1:6" x14ac:dyDescent="0.2">
      <c r="A489" s="65"/>
      <c r="B489" s="96"/>
      <c r="C489" s="97"/>
      <c r="D489" s="619"/>
      <c r="E489" s="620"/>
      <c r="F489" s="616">
        <f t="shared" ref="F489:F491" si="13">D489*E489</f>
        <v>0</v>
      </c>
    </row>
    <row r="490" spans="1:6" x14ac:dyDescent="0.2">
      <c r="A490" s="65"/>
      <c r="B490" s="87"/>
      <c r="C490" s="88"/>
      <c r="D490" s="89"/>
      <c r="E490" s="621"/>
      <c r="F490" s="616">
        <f t="shared" si="13"/>
        <v>0</v>
      </c>
    </row>
    <row r="491" spans="1:6" x14ac:dyDescent="0.2">
      <c r="A491" s="65"/>
      <c r="B491" s="87"/>
      <c r="C491" s="88"/>
      <c r="D491" s="89"/>
      <c r="E491" s="621"/>
      <c r="F491" s="616">
        <f t="shared" si="13"/>
        <v>0</v>
      </c>
    </row>
    <row r="492" spans="1:6" x14ac:dyDescent="0.2">
      <c r="A492" s="95"/>
      <c r="B492" s="96"/>
      <c r="C492" s="97"/>
      <c r="D492" s="98"/>
      <c r="E492" s="99"/>
      <c r="F492" s="100"/>
    </row>
    <row r="493" spans="1:6" x14ac:dyDescent="0.2">
      <c r="A493" s="79"/>
      <c r="B493" s="76"/>
      <c r="C493" s="73"/>
      <c r="D493" s="80" t="s">
        <v>36</v>
      </c>
      <c r="E493" s="81"/>
      <c r="F493" s="101">
        <f>SUM(F487:F492)</f>
        <v>1.31</v>
      </c>
    </row>
    <row r="494" spans="1:6" x14ac:dyDescent="0.2">
      <c r="A494" s="79"/>
      <c r="B494" s="76"/>
      <c r="C494" s="73"/>
      <c r="D494" s="83"/>
      <c r="E494" s="84"/>
      <c r="F494" s="85"/>
    </row>
    <row r="495" spans="1:6" x14ac:dyDescent="0.2">
      <c r="A495" s="746" t="s">
        <v>37</v>
      </c>
      <c r="B495" s="747"/>
      <c r="C495" s="747"/>
      <c r="D495" s="747"/>
      <c r="E495" s="747"/>
      <c r="F495" s="748"/>
    </row>
    <row r="496" spans="1:6" x14ac:dyDescent="0.2">
      <c r="A496" s="64" t="s">
        <v>8</v>
      </c>
      <c r="B496" s="64" t="s">
        <v>26</v>
      </c>
      <c r="C496" s="64" t="s">
        <v>11771</v>
      </c>
      <c r="D496" s="64" t="s">
        <v>28</v>
      </c>
      <c r="E496" s="64" t="s">
        <v>29</v>
      </c>
      <c r="F496" s="64" t="s">
        <v>30</v>
      </c>
    </row>
    <row r="497" spans="1:6" x14ac:dyDescent="0.2">
      <c r="A497" s="86"/>
      <c r="B497" s="102"/>
      <c r="C497" s="88"/>
      <c r="D497" s="89"/>
      <c r="E497" s="90"/>
      <c r="F497" s="91"/>
    </row>
    <row r="498" spans="1:6" x14ac:dyDescent="0.2">
      <c r="A498" s="65"/>
      <c r="B498" s="87"/>
      <c r="C498" s="88"/>
      <c r="D498" s="103"/>
      <c r="E498" s="94"/>
      <c r="F498" s="616">
        <f>D498*E498</f>
        <v>0</v>
      </c>
    </row>
    <row r="499" spans="1:6" x14ac:dyDescent="0.2">
      <c r="A499" s="95"/>
      <c r="B499" s="96"/>
      <c r="C499" s="97"/>
      <c r="D499" s="98"/>
      <c r="E499" s="99"/>
      <c r="F499" s="104"/>
    </row>
    <row r="500" spans="1:6" x14ac:dyDescent="0.2">
      <c r="A500" s="79"/>
      <c r="B500" s="76"/>
      <c r="C500" s="73"/>
      <c r="D500" s="80" t="s">
        <v>38</v>
      </c>
      <c r="E500" s="81"/>
      <c r="F500" s="101">
        <f>ROUND(SUM(F497:F497),2)</f>
        <v>0</v>
      </c>
    </row>
    <row r="501" spans="1:6" x14ac:dyDescent="0.2">
      <c r="A501" s="79"/>
      <c r="B501" s="76"/>
      <c r="C501" s="73"/>
      <c r="D501" s="83"/>
      <c r="E501" s="84"/>
      <c r="F501" s="85"/>
    </row>
    <row r="502" spans="1:6" x14ac:dyDescent="0.2">
      <c r="A502" s="749" t="s">
        <v>39</v>
      </c>
      <c r="B502" s="750"/>
      <c r="C502" s="750"/>
      <c r="D502" s="750"/>
      <c r="E502" s="751"/>
      <c r="F502" s="105">
        <f>ROUND(F483+F493+F500,2)</f>
        <v>2.06</v>
      </c>
    </row>
    <row r="503" spans="1:6" ht="15.75" x14ac:dyDescent="0.2">
      <c r="A503" s="587" t="s">
        <v>8</v>
      </c>
      <c r="B503" s="743" t="s">
        <v>23</v>
      </c>
      <c r="C503" s="743"/>
      <c r="D503" s="743"/>
      <c r="E503" s="743"/>
      <c r="F503" s="588" t="s">
        <v>24</v>
      </c>
    </row>
    <row r="504" spans="1:6" ht="15" customHeight="1" x14ac:dyDescent="0.2">
      <c r="A504" s="63" t="s">
        <v>11042</v>
      </c>
      <c r="B504" s="744" t="str">
        <f>PO!D105</f>
        <v>Ferro cabelo (travamento pilar metálico x alvenaria) D=4.2mmx0.88m</v>
      </c>
      <c r="C504" s="744"/>
      <c r="D504" s="744"/>
      <c r="E504" s="744"/>
      <c r="F504" s="107" t="s">
        <v>10884</v>
      </c>
    </row>
    <row r="505" spans="1:6" x14ac:dyDescent="0.2">
      <c r="A505" s="745" t="s">
        <v>25</v>
      </c>
      <c r="B505" s="745"/>
      <c r="C505" s="745"/>
      <c r="D505" s="745"/>
      <c r="E505" s="745"/>
      <c r="F505" s="745"/>
    </row>
    <row r="506" spans="1:6" x14ac:dyDescent="0.2">
      <c r="A506" s="64" t="s">
        <v>8</v>
      </c>
      <c r="B506" s="64" t="s">
        <v>26</v>
      </c>
      <c r="C506" s="64" t="s">
        <v>27</v>
      </c>
      <c r="D506" s="64" t="s">
        <v>28</v>
      </c>
      <c r="E506" s="64" t="s">
        <v>29</v>
      </c>
      <c r="F506" s="64" t="s">
        <v>30</v>
      </c>
    </row>
    <row r="507" spans="1:6" x14ac:dyDescent="0.2">
      <c r="A507" s="65">
        <v>88317</v>
      </c>
      <c r="B507" s="66" t="s">
        <v>11066</v>
      </c>
      <c r="C507" s="67" t="s">
        <v>10945</v>
      </c>
      <c r="D507" s="238">
        <v>3.5000000000000003E-2</v>
      </c>
      <c r="E507" s="174">
        <v>21.52</v>
      </c>
      <c r="F507" s="174">
        <f>D507*E507</f>
        <v>0.75320000000000009</v>
      </c>
    </row>
    <row r="508" spans="1:6" x14ac:dyDescent="0.2">
      <c r="A508" s="65"/>
      <c r="B508" s="66"/>
      <c r="C508" s="67"/>
      <c r="D508" s="238"/>
      <c r="E508" s="174"/>
      <c r="F508" s="174">
        <f>D508*E508</f>
        <v>0</v>
      </c>
    </row>
    <row r="509" spans="1:6" x14ac:dyDescent="0.2">
      <c r="A509" s="65"/>
      <c r="B509" s="66"/>
      <c r="C509" s="67"/>
      <c r="D509" s="155"/>
      <c r="E509" s="99"/>
      <c r="F509" s="100"/>
    </row>
    <row r="510" spans="1:6" x14ac:dyDescent="0.2">
      <c r="A510" s="71"/>
      <c r="B510" s="62"/>
      <c r="C510" s="72"/>
      <c r="D510" s="73" t="s">
        <v>31</v>
      </c>
      <c r="E510" s="74"/>
      <c r="F510" s="75">
        <f>F507+F508+F509</f>
        <v>0.75320000000000009</v>
      </c>
    </row>
    <row r="511" spans="1:6" x14ac:dyDescent="0.2">
      <c r="A511" s="71"/>
      <c r="B511" s="62"/>
      <c r="C511" s="72"/>
      <c r="D511" s="76" t="s">
        <v>32</v>
      </c>
      <c r="E511" s="77"/>
      <c r="F511" s="78">
        <f>F510*E511</f>
        <v>0</v>
      </c>
    </row>
    <row r="512" spans="1:6" x14ac:dyDescent="0.2">
      <c r="A512" s="71"/>
      <c r="B512" s="62"/>
      <c r="C512" s="72"/>
      <c r="D512" s="73" t="s">
        <v>33</v>
      </c>
      <c r="E512" s="74"/>
      <c r="F512" s="78">
        <f>SUM(F510:F511)</f>
        <v>0.75320000000000009</v>
      </c>
    </row>
    <row r="513" spans="1:6" x14ac:dyDescent="0.2">
      <c r="A513" s="79"/>
      <c r="B513" s="76"/>
      <c r="C513" s="73"/>
      <c r="D513" s="80" t="s">
        <v>34</v>
      </c>
      <c r="E513" s="81"/>
      <c r="F513" s="82">
        <f>F512</f>
        <v>0.75320000000000009</v>
      </c>
    </row>
    <row r="514" spans="1:6" x14ac:dyDescent="0.2">
      <c r="A514" s="79"/>
      <c r="B514" s="76"/>
      <c r="C514" s="73"/>
      <c r="D514" s="83"/>
      <c r="E514" s="84"/>
      <c r="F514" s="85"/>
    </row>
    <row r="515" spans="1:6" x14ac:dyDescent="0.2">
      <c r="A515" s="746" t="s">
        <v>35</v>
      </c>
      <c r="B515" s="747"/>
      <c r="C515" s="747"/>
      <c r="D515" s="747"/>
      <c r="E515" s="747"/>
      <c r="F515" s="748"/>
    </row>
    <row r="516" spans="1:6" x14ac:dyDescent="0.2">
      <c r="A516" s="64" t="s">
        <v>8</v>
      </c>
      <c r="B516" s="64" t="s">
        <v>26</v>
      </c>
      <c r="C516" s="64" t="s">
        <v>27</v>
      </c>
      <c r="D516" s="64" t="s">
        <v>28</v>
      </c>
      <c r="E516" s="64" t="s">
        <v>29</v>
      </c>
      <c r="F516" s="64" t="s">
        <v>30</v>
      </c>
    </row>
    <row r="517" spans="1:6" x14ac:dyDescent="0.2">
      <c r="A517" s="65">
        <v>43061</v>
      </c>
      <c r="B517" s="241" t="s">
        <v>11069</v>
      </c>
      <c r="C517" s="88" t="s">
        <v>11068</v>
      </c>
      <c r="D517" s="89">
        <v>0.1</v>
      </c>
      <c r="E517" s="173">
        <v>6.18</v>
      </c>
      <c r="F517" s="174">
        <f>D517*E517</f>
        <v>0.61799999999999999</v>
      </c>
    </row>
    <row r="518" spans="1:6" ht="15" x14ac:dyDescent="0.25">
      <c r="A518" s="65"/>
      <c r="B518" s="240"/>
      <c r="C518" s="88"/>
      <c r="D518" s="89"/>
      <c r="E518" s="173"/>
      <c r="F518" s="174">
        <f>D518*E518</f>
        <v>0</v>
      </c>
    </row>
    <row r="519" spans="1:6" x14ac:dyDescent="0.2">
      <c r="A519" s="95"/>
      <c r="B519" s="96"/>
      <c r="C519" s="97"/>
      <c r="D519" s="98"/>
      <c r="E519" s="99"/>
      <c r="F519" s="100"/>
    </row>
    <row r="520" spans="1:6" x14ac:dyDescent="0.2">
      <c r="A520" s="79"/>
      <c r="B520" s="76"/>
      <c r="C520" s="73"/>
      <c r="D520" s="80" t="s">
        <v>36</v>
      </c>
      <c r="E520" s="81"/>
      <c r="F520" s="101">
        <f>SUM(F517:F519)</f>
        <v>0.61799999999999999</v>
      </c>
    </row>
    <row r="521" spans="1:6" x14ac:dyDescent="0.2">
      <c r="A521" s="79"/>
      <c r="B521" s="76"/>
      <c r="C521" s="73"/>
      <c r="D521" s="83"/>
      <c r="E521" s="84"/>
      <c r="F521" s="85"/>
    </row>
    <row r="522" spans="1:6" x14ac:dyDescent="0.2">
      <c r="A522" s="746" t="s">
        <v>37</v>
      </c>
      <c r="B522" s="747"/>
      <c r="C522" s="747"/>
      <c r="D522" s="747"/>
      <c r="E522" s="747"/>
      <c r="F522" s="748"/>
    </row>
    <row r="523" spans="1:6" x14ac:dyDescent="0.2">
      <c r="A523" s="64" t="s">
        <v>8</v>
      </c>
      <c r="B523" s="64" t="s">
        <v>26</v>
      </c>
      <c r="C523" s="64" t="s">
        <v>27</v>
      </c>
      <c r="D523" s="64" t="s">
        <v>28</v>
      </c>
      <c r="E523" s="64" t="s">
        <v>29</v>
      </c>
      <c r="F523" s="64" t="s">
        <v>30</v>
      </c>
    </row>
    <row r="524" spans="1:6" x14ac:dyDescent="0.2">
      <c r="A524" s="65">
        <v>10998</v>
      </c>
      <c r="B524" s="66" t="s">
        <v>11067</v>
      </c>
      <c r="C524" s="88" t="s">
        <v>11068</v>
      </c>
      <c r="D524" s="89">
        <v>0.06</v>
      </c>
      <c r="E524" s="174">
        <v>16.77</v>
      </c>
      <c r="F524" s="174">
        <f>D524*E524</f>
        <v>1.0062</v>
      </c>
    </row>
    <row r="525" spans="1:6" x14ac:dyDescent="0.2">
      <c r="A525" s="92"/>
      <c r="B525" s="87"/>
      <c r="C525" s="88"/>
      <c r="D525" s="103"/>
      <c r="E525" s="94"/>
      <c r="F525" s="100"/>
    </row>
    <row r="526" spans="1:6" x14ac:dyDescent="0.2">
      <c r="A526" s="95"/>
      <c r="B526" s="96"/>
      <c r="C526" s="97"/>
      <c r="D526" s="98"/>
      <c r="E526" s="99"/>
      <c r="F526" s="104"/>
    </row>
    <row r="527" spans="1:6" x14ac:dyDescent="0.2">
      <c r="A527" s="79"/>
      <c r="B527" s="76"/>
      <c r="C527" s="73"/>
      <c r="D527" s="80" t="s">
        <v>38</v>
      </c>
      <c r="E527" s="81"/>
      <c r="F527" s="101">
        <f>ROUND(SUM(F524:F524),2)</f>
        <v>1.01</v>
      </c>
    </row>
    <row r="528" spans="1:6" x14ac:dyDescent="0.2">
      <c r="A528" s="79"/>
      <c r="B528" s="76"/>
      <c r="C528" s="73"/>
      <c r="D528" s="83"/>
      <c r="E528" s="84"/>
      <c r="F528" s="85"/>
    </row>
    <row r="529" spans="1:8" x14ac:dyDescent="0.2">
      <c r="A529" s="749" t="s">
        <v>39</v>
      </c>
      <c r="B529" s="750"/>
      <c r="C529" s="750"/>
      <c r="D529" s="750"/>
      <c r="E529" s="751"/>
      <c r="F529" s="105">
        <f>ROUND(F513+F520+F527,2)</f>
        <v>2.38</v>
      </c>
    </row>
    <row r="530" spans="1:8" ht="15.75" x14ac:dyDescent="0.2">
      <c r="A530" s="587" t="s">
        <v>8</v>
      </c>
      <c r="B530" s="743" t="s">
        <v>23</v>
      </c>
      <c r="C530" s="743"/>
      <c r="D530" s="743"/>
      <c r="E530" s="743"/>
      <c r="F530" s="588" t="s">
        <v>11771</v>
      </c>
    </row>
    <row r="531" spans="1:8" ht="15" customHeight="1" x14ac:dyDescent="0.2">
      <c r="A531" s="337" t="s">
        <v>11053</v>
      </c>
      <c r="B531" s="744" t="str">
        <f>PO!D112</f>
        <v xml:space="preserve">Fabricação e Instalação de Tesoura Inteira em Aço, para vãos maiores de 16 m, Para Telha Ondulada de Fibrocimento, Metálica, Plástica ou Termoacústica, Incluso Içamento. </v>
      </c>
      <c r="C531" s="744"/>
      <c r="D531" s="744"/>
      <c r="E531" s="744"/>
      <c r="F531" s="107" t="s">
        <v>10884</v>
      </c>
    </row>
    <row r="532" spans="1:8" x14ac:dyDescent="0.2">
      <c r="A532" s="745" t="s">
        <v>25</v>
      </c>
      <c r="B532" s="745"/>
      <c r="C532" s="745"/>
      <c r="D532" s="745"/>
      <c r="E532" s="745"/>
      <c r="F532" s="745"/>
    </row>
    <row r="533" spans="1:8" x14ac:dyDescent="0.2">
      <c r="A533" s="64" t="s">
        <v>8</v>
      </c>
      <c r="B533" s="64" t="s">
        <v>26</v>
      </c>
      <c r="C533" s="64" t="s">
        <v>11771</v>
      </c>
      <c r="D533" s="64" t="s">
        <v>28</v>
      </c>
      <c r="E533" s="64" t="s">
        <v>29</v>
      </c>
      <c r="F533" s="64" t="s">
        <v>30</v>
      </c>
    </row>
    <row r="534" spans="1:8" ht="15" x14ac:dyDescent="0.25">
      <c r="A534" s="65">
        <v>88278</v>
      </c>
      <c r="B534" s="87" t="s">
        <v>11790</v>
      </c>
      <c r="C534" s="88" t="s">
        <v>10945</v>
      </c>
      <c r="D534" s="89">
        <v>8.3000000000000004E-2</v>
      </c>
      <c r="E534" s="174">
        <v>19.37</v>
      </c>
      <c r="F534" s="292">
        <f>D534*E534</f>
        <v>1.6077100000000002</v>
      </c>
      <c r="H534"/>
    </row>
    <row r="535" spans="1:8" x14ac:dyDescent="0.2">
      <c r="A535" s="65">
        <v>88316</v>
      </c>
      <c r="B535" s="87" t="s">
        <v>10944</v>
      </c>
      <c r="C535" s="88" t="s">
        <v>10945</v>
      </c>
      <c r="D535" s="89">
        <v>2.7E-2</v>
      </c>
      <c r="E535" s="174">
        <v>16.940000000000001</v>
      </c>
      <c r="F535" s="292">
        <f>D535*E535</f>
        <v>0.45738000000000001</v>
      </c>
    </row>
    <row r="536" spans="1:8" x14ac:dyDescent="0.2">
      <c r="A536" s="65"/>
      <c r="B536" s="87"/>
      <c r="C536" s="88"/>
      <c r="D536" s="89"/>
      <c r="E536" s="287"/>
      <c r="F536" s="292"/>
    </row>
    <row r="537" spans="1:8" x14ac:dyDescent="0.2">
      <c r="A537" s="71"/>
      <c r="B537" s="62"/>
      <c r="C537" s="72"/>
      <c r="D537" s="73" t="s">
        <v>31</v>
      </c>
      <c r="E537" s="74"/>
      <c r="F537" s="75">
        <f>F534+F535+F536</f>
        <v>2.0650900000000001</v>
      </c>
    </row>
    <row r="538" spans="1:8" x14ac:dyDescent="0.2">
      <c r="A538" s="71"/>
      <c r="B538" s="62"/>
      <c r="C538" s="72"/>
      <c r="D538" s="76" t="s">
        <v>32</v>
      </c>
      <c r="E538" s="77"/>
      <c r="F538" s="78">
        <f>F537*E538</f>
        <v>0</v>
      </c>
    </row>
    <row r="539" spans="1:8" x14ac:dyDescent="0.2">
      <c r="A539" s="71"/>
      <c r="B539" s="62"/>
      <c r="C539" s="72"/>
      <c r="D539" s="73" t="s">
        <v>33</v>
      </c>
      <c r="E539" s="74"/>
      <c r="F539" s="78">
        <f>SUM(F537:F538)</f>
        <v>2.0650900000000001</v>
      </c>
    </row>
    <row r="540" spans="1:8" x14ac:dyDescent="0.2">
      <c r="A540" s="79"/>
      <c r="B540" s="76"/>
      <c r="C540" s="73"/>
      <c r="D540" s="80" t="s">
        <v>34</v>
      </c>
      <c r="E540" s="81"/>
      <c r="F540" s="82">
        <f>F539</f>
        <v>2.0650900000000001</v>
      </c>
    </row>
    <row r="541" spans="1:8" x14ac:dyDescent="0.2">
      <c r="A541" s="79"/>
      <c r="B541" s="76"/>
      <c r="C541" s="73"/>
      <c r="D541" s="83"/>
      <c r="E541" s="84"/>
      <c r="F541" s="85"/>
    </row>
    <row r="542" spans="1:8" x14ac:dyDescent="0.2">
      <c r="A542" s="746" t="s">
        <v>35</v>
      </c>
      <c r="B542" s="747"/>
      <c r="C542" s="747"/>
      <c r="D542" s="747"/>
      <c r="E542" s="747"/>
      <c r="F542" s="748"/>
    </row>
    <row r="543" spans="1:8" ht="24" customHeight="1" x14ac:dyDescent="0.2">
      <c r="A543" s="64" t="s">
        <v>8</v>
      </c>
      <c r="B543" s="64" t="s">
        <v>26</v>
      </c>
      <c r="C543" s="64" t="s">
        <v>11771</v>
      </c>
      <c r="D543" s="64" t="s">
        <v>28</v>
      </c>
      <c r="E543" s="64" t="s">
        <v>29</v>
      </c>
      <c r="F543" s="64" t="s">
        <v>30</v>
      </c>
    </row>
    <row r="544" spans="1:8" x14ac:dyDescent="0.2">
      <c r="A544" s="65">
        <v>10997</v>
      </c>
      <c r="B544" s="87" t="s">
        <v>11791</v>
      </c>
      <c r="C544" s="88" t="s">
        <v>11068</v>
      </c>
      <c r="D544" s="293">
        <v>4.1000000000000003E-3</v>
      </c>
      <c r="E544" s="174">
        <v>16</v>
      </c>
      <c r="F544" s="292">
        <f>D544*E544</f>
        <v>6.5600000000000006E-2</v>
      </c>
    </row>
    <row r="545" spans="1:6" ht="22.5" x14ac:dyDescent="0.2">
      <c r="A545" s="65">
        <v>11964</v>
      </c>
      <c r="B545" s="87" t="s">
        <v>11792</v>
      </c>
      <c r="C545" s="88" t="s">
        <v>11793</v>
      </c>
      <c r="D545" s="89">
        <v>0.12</v>
      </c>
      <c r="E545" s="174">
        <v>1.46</v>
      </c>
      <c r="F545" s="292">
        <f t="shared" ref="F545:F547" si="14">D545*E545</f>
        <v>0.17519999999999999</v>
      </c>
    </row>
    <row r="546" spans="1:6" ht="22.5" x14ac:dyDescent="0.2">
      <c r="A546" s="65">
        <v>40598</v>
      </c>
      <c r="B546" s="87" t="s">
        <v>11794</v>
      </c>
      <c r="C546" s="88" t="s">
        <v>11068</v>
      </c>
      <c r="D546" s="89">
        <v>0.99903299999999995</v>
      </c>
      <c r="E546" s="174">
        <v>4.9400000000000004</v>
      </c>
      <c r="F546" s="292">
        <f t="shared" si="14"/>
        <v>4.9352230200000005</v>
      </c>
    </row>
    <row r="547" spans="1:6" ht="22.5" x14ac:dyDescent="0.2">
      <c r="A547" s="65">
        <v>4777</v>
      </c>
      <c r="B547" s="87" t="s">
        <v>11795</v>
      </c>
      <c r="C547" s="88" t="s">
        <v>11068</v>
      </c>
      <c r="D547" s="89">
        <v>0.41</v>
      </c>
      <c r="E547" s="174">
        <v>4.6900000000000004</v>
      </c>
      <c r="F547" s="292">
        <f t="shared" si="14"/>
        <v>1.9229000000000001</v>
      </c>
    </row>
    <row r="548" spans="1:6" x14ac:dyDescent="0.2">
      <c r="A548" s="79"/>
      <c r="B548" s="76"/>
      <c r="C548" s="73"/>
      <c r="D548" s="80" t="s">
        <v>36</v>
      </c>
      <c r="E548" s="81"/>
      <c r="F548" s="101">
        <f>SUM(F544:F547)</f>
        <v>7.0989230200000009</v>
      </c>
    </row>
    <row r="549" spans="1:6" x14ac:dyDescent="0.2">
      <c r="A549" s="79"/>
      <c r="B549" s="76"/>
      <c r="C549" s="73"/>
      <c r="D549" s="83"/>
      <c r="E549" s="84"/>
      <c r="F549" s="85"/>
    </row>
    <row r="550" spans="1:6" x14ac:dyDescent="0.2">
      <c r="A550" s="746" t="s">
        <v>37</v>
      </c>
      <c r="B550" s="747"/>
      <c r="C550" s="747"/>
      <c r="D550" s="747"/>
      <c r="E550" s="747"/>
      <c r="F550" s="748"/>
    </row>
    <row r="551" spans="1:6" x14ac:dyDescent="0.2">
      <c r="A551" s="64" t="s">
        <v>8</v>
      </c>
      <c r="B551" s="64" t="s">
        <v>26</v>
      </c>
      <c r="C551" s="64" t="s">
        <v>11771</v>
      </c>
      <c r="D551" s="64" t="s">
        <v>28</v>
      </c>
      <c r="E551" s="64" t="s">
        <v>29</v>
      </c>
      <c r="F551" s="64" t="s">
        <v>30</v>
      </c>
    </row>
    <row r="552" spans="1:6" ht="22.5" x14ac:dyDescent="0.2">
      <c r="A552" s="65">
        <v>93287</v>
      </c>
      <c r="B552" s="87" t="s">
        <v>11796</v>
      </c>
      <c r="C552" s="88" t="s">
        <v>11797</v>
      </c>
      <c r="D552" s="293">
        <v>1.1329999999999999E-3</v>
      </c>
      <c r="E552" s="174">
        <v>344.49</v>
      </c>
      <c r="F552" s="292">
        <f>D552*E552</f>
        <v>0.39030716999999998</v>
      </c>
    </row>
    <row r="553" spans="1:6" ht="22.5" x14ac:dyDescent="0.2">
      <c r="A553" s="65">
        <v>93288</v>
      </c>
      <c r="B553" s="87" t="s">
        <v>11798</v>
      </c>
      <c r="C553" s="88" t="s">
        <v>11799</v>
      </c>
      <c r="D553" s="293">
        <v>1.5579999999999999E-3</v>
      </c>
      <c r="E553" s="174">
        <v>89.85</v>
      </c>
      <c r="F553" s="292">
        <f>D553*E553</f>
        <v>0.13998629999999998</v>
      </c>
    </row>
    <row r="554" spans="1:6" x14ac:dyDescent="0.2">
      <c r="A554" s="95"/>
      <c r="B554" s="96"/>
      <c r="C554" s="97"/>
      <c r="D554" s="98"/>
      <c r="E554" s="99"/>
      <c r="F554" s="104"/>
    </row>
    <row r="555" spans="1:6" x14ac:dyDescent="0.2">
      <c r="A555" s="79"/>
      <c r="B555" s="76"/>
      <c r="C555" s="73"/>
      <c r="D555" s="80" t="s">
        <v>38</v>
      </c>
      <c r="E555" s="81"/>
      <c r="F555" s="101">
        <f>ROUND(SUM(F552:F553),2)</f>
        <v>0.53</v>
      </c>
    </row>
    <row r="556" spans="1:6" x14ac:dyDescent="0.2">
      <c r="A556" s="79"/>
      <c r="B556" s="76"/>
      <c r="C556" s="73"/>
      <c r="D556" s="83"/>
      <c r="E556" s="84"/>
      <c r="F556" s="85"/>
    </row>
    <row r="557" spans="1:6" x14ac:dyDescent="0.2">
      <c r="A557" s="749" t="s">
        <v>39</v>
      </c>
      <c r="B557" s="750"/>
      <c r="C557" s="750"/>
      <c r="D557" s="750"/>
      <c r="E557" s="751"/>
      <c r="F557" s="105">
        <f>ROUND(F540+F548+F555,2)</f>
        <v>9.69</v>
      </c>
    </row>
    <row r="558" spans="1:6" ht="15.75" x14ac:dyDescent="0.2">
      <c r="A558" s="587" t="s">
        <v>8</v>
      </c>
      <c r="B558" s="743" t="s">
        <v>23</v>
      </c>
      <c r="C558" s="743"/>
      <c r="D558" s="743"/>
      <c r="E558" s="743"/>
      <c r="F558" s="588" t="s">
        <v>11771</v>
      </c>
    </row>
    <row r="559" spans="1:6" ht="15" customHeight="1" x14ac:dyDescent="0.2">
      <c r="A559" s="337" t="s">
        <v>11054</v>
      </c>
      <c r="B559" s="744" t="str">
        <f>PO!D114</f>
        <v>Fundo anticorrosivo a base de oxido de ferro (zarcão), duas demãos - Fornecimento e pintura</v>
      </c>
      <c r="C559" s="744"/>
      <c r="D559" s="744"/>
      <c r="E559" s="744"/>
      <c r="F559" s="107" t="s">
        <v>10884</v>
      </c>
    </row>
    <row r="560" spans="1:6" x14ac:dyDescent="0.2">
      <c r="A560" s="745" t="s">
        <v>25</v>
      </c>
      <c r="B560" s="745"/>
      <c r="C560" s="745"/>
      <c r="D560" s="745"/>
      <c r="E560" s="745"/>
      <c r="F560" s="745"/>
    </row>
    <row r="561" spans="1:8" x14ac:dyDescent="0.2">
      <c r="A561" s="64" t="s">
        <v>8</v>
      </c>
      <c r="B561" s="64" t="s">
        <v>26</v>
      </c>
      <c r="C561" s="64" t="s">
        <v>11771</v>
      </c>
      <c r="D561" s="64" t="s">
        <v>28</v>
      </c>
      <c r="E561" s="64" t="s">
        <v>29</v>
      </c>
      <c r="F561" s="64" t="s">
        <v>30</v>
      </c>
    </row>
    <row r="562" spans="1:8" ht="15" x14ac:dyDescent="0.25">
      <c r="A562" s="65"/>
      <c r="B562" s="87"/>
      <c r="C562" s="88"/>
      <c r="D562" s="89"/>
      <c r="E562" s="174"/>
      <c r="F562" s="292"/>
      <c r="H562"/>
    </row>
    <row r="563" spans="1:8" x14ac:dyDescent="0.2">
      <c r="A563" s="65">
        <v>88310</v>
      </c>
      <c r="B563" s="87" t="s">
        <v>5391</v>
      </c>
      <c r="C563" s="88" t="s">
        <v>10945</v>
      </c>
      <c r="D563" s="89">
        <v>0.4</v>
      </c>
      <c r="E563" s="615">
        <v>21.17</v>
      </c>
      <c r="F563" s="292">
        <f>D563*E563</f>
        <v>8.4680000000000017</v>
      </c>
    </row>
    <row r="564" spans="1:8" x14ac:dyDescent="0.2">
      <c r="A564" s="65">
        <v>88316</v>
      </c>
      <c r="B564" s="87" t="s">
        <v>10944</v>
      </c>
      <c r="C564" s="88" t="s">
        <v>10945</v>
      </c>
      <c r="D564" s="89">
        <v>0.3</v>
      </c>
      <c r="E564" s="615">
        <v>16.940000000000001</v>
      </c>
      <c r="F564" s="292">
        <f>D564*E564</f>
        <v>5.0819999999999999</v>
      </c>
    </row>
    <row r="565" spans="1:8" x14ac:dyDescent="0.2">
      <c r="A565" s="71"/>
      <c r="B565" s="62"/>
      <c r="C565" s="72"/>
      <c r="D565" s="73" t="s">
        <v>31</v>
      </c>
      <c r="E565" s="74"/>
      <c r="F565" s="75">
        <f>F562+F563+F564</f>
        <v>13.55</v>
      </c>
    </row>
    <row r="566" spans="1:8" x14ac:dyDescent="0.2">
      <c r="A566" s="71"/>
      <c r="B566" s="62"/>
      <c r="C566" s="72"/>
      <c r="D566" s="76" t="s">
        <v>32</v>
      </c>
      <c r="E566" s="77"/>
      <c r="F566" s="78">
        <f>F565*E566</f>
        <v>0</v>
      </c>
    </row>
    <row r="567" spans="1:8" x14ac:dyDescent="0.2">
      <c r="A567" s="71"/>
      <c r="B567" s="62"/>
      <c r="C567" s="72"/>
      <c r="D567" s="73" t="s">
        <v>33</v>
      </c>
      <c r="E567" s="74"/>
      <c r="F567" s="78">
        <f>SUM(F565:F566)</f>
        <v>13.55</v>
      </c>
    </row>
    <row r="568" spans="1:8" x14ac:dyDescent="0.2">
      <c r="A568" s="79"/>
      <c r="B568" s="76"/>
      <c r="C568" s="73"/>
      <c r="D568" s="80" t="s">
        <v>34</v>
      </c>
      <c r="E568" s="81"/>
      <c r="F568" s="82">
        <f>F567</f>
        <v>13.55</v>
      </c>
    </row>
    <row r="569" spans="1:8" x14ac:dyDescent="0.2">
      <c r="A569" s="79"/>
      <c r="B569" s="76"/>
      <c r="C569" s="73"/>
      <c r="D569" s="83"/>
      <c r="E569" s="84"/>
      <c r="F569" s="85"/>
    </row>
    <row r="570" spans="1:8" x14ac:dyDescent="0.2">
      <c r="A570" s="746" t="s">
        <v>35</v>
      </c>
      <c r="B570" s="747"/>
      <c r="C570" s="747"/>
      <c r="D570" s="747"/>
      <c r="E570" s="747"/>
      <c r="F570" s="748"/>
    </row>
    <row r="571" spans="1:8" ht="24" customHeight="1" x14ac:dyDescent="0.2">
      <c r="A571" s="64" t="s">
        <v>8</v>
      </c>
      <c r="B571" s="64" t="s">
        <v>26</v>
      </c>
      <c r="C571" s="64" t="s">
        <v>11771</v>
      </c>
      <c r="D571" s="64" t="s">
        <v>28</v>
      </c>
      <c r="E571" s="64" t="s">
        <v>29</v>
      </c>
      <c r="F571" s="64" t="s">
        <v>30</v>
      </c>
    </row>
    <row r="572" spans="1:8" x14ac:dyDescent="0.2">
      <c r="A572" s="65"/>
      <c r="B572" s="87"/>
      <c r="C572" s="88"/>
      <c r="D572" s="293"/>
      <c r="E572" s="174"/>
      <c r="F572" s="292"/>
    </row>
    <row r="573" spans="1:8" x14ac:dyDescent="0.2">
      <c r="A573" s="65">
        <v>7307</v>
      </c>
      <c r="B573" s="87" t="s">
        <v>7912</v>
      </c>
      <c r="C573" s="88" t="s">
        <v>11692</v>
      </c>
      <c r="D573" s="89">
        <v>0.24</v>
      </c>
      <c r="E573" s="174">
        <v>23.66</v>
      </c>
      <c r="F573" s="292">
        <f t="shared" ref="F573:F575" si="15">D573*E573</f>
        <v>5.6783999999999999</v>
      </c>
    </row>
    <row r="574" spans="1:8" x14ac:dyDescent="0.2">
      <c r="A574" s="65"/>
      <c r="B574" s="87"/>
      <c r="C574" s="88"/>
      <c r="D574" s="89"/>
      <c r="E574" s="174"/>
      <c r="F574" s="292">
        <f t="shared" si="15"/>
        <v>0</v>
      </c>
    </row>
    <row r="575" spans="1:8" x14ac:dyDescent="0.2">
      <c r="A575" s="65"/>
      <c r="B575" s="87"/>
      <c r="C575" s="88"/>
      <c r="D575" s="89"/>
      <c r="E575" s="174"/>
      <c r="F575" s="292">
        <f t="shared" si="15"/>
        <v>0</v>
      </c>
    </row>
    <row r="576" spans="1:8" x14ac:dyDescent="0.2">
      <c r="A576" s="79"/>
      <c r="B576" s="76"/>
      <c r="C576" s="73"/>
      <c r="D576" s="80" t="s">
        <v>36</v>
      </c>
      <c r="E576" s="81"/>
      <c r="F576" s="101">
        <f>SUM(F572:F575)</f>
        <v>5.6783999999999999</v>
      </c>
    </row>
    <row r="577" spans="1:8" x14ac:dyDescent="0.2">
      <c r="A577" s="79"/>
      <c r="B577" s="76"/>
      <c r="C577" s="73"/>
      <c r="D577" s="83"/>
      <c r="E577" s="84"/>
      <c r="F577" s="85"/>
    </row>
    <row r="578" spans="1:8" x14ac:dyDescent="0.2">
      <c r="A578" s="746" t="s">
        <v>37</v>
      </c>
      <c r="B578" s="747"/>
      <c r="C578" s="747"/>
      <c r="D578" s="747"/>
      <c r="E578" s="747"/>
      <c r="F578" s="748"/>
    </row>
    <row r="579" spans="1:8" x14ac:dyDescent="0.2">
      <c r="A579" s="64" t="s">
        <v>8</v>
      </c>
      <c r="B579" s="64" t="s">
        <v>26</v>
      </c>
      <c r="C579" s="64" t="s">
        <v>11771</v>
      </c>
      <c r="D579" s="64" t="s">
        <v>28</v>
      </c>
      <c r="E579" s="64" t="s">
        <v>29</v>
      </c>
      <c r="F579" s="64" t="s">
        <v>30</v>
      </c>
    </row>
    <row r="580" spans="1:8" x14ac:dyDescent="0.2">
      <c r="A580" s="65"/>
      <c r="B580" s="87"/>
      <c r="C580" s="88"/>
      <c r="D580" s="293"/>
      <c r="E580" s="174"/>
      <c r="F580" s="292">
        <f>D580*E580</f>
        <v>0</v>
      </c>
    </row>
    <row r="581" spans="1:8" x14ac:dyDescent="0.2">
      <c r="A581" s="65"/>
      <c r="B581" s="87"/>
      <c r="C581" s="88"/>
      <c r="D581" s="293"/>
      <c r="E581" s="174"/>
      <c r="F581" s="292">
        <f>D581*E581</f>
        <v>0</v>
      </c>
    </row>
    <row r="582" spans="1:8" x14ac:dyDescent="0.2">
      <c r="A582" s="95"/>
      <c r="B582" s="96"/>
      <c r="C582" s="97"/>
      <c r="D582" s="98"/>
      <c r="E582" s="99"/>
      <c r="F582" s="104"/>
    </row>
    <row r="583" spans="1:8" x14ac:dyDescent="0.2">
      <c r="A583" s="79"/>
      <c r="B583" s="76"/>
      <c r="C583" s="73"/>
      <c r="D583" s="80" t="s">
        <v>38</v>
      </c>
      <c r="E583" s="81"/>
      <c r="F583" s="101">
        <f>ROUND(SUM(F580:F581),2)</f>
        <v>0</v>
      </c>
    </row>
    <row r="584" spans="1:8" x14ac:dyDescent="0.2">
      <c r="A584" s="79"/>
      <c r="B584" s="76"/>
      <c r="C584" s="73"/>
      <c r="D584" s="83"/>
      <c r="E584" s="84"/>
      <c r="F584" s="85"/>
    </row>
    <row r="585" spans="1:8" x14ac:dyDescent="0.2">
      <c r="A585" s="749" t="s">
        <v>39</v>
      </c>
      <c r="B585" s="750"/>
      <c r="C585" s="750"/>
      <c r="D585" s="750"/>
      <c r="E585" s="751"/>
      <c r="F585" s="105">
        <f>ROUND(F568+F576+F583,2)</f>
        <v>19.23</v>
      </c>
    </row>
    <row r="586" spans="1:8" ht="15.75" x14ac:dyDescent="0.2">
      <c r="A586" s="587" t="s">
        <v>8</v>
      </c>
      <c r="B586" s="743" t="s">
        <v>23</v>
      </c>
      <c r="C586" s="743"/>
      <c r="D586" s="743"/>
      <c r="E586" s="743"/>
      <c r="F586" s="588" t="s">
        <v>11771</v>
      </c>
    </row>
    <row r="587" spans="1:8" ht="27.75" customHeight="1" x14ac:dyDescent="0.2">
      <c r="A587" s="337" t="s">
        <v>11822</v>
      </c>
      <c r="B587" s="744" t="str">
        <f>PO!D137</f>
        <v>Piso industrial em concreto armado de acabamento polido, espessura 12 cm (cimento queimado) (incluso execução)</v>
      </c>
      <c r="C587" s="744"/>
      <c r="D587" s="744"/>
      <c r="E587" s="744"/>
      <c r="F587" s="107" t="str">
        <f>PO!E137</f>
        <v>m²</v>
      </c>
    </row>
    <row r="588" spans="1:8" x14ac:dyDescent="0.2">
      <c r="A588" s="745" t="s">
        <v>25</v>
      </c>
      <c r="B588" s="745"/>
      <c r="C588" s="745"/>
      <c r="D588" s="745"/>
      <c r="E588" s="745"/>
      <c r="F588" s="745"/>
    </row>
    <row r="589" spans="1:8" x14ac:dyDescent="0.2">
      <c r="A589" s="64" t="s">
        <v>8</v>
      </c>
      <c r="B589" s="64" t="s">
        <v>26</v>
      </c>
      <c r="C589" s="64" t="s">
        <v>11771</v>
      </c>
      <c r="D589" s="64" t="s">
        <v>28</v>
      </c>
      <c r="E589" s="64" t="s">
        <v>29</v>
      </c>
      <c r="F589" s="64" t="s">
        <v>30</v>
      </c>
    </row>
    <row r="590" spans="1:8" ht="15" x14ac:dyDescent="0.25">
      <c r="A590" s="65"/>
      <c r="B590" s="87"/>
      <c r="C590" s="88"/>
      <c r="D590" s="89"/>
      <c r="E590" s="174"/>
      <c r="F590" s="292"/>
      <c r="H590"/>
    </row>
    <row r="591" spans="1:8" x14ac:dyDescent="0.2">
      <c r="A591" s="262">
        <v>88309</v>
      </c>
      <c r="B591" s="507" t="s">
        <v>5390</v>
      </c>
      <c r="C591" s="113" t="s">
        <v>10945</v>
      </c>
      <c r="D591" s="265">
        <v>0.42699999999999999</v>
      </c>
      <c r="E591" s="615">
        <v>20.43</v>
      </c>
      <c r="F591" s="292">
        <f>D591*E591</f>
        <v>8.723609999999999</v>
      </c>
    </row>
    <row r="592" spans="1:8" x14ac:dyDescent="0.2">
      <c r="A592" s="65">
        <v>88316</v>
      </c>
      <c r="B592" s="87" t="s">
        <v>10944</v>
      </c>
      <c r="C592" s="88" t="s">
        <v>10945</v>
      </c>
      <c r="D592" s="89">
        <v>0.63729999999999998</v>
      </c>
      <c r="E592" s="174">
        <v>16.940000000000001</v>
      </c>
      <c r="F592" s="292">
        <f>D592*E592</f>
        <v>10.795862</v>
      </c>
    </row>
    <row r="593" spans="1:6" x14ac:dyDescent="0.2">
      <c r="A593" s="71"/>
      <c r="B593" s="62"/>
      <c r="C593" s="72"/>
      <c r="D593" s="73" t="s">
        <v>31</v>
      </c>
      <c r="E593" s="74"/>
      <c r="F593" s="75">
        <f>F590+F591+F592</f>
        <v>19.519472</v>
      </c>
    </row>
    <row r="594" spans="1:6" x14ac:dyDescent="0.2">
      <c r="A594" s="71"/>
      <c r="B594" s="62"/>
      <c r="C594" s="72"/>
      <c r="D594" s="76" t="s">
        <v>32</v>
      </c>
      <c r="E594" s="77"/>
      <c r="F594" s="78">
        <f>F593*E594</f>
        <v>0</v>
      </c>
    </row>
    <row r="595" spans="1:6" x14ac:dyDescent="0.2">
      <c r="A595" s="71"/>
      <c r="B595" s="62"/>
      <c r="C595" s="72"/>
      <c r="D595" s="73" t="s">
        <v>33</v>
      </c>
      <c r="E595" s="74"/>
      <c r="F595" s="78">
        <f>SUM(F593:F594)</f>
        <v>19.519472</v>
      </c>
    </row>
    <row r="596" spans="1:6" x14ac:dyDescent="0.2">
      <c r="A596" s="79"/>
      <c r="B596" s="76"/>
      <c r="C596" s="73"/>
      <c r="D596" s="80" t="s">
        <v>34</v>
      </c>
      <c r="E596" s="81"/>
      <c r="F596" s="82">
        <f>F595</f>
        <v>19.519472</v>
      </c>
    </row>
    <row r="597" spans="1:6" x14ac:dyDescent="0.2">
      <c r="A597" s="79"/>
      <c r="B597" s="76"/>
      <c r="C597" s="73"/>
      <c r="D597" s="83"/>
      <c r="E597" s="84"/>
      <c r="F597" s="85"/>
    </row>
    <row r="598" spans="1:6" x14ac:dyDescent="0.2">
      <c r="A598" s="746" t="s">
        <v>35</v>
      </c>
      <c r="B598" s="747"/>
      <c r="C598" s="747"/>
      <c r="D598" s="747"/>
      <c r="E598" s="747"/>
      <c r="F598" s="748"/>
    </row>
    <row r="599" spans="1:6" ht="24" customHeight="1" x14ac:dyDescent="0.2">
      <c r="A599" s="64" t="s">
        <v>8</v>
      </c>
      <c r="B599" s="64" t="s">
        <v>26</v>
      </c>
      <c r="C599" s="64" t="s">
        <v>11771</v>
      </c>
      <c r="D599" s="64" t="s">
        <v>28</v>
      </c>
      <c r="E599" s="64" t="s">
        <v>29</v>
      </c>
      <c r="F599" s="64" t="s">
        <v>30</v>
      </c>
    </row>
    <row r="600" spans="1:6" x14ac:dyDescent="0.2">
      <c r="A600" s="65"/>
      <c r="B600" s="87"/>
      <c r="C600" s="88"/>
      <c r="D600" s="293"/>
      <c r="E600" s="174"/>
      <c r="F600" s="292"/>
    </row>
    <row r="601" spans="1:6" ht="22.5" x14ac:dyDescent="0.2">
      <c r="A601" s="65">
        <v>40647</v>
      </c>
      <c r="B601" s="87" t="s">
        <v>11016</v>
      </c>
      <c r="C601" s="88" t="s">
        <v>164</v>
      </c>
      <c r="D601" s="89">
        <v>1</v>
      </c>
      <c r="E601" s="174">
        <v>111.32</v>
      </c>
      <c r="F601" s="292">
        <f t="shared" ref="F601:F603" si="16">D601*E601</f>
        <v>111.32</v>
      </c>
    </row>
    <row r="602" spans="1:6" x14ac:dyDescent="0.2">
      <c r="A602" s="65"/>
      <c r="B602" s="87"/>
      <c r="C602" s="88"/>
      <c r="D602" s="89"/>
      <c r="E602" s="174"/>
      <c r="F602" s="292">
        <f t="shared" si="16"/>
        <v>0</v>
      </c>
    </row>
    <row r="603" spans="1:6" x14ac:dyDescent="0.2">
      <c r="A603" s="65"/>
      <c r="B603" s="87"/>
      <c r="C603" s="88"/>
      <c r="D603" s="89"/>
      <c r="E603" s="174"/>
      <c r="F603" s="292">
        <f t="shared" si="16"/>
        <v>0</v>
      </c>
    </row>
    <row r="604" spans="1:6" x14ac:dyDescent="0.2">
      <c r="A604" s="79"/>
      <c r="B604" s="76"/>
      <c r="C604" s="73"/>
      <c r="D604" s="80" t="s">
        <v>36</v>
      </c>
      <c r="E604" s="81"/>
      <c r="F604" s="101">
        <f>SUM(F600:F603)</f>
        <v>111.32</v>
      </c>
    </row>
    <row r="605" spans="1:6" x14ac:dyDescent="0.2">
      <c r="A605" s="79"/>
      <c r="B605" s="76"/>
      <c r="C605" s="73"/>
      <c r="D605" s="83"/>
      <c r="E605" s="84"/>
      <c r="F605" s="85"/>
    </row>
    <row r="606" spans="1:6" x14ac:dyDescent="0.2">
      <c r="A606" s="746" t="s">
        <v>37</v>
      </c>
      <c r="B606" s="747"/>
      <c r="C606" s="747"/>
      <c r="D606" s="747"/>
      <c r="E606" s="747"/>
      <c r="F606" s="748"/>
    </row>
    <row r="607" spans="1:6" x14ac:dyDescent="0.2">
      <c r="A607" s="64" t="s">
        <v>8</v>
      </c>
      <c r="B607" s="64" t="s">
        <v>26</v>
      </c>
      <c r="C607" s="64" t="s">
        <v>11771</v>
      </c>
      <c r="D607" s="64" t="s">
        <v>28</v>
      </c>
      <c r="E607" s="64" t="s">
        <v>29</v>
      </c>
      <c r="F607" s="64" t="s">
        <v>30</v>
      </c>
    </row>
    <row r="608" spans="1:6" x14ac:dyDescent="0.2">
      <c r="A608" s="65"/>
      <c r="B608" s="87"/>
      <c r="C608" s="88"/>
      <c r="D608" s="293"/>
      <c r="E608" s="174"/>
      <c r="F608" s="292">
        <f>D608*E608</f>
        <v>0</v>
      </c>
    </row>
    <row r="609" spans="1:6" x14ac:dyDescent="0.2">
      <c r="A609" s="65"/>
      <c r="B609" s="87"/>
      <c r="C609" s="88"/>
      <c r="D609" s="293"/>
      <c r="E609" s="174"/>
      <c r="F609" s="292">
        <f>D609*E609</f>
        <v>0</v>
      </c>
    </row>
    <row r="610" spans="1:6" x14ac:dyDescent="0.2">
      <c r="A610" s="95"/>
      <c r="B610" s="96"/>
      <c r="C610" s="97"/>
      <c r="D610" s="98"/>
      <c r="E610" s="99"/>
      <c r="F610" s="104"/>
    </row>
    <row r="611" spans="1:6" x14ac:dyDescent="0.2">
      <c r="A611" s="79"/>
      <c r="B611" s="76"/>
      <c r="C611" s="73"/>
      <c r="D611" s="80" t="s">
        <v>38</v>
      </c>
      <c r="E611" s="81"/>
      <c r="F611" s="101">
        <f>ROUND(SUM(F608:F609),2)</f>
        <v>0</v>
      </c>
    </row>
    <row r="612" spans="1:6" x14ac:dyDescent="0.2">
      <c r="A612" s="79"/>
      <c r="B612" s="76"/>
      <c r="C612" s="73"/>
      <c r="D612" s="83"/>
      <c r="E612" s="84"/>
      <c r="F612" s="85"/>
    </row>
    <row r="613" spans="1:6" x14ac:dyDescent="0.2">
      <c r="A613" s="749" t="s">
        <v>39</v>
      </c>
      <c r="B613" s="750"/>
      <c r="C613" s="750"/>
      <c r="D613" s="750"/>
      <c r="E613" s="751"/>
      <c r="F613" s="105">
        <f>ROUND(F596+F604+F611,2)</f>
        <v>130.84</v>
      </c>
    </row>
    <row r="614" spans="1:6" ht="15.75" x14ac:dyDescent="0.2">
      <c r="A614" s="587" t="s">
        <v>8</v>
      </c>
      <c r="B614" s="743" t="s">
        <v>23</v>
      </c>
      <c r="C614" s="743"/>
      <c r="D614" s="743"/>
      <c r="E614" s="743"/>
      <c r="F614" s="588" t="s">
        <v>24</v>
      </c>
    </row>
    <row r="615" spans="1:6" ht="45.75" customHeight="1" x14ac:dyDescent="0.2">
      <c r="A615" s="63" t="s">
        <v>11081</v>
      </c>
      <c r="B615" s="744" t="str">
        <f>PO!D140</f>
        <v>Revestimento cerâmico para piso com placas tipo porcelanato de dimensões 60x60 cm aplicada em ambientes de área menor que 5 m², com rejunte epoxi. - Fornecimento e instalação</v>
      </c>
      <c r="C615" s="744"/>
      <c r="D615" s="744"/>
      <c r="E615" s="744"/>
      <c r="F615" s="107" t="str">
        <f>PO!E140</f>
        <v>m²</v>
      </c>
    </row>
    <row r="616" spans="1:6" x14ac:dyDescent="0.2">
      <c r="A616" s="745" t="s">
        <v>25</v>
      </c>
      <c r="B616" s="745"/>
      <c r="C616" s="745"/>
      <c r="D616" s="745"/>
      <c r="E616" s="745"/>
      <c r="F616" s="745"/>
    </row>
    <row r="617" spans="1:6" x14ac:dyDescent="0.2">
      <c r="A617" s="64" t="s">
        <v>8</v>
      </c>
      <c r="B617" s="64" t="s">
        <v>26</v>
      </c>
      <c r="C617" s="64" t="s">
        <v>27</v>
      </c>
      <c r="D617" s="64" t="s">
        <v>28</v>
      </c>
      <c r="E617" s="64" t="s">
        <v>29</v>
      </c>
      <c r="F617" s="64" t="s">
        <v>30</v>
      </c>
    </row>
    <row r="618" spans="1:6" x14ac:dyDescent="0.2">
      <c r="A618" s="65">
        <v>88256</v>
      </c>
      <c r="B618" s="66" t="s">
        <v>11022</v>
      </c>
      <c r="C618" s="67" t="s">
        <v>10945</v>
      </c>
      <c r="D618" s="238">
        <v>1.06</v>
      </c>
      <c r="E618" s="174">
        <v>21.8</v>
      </c>
      <c r="F618" s="174">
        <f>D618*E618</f>
        <v>23.108000000000001</v>
      </c>
    </row>
    <row r="619" spans="1:6" x14ac:dyDescent="0.2">
      <c r="A619" s="65">
        <v>88316</v>
      </c>
      <c r="B619" s="66" t="s">
        <v>10944</v>
      </c>
      <c r="C619" s="67" t="s">
        <v>10945</v>
      </c>
      <c r="D619" s="238">
        <v>0.37</v>
      </c>
      <c r="E619" s="174">
        <v>16.940000000000001</v>
      </c>
      <c r="F619" s="174">
        <f>D619*E619</f>
        <v>6.2678000000000003</v>
      </c>
    </row>
    <row r="620" spans="1:6" x14ac:dyDescent="0.2">
      <c r="A620" s="65"/>
      <c r="B620" s="66"/>
      <c r="C620" s="67"/>
      <c r="D620" s="155"/>
      <c r="E620" s="99"/>
      <c r="F620" s="100"/>
    </row>
    <row r="621" spans="1:6" x14ac:dyDescent="0.2">
      <c r="A621" s="71"/>
      <c r="B621" s="62"/>
      <c r="C621" s="72"/>
      <c r="D621" s="73" t="s">
        <v>31</v>
      </c>
      <c r="E621" s="74"/>
      <c r="F621" s="75">
        <f>F618+F619+F620</f>
        <v>29.375800000000002</v>
      </c>
    </row>
    <row r="622" spans="1:6" x14ac:dyDescent="0.2">
      <c r="A622" s="71"/>
      <c r="B622" s="62"/>
      <c r="C622" s="72"/>
      <c r="D622" s="76" t="s">
        <v>32</v>
      </c>
      <c r="E622" s="77"/>
      <c r="F622" s="78">
        <f>F621*E622</f>
        <v>0</v>
      </c>
    </row>
    <row r="623" spans="1:6" x14ac:dyDescent="0.2">
      <c r="A623" s="71"/>
      <c r="B623" s="62"/>
      <c r="C623" s="72"/>
      <c r="D623" s="73" t="s">
        <v>33</v>
      </c>
      <c r="E623" s="74"/>
      <c r="F623" s="78">
        <f>SUM(F621:F622)</f>
        <v>29.375800000000002</v>
      </c>
    </row>
    <row r="624" spans="1:6" x14ac:dyDescent="0.2">
      <c r="A624" s="79"/>
      <c r="B624" s="76"/>
      <c r="C624" s="73"/>
      <c r="D624" s="80" t="s">
        <v>34</v>
      </c>
      <c r="E624" s="81"/>
      <c r="F624" s="82">
        <f>F623</f>
        <v>29.375800000000002</v>
      </c>
    </row>
    <row r="625" spans="1:6" x14ac:dyDescent="0.2">
      <c r="A625" s="79"/>
      <c r="B625" s="76"/>
      <c r="C625" s="73"/>
      <c r="D625" s="83"/>
      <c r="E625" s="84"/>
      <c r="F625" s="85"/>
    </row>
    <row r="626" spans="1:6" x14ac:dyDescent="0.2">
      <c r="A626" s="746" t="s">
        <v>35</v>
      </c>
      <c r="B626" s="747"/>
      <c r="C626" s="747"/>
      <c r="D626" s="747"/>
      <c r="E626" s="747"/>
      <c r="F626" s="748"/>
    </row>
    <row r="627" spans="1:6" x14ac:dyDescent="0.2">
      <c r="A627" s="64" t="s">
        <v>8</v>
      </c>
      <c r="B627" s="64" t="s">
        <v>26</v>
      </c>
      <c r="C627" s="64" t="s">
        <v>27</v>
      </c>
      <c r="D627" s="64" t="s">
        <v>28</v>
      </c>
      <c r="E627" s="64" t="s">
        <v>29</v>
      </c>
      <c r="F627" s="64" t="s">
        <v>30</v>
      </c>
    </row>
    <row r="628" spans="1:6" x14ac:dyDescent="0.2">
      <c r="A628" s="65">
        <v>37329</v>
      </c>
      <c r="B628" s="66" t="s">
        <v>11082</v>
      </c>
      <c r="C628" s="88" t="s">
        <v>11068</v>
      </c>
      <c r="D628" s="89">
        <f>1/6</f>
        <v>0.16666666666666666</v>
      </c>
      <c r="E628" s="174">
        <v>74.2</v>
      </c>
      <c r="F628" s="174">
        <f>D628*E628</f>
        <v>12.366666666666667</v>
      </c>
    </row>
    <row r="629" spans="1:6" x14ac:dyDescent="0.2">
      <c r="A629" s="65">
        <v>34353</v>
      </c>
      <c r="B629" s="66" t="s">
        <v>11802</v>
      </c>
      <c r="C629" s="88" t="s">
        <v>11068</v>
      </c>
      <c r="D629" s="89">
        <v>8.6199999999999992</v>
      </c>
      <c r="E629" s="174">
        <v>1.1100000000000001</v>
      </c>
      <c r="F629" s="174">
        <f>D629*E629</f>
        <v>9.5681999999999992</v>
      </c>
    </row>
    <row r="630" spans="1:6" x14ac:dyDescent="0.2">
      <c r="A630" s="65">
        <v>38195</v>
      </c>
      <c r="B630" s="66" t="s">
        <v>11083</v>
      </c>
      <c r="C630" s="97" t="s">
        <v>164</v>
      </c>
      <c r="D630" s="98">
        <v>1.1200000000000001</v>
      </c>
      <c r="E630" s="174">
        <v>77.010000000000005</v>
      </c>
      <c r="F630" s="174">
        <f>D630*E630</f>
        <v>86.251200000000011</v>
      </c>
    </row>
    <row r="631" spans="1:6" x14ac:dyDescent="0.2">
      <c r="A631" s="79"/>
      <c r="B631" s="76"/>
      <c r="C631" s="73"/>
      <c r="D631" s="80" t="s">
        <v>36</v>
      </c>
      <c r="E631" s="81"/>
      <c r="F631" s="101">
        <f>SUM(F628:F630)</f>
        <v>108.18606666666668</v>
      </c>
    </row>
    <row r="632" spans="1:6" x14ac:dyDescent="0.2">
      <c r="A632" s="79"/>
      <c r="B632" s="76"/>
      <c r="C632" s="73"/>
      <c r="D632" s="83"/>
      <c r="E632" s="84"/>
      <c r="F632" s="85"/>
    </row>
    <row r="633" spans="1:6" x14ac:dyDescent="0.2">
      <c r="A633" s="746" t="s">
        <v>37</v>
      </c>
      <c r="B633" s="747"/>
      <c r="C633" s="747"/>
      <c r="D633" s="747"/>
      <c r="E633" s="747"/>
      <c r="F633" s="748"/>
    </row>
    <row r="634" spans="1:6" x14ac:dyDescent="0.2">
      <c r="A634" s="64" t="s">
        <v>8</v>
      </c>
      <c r="B634" s="64" t="s">
        <v>26</v>
      </c>
      <c r="C634" s="64" t="s">
        <v>27</v>
      </c>
      <c r="D634" s="64" t="s">
        <v>28</v>
      </c>
      <c r="E634" s="64" t="s">
        <v>29</v>
      </c>
      <c r="F634" s="64" t="s">
        <v>30</v>
      </c>
    </row>
    <row r="635" spans="1:6" x14ac:dyDescent="0.2">
      <c r="A635" s="65"/>
      <c r="B635" s="66"/>
      <c r="C635" s="88"/>
      <c r="D635" s="89"/>
      <c r="E635" s="173"/>
      <c r="F635" s="174"/>
    </row>
    <row r="636" spans="1:6" x14ac:dyDescent="0.2">
      <c r="A636" s="92"/>
      <c r="B636" s="87"/>
      <c r="C636" s="88"/>
      <c r="D636" s="103"/>
      <c r="E636" s="94"/>
      <c r="F636" s="100"/>
    </row>
    <row r="637" spans="1:6" x14ac:dyDescent="0.2">
      <c r="A637" s="95"/>
      <c r="B637" s="96"/>
      <c r="C637" s="97"/>
      <c r="D637" s="98"/>
      <c r="E637" s="99"/>
      <c r="F637" s="104"/>
    </row>
    <row r="638" spans="1:6" x14ac:dyDescent="0.2">
      <c r="A638" s="79"/>
      <c r="B638" s="76"/>
      <c r="C638" s="73"/>
      <c r="D638" s="80" t="s">
        <v>38</v>
      </c>
      <c r="E638" s="81"/>
      <c r="F638" s="101">
        <f>ROUND(SUM(F635:F635),2)</f>
        <v>0</v>
      </c>
    </row>
    <row r="639" spans="1:6" x14ac:dyDescent="0.2">
      <c r="A639" s="79"/>
      <c r="B639" s="76"/>
      <c r="C639" s="73"/>
      <c r="D639" s="83"/>
      <c r="E639" s="84"/>
      <c r="F639" s="85"/>
    </row>
    <row r="640" spans="1:6" x14ac:dyDescent="0.2">
      <c r="A640" s="749" t="s">
        <v>39</v>
      </c>
      <c r="B640" s="750"/>
      <c r="C640" s="750"/>
      <c r="D640" s="750"/>
      <c r="E640" s="751"/>
      <c r="F640" s="105">
        <f>ROUND(F624+F631+F638,2)</f>
        <v>137.56</v>
      </c>
    </row>
    <row r="641" spans="1:6" ht="15.75" x14ac:dyDescent="0.2">
      <c r="A641" s="587" t="s">
        <v>8</v>
      </c>
      <c r="B641" s="743" t="s">
        <v>23</v>
      </c>
      <c r="C641" s="743"/>
      <c r="D641" s="743"/>
      <c r="E641" s="743"/>
      <c r="F641" s="588" t="s">
        <v>24</v>
      </c>
    </row>
    <row r="642" spans="1:6" ht="15" x14ac:dyDescent="0.2">
      <c r="A642" s="63" t="s">
        <v>13891</v>
      </c>
      <c r="B642" s="744" t="str">
        <f>PO!D53</f>
        <v>Moblização e Desmobilização de Containeres  - inicio e final da obra</v>
      </c>
      <c r="C642" s="744"/>
      <c r="D642" s="744"/>
      <c r="E642" s="744"/>
      <c r="F642" s="107" t="str">
        <f>PO!E53</f>
        <v>und</v>
      </c>
    </row>
    <row r="643" spans="1:6" x14ac:dyDescent="0.2">
      <c r="A643" s="745" t="s">
        <v>25</v>
      </c>
      <c r="B643" s="745"/>
      <c r="C643" s="745"/>
      <c r="D643" s="745"/>
      <c r="E643" s="745"/>
      <c r="F643" s="745"/>
    </row>
    <row r="644" spans="1:6" x14ac:dyDescent="0.2">
      <c r="A644" s="64" t="s">
        <v>8</v>
      </c>
      <c r="B644" s="64" t="s">
        <v>26</v>
      </c>
      <c r="C644" s="64" t="s">
        <v>27</v>
      </c>
      <c r="D644" s="64" t="s">
        <v>28</v>
      </c>
      <c r="E644" s="64" t="s">
        <v>29</v>
      </c>
      <c r="F644" s="64" t="s">
        <v>30</v>
      </c>
    </row>
    <row r="645" spans="1:6" x14ac:dyDescent="0.2">
      <c r="A645" s="65"/>
      <c r="B645" s="66"/>
      <c r="C645" s="67"/>
      <c r="D645" s="238"/>
      <c r="E645" s="174"/>
      <c r="F645" s="174">
        <f>D645*E645</f>
        <v>0</v>
      </c>
    </row>
    <row r="646" spans="1:6" x14ac:dyDescent="0.2">
      <c r="A646" s="65"/>
      <c r="B646" s="66"/>
      <c r="C646" s="67"/>
      <c r="D646" s="238"/>
      <c r="E646" s="174"/>
      <c r="F646" s="174">
        <f>D646*E646</f>
        <v>0</v>
      </c>
    </row>
    <row r="647" spans="1:6" x14ac:dyDescent="0.2">
      <c r="A647" s="65"/>
      <c r="B647" s="66"/>
      <c r="C647" s="67"/>
      <c r="D647" s="155"/>
      <c r="E647" s="99"/>
      <c r="F647" s="100"/>
    </row>
    <row r="648" spans="1:6" x14ac:dyDescent="0.2">
      <c r="A648" s="71"/>
      <c r="B648" s="62"/>
      <c r="C648" s="72"/>
      <c r="D648" s="73" t="s">
        <v>31</v>
      </c>
      <c r="E648" s="74"/>
      <c r="F648" s="75">
        <f>F645+F646+F647</f>
        <v>0</v>
      </c>
    </row>
    <row r="649" spans="1:6" x14ac:dyDescent="0.2">
      <c r="A649" s="71"/>
      <c r="B649" s="62"/>
      <c r="C649" s="72"/>
      <c r="D649" s="76" t="s">
        <v>32</v>
      </c>
      <c r="E649" s="77"/>
      <c r="F649" s="78">
        <f>F648*E649</f>
        <v>0</v>
      </c>
    </row>
    <row r="650" spans="1:6" x14ac:dyDescent="0.2">
      <c r="A650" s="71"/>
      <c r="B650" s="62"/>
      <c r="C650" s="72"/>
      <c r="D650" s="73" t="s">
        <v>33</v>
      </c>
      <c r="E650" s="74"/>
      <c r="F650" s="78">
        <f>SUM(F648:F649)</f>
        <v>0</v>
      </c>
    </row>
    <row r="651" spans="1:6" x14ac:dyDescent="0.2">
      <c r="A651" s="79"/>
      <c r="B651" s="76"/>
      <c r="C651" s="73"/>
      <c r="D651" s="80" t="s">
        <v>34</v>
      </c>
      <c r="E651" s="81"/>
      <c r="F651" s="82">
        <f>F650</f>
        <v>0</v>
      </c>
    </row>
    <row r="652" spans="1:6" x14ac:dyDescent="0.2">
      <c r="A652" s="79"/>
      <c r="B652" s="76"/>
      <c r="C652" s="73"/>
      <c r="D652" s="83"/>
      <c r="E652" s="84"/>
      <c r="F652" s="85"/>
    </row>
    <row r="653" spans="1:6" x14ac:dyDescent="0.2">
      <c r="A653" s="746" t="s">
        <v>35</v>
      </c>
      <c r="B653" s="747"/>
      <c r="C653" s="747"/>
      <c r="D653" s="747"/>
      <c r="E653" s="747"/>
      <c r="F653" s="748"/>
    </row>
    <row r="654" spans="1:6" x14ac:dyDescent="0.2">
      <c r="A654" s="64" t="s">
        <v>8</v>
      </c>
      <c r="B654" s="64" t="s">
        <v>26</v>
      </c>
      <c r="C654" s="64" t="s">
        <v>27</v>
      </c>
      <c r="D654" s="64" t="s">
        <v>28</v>
      </c>
      <c r="E654" s="64" t="s">
        <v>29</v>
      </c>
      <c r="F654" s="64" t="s">
        <v>30</v>
      </c>
    </row>
    <row r="655" spans="1:6" x14ac:dyDescent="0.2">
      <c r="A655" s="65"/>
      <c r="B655" s="66"/>
      <c r="C655" s="88"/>
      <c r="D655" s="89"/>
      <c r="E655" s="688"/>
      <c r="F655" s="174"/>
    </row>
    <row r="656" spans="1:6" ht="51" customHeight="1" x14ac:dyDescent="0.2">
      <c r="A656" s="65">
        <v>93402</v>
      </c>
      <c r="B656" s="216" t="s">
        <v>662</v>
      </c>
      <c r="C656" s="113" t="s">
        <v>11776</v>
      </c>
      <c r="D656" s="689">
        <v>1</v>
      </c>
      <c r="E656" s="620">
        <v>143.07</v>
      </c>
      <c r="F656" s="174">
        <f>D656*E656</f>
        <v>143.07</v>
      </c>
    </row>
    <row r="657" spans="1:6" x14ac:dyDescent="0.2">
      <c r="A657" s="65"/>
      <c r="B657" s="66"/>
      <c r="C657" s="97"/>
      <c r="D657" s="98"/>
      <c r="E657" s="620"/>
      <c r="F657" s="174">
        <f>D657*E657</f>
        <v>0</v>
      </c>
    </row>
    <row r="658" spans="1:6" x14ac:dyDescent="0.2">
      <c r="A658" s="79"/>
      <c r="B658" s="76"/>
      <c r="C658" s="73"/>
      <c r="D658" s="80" t="s">
        <v>36</v>
      </c>
      <c r="E658" s="81"/>
      <c r="F658" s="101">
        <f>SUM(F655:F657)</f>
        <v>143.07</v>
      </c>
    </row>
    <row r="659" spans="1:6" x14ac:dyDescent="0.2">
      <c r="A659" s="79"/>
      <c r="B659" s="76"/>
      <c r="C659" s="73"/>
      <c r="D659" s="83"/>
      <c r="E659" s="84"/>
      <c r="F659" s="85"/>
    </row>
    <row r="660" spans="1:6" x14ac:dyDescent="0.2">
      <c r="A660" s="746" t="s">
        <v>37</v>
      </c>
      <c r="B660" s="747"/>
      <c r="C660" s="747"/>
      <c r="D660" s="747"/>
      <c r="E660" s="747"/>
      <c r="F660" s="748"/>
    </row>
    <row r="661" spans="1:6" x14ac:dyDescent="0.2">
      <c r="A661" s="64" t="s">
        <v>8</v>
      </c>
      <c r="B661" s="64" t="s">
        <v>26</v>
      </c>
      <c r="C661" s="64" t="s">
        <v>27</v>
      </c>
      <c r="D661" s="64" t="s">
        <v>28</v>
      </c>
      <c r="E661" s="64" t="s">
        <v>29</v>
      </c>
      <c r="F661" s="64" t="s">
        <v>30</v>
      </c>
    </row>
    <row r="662" spans="1:6" x14ac:dyDescent="0.2">
      <c r="A662" s="65"/>
      <c r="B662" s="66"/>
      <c r="C662" s="88"/>
      <c r="D662" s="89"/>
      <c r="E662" s="173"/>
      <c r="F662" s="174"/>
    </row>
    <row r="663" spans="1:6" x14ac:dyDescent="0.2">
      <c r="A663" s="92"/>
      <c r="B663" s="87"/>
      <c r="C663" s="88"/>
      <c r="D663" s="103"/>
      <c r="E663" s="94"/>
      <c r="F663" s="100"/>
    </row>
    <row r="664" spans="1:6" x14ac:dyDescent="0.2">
      <c r="A664" s="95"/>
      <c r="B664" s="96"/>
      <c r="C664" s="97"/>
      <c r="D664" s="98"/>
      <c r="E664" s="99"/>
      <c r="F664" s="104"/>
    </row>
    <row r="665" spans="1:6" x14ac:dyDescent="0.2">
      <c r="A665" s="79"/>
      <c r="B665" s="76"/>
      <c r="C665" s="73"/>
      <c r="D665" s="80" t="s">
        <v>38</v>
      </c>
      <c r="E665" s="81"/>
      <c r="F665" s="101">
        <f>ROUND(SUM(F662:F662),2)</f>
        <v>0</v>
      </c>
    </row>
    <row r="666" spans="1:6" x14ac:dyDescent="0.2">
      <c r="A666" s="79"/>
      <c r="B666" s="76"/>
      <c r="C666" s="73"/>
      <c r="D666" s="83"/>
      <c r="E666" s="84"/>
      <c r="F666" s="85"/>
    </row>
    <row r="667" spans="1:6" x14ac:dyDescent="0.2">
      <c r="A667" s="749" t="s">
        <v>39</v>
      </c>
      <c r="B667" s="750"/>
      <c r="C667" s="750"/>
      <c r="D667" s="750"/>
      <c r="E667" s="751"/>
      <c r="F667" s="105">
        <f>ROUND(F651+F658+F665,2)</f>
        <v>143.07</v>
      </c>
    </row>
    <row r="668" spans="1:6" ht="15.75" x14ac:dyDescent="0.2">
      <c r="A668" s="587" t="s">
        <v>8</v>
      </c>
      <c r="B668" s="743" t="s">
        <v>23</v>
      </c>
      <c r="C668" s="743"/>
      <c r="D668" s="743"/>
      <c r="E668" s="743"/>
      <c r="F668" s="588" t="s">
        <v>24</v>
      </c>
    </row>
    <row r="669" spans="1:6" ht="42" customHeight="1" x14ac:dyDescent="0.2">
      <c r="A669" s="63" t="s">
        <v>11833</v>
      </c>
      <c r="B669" s="744" t="str">
        <f>PO!D153</f>
        <v xml:space="preserve">Revestimento cerâmico para paredes com placas tipo porcelanato de dimensões 60x60 cm aplicadas em ambientes de área maior que 10 m², com rejunte epoxi. </v>
      </c>
      <c r="C669" s="744"/>
      <c r="D669" s="744"/>
      <c r="E669" s="744"/>
      <c r="F669" s="107" t="str">
        <f>PO!E153</f>
        <v>m²</v>
      </c>
    </row>
    <row r="670" spans="1:6" x14ac:dyDescent="0.2">
      <c r="A670" s="745" t="s">
        <v>25</v>
      </c>
      <c r="B670" s="745"/>
      <c r="C670" s="745"/>
      <c r="D670" s="745"/>
      <c r="E670" s="745"/>
      <c r="F670" s="745"/>
    </row>
    <row r="671" spans="1:6" x14ac:dyDescent="0.2">
      <c r="A671" s="64" t="s">
        <v>8</v>
      </c>
      <c r="B671" s="64" t="s">
        <v>26</v>
      </c>
      <c r="C671" s="64" t="s">
        <v>27</v>
      </c>
      <c r="D671" s="64" t="s">
        <v>28</v>
      </c>
      <c r="E671" s="64" t="s">
        <v>29</v>
      </c>
      <c r="F671" s="64" t="s">
        <v>30</v>
      </c>
    </row>
    <row r="672" spans="1:6" x14ac:dyDescent="0.2">
      <c r="A672" s="65">
        <v>88256</v>
      </c>
      <c r="B672" s="66" t="s">
        <v>11022</v>
      </c>
      <c r="C672" s="67" t="s">
        <v>10945</v>
      </c>
      <c r="D672" s="238">
        <v>0.44</v>
      </c>
      <c r="E672" s="174">
        <v>21.8</v>
      </c>
      <c r="F672" s="174">
        <f>D672*E672</f>
        <v>9.5920000000000005</v>
      </c>
    </row>
    <row r="673" spans="1:6" x14ac:dyDescent="0.2">
      <c r="A673" s="65">
        <v>88316</v>
      </c>
      <c r="B673" s="66" t="s">
        <v>10944</v>
      </c>
      <c r="C673" s="67" t="s">
        <v>10945</v>
      </c>
      <c r="D673" s="238">
        <v>0.2</v>
      </c>
      <c r="E673" s="174">
        <v>16.940000000000001</v>
      </c>
      <c r="F673" s="174">
        <f>D673*E673</f>
        <v>3.3880000000000003</v>
      </c>
    </row>
    <row r="674" spans="1:6" x14ac:dyDescent="0.2">
      <c r="A674" s="65"/>
      <c r="B674" s="66"/>
      <c r="C674" s="67"/>
      <c r="D674" s="155"/>
      <c r="E674" s="99"/>
      <c r="F674" s="100"/>
    </row>
    <row r="675" spans="1:6" x14ac:dyDescent="0.2">
      <c r="A675" s="71"/>
      <c r="B675" s="62"/>
      <c r="C675" s="72"/>
      <c r="D675" s="73" t="s">
        <v>31</v>
      </c>
      <c r="E675" s="74"/>
      <c r="F675" s="75">
        <f>F672+F673+F674</f>
        <v>12.98</v>
      </c>
    </row>
    <row r="676" spans="1:6" x14ac:dyDescent="0.2">
      <c r="A676" s="71"/>
      <c r="B676" s="62"/>
      <c r="C676" s="72"/>
      <c r="D676" s="76" t="s">
        <v>32</v>
      </c>
      <c r="E676" s="77"/>
      <c r="F676" s="78">
        <f>F675*E676</f>
        <v>0</v>
      </c>
    </row>
    <row r="677" spans="1:6" x14ac:dyDescent="0.2">
      <c r="A677" s="71"/>
      <c r="B677" s="62"/>
      <c r="C677" s="72"/>
      <c r="D677" s="73" t="s">
        <v>33</v>
      </c>
      <c r="E677" s="74"/>
      <c r="F677" s="78">
        <f>SUM(F675:F676)</f>
        <v>12.98</v>
      </c>
    </row>
    <row r="678" spans="1:6" x14ac:dyDescent="0.2">
      <c r="A678" s="79"/>
      <c r="B678" s="76"/>
      <c r="C678" s="73"/>
      <c r="D678" s="80" t="s">
        <v>34</v>
      </c>
      <c r="E678" s="81"/>
      <c r="F678" s="82">
        <f>F677</f>
        <v>12.98</v>
      </c>
    </row>
    <row r="679" spans="1:6" x14ac:dyDescent="0.2">
      <c r="A679" s="79"/>
      <c r="B679" s="76"/>
      <c r="C679" s="73"/>
      <c r="D679" s="83"/>
      <c r="E679" s="84"/>
      <c r="F679" s="85"/>
    </row>
    <row r="680" spans="1:6" x14ac:dyDescent="0.2">
      <c r="A680" s="746" t="s">
        <v>35</v>
      </c>
      <c r="B680" s="747"/>
      <c r="C680" s="747"/>
      <c r="D680" s="747"/>
      <c r="E680" s="747"/>
      <c r="F680" s="748"/>
    </row>
    <row r="681" spans="1:6" x14ac:dyDescent="0.2">
      <c r="A681" s="64" t="s">
        <v>8</v>
      </c>
      <c r="B681" s="64" t="s">
        <v>26</v>
      </c>
      <c r="C681" s="64" t="s">
        <v>27</v>
      </c>
      <c r="D681" s="64" t="s">
        <v>28</v>
      </c>
      <c r="E681" s="64" t="s">
        <v>29</v>
      </c>
      <c r="F681" s="64" t="s">
        <v>30</v>
      </c>
    </row>
    <row r="682" spans="1:6" x14ac:dyDescent="0.2">
      <c r="A682" s="65">
        <v>37329</v>
      </c>
      <c r="B682" s="66" t="s">
        <v>11082</v>
      </c>
      <c r="C682" s="88" t="s">
        <v>11068</v>
      </c>
      <c r="D682" s="156">
        <v>0.17</v>
      </c>
      <c r="E682" s="174">
        <v>74.2</v>
      </c>
      <c r="F682" s="174">
        <f>D682*E682</f>
        <v>12.614000000000001</v>
      </c>
    </row>
    <row r="683" spans="1:6" x14ac:dyDescent="0.2">
      <c r="A683" s="65">
        <v>34353</v>
      </c>
      <c r="B683" s="66" t="s">
        <v>11802</v>
      </c>
      <c r="C683" s="88" t="s">
        <v>11068</v>
      </c>
      <c r="D683" s="156">
        <v>8.6199999999999992</v>
      </c>
      <c r="E683" s="174">
        <v>1.1100000000000001</v>
      </c>
      <c r="F683" s="174">
        <f>D683*E683</f>
        <v>9.5681999999999992</v>
      </c>
    </row>
    <row r="684" spans="1:6" x14ac:dyDescent="0.2">
      <c r="A684" s="65">
        <v>38195</v>
      </c>
      <c r="B684" s="66" t="s">
        <v>11083</v>
      </c>
      <c r="C684" s="97" t="s">
        <v>164</v>
      </c>
      <c r="D684" s="590">
        <v>1.07</v>
      </c>
      <c r="E684" s="174">
        <v>77.010000000000005</v>
      </c>
      <c r="F684" s="174">
        <f>D684*E684</f>
        <v>82.400700000000015</v>
      </c>
    </row>
    <row r="685" spans="1:6" x14ac:dyDescent="0.2">
      <c r="A685" s="79"/>
      <c r="B685" s="76"/>
      <c r="C685" s="73"/>
      <c r="D685" s="80" t="s">
        <v>36</v>
      </c>
      <c r="E685" s="81"/>
      <c r="F685" s="101">
        <f>SUM(F682:F684)</f>
        <v>104.58290000000002</v>
      </c>
    </row>
    <row r="686" spans="1:6" x14ac:dyDescent="0.2">
      <c r="A686" s="79"/>
      <c r="B686" s="76"/>
      <c r="C686" s="73"/>
      <c r="D686" s="83"/>
      <c r="E686" s="84"/>
      <c r="F686" s="85"/>
    </row>
    <row r="687" spans="1:6" x14ac:dyDescent="0.2">
      <c r="A687" s="746" t="s">
        <v>37</v>
      </c>
      <c r="B687" s="747"/>
      <c r="C687" s="747"/>
      <c r="D687" s="747"/>
      <c r="E687" s="747"/>
      <c r="F687" s="748"/>
    </row>
    <row r="688" spans="1:6" x14ac:dyDescent="0.2">
      <c r="A688" s="64" t="s">
        <v>8</v>
      </c>
      <c r="B688" s="64" t="s">
        <v>26</v>
      </c>
      <c r="C688" s="64" t="s">
        <v>27</v>
      </c>
      <c r="D688" s="64" t="s">
        <v>28</v>
      </c>
      <c r="E688" s="64" t="s">
        <v>29</v>
      </c>
      <c r="F688" s="64" t="s">
        <v>30</v>
      </c>
    </row>
    <row r="689" spans="1:6" x14ac:dyDescent="0.2">
      <c r="A689" s="65"/>
      <c r="B689" s="66"/>
      <c r="C689" s="88"/>
      <c r="D689" s="89"/>
      <c r="E689" s="173"/>
      <c r="F689" s="174"/>
    </row>
    <row r="690" spans="1:6" x14ac:dyDescent="0.2">
      <c r="A690" s="92"/>
      <c r="B690" s="87"/>
      <c r="C690" s="88"/>
      <c r="D690" s="103"/>
      <c r="E690" s="94"/>
      <c r="F690" s="100"/>
    </row>
    <row r="691" spans="1:6" x14ac:dyDescent="0.2">
      <c r="A691" s="95"/>
      <c r="B691" s="96"/>
      <c r="C691" s="97"/>
      <c r="D691" s="98"/>
      <c r="E691" s="99"/>
      <c r="F691" s="104"/>
    </row>
    <row r="692" spans="1:6" x14ac:dyDescent="0.2">
      <c r="A692" s="79"/>
      <c r="B692" s="76"/>
      <c r="C692" s="73"/>
      <c r="D692" s="80" t="s">
        <v>38</v>
      </c>
      <c r="E692" s="81"/>
      <c r="F692" s="101">
        <f>ROUND(SUM(F689:F689),2)</f>
        <v>0</v>
      </c>
    </row>
    <row r="693" spans="1:6" x14ac:dyDescent="0.2">
      <c r="A693" s="79"/>
      <c r="B693" s="76"/>
      <c r="C693" s="73"/>
      <c r="D693" s="83"/>
      <c r="E693" s="84"/>
      <c r="F693" s="85"/>
    </row>
    <row r="694" spans="1:6" x14ac:dyDescent="0.2">
      <c r="A694" s="749" t="s">
        <v>39</v>
      </c>
      <c r="B694" s="750"/>
      <c r="C694" s="750"/>
      <c r="D694" s="750"/>
      <c r="E694" s="751"/>
      <c r="F694" s="105">
        <f>ROUND(F678+F685+F692,2)</f>
        <v>117.56</v>
      </c>
    </row>
    <row r="695" spans="1:6" ht="15.75" x14ac:dyDescent="0.2">
      <c r="A695" s="587" t="s">
        <v>8</v>
      </c>
      <c r="B695" s="743" t="s">
        <v>23</v>
      </c>
      <c r="C695" s="743"/>
      <c r="D695" s="743"/>
      <c r="E695" s="743"/>
      <c r="F695" s="588" t="s">
        <v>24</v>
      </c>
    </row>
    <row r="696" spans="1:6" ht="15" customHeight="1" x14ac:dyDescent="0.2">
      <c r="A696" s="63" t="s">
        <v>11160</v>
      </c>
      <c r="B696" s="744" t="str">
        <f>PO!D157</f>
        <v>JV1 e JV2- Vidro temperado incolor, espessura 8mm - Fornecimento e instalação</v>
      </c>
      <c r="C696" s="744"/>
      <c r="D696" s="744"/>
      <c r="E696" s="744"/>
      <c r="F696" s="107" t="str">
        <f>PO!E157</f>
        <v>m²</v>
      </c>
    </row>
    <row r="697" spans="1:6" x14ac:dyDescent="0.2">
      <c r="A697" s="745" t="s">
        <v>25</v>
      </c>
      <c r="B697" s="745"/>
      <c r="C697" s="745"/>
      <c r="D697" s="745"/>
      <c r="E697" s="745"/>
      <c r="F697" s="745"/>
    </row>
    <row r="698" spans="1:6" x14ac:dyDescent="0.2">
      <c r="A698" s="64" t="s">
        <v>8</v>
      </c>
      <c r="B698" s="64" t="s">
        <v>26</v>
      </c>
      <c r="C698" s="64" t="s">
        <v>27</v>
      </c>
      <c r="D698" s="64" t="s">
        <v>28</v>
      </c>
      <c r="E698" s="64" t="s">
        <v>29</v>
      </c>
      <c r="F698" s="64" t="s">
        <v>30</v>
      </c>
    </row>
    <row r="699" spans="1:6" x14ac:dyDescent="0.2">
      <c r="A699" s="65">
        <v>88325</v>
      </c>
      <c r="B699" s="66" t="s">
        <v>11028</v>
      </c>
      <c r="C699" s="67" t="s">
        <v>10945</v>
      </c>
      <c r="D699" s="238">
        <v>3.8580000000000001</v>
      </c>
      <c r="E699" s="174">
        <v>20.58</v>
      </c>
      <c r="F699" s="174">
        <f>D699*E699</f>
        <v>79.397639999999996</v>
      </c>
    </row>
    <row r="700" spans="1:6" x14ac:dyDescent="0.2">
      <c r="A700" s="65">
        <v>88316</v>
      </c>
      <c r="B700" s="66" t="s">
        <v>10944</v>
      </c>
      <c r="C700" s="67" t="s">
        <v>10945</v>
      </c>
      <c r="D700" s="238">
        <v>3.8</v>
      </c>
      <c r="E700" s="174">
        <v>16.940000000000001</v>
      </c>
      <c r="F700" s="174">
        <f>D700*E700</f>
        <v>64.372</v>
      </c>
    </row>
    <row r="701" spans="1:6" x14ac:dyDescent="0.2">
      <c r="A701" s="65"/>
      <c r="B701" s="66"/>
      <c r="C701" s="67"/>
      <c r="D701" s="155"/>
      <c r="E701" s="99"/>
      <c r="F701" s="100"/>
    </row>
    <row r="702" spans="1:6" x14ac:dyDescent="0.2">
      <c r="A702" s="71"/>
      <c r="B702" s="62"/>
      <c r="C702" s="72"/>
      <c r="D702" s="73" t="s">
        <v>31</v>
      </c>
      <c r="E702" s="74"/>
      <c r="F702" s="75">
        <f>F699+F700+F701</f>
        <v>143.76963999999998</v>
      </c>
    </row>
    <row r="703" spans="1:6" x14ac:dyDescent="0.2">
      <c r="A703" s="71"/>
      <c r="B703" s="62"/>
      <c r="C703" s="72"/>
      <c r="D703" s="76" t="s">
        <v>32</v>
      </c>
      <c r="E703" s="77"/>
      <c r="F703" s="78">
        <f>F702*E703</f>
        <v>0</v>
      </c>
    </row>
    <row r="704" spans="1:6" x14ac:dyDescent="0.2">
      <c r="A704" s="71"/>
      <c r="B704" s="62"/>
      <c r="C704" s="72"/>
      <c r="D704" s="73" t="s">
        <v>33</v>
      </c>
      <c r="E704" s="74"/>
      <c r="F704" s="78">
        <f>SUM(F702:F703)</f>
        <v>143.76963999999998</v>
      </c>
    </row>
    <row r="705" spans="1:6" x14ac:dyDescent="0.2">
      <c r="A705" s="79"/>
      <c r="B705" s="76"/>
      <c r="C705" s="73"/>
      <c r="D705" s="80" t="s">
        <v>34</v>
      </c>
      <c r="E705" s="81"/>
      <c r="F705" s="82">
        <f>F704</f>
        <v>143.76963999999998</v>
      </c>
    </row>
    <row r="706" spans="1:6" x14ac:dyDescent="0.2">
      <c r="A706" s="79"/>
      <c r="B706" s="76"/>
      <c r="C706" s="73"/>
      <c r="D706" s="83"/>
      <c r="E706" s="84"/>
      <c r="F706" s="85"/>
    </row>
    <row r="707" spans="1:6" x14ac:dyDescent="0.2">
      <c r="A707" s="746" t="s">
        <v>35</v>
      </c>
      <c r="B707" s="747"/>
      <c r="C707" s="747"/>
      <c r="D707" s="747"/>
      <c r="E707" s="747"/>
      <c r="F707" s="748"/>
    </row>
    <row r="708" spans="1:6" x14ac:dyDescent="0.2">
      <c r="A708" s="64" t="s">
        <v>8</v>
      </c>
      <c r="B708" s="64" t="s">
        <v>26</v>
      </c>
      <c r="C708" s="64" t="s">
        <v>27</v>
      </c>
      <c r="D708" s="64" t="s">
        <v>28</v>
      </c>
      <c r="E708" s="64" t="s">
        <v>29</v>
      </c>
      <c r="F708" s="64" t="s">
        <v>30</v>
      </c>
    </row>
    <row r="709" spans="1:6" x14ac:dyDescent="0.2">
      <c r="A709" s="65">
        <v>10498</v>
      </c>
      <c r="B709" s="87" t="s">
        <v>11026</v>
      </c>
      <c r="C709" s="88" t="s">
        <v>11023</v>
      </c>
      <c r="D709" s="156">
        <v>1.5</v>
      </c>
      <c r="E709" s="174">
        <v>10.59</v>
      </c>
      <c r="F709" s="174">
        <f>D709*E709</f>
        <v>15.885</v>
      </c>
    </row>
    <row r="710" spans="1:6" x14ac:dyDescent="0.2">
      <c r="A710" s="65">
        <v>10506</v>
      </c>
      <c r="B710" s="87" t="s">
        <v>11027</v>
      </c>
      <c r="C710" s="88" t="s">
        <v>164</v>
      </c>
      <c r="D710" s="239">
        <v>1</v>
      </c>
      <c r="E710" s="174">
        <v>195.84</v>
      </c>
      <c r="F710" s="174">
        <f>D710*E710</f>
        <v>195.84</v>
      </c>
    </row>
    <row r="711" spans="1:6" x14ac:dyDescent="0.2">
      <c r="A711" s="95"/>
      <c r="B711" s="96"/>
      <c r="C711" s="97"/>
      <c r="D711" s="98"/>
      <c r="E711" s="99"/>
      <c r="F711" s="100"/>
    </row>
    <row r="712" spans="1:6" x14ac:dyDescent="0.2">
      <c r="A712" s="79"/>
      <c r="B712" s="76"/>
      <c r="C712" s="73"/>
      <c r="D712" s="80" t="s">
        <v>36</v>
      </c>
      <c r="E712" s="81"/>
      <c r="F712" s="101">
        <f>SUM(F709:F711)</f>
        <v>211.72499999999999</v>
      </c>
    </row>
    <row r="713" spans="1:6" x14ac:dyDescent="0.2">
      <c r="A713" s="79"/>
      <c r="B713" s="76"/>
      <c r="C713" s="73"/>
      <c r="D713" s="83"/>
      <c r="E713" s="84"/>
      <c r="F713" s="85"/>
    </row>
    <row r="714" spans="1:6" x14ac:dyDescent="0.2">
      <c r="A714" s="746" t="s">
        <v>37</v>
      </c>
      <c r="B714" s="747"/>
      <c r="C714" s="747"/>
      <c r="D714" s="747"/>
      <c r="E714" s="747"/>
      <c r="F714" s="748"/>
    </row>
    <row r="715" spans="1:6" x14ac:dyDescent="0.2">
      <c r="A715" s="64" t="s">
        <v>8</v>
      </c>
      <c r="B715" s="64" t="s">
        <v>26</v>
      </c>
      <c r="C715" s="64" t="s">
        <v>27</v>
      </c>
      <c r="D715" s="64" t="s">
        <v>28</v>
      </c>
      <c r="E715" s="64" t="s">
        <v>29</v>
      </c>
      <c r="F715" s="64" t="s">
        <v>30</v>
      </c>
    </row>
    <row r="716" spans="1:6" x14ac:dyDescent="0.2">
      <c r="A716" s="86"/>
      <c r="B716" s="102"/>
      <c r="C716" s="88"/>
      <c r="D716" s="89"/>
      <c r="E716" s="90"/>
      <c r="F716" s="91"/>
    </row>
    <row r="717" spans="1:6" x14ac:dyDescent="0.2">
      <c r="A717" s="92"/>
      <c r="B717" s="87"/>
      <c r="C717" s="88"/>
      <c r="D717" s="103"/>
      <c r="E717" s="94"/>
      <c r="F717" s="100"/>
    </row>
    <row r="718" spans="1:6" x14ac:dyDescent="0.2">
      <c r="A718" s="95"/>
      <c r="B718" s="96"/>
      <c r="C718" s="97"/>
      <c r="D718" s="98"/>
      <c r="E718" s="99"/>
      <c r="F718" s="104"/>
    </row>
    <row r="719" spans="1:6" x14ac:dyDescent="0.2">
      <c r="A719" s="79"/>
      <c r="B719" s="76"/>
      <c r="C719" s="73"/>
      <c r="D719" s="80" t="s">
        <v>38</v>
      </c>
      <c r="E719" s="81"/>
      <c r="F719" s="101">
        <f>ROUND(SUM(F716:F716),2)</f>
        <v>0</v>
      </c>
    </row>
    <row r="720" spans="1:6" x14ac:dyDescent="0.2">
      <c r="A720" s="79"/>
      <c r="B720" s="76"/>
      <c r="C720" s="73"/>
      <c r="D720" s="83"/>
      <c r="E720" s="84"/>
      <c r="F720" s="85"/>
    </row>
    <row r="721" spans="1:6" x14ac:dyDescent="0.2">
      <c r="A721" s="749" t="s">
        <v>39</v>
      </c>
      <c r="B721" s="750"/>
      <c r="C721" s="750"/>
      <c r="D721" s="750"/>
      <c r="E721" s="751"/>
      <c r="F721" s="105">
        <f>ROUND(F705+F712+F719,2)</f>
        <v>355.49</v>
      </c>
    </row>
    <row r="722" spans="1:6" ht="15.75" x14ac:dyDescent="0.2">
      <c r="A722" s="587" t="s">
        <v>8</v>
      </c>
      <c r="B722" s="743" t="s">
        <v>23</v>
      </c>
      <c r="C722" s="743"/>
      <c r="D722" s="743"/>
      <c r="E722" s="743"/>
      <c r="F722" s="588" t="s">
        <v>24</v>
      </c>
    </row>
    <row r="723" spans="1:6" ht="15" customHeight="1" x14ac:dyDescent="0.2">
      <c r="A723" s="63" t="s">
        <v>11189</v>
      </c>
      <c r="B723" s="744" t="str">
        <f>PO!D161</f>
        <v>PT1 e PT2 - Portão de rolo em chapa de aço galvanizado - Fornecimento e instalação</v>
      </c>
      <c r="C723" s="744"/>
      <c r="D723" s="744"/>
      <c r="E723" s="744"/>
      <c r="F723" s="107" t="str">
        <f>PO!E161</f>
        <v>m²</v>
      </c>
    </row>
    <row r="724" spans="1:6" x14ac:dyDescent="0.2">
      <c r="A724" s="745" t="s">
        <v>25</v>
      </c>
      <c r="B724" s="745"/>
      <c r="C724" s="745"/>
      <c r="D724" s="745"/>
      <c r="E724" s="745"/>
      <c r="F724" s="745"/>
    </row>
    <row r="725" spans="1:6" x14ac:dyDescent="0.2">
      <c r="A725" s="64" t="s">
        <v>8</v>
      </c>
      <c r="B725" s="64" t="s">
        <v>26</v>
      </c>
      <c r="C725" s="64" t="s">
        <v>27</v>
      </c>
      <c r="D725" s="64" t="s">
        <v>28</v>
      </c>
      <c r="E725" s="64" t="s">
        <v>29</v>
      </c>
      <c r="F725" s="64" t="s">
        <v>30</v>
      </c>
    </row>
    <row r="726" spans="1:6" x14ac:dyDescent="0.2">
      <c r="A726" s="65">
        <v>88309</v>
      </c>
      <c r="B726" s="87" t="s">
        <v>5390</v>
      </c>
      <c r="C726" s="88" t="s">
        <v>10945</v>
      </c>
      <c r="D726" s="156">
        <v>0.8</v>
      </c>
      <c r="E726" s="615">
        <v>20.43</v>
      </c>
      <c r="F726" s="622">
        <f>D726*E726</f>
        <v>16.344000000000001</v>
      </c>
    </row>
    <row r="727" spans="1:6" x14ac:dyDescent="0.2">
      <c r="A727" s="65">
        <v>88315</v>
      </c>
      <c r="B727" s="87" t="s">
        <v>13811</v>
      </c>
      <c r="C727" s="88" t="s">
        <v>10945</v>
      </c>
      <c r="D727" s="156">
        <v>1.8</v>
      </c>
      <c r="E727" s="615">
        <v>20.329999999999998</v>
      </c>
      <c r="F727" s="616">
        <f>D727*E727</f>
        <v>36.594000000000001</v>
      </c>
    </row>
    <row r="728" spans="1:6" x14ac:dyDescent="0.2">
      <c r="A728" s="65">
        <v>88316</v>
      </c>
      <c r="B728" s="66" t="s">
        <v>5397</v>
      </c>
      <c r="C728" s="67" t="s">
        <v>43</v>
      </c>
      <c r="D728" s="630">
        <v>3</v>
      </c>
      <c r="E728" s="99">
        <v>16.940000000000001</v>
      </c>
      <c r="F728" s="174">
        <f>D728*E728</f>
        <v>50.820000000000007</v>
      </c>
    </row>
    <row r="729" spans="1:6" x14ac:dyDescent="0.2">
      <c r="A729" s="71"/>
      <c r="B729" s="62"/>
      <c r="C729" s="72"/>
      <c r="D729" s="73" t="s">
        <v>31</v>
      </c>
      <c r="E729" s="74"/>
      <c r="F729" s="75">
        <f>F726+F727+F728</f>
        <v>103.75800000000001</v>
      </c>
    </row>
    <row r="730" spans="1:6" x14ac:dyDescent="0.2">
      <c r="A730" s="71"/>
      <c r="B730" s="62"/>
      <c r="C730" s="72"/>
      <c r="D730" s="76" t="s">
        <v>32</v>
      </c>
      <c r="E730" s="77"/>
      <c r="F730" s="78">
        <f>F729*E730</f>
        <v>0</v>
      </c>
    </row>
    <row r="731" spans="1:6" x14ac:dyDescent="0.2">
      <c r="A731" s="71"/>
      <c r="B731" s="62"/>
      <c r="C731" s="72"/>
      <c r="D731" s="73" t="s">
        <v>33</v>
      </c>
      <c r="E731" s="74"/>
      <c r="F731" s="78">
        <f>SUM(F729:F730)</f>
        <v>103.75800000000001</v>
      </c>
    </row>
    <row r="732" spans="1:6" x14ac:dyDescent="0.2">
      <c r="A732" s="79"/>
      <c r="B732" s="76"/>
      <c r="C732" s="73"/>
      <c r="D732" s="80" t="s">
        <v>34</v>
      </c>
      <c r="E732" s="81"/>
      <c r="F732" s="82">
        <f>F731</f>
        <v>103.75800000000001</v>
      </c>
    </row>
    <row r="733" spans="1:6" x14ac:dyDescent="0.2">
      <c r="A733" s="79"/>
      <c r="B733" s="76"/>
      <c r="C733" s="73"/>
      <c r="D733" s="83"/>
      <c r="E733" s="84"/>
      <c r="F733" s="85"/>
    </row>
    <row r="734" spans="1:6" x14ac:dyDescent="0.2">
      <c r="A734" s="746" t="s">
        <v>35</v>
      </c>
      <c r="B734" s="747"/>
      <c r="C734" s="747"/>
      <c r="D734" s="747"/>
      <c r="E734" s="747"/>
      <c r="F734" s="748"/>
    </row>
    <row r="735" spans="1:6" x14ac:dyDescent="0.2">
      <c r="A735" s="64" t="s">
        <v>8</v>
      </c>
      <c r="B735" s="64" t="s">
        <v>26</v>
      </c>
      <c r="C735" s="64" t="s">
        <v>27</v>
      </c>
      <c r="D735" s="64" t="s">
        <v>28</v>
      </c>
      <c r="E735" s="64" t="s">
        <v>29</v>
      </c>
      <c r="F735" s="64" t="s">
        <v>30</v>
      </c>
    </row>
    <row r="736" spans="1:6" x14ac:dyDescent="0.2">
      <c r="A736" s="65"/>
      <c r="B736" s="66"/>
      <c r="C736" s="88"/>
      <c r="D736" s="89"/>
      <c r="E736" s="615"/>
      <c r="F736" s="622"/>
    </row>
    <row r="737" spans="1:6" ht="24.75" customHeight="1" x14ac:dyDescent="0.2">
      <c r="A737" s="65">
        <v>4910</v>
      </c>
      <c r="B737" s="216" t="s">
        <v>9383</v>
      </c>
      <c r="C737" s="88" t="s">
        <v>13809</v>
      </c>
      <c r="D737" s="89">
        <v>1</v>
      </c>
      <c r="E737" s="615">
        <v>326.02999999999997</v>
      </c>
      <c r="F737" s="616">
        <f t="shared" ref="F737:F739" si="17">D737*E737</f>
        <v>326.02999999999997</v>
      </c>
    </row>
    <row r="738" spans="1:6" x14ac:dyDescent="0.2">
      <c r="A738" s="65"/>
      <c r="B738" s="66"/>
      <c r="C738" s="88"/>
      <c r="D738" s="89"/>
      <c r="E738" s="615"/>
      <c r="F738" s="616">
        <f t="shared" si="17"/>
        <v>0</v>
      </c>
    </row>
    <row r="739" spans="1:6" x14ac:dyDescent="0.2">
      <c r="A739" s="65"/>
      <c r="B739" s="216"/>
      <c r="C739" s="88"/>
      <c r="D739" s="89"/>
      <c r="E739" s="615"/>
      <c r="F739" s="616">
        <f t="shared" si="17"/>
        <v>0</v>
      </c>
    </row>
    <row r="740" spans="1:6" x14ac:dyDescent="0.2">
      <c r="A740" s="65"/>
      <c r="B740" s="66"/>
      <c r="C740" s="97"/>
      <c r="D740" s="98"/>
      <c r="E740" s="173"/>
      <c r="F740" s="174"/>
    </row>
    <row r="741" spans="1:6" x14ac:dyDescent="0.2">
      <c r="A741" s="79"/>
      <c r="B741" s="76"/>
      <c r="C741" s="73"/>
      <c r="D741" s="80" t="s">
        <v>36</v>
      </c>
      <c r="E741" s="81"/>
      <c r="F741" s="101">
        <f>SUM(F736:F740)</f>
        <v>326.02999999999997</v>
      </c>
    </row>
    <row r="742" spans="1:6" x14ac:dyDescent="0.2">
      <c r="A742" s="79"/>
      <c r="B742" s="76"/>
      <c r="C742" s="73"/>
      <c r="D742" s="83"/>
      <c r="E742" s="84"/>
      <c r="F742" s="85"/>
    </row>
    <row r="743" spans="1:6" x14ac:dyDescent="0.2">
      <c r="A743" s="746" t="s">
        <v>37</v>
      </c>
      <c r="B743" s="747"/>
      <c r="C743" s="747"/>
      <c r="D743" s="747"/>
      <c r="E743" s="747"/>
      <c r="F743" s="748"/>
    </row>
    <row r="744" spans="1:6" x14ac:dyDescent="0.2">
      <c r="A744" s="64" t="s">
        <v>8</v>
      </c>
      <c r="B744" s="64" t="s">
        <v>26</v>
      </c>
      <c r="C744" s="64" t="s">
        <v>27</v>
      </c>
      <c r="D744" s="64" t="s">
        <v>28</v>
      </c>
      <c r="E744" s="64" t="s">
        <v>29</v>
      </c>
      <c r="F744" s="64" t="s">
        <v>30</v>
      </c>
    </row>
    <row r="745" spans="1:6" x14ac:dyDescent="0.2">
      <c r="A745" s="65"/>
      <c r="B745" s="66"/>
      <c r="C745" s="88"/>
      <c r="D745" s="89"/>
      <c r="E745" s="173"/>
      <c r="F745" s="174"/>
    </row>
    <row r="746" spans="1:6" ht="36" x14ac:dyDescent="0.2">
      <c r="A746" s="92">
        <v>88627</v>
      </c>
      <c r="B746" s="631" t="s">
        <v>11507</v>
      </c>
      <c r="C746" s="88" t="s">
        <v>13808</v>
      </c>
      <c r="D746" s="93">
        <v>6.0000000000000001E-3</v>
      </c>
      <c r="E746" s="94">
        <v>533.1</v>
      </c>
      <c r="F746" s="616">
        <f t="shared" ref="F746" si="18">D746*E746</f>
        <v>3.1986000000000003</v>
      </c>
    </row>
    <row r="747" spans="1:6" x14ac:dyDescent="0.2">
      <c r="A747" s="95"/>
      <c r="B747" s="96"/>
      <c r="C747" s="97"/>
      <c r="D747" s="98"/>
      <c r="E747" s="99"/>
      <c r="F747" s="104"/>
    </row>
    <row r="748" spans="1:6" x14ac:dyDescent="0.2">
      <c r="A748" s="79"/>
      <c r="B748" s="76"/>
      <c r="C748" s="73"/>
      <c r="D748" s="80" t="s">
        <v>38</v>
      </c>
      <c r="E748" s="81"/>
      <c r="F748" s="101">
        <f>SUM(F746:F747)</f>
        <v>3.1986000000000003</v>
      </c>
    </row>
    <row r="749" spans="1:6" x14ac:dyDescent="0.2">
      <c r="A749" s="79"/>
      <c r="B749" s="76"/>
      <c r="C749" s="73"/>
      <c r="D749" s="83"/>
      <c r="E749" s="84"/>
      <c r="F749" s="85"/>
    </row>
    <row r="750" spans="1:6" x14ac:dyDescent="0.2">
      <c r="A750" s="749" t="s">
        <v>39</v>
      </c>
      <c r="B750" s="750"/>
      <c r="C750" s="750"/>
      <c r="D750" s="750"/>
      <c r="E750" s="751"/>
      <c r="F750" s="105">
        <f>ROUND(F732+F741+F748,2)</f>
        <v>432.99</v>
      </c>
    </row>
    <row r="751" spans="1:6" ht="15.75" x14ac:dyDescent="0.2">
      <c r="A751" s="587" t="s">
        <v>8</v>
      </c>
      <c r="B751" s="743" t="s">
        <v>23</v>
      </c>
      <c r="C751" s="743"/>
      <c r="D751" s="743"/>
      <c r="E751" s="743"/>
      <c r="F751" s="588" t="s">
        <v>24</v>
      </c>
    </row>
    <row r="752" spans="1:6" ht="15" customHeight="1" x14ac:dyDescent="0.2">
      <c r="A752" s="63" t="s">
        <v>11219</v>
      </c>
      <c r="B752" s="744" t="str">
        <f>PO!D163</f>
        <v>PVC 1 - Porta sanfonada em PVC - Fornecimento e instalação</v>
      </c>
      <c r="C752" s="744"/>
      <c r="D752" s="744"/>
      <c r="E752" s="744"/>
      <c r="F752" s="107" t="str">
        <f>PO!E163</f>
        <v>und</v>
      </c>
    </row>
    <row r="753" spans="1:6" x14ac:dyDescent="0.2">
      <c r="A753" s="745" t="s">
        <v>25</v>
      </c>
      <c r="B753" s="745"/>
      <c r="C753" s="745"/>
      <c r="D753" s="745"/>
      <c r="E753" s="745"/>
      <c r="F753" s="745"/>
    </row>
    <row r="754" spans="1:6" x14ac:dyDescent="0.2">
      <c r="A754" s="64" t="s">
        <v>8</v>
      </c>
      <c r="B754" s="64" t="s">
        <v>26</v>
      </c>
      <c r="C754" s="64" t="s">
        <v>27</v>
      </c>
      <c r="D754" s="64" t="s">
        <v>28</v>
      </c>
      <c r="E754" s="64" t="s">
        <v>29</v>
      </c>
      <c r="F754" s="64" t="s">
        <v>30</v>
      </c>
    </row>
    <row r="755" spans="1:6" x14ac:dyDescent="0.2">
      <c r="A755" s="65">
        <v>88309</v>
      </c>
      <c r="B755" s="66" t="s">
        <v>10949</v>
      </c>
      <c r="C755" s="67" t="s">
        <v>10945</v>
      </c>
      <c r="D755" s="238">
        <v>1</v>
      </c>
      <c r="E755" s="174">
        <v>20.43</v>
      </c>
      <c r="F755" s="622">
        <f>D755*E755</f>
        <v>20.43</v>
      </c>
    </row>
    <row r="756" spans="1:6" x14ac:dyDescent="0.2">
      <c r="A756" s="65">
        <v>88316</v>
      </c>
      <c r="B756" s="66" t="s">
        <v>10944</v>
      </c>
      <c r="C756" s="67" t="s">
        <v>10945</v>
      </c>
      <c r="D756" s="238">
        <v>1</v>
      </c>
      <c r="E756" s="174">
        <v>16.940000000000001</v>
      </c>
      <c r="F756" s="616">
        <f>D756*E756</f>
        <v>16.940000000000001</v>
      </c>
    </row>
    <row r="757" spans="1:6" x14ac:dyDescent="0.2">
      <c r="A757" s="65"/>
      <c r="B757" s="66"/>
      <c r="C757" s="67"/>
      <c r="D757" s="630"/>
      <c r="E757" s="99"/>
      <c r="F757" s="174">
        <f>D757*E757</f>
        <v>0</v>
      </c>
    </row>
    <row r="758" spans="1:6" x14ac:dyDescent="0.2">
      <c r="A758" s="71"/>
      <c r="B758" s="62"/>
      <c r="C758" s="72"/>
      <c r="D758" s="73" t="s">
        <v>31</v>
      </c>
      <c r="E758" s="74"/>
      <c r="F758" s="75">
        <f>F755+F756+F757</f>
        <v>37.370000000000005</v>
      </c>
    </row>
    <row r="759" spans="1:6" x14ac:dyDescent="0.2">
      <c r="A759" s="71"/>
      <c r="B759" s="62"/>
      <c r="C759" s="72"/>
      <c r="D759" s="76" t="s">
        <v>32</v>
      </c>
      <c r="E759" s="77"/>
      <c r="F759" s="78">
        <f>F758*E759</f>
        <v>0</v>
      </c>
    </row>
    <row r="760" spans="1:6" x14ac:dyDescent="0.2">
      <c r="A760" s="71"/>
      <c r="B760" s="62"/>
      <c r="C760" s="72"/>
      <c r="D760" s="73" t="s">
        <v>33</v>
      </c>
      <c r="E760" s="74"/>
      <c r="F760" s="78">
        <f>SUM(F758:F759)</f>
        <v>37.370000000000005</v>
      </c>
    </row>
    <row r="761" spans="1:6" x14ac:dyDescent="0.2">
      <c r="A761" s="79"/>
      <c r="B761" s="76"/>
      <c r="C761" s="73"/>
      <c r="D761" s="80" t="s">
        <v>34</v>
      </c>
      <c r="E761" s="81"/>
      <c r="F761" s="82">
        <f>F760</f>
        <v>37.370000000000005</v>
      </c>
    </row>
    <row r="762" spans="1:6" x14ac:dyDescent="0.2">
      <c r="A762" s="79"/>
      <c r="B762" s="76"/>
      <c r="C762" s="73"/>
      <c r="D762" s="83"/>
      <c r="E762" s="84"/>
      <c r="F762" s="85"/>
    </row>
    <row r="763" spans="1:6" x14ac:dyDescent="0.2">
      <c r="A763" s="746" t="s">
        <v>35</v>
      </c>
      <c r="B763" s="747"/>
      <c r="C763" s="747"/>
      <c r="D763" s="747"/>
      <c r="E763" s="747"/>
      <c r="F763" s="748"/>
    </row>
    <row r="764" spans="1:6" x14ac:dyDescent="0.2">
      <c r="A764" s="64" t="s">
        <v>8</v>
      </c>
      <c r="B764" s="64" t="s">
        <v>26</v>
      </c>
      <c r="C764" s="64" t="s">
        <v>27</v>
      </c>
      <c r="D764" s="64" t="s">
        <v>28</v>
      </c>
      <c r="E764" s="64" t="s">
        <v>29</v>
      </c>
      <c r="F764" s="64" t="s">
        <v>30</v>
      </c>
    </row>
    <row r="765" spans="1:6" x14ac:dyDescent="0.2">
      <c r="A765" s="65"/>
      <c r="B765" s="66"/>
      <c r="C765" s="88"/>
      <c r="D765" s="89"/>
      <c r="E765" s="615"/>
      <c r="F765" s="622">
        <f t="shared" ref="F765:F768" si="19">D765*E765</f>
        <v>0</v>
      </c>
    </row>
    <row r="766" spans="1:6" ht="24.75" customHeight="1" x14ac:dyDescent="0.2">
      <c r="A766" s="65">
        <v>7584</v>
      </c>
      <c r="B766" s="87" t="s">
        <v>11039</v>
      </c>
      <c r="C766" s="88" t="s">
        <v>10884</v>
      </c>
      <c r="D766" s="156">
        <v>10</v>
      </c>
      <c r="E766" s="615">
        <v>0.84</v>
      </c>
      <c r="F766" s="616">
        <f t="shared" si="19"/>
        <v>8.4</v>
      </c>
    </row>
    <row r="767" spans="1:6" x14ac:dyDescent="0.2">
      <c r="A767" s="65" t="s">
        <v>13805</v>
      </c>
      <c r="B767" s="87" t="s">
        <v>11038</v>
      </c>
      <c r="C767" s="88" t="s">
        <v>10884</v>
      </c>
      <c r="D767" s="89">
        <v>1</v>
      </c>
      <c r="E767" s="173">
        <v>107.9</v>
      </c>
      <c r="F767" s="616">
        <f t="shared" si="19"/>
        <v>107.9</v>
      </c>
    </row>
    <row r="768" spans="1:6" x14ac:dyDescent="0.2">
      <c r="A768" s="65"/>
      <c r="B768" s="216"/>
      <c r="C768" s="88"/>
      <c r="D768" s="89"/>
      <c r="E768" s="615"/>
      <c r="F768" s="616">
        <f t="shared" si="19"/>
        <v>0</v>
      </c>
    </row>
    <row r="769" spans="1:6" x14ac:dyDescent="0.2">
      <c r="A769" s="65"/>
      <c r="B769" s="66"/>
      <c r="C769" s="97"/>
      <c r="D769" s="98"/>
      <c r="E769" s="173"/>
      <c r="F769" s="174"/>
    </row>
    <row r="770" spans="1:6" x14ac:dyDescent="0.2">
      <c r="A770" s="79"/>
      <c r="B770" s="76"/>
      <c r="C770" s="73"/>
      <c r="D770" s="80" t="s">
        <v>36</v>
      </c>
      <c r="E770" s="81"/>
      <c r="F770" s="101">
        <f>SUM(F765:F769)</f>
        <v>116.30000000000001</v>
      </c>
    </row>
    <row r="771" spans="1:6" x14ac:dyDescent="0.2">
      <c r="A771" s="79"/>
      <c r="B771" s="76"/>
      <c r="C771" s="73"/>
      <c r="D771" s="83"/>
      <c r="E771" s="84"/>
      <c r="F771" s="85"/>
    </row>
    <row r="772" spans="1:6" x14ac:dyDescent="0.2">
      <c r="A772" s="746" t="s">
        <v>37</v>
      </c>
      <c r="B772" s="747"/>
      <c r="C772" s="747"/>
      <c r="D772" s="747"/>
      <c r="E772" s="747"/>
      <c r="F772" s="748"/>
    </row>
    <row r="773" spans="1:6" x14ac:dyDescent="0.2">
      <c r="A773" s="64" t="s">
        <v>8</v>
      </c>
      <c r="B773" s="64" t="s">
        <v>26</v>
      </c>
      <c r="C773" s="64" t="s">
        <v>27</v>
      </c>
      <c r="D773" s="64" t="s">
        <v>28</v>
      </c>
      <c r="E773" s="64" t="s">
        <v>29</v>
      </c>
      <c r="F773" s="64" t="s">
        <v>30</v>
      </c>
    </row>
    <row r="774" spans="1:6" x14ac:dyDescent="0.2">
      <c r="A774" s="65"/>
      <c r="B774" s="66"/>
      <c r="C774" s="88"/>
      <c r="D774" s="89"/>
      <c r="E774" s="173"/>
      <c r="F774" s="174"/>
    </row>
    <row r="775" spans="1:6" x14ac:dyDescent="0.2">
      <c r="A775" s="92"/>
      <c r="B775" s="631"/>
      <c r="C775" s="88"/>
      <c r="D775" s="93"/>
      <c r="E775" s="94"/>
      <c r="F775" s="616">
        <f t="shared" ref="F775" si="20">D775*E775</f>
        <v>0</v>
      </c>
    </row>
    <row r="776" spans="1:6" x14ac:dyDescent="0.2">
      <c r="A776" s="95"/>
      <c r="B776" s="96"/>
      <c r="C776" s="97"/>
      <c r="D776" s="98"/>
      <c r="E776" s="99"/>
      <c r="F776" s="104"/>
    </row>
    <row r="777" spans="1:6" x14ac:dyDescent="0.2">
      <c r="A777" s="79"/>
      <c r="B777" s="76"/>
      <c r="C777" s="73"/>
      <c r="D777" s="80" t="s">
        <v>38</v>
      </c>
      <c r="E777" s="81"/>
      <c r="F777" s="101">
        <f>ROUND(SUM(F774:F774),2)</f>
        <v>0</v>
      </c>
    </row>
    <row r="778" spans="1:6" x14ac:dyDescent="0.2">
      <c r="A778" s="79"/>
      <c r="B778" s="76"/>
      <c r="C778" s="73"/>
      <c r="D778" s="83"/>
      <c r="E778" s="84"/>
      <c r="F778" s="85"/>
    </row>
    <row r="779" spans="1:6" x14ac:dyDescent="0.2">
      <c r="A779" s="749" t="s">
        <v>39</v>
      </c>
      <c r="B779" s="750"/>
      <c r="C779" s="750"/>
      <c r="D779" s="750"/>
      <c r="E779" s="751"/>
      <c r="F779" s="105">
        <f>ROUND(F761+F770+F777,2)</f>
        <v>153.66999999999999</v>
      </c>
    </row>
    <row r="780" spans="1:6" ht="15.75" x14ac:dyDescent="0.2">
      <c r="A780" s="587" t="s">
        <v>8</v>
      </c>
      <c r="B780" s="743" t="s">
        <v>23</v>
      </c>
      <c r="C780" s="743"/>
      <c r="D780" s="743"/>
      <c r="E780" s="743"/>
      <c r="F780" s="588" t="s">
        <v>24</v>
      </c>
    </row>
    <row r="781" spans="1:6" ht="45.75" customHeight="1" x14ac:dyDescent="0.2">
      <c r="A781" s="63" t="s">
        <v>11879</v>
      </c>
      <c r="B781" s="744" t="str">
        <f>PO!D164</f>
        <v>PAL1 - Porta de correr em chapa de painel de alumínio composto ACM 3 mm, cor branco, acabamento brilhoso, de dimensões 1,50x2,50m, com visor em vidro temperado de 10 mm de dimensões de 20x60cm - Fornecimento e instalação</v>
      </c>
      <c r="C781" s="744"/>
      <c r="D781" s="744"/>
      <c r="E781" s="744"/>
      <c r="F781" s="107" t="str">
        <f>PO!E164</f>
        <v>und</v>
      </c>
    </row>
    <row r="782" spans="1:6" x14ac:dyDescent="0.2">
      <c r="A782" s="745" t="s">
        <v>25</v>
      </c>
      <c r="B782" s="745"/>
      <c r="C782" s="745"/>
      <c r="D782" s="745"/>
      <c r="E782" s="745"/>
      <c r="F782" s="745"/>
    </row>
    <row r="783" spans="1:6" x14ac:dyDescent="0.2">
      <c r="A783" s="64" t="s">
        <v>8</v>
      </c>
      <c r="B783" s="64" t="s">
        <v>26</v>
      </c>
      <c r="C783" s="64" t="s">
        <v>27</v>
      </c>
      <c r="D783" s="64" t="s">
        <v>28</v>
      </c>
      <c r="E783" s="64" t="s">
        <v>29</v>
      </c>
      <c r="F783" s="64" t="s">
        <v>30</v>
      </c>
    </row>
    <row r="784" spans="1:6" x14ac:dyDescent="0.2">
      <c r="A784" s="65">
        <v>88309</v>
      </c>
      <c r="B784" s="66" t="s">
        <v>10949</v>
      </c>
      <c r="C784" s="67" t="s">
        <v>10945</v>
      </c>
      <c r="D784" s="238">
        <v>1</v>
      </c>
      <c r="E784" s="174">
        <v>20.43</v>
      </c>
      <c r="F784" s="622">
        <f>D784*E784</f>
        <v>20.43</v>
      </c>
    </row>
    <row r="785" spans="1:6" x14ac:dyDescent="0.2">
      <c r="A785" s="65">
        <v>88316</v>
      </c>
      <c r="B785" s="66" t="s">
        <v>10944</v>
      </c>
      <c r="C785" s="67" t="s">
        <v>10945</v>
      </c>
      <c r="D785" s="238">
        <v>0.5</v>
      </c>
      <c r="E785" s="174">
        <v>16.940000000000001</v>
      </c>
      <c r="F785" s="616">
        <f>D785*E785</f>
        <v>8.4700000000000006</v>
      </c>
    </row>
    <row r="786" spans="1:6" x14ac:dyDescent="0.2">
      <c r="A786" s="65"/>
      <c r="B786" s="66"/>
      <c r="C786" s="67"/>
      <c r="D786" s="630"/>
      <c r="E786" s="99"/>
      <c r="F786" s="174">
        <f>D786*E786</f>
        <v>0</v>
      </c>
    </row>
    <row r="787" spans="1:6" x14ac:dyDescent="0.2">
      <c r="A787" s="71"/>
      <c r="B787" s="62"/>
      <c r="C787" s="72"/>
      <c r="D787" s="73" t="s">
        <v>31</v>
      </c>
      <c r="E787" s="74"/>
      <c r="F787" s="75">
        <f>F784+F785+F786</f>
        <v>28.9</v>
      </c>
    </row>
    <row r="788" spans="1:6" x14ac:dyDescent="0.2">
      <c r="A788" s="71"/>
      <c r="B788" s="62"/>
      <c r="C788" s="72"/>
      <c r="D788" s="76" t="s">
        <v>32</v>
      </c>
      <c r="E788" s="77"/>
      <c r="F788" s="78">
        <f>F787*E788</f>
        <v>0</v>
      </c>
    </row>
    <row r="789" spans="1:6" x14ac:dyDescent="0.2">
      <c r="A789" s="71"/>
      <c r="B789" s="62"/>
      <c r="C789" s="72"/>
      <c r="D789" s="73" t="s">
        <v>33</v>
      </c>
      <c r="E789" s="74"/>
      <c r="F789" s="78">
        <f>SUM(F787:F788)</f>
        <v>28.9</v>
      </c>
    </row>
    <row r="790" spans="1:6" x14ac:dyDescent="0.2">
      <c r="A790" s="79"/>
      <c r="B790" s="76"/>
      <c r="C790" s="73"/>
      <c r="D790" s="80" t="s">
        <v>34</v>
      </c>
      <c r="E790" s="81"/>
      <c r="F790" s="82">
        <f>F789</f>
        <v>28.9</v>
      </c>
    </row>
    <row r="791" spans="1:6" x14ac:dyDescent="0.2">
      <c r="A791" s="79"/>
      <c r="B791" s="76"/>
      <c r="C791" s="73"/>
      <c r="D791" s="83"/>
      <c r="E791" s="84"/>
      <c r="F791" s="85"/>
    </row>
    <row r="792" spans="1:6" x14ac:dyDescent="0.2">
      <c r="A792" s="746" t="s">
        <v>35</v>
      </c>
      <c r="B792" s="747"/>
      <c r="C792" s="747"/>
      <c r="D792" s="747"/>
      <c r="E792" s="747"/>
      <c r="F792" s="748"/>
    </row>
    <row r="793" spans="1:6" x14ac:dyDescent="0.2">
      <c r="A793" s="64" t="s">
        <v>8</v>
      </c>
      <c r="B793" s="64" t="s">
        <v>26</v>
      </c>
      <c r="C793" s="64" t="s">
        <v>27</v>
      </c>
      <c r="D793" s="64" t="s">
        <v>28</v>
      </c>
      <c r="E793" s="64" t="s">
        <v>29</v>
      </c>
      <c r="F793" s="64" t="s">
        <v>30</v>
      </c>
    </row>
    <row r="794" spans="1:6" x14ac:dyDescent="0.2">
      <c r="A794" s="65"/>
      <c r="B794" s="66"/>
      <c r="C794" s="88"/>
      <c r="D794" s="89"/>
      <c r="E794" s="615"/>
      <c r="F794" s="622">
        <f t="shared" ref="F794:F797" si="21">D794*E794</f>
        <v>0</v>
      </c>
    </row>
    <row r="795" spans="1:6" ht="40.5" customHeight="1" x14ac:dyDescent="0.2">
      <c r="A795" s="624" t="s">
        <v>12058</v>
      </c>
      <c r="B795" s="632" t="s">
        <v>11043</v>
      </c>
      <c r="C795" s="633" t="s">
        <v>10884</v>
      </c>
      <c r="D795" s="634">
        <v>1</v>
      </c>
      <c r="E795" s="681">
        <v>3495.6666666666665</v>
      </c>
      <c r="F795" s="616">
        <f t="shared" si="21"/>
        <v>3495.6666666666665</v>
      </c>
    </row>
    <row r="796" spans="1:6" x14ac:dyDescent="0.2">
      <c r="A796" s="65"/>
      <c r="B796" s="87"/>
      <c r="C796" s="88"/>
      <c r="D796" s="89"/>
      <c r="E796" s="173"/>
      <c r="F796" s="616">
        <f t="shared" si="21"/>
        <v>0</v>
      </c>
    </row>
    <row r="797" spans="1:6" x14ac:dyDescent="0.2">
      <c r="A797" s="65"/>
      <c r="B797" s="216"/>
      <c r="C797" s="88"/>
      <c r="D797" s="89"/>
      <c r="E797" s="615"/>
      <c r="F797" s="616">
        <f t="shared" si="21"/>
        <v>0</v>
      </c>
    </row>
    <row r="798" spans="1:6" x14ac:dyDescent="0.2">
      <c r="A798" s="65"/>
      <c r="B798" s="66"/>
      <c r="C798" s="97"/>
      <c r="D798" s="98"/>
      <c r="E798" s="173"/>
      <c r="F798" s="174"/>
    </row>
    <row r="799" spans="1:6" x14ac:dyDescent="0.2">
      <c r="A799" s="79"/>
      <c r="B799" s="76"/>
      <c r="C799" s="73"/>
      <c r="D799" s="80" t="s">
        <v>36</v>
      </c>
      <c r="E799" s="81"/>
      <c r="F799" s="101">
        <f>SUM(F794:F798)</f>
        <v>3495.6666666666665</v>
      </c>
    </row>
    <row r="800" spans="1:6" x14ac:dyDescent="0.2">
      <c r="A800" s="79"/>
      <c r="B800" s="76"/>
      <c r="C800" s="73"/>
      <c r="D800" s="83"/>
      <c r="E800" s="84"/>
      <c r="F800" s="85"/>
    </row>
    <row r="801" spans="1:6" x14ac:dyDescent="0.2">
      <c r="A801" s="746" t="s">
        <v>37</v>
      </c>
      <c r="B801" s="747"/>
      <c r="C801" s="747"/>
      <c r="D801" s="747"/>
      <c r="E801" s="747"/>
      <c r="F801" s="748"/>
    </row>
    <row r="802" spans="1:6" x14ac:dyDescent="0.2">
      <c r="A802" s="64" t="s">
        <v>8</v>
      </c>
      <c r="B802" s="64" t="s">
        <v>26</v>
      </c>
      <c r="C802" s="64" t="s">
        <v>27</v>
      </c>
      <c r="D802" s="64" t="s">
        <v>28</v>
      </c>
      <c r="E802" s="64" t="s">
        <v>29</v>
      </c>
      <c r="F802" s="64" t="s">
        <v>30</v>
      </c>
    </row>
    <row r="803" spans="1:6" x14ac:dyDescent="0.2">
      <c r="A803" s="65"/>
      <c r="B803" s="66"/>
      <c r="C803" s="88"/>
      <c r="D803" s="89"/>
      <c r="E803" s="173"/>
      <c r="F803" s="174"/>
    </row>
    <row r="804" spans="1:6" x14ac:dyDescent="0.2">
      <c r="A804" s="92"/>
      <c r="B804" s="631"/>
      <c r="C804" s="88"/>
      <c r="D804" s="93"/>
      <c r="E804" s="94"/>
      <c r="F804" s="616">
        <f t="shared" ref="F804" si="22">D804*E804</f>
        <v>0</v>
      </c>
    </row>
    <row r="805" spans="1:6" x14ac:dyDescent="0.2">
      <c r="A805" s="95"/>
      <c r="B805" s="96"/>
      <c r="C805" s="97"/>
      <c r="D805" s="98"/>
      <c r="E805" s="99"/>
      <c r="F805" s="104"/>
    </row>
    <row r="806" spans="1:6" x14ac:dyDescent="0.2">
      <c r="A806" s="79"/>
      <c r="B806" s="76"/>
      <c r="C806" s="73"/>
      <c r="D806" s="80" t="s">
        <v>38</v>
      </c>
      <c r="E806" s="81"/>
      <c r="F806" s="101">
        <f>ROUND(SUM(F803:F803),2)</f>
        <v>0</v>
      </c>
    </row>
    <row r="807" spans="1:6" x14ac:dyDescent="0.2">
      <c r="A807" s="79"/>
      <c r="B807" s="76"/>
      <c r="C807" s="73"/>
      <c r="D807" s="83"/>
      <c r="E807" s="84"/>
      <c r="F807" s="85"/>
    </row>
    <row r="808" spans="1:6" x14ac:dyDescent="0.2">
      <c r="A808" s="749" t="s">
        <v>39</v>
      </c>
      <c r="B808" s="750"/>
      <c r="C808" s="750"/>
      <c r="D808" s="750"/>
      <c r="E808" s="751"/>
      <c r="F808" s="105">
        <f>ROUND(F790+F799+F806,2)</f>
        <v>3524.57</v>
      </c>
    </row>
    <row r="809" spans="1:6" ht="15.75" x14ac:dyDescent="0.2">
      <c r="A809" s="587" t="s">
        <v>8</v>
      </c>
      <c r="B809" s="743" t="s">
        <v>23</v>
      </c>
      <c r="C809" s="743"/>
      <c r="D809" s="743"/>
      <c r="E809" s="743"/>
      <c r="F809" s="588" t="s">
        <v>24</v>
      </c>
    </row>
    <row r="810" spans="1:6" ht="45.75" customHeight="1" x14ac:dyDescent="0.2">
      <c r="A810" s="63" t="s">
        <v>11669</v>
      </c>
      <c r="B810" s="744" t="str">
        <f>PO!D165</f>
        <v>PAL2 - Porta de correr em chapa de painel de alumínio composto ACM 3 mm, cor branco, acabamento brilhoso, de dimensões 1,20x2,50m, com visor em vidro temperado de 10 mm de dimensões de 20x60cm - Fornecimento e instalação</v>
      </c>
      <c r="C810" s="744"/>
      <c r="D810" s="744"/>
      <c r="E810" s="744"/>
      <c r="F810" s="107" t="str">
        <f>PO!E165</f>
        <v>und</v>
      </c>
    </row>
    <row r="811" spans="1:6" x14ac:dyDescent="0.2">
      <c r="A811" s="745" t="s">
        <v>25</v>
      </c>
      <c r="B811" s="745"/>
      <c r="C811" s="745"/>
      <c r="D811" s="745"/>
      <c r="E811" s="745"/>
      <c r="F811" s="745"/>
    </row>
    <row r="812" spans="1:6" x14ac:dyDescent="0.2">
      <c r="A812" s="64" t="s">
        <v>8</v>
      </c>
      <c r="B812" s="64" t="s">
        <v>26</v>
      </c>
      <c r="C812" s="64" t="s">
        <v>27</v>
      </c>
      <c r="D812" s="64" t="s">
        <v>28</v>
      </c>
      <c r="E812" s="64" t="s">
        <v>29</v>
      </c>
      <c r="F812" s="64" t="s">
        <v>30</v>
      </c>
    </row>
    <row r="813" spans="1:6" x14ac:dyDescent="0.2">
      <c r="A813" s="65">
        <v>88309</v>
      </c>
      <c r="B813" s="66" t="s">
        <v>10949</v>
      </c>
      <c r="C813" s="67" t="s">
        <v>10945</v>
      </c>
      <c r="D813" s="238">
        <v>1</v>
      </c>
      <c r="E813" s="174">
        <v>20.43</v>
      </c>
      <c r="F813" s="622">
        <f>D813*E813</f>
        <v>20.43</v>
      </c>
    </row>
    <row r="814" spans="1:6" x14ac:dyDescent="0.2">
      <c r="A814" s="65">
        <v>88316</v>
      </c>
      <c r="B814" s="66" t="s">
        <v>10944</v>
      </c>
      <c r="C814" s="67" t="s">
        <v>10945</v>
      </c>
      <c r="D814" s="238">
        <v>0.5</v>
      </c>
      <c r="E814" s="174">
        <v>16.940000000000001</v>
      </c>
      <c r="F814" s="616">
        <f>D814*E814</f>
        <v>8.4700000000000006</v>
      </c>
    </row>
    <row r="815" spans="1:6" x14ac:dyDescent="0.2">
      <c r="A815" s="65"/>
      <c r="B815" s="66"/>
      <c r="C815" s="67"/>
      <c r="D815" s="630"/>
      <c r="E815" s="99"/>
      <c r="F815" s="174">
        <f>D815*E815</f>
        <v>0</v>
      </c>
    </row>
    <row r="816" spans="1:6" x14ac:dyDescent="0.2">
      <c r="A816" s="71"/>
      <c r="B816" s="62"/>
      <c r="C816" s="72"/>
      <c r="D816" s="73" t="s">
        <v>31</v>
      </c>
      <c r="E816" s="74"/>
      <c r="F816" s="75">
        <f>F813+F814+F815</f>
        <v>28.9</v>
      </c>
    </row>
    <row r="817" spans="1:6" x14ac:dyDescent="0.2">
      <c r="A817" s="71"/>
      <c r="B817" s="62"/>
      <c r="C817" s="72"/>
      <c r="D817" s="76" t="s">
        <v>32</v>
      </c>
      <c r="E817" s="77"/>
      <c r="F817" s="78">
        <f>F816*E817</f>
        <v>0</v>
      </c>
    </row>
    <row r="818" spans="1:6" x14ac:dyDescent="0.2">
      <c r="A818" s="71"/>
      <c r="B818" s="62"/>
      <c r="C818" s="72"/>
      <c r="D818" s="73" t="s">
        <v>33</v>
      </c>
      <c r="E818" s="74"/>
      <c r="F818" s="78">
        <f>SUM(F816:F817)</f>
        <v>28.9</v>
      </c>
    </row>
    <row r="819" spans="1:6" x14ac:dyDescent="0.2">
      <c r="A819" s="79"/>
      <c r="B819" s="76"/>
      <c r="C819" s="73"/>
      <c r="D819" s="80" t="s">
        <v>34</v>
      </c>
      <c r="E819" s="81"/>
      <c r="F819" s="82">
        <f>F818</f>
        <v>28.9</v>
      </c>
    </row>
    <row r="820" spans="1:6" x14ac:dyDescent="0.2">
      <c r="A820" s="79"/>
      <c r="B820" s="76"/>
      <c r="C820" s="73"/>
      <c r="D820" s="83"/>
      <c r="E820" s="84"/>
      <c r="F820" s="85"/>
    </row>
    <row r="821" spans="1:6" x14ac:dyDescent="0.2">
      <c r="A821" s="746" t="s">
        <v>35</v>
      </c>
      <c r="B821" s="747"/>
      <c r="C821" s="747"/>
      <c r="D821" s="747"/>
      <c r="E821" s="747"/>
      <c r="F821" s="748"/>
    </row>
    <row r="822" spans="1:6" x14ac:dyDescent="0.2">
      <c r="A822" s="64" t="s">
        <v>8</v>
      </c>
      <c r="B822" s="64" t="s">
        <v>26</v>
      </c>
      <c r="C822" s="64" t="s">
        <v>27</v>
      </c>
      <c r="D822" s="64" t="s">
        <v>28</v>
      </c>
      <c r="E822" s="64" t="s">
        <v>29</v>
      </c>
      <c r="F822" s="64" t="s">
        <v>30</v>
      </c>
    </row>
    <row r="823" spans="1:6" x14ac:dyDescent="0.2">
      <c r="A823" s="65"/>
      <c r="B823" s="66"/>
      <c r="C823" s="88"/>
      <c r="D823" s="89"/>
      <c r="E823" s="615"/>
      <c r="F823" s="622">
        <f t="shared" ref="F823:F826" si="23">D823*E823</f>
        <v>0</v>
      </c>
    </row>
    <row r="824" spans="1:6" ht="40.5" customHeight="1" x14ac:dyDescent="0.2">
      <c r="A824" s="624" t="s">
        <v>12059</v>
      </c>
      <c r="B824" s="632" t="s">
        <v>11044</v>
      </c>
      <c r="C824" s="633" t="s">
        <v>10884</v>
      </c>
      <c r="D824" s="634">
        <v>1</v>
      </c>
      <c r="E824" s="681">
        <v>2800</v>
      </c>
      <c r="F824" s="616">
        <f t="shared" si="23"/>
        <v>2800</v>
      </c>
    </row>
    <row r="825" spans="1:6" x14ac:dyDescent="0.2">
      <c r="A825" s="65"/>
      <c r="B825" s="87"/>
      <c r="C825" s="88"/>
      <c r="D825" s="89"/>
      <c r="E825" s="173"/>
      <c r="F825" s="616">
        <f t="shared" si="23"/>
        <v>0</v>
      </c>
    </row>
    <row r="826" spans="1:6" x14ac:dyDescent="0.2">
      <c r="A826" s="65"/>
      <c r="B826" s="216"/>
      <c r="C826" s="88"/>
      <c r="D826" s="89"/>
      <c r="E826" s="615"/>
      <c r="F826" s="616">
        <f t="shared" si="23"/>
        <v>0</v>
      </c>
    </row>
    <row r="827" spans="1:6" x14ac:dyDescent="0.2">
      <c r="A827" s="65"/>
      <c r="B827" s="66"/>
      <c r="C827" s="97"/>
      <c r="D827" s="98"/>
      <c r="E827" s="173"/>
      <c r="F827" s="174"/>
    </row>
    <row r="828" spans="1:6" x14ac:dyDescent="0.2">
      <c r="A828" s="79"/>
      <c r="B828" s="76"/>
      <c r="C828" s="73"/>
      <c r="D828" s="80" t="s">
        <v>36</v>
      </c>
      <c r="E828" s="81"/>
      <c r="F828" s="101">
        <f>SUM(F823:F827)</f>
        <v>2800</v>
      </c>
    </row>
    <row r="829" spans="1:6" x14ac:dyDescent="0.2">
      <c r="A829" s="79"/>
      <c r="B829" s="76"/>
      <c r="C829" s="73"/>
      <c r="D829" s="83"/>
      <c r="E829" s="84"/>
      <c r="F829" s="85"/>
    </row>
    <row r="830" spans="1:6" x14ac:dyDescent="0.2">
      <c r="A830" s="746" t="s">
        <v>37</v>
      </c>
      <c r="B830" s="747"/>
      <c r="C830" s="747"/>
      <c r="D830" s="747"/>
      <c r="E830" s="747"/>
      <c r="F830" s="748"/>
    </row>
    <row r="831" spans="1:6" x14ac:dyDescent="0.2">
      <c r="A831" s="64" t="s">
        <v>8</v>
      </c>
      <c r="B831" s="64" t="s">
        <v>26</v>
      </c>
      <c r="C831" s="64" t="s">
        <v>27</v>
      </c>
      <c r="D831" s="64" t="s">
        <v>28</v>
      </c>
      <c r="E831" s="64" t="s">
        <v>29</v>
      </c>
      <c r="F831" s="64" t="s">
        <v>30</v>
      </c>
    </row>
    <row r="832" spans="1:6" x14ac:dyDescent="0.2">
      <c r="A832" s="65"/>
      <c r="B832" s="66"/>
      <c r="C832" s="88"/>
      <c r="D832" s="89"/>
      <c r="E832" s="173"/>
      <c r="F832" s="174"/>
    </row>
    <row r="833" spans="1:6" x14ac:dyDescent="0.2">
      <c r="A833" s="92"/>
      <c r="B833" s="631"/>
      <c r="C833" s="88"/>
      <c r="D833" s="93"/>
      <c r="E833" s="94"/>
      <c r="F833" s="616">
        <f t="shared" ref="F833" si="24">D833*E833</f>
        <v>0</v>
      </c>
    </row>
    <row r="834" spans="1:6" x14ac:dyDescent="0.2">
      <c r="A834" s="95"/>
      <c r="B834" s="96"/>
      <c r="C834" s="97"/>
      <c r="D834" s="98"/>
      <c r="E834" s="99"/>
      <c r="F834" s="104"/>
    </row>
    <row r="835" spans="1:6" x14ac:dyDescent="0.2">
      <c r="A835" s="79"/>
      <c r="B835" s="76"/>
      <c r="C835" s="73"/>
      <c r="D835" s="80" t="s">
        <v>38</v>
      </c>
      <c r="E835" s="81"/>
      <c r="F835" s="101">
        <f>ROUND(SUM(F832:F832),2)</f>
        <v>0</v>
      </c>
    </row>
    <row r="836" spans="1:6" x14ac:dyDescent="0.2">
      <c r="A836" s="79"/>
      <c r="B836" s="76"/>
      <c r="C836" s="73"/>
      <c r="D836" s="83"/>
      <c r="E836" s="84"/>
      <c r="F836" s="85"/>
    </row>
    <row r="837" spans="1:6" x14ac:dyDescent="0.2">
      <c r="A837" s="749" t="s">
        <v>39</v>
      </c>
      <c r="B837" s="750"/>
      <c r="C837" s="750"/>
      <c r="D837" s="750"/>
      <c r="E837" s="751"/>
      <c r="F837" s="105">
        <f>ROUND(F819+F828+F835,2)</f>
        <v>2828.9</v>
      </c>
    </row>
    <row r="838" spans="1:6" ht="15.75" x14ac:dyDescent="0.2">
      <c r="A838" s="587" t="s">
        <v>8</v>
      </c>
      <c r="B838" s="743" t="s">
        <v>23</v>
      </c>
      <c r="C838" s="743"/>
      <c r="D838" s="743"/>
      <c r="E838" s="743"/>
      <c r="F838" s="588" t="s">
        <v>24</v>
      </c>
    </row>
    <row r="839" spans="1:6" ht="45.75" customHeight="1" x14ac:dyDescent="0.2">
      <c r="A839" s="63" t="s">
        <v>11671</v>
      </c>
      <c r="B839" s="744" t="str">
        <f>PO!D166</f>
        <v>PAL3 - Porta de abrir em chapa de painel de alumínio composto ACM 3 mm, cor branco, acabamento brilhoso, de dimensões 0,90x2,10m - Fornecimento e instalação</v>
      </c>
      <c r="C839" s="744"/>
      <c r="D839" s="744"/>
      <c r="E839" s="744"/>
      <c r="F839" s="107" t="str">
        <f>PO!E165</f>
        <v>und</v>
      </c>
    </row>
    <row r="840" spans="1:6" x14ac:dyDescent="0.2">
      <c r="A840" s="745" t="s">
        <v>25</v>
      </c>
      <c r="B840" s="745"/>
      <c r="C840" s="745"/>
      <c r="D840" s="745"/>
      <c r="E840" s="745"/>
      <c r="F840" s="745"/>
    </row>
    <row r="841" spans="1:6" x14ac:dyDescent="0.2">
      <c r="A841" s="64" t="s">
        <v>8</v>
      </c>
      <c r="B841" s="64" t="s">
        <v>26</v>
      </c>
      <c r="C841" s="64" t="s">
        <v>27</v>
      </c>
      <c r="D841" s="64" t="s">
        <v>28</v>
      </c>
      <c r="E841" s="64" t="s">
        <v>29</v>
      </c>
      <c r="F841" s="64" t="s">
        <v>30</v>
      </c>
    </row>
    <row r="842" spans="1:6" x14ac:dyDescent="0.2">
      <c r="A842" s="65">
        <v>88309</v>
      </c>
      <c r="B842" s="66" t="s">
        <v>10949</v>
      </c>
      <c r="C842" s="67" t="s">
        <v>10945</v>
      </c>
      <c r="D842" s="238">
        <v>1</v>
      </c>
      <c r="E842" s="174">
        <v>20.43</v>
      </c>
      <c r="F842" s="622">
        <f>D842*E842</f>
        <v>20.43</v>
      </c>
    </row>
    <row r="843" spans="1:6" x14ac:dyDescent="0.2">
      <c r="A843" s="65">
        <v>88316</v>
      </c>
      <c r="B843" s="66" t="s">
        <v>10944</v>
      </c>
      <c r="C843" s="67" t="s">
        <v>10945</v>
      </c>
      <c r="D843" s="238">
        <v>0.7</v>
      </c>
      <c r="E843" s="174">
        <v>16.940000000000001</v>
      </c>
      <c r="F843" s="616">
        <f>D843*E843</f>
        <v>11.858000000000001</v>
      </c>
    </row>
    <row r="844" spans="1:6" x14ac:dyDescent="0.2">
      <c r="A844" s="65"/>
      <c r="B844" s="66"/>
      <c r="C844" s="67"/>
      <c r="D844" s="630"/>
      <c r="E844" s="99"/>
      <c r="F844" s="174">
        <f>D844*E844</f>
        <v>0</v>
      </c>
    </row>
    <row r="845" spans="1:6" x14ac:dyDescent="0.2">
      <c r="A845" s="71"/>
      <c r="B845" s="62"/>
      <c r="C845" s="72"/>
      <c r="D845" s="73" t="s">
        <v>31</v>
      </c>
      <c r="E845" s="74"/>
      <c r="F845" s="75">
        <f>F842+F843+F844</f>
        <v>32.287999999999997</v>
      </c>
    </row>
    <row r="846" spans="1:6" x14ac:dyDescent="0.2">
      <c r="A846" s="71"/>
      <c r="B846" s="62"/>
      <c r="C846" s="72"/>
      <c r="D846" s="76" t="s">
        <v>32</v>
      </c>
      <c r="E846" s="77"/>
      <c r="F846" s="78">
        <f>F845*E846</f>
        <v>0</v>
      </c>
    </row>
    <row r="847" spans="1:6" x14ac:dyDescent="0.2">
      <c r="A847" s="71"/>
      <c r="B847" s="62"/>
      <c r="C847" s="72"/>
      <c r="D847" s="73" t="s">
        <v>33</v>
      </c>
      <c r="E847" s="74"/>
      <c r="F847" s="78">
        <f>SUM(F845:F846)</f>
        <v>32.287999999999997</v>
      </c>
    </row>
    <row r="848" spans="1:6" x14ac:dyDescent="0.2">
      <c r="A848" s="79"/>
      <c r="B848" s="76"/>
      <c r="C848" s="73"/>
      <c r="D848" s="80" t="s">
        <v>34</v>
      </c>
      <c r="E848" s="81"/>
      <c r="F848" s="82">
        <f>F847</f>
        <v>32.287999999999997</v>
      </c>
    </row>
    <row r="849" spans="1:6" x14ac:dyDescent="0.2">
      <c r="A849" s="79"/>
      <c r="B849" s="76"/>
      <c r="C849" s="73"/>
      <c r="D849" s="83"/>
      <c r="E849" s="84"/>
      <c r="F849" s="85"/>
    </row>
    <row r="850" spans="1:6" x14ac:dyDescent="0.2">
      <c r="A850" s="746" t="s">
        <v>35</v>
      </c>
      <c r="B850" s="747"/>
      <c r="C850" s="747"/>
      <c r="D850" s="747"/>
      <c r="E850" s="747"/>
      <c r="F850" s="748"/>
    </row>
    <row r="851" spans="1:6" x14ac:dyDescent="0.2">
      <c r="A851" s="64" t="s">
        <v>8</v>
      </c>
      <c r="B851" s="64" t="s">
        <v>26</v>
      </c>
      <c r="C851" s="64" t="s">
        <v>27</v>
      </c>
      <c r="D851" s="64" t="s">
        <v>28</v>
      </c>
      <c r="E851" s="64" t="s">
        <v>29</v>
      </c>
      <c r="F851" s="64" t="s">
        <v>30</v>
      </c>
    </row>
    <row r="852" spans="1:6" x14ac:dyDescent="0.2">
      <c r="A852" s="65"/>
      <c r="B852" s="66"/>
      <c r="C852" s="88"/>
      <c r="D852" s="89"/>
      <c r="E852" s="615"/>
      <c r="F852" s="622"/>
    </row>
    <row r="853" spans="1:6" ht="40.5" customHeight="1" x14ac:dyDescent="0.2">
      <c r="A853" s="624" t="s">
        <v>12060</v>
      </c>
      <c r="B853" s="632" t="s">
        <v>11045</v>
      </c>
      <c r="C853" s="633" t="s">
        <v>10884</v>
      </c>
      <c r="D853" s="634">
        <v>1</v>
      </c>
      <c r="E853" s="687">
        <v>1766.3333333333333</v>
      </c>
      <c r="F853" s="174">
        <f t="shared" ref="F853" si="25">D853*E853</f>
        <v>1766.3333333333333</v>
      </c>
    </row>
    <row r="854" spans="1:6" x14ac:dyDescent="0.2">
      <c r="A854" s="65"/>
      <c r="B854" s="87"/>
      <c r="C854" s="88"/>
      <c r="D854" s="89"/>
      <c r="E854" s="173"/>
      <c r="F854" s="616"/>
    </row>
    <row r="855" spans="1:6" x14ac:dyDescent="0.2">
      <c r="A855" s="65"/>
      <c r="B855" s="216"/>
      <c r="C855" s="88"/>
      <c r="D855" s="89"/>
      <c r="E855" s="615"/>
      <c r="F855" s="616"/>
    </row>
    <row r="856" spans="1:6" x14ac:dyDescent="0.2">
      <c r="A856" s="65"/>
      <c r="B856" s="66"/>
      <c r="C856" s="97"/>
      <c r="D856" s="98"/>
      <c r="E856" s="173"/>
      <c r="F856" s="174"/>
    </row>
    <row r="857" spans="1:6" x14ac:dyDescent="0.2">
      <c r="A857" s="79"/>
      <c r="B857" s="76"/>
      <c r="C857" s="73"/>
      <c r="D857" s="80" t="s">
        <v>36</v>
      </c>
      <c r="E857" s="81"/>
      <c r="F857" s="101">
        <f>SUM(F852:F856)</f>
        <v>1766.3333333333333</v>
      </c>
    </row>
    <row r="858" spans="1:6" x14ac:dyDescent="0.2">
      <c r="A858" s="79"/>
      <c r="B858" s="76"/>
      <c r="C858" s="73"/>
      <c r="D858" s="83"/>
      <c r="E858" s="84"/>
      <c r="F858" s="85"/>
    </row>
    <row r="859" spans="1:6" x14ac:dyDescent="0.2">
      <c r="A859" s="746" t="s">
        <v>37</v>
      </c>
      <c r="B859" s="747"/>
      <c r="C859" s="747"/>
      <c r="D859" s="747"/>
      <c r="E859" s="747"/>
      <c r="F859" s="748"/>
    </row>
    <row r="860" spans="1:6" x14ac:dyDescent="0.2">
      <c r="A860" s="64" t="s">
        <v>8</v>
      </c>
      <c r="B860" s="64" t="s">
        <v>26</v>
      </c>
      <c r="C860" s="64" t="s">
        <v>27</v>
      </c>
      <c r="D860" s="64" t="s">
        <v>28</v>
      </c>
      <c r="E860" s="64" t="s">
        <v>29</v>
      </c>
      <c r="F860" s="64" t="s">
        <v>30</v>
      </c>
    </row>
    <row r="861" spans="1:6" x14ac:dyDescent="0.2">
      <c r="A861" s="65"/>
      <c r="B861" s="66"/>
      <c r="C861" s="88"/>
      <c r="D861" s="89"/>
      <c r="E861" s="173"/>
      <c r="F861" s="174"/>
    </row>
    <row r="862" spans="1:6" x14ac:dyDescent="0.2">
      <c r="A862" s="92"/>
      <c r="B862" s="631"/>
      <c r="C862" s="88"/>
      <c r="D862" s="93"/>
      <c r="E862" s="94"/>
      <c r="F862" s="616">
        <f t="shared" ref="F862" si="26">D862*E862</f>
        <v>0</v>
      </c>
    </row>
    <row r="863" spans="1:6" x14ac:dyDescent="0.2">
      <c r="A863" s="95"/>
      <c r="B863" s="96"/>
      <c r="C863" s="97"/>
      <c r="D863" s="98"/>
      <c r="E863" s="99"/>
      <c r="F863" s="104"/>
    </row>
    <row r="864" spans="1:6" x14ac:dyDescent="0.2">
      <c r="A864" s="79"/>
      <c r="B864" s="76"/>
      <c r="C864" s="73"/>
      <c r="D864" s="80" t="s">
        <v>38</v>
      </c>
      <c r="E864" s="81"/>
      <c r="F864" s="101">
        <f>ROUND(SUM(F861:F861),2)</f>
        <v>0</v>
      </c>
    </row>
    <row r="865" spans="1:6" x14ac:dyDescent="0.2">
      <c r="A865" s="79"/>
      <c r="B865" s="76"/>
      <c r="C865" s="73"/>
      <c r="D865" s="83"/>
      <c r="E865" s="84"/>
      <c r="F865" s="85"/>
    </row>
    <row r="866" spans="1:6" x14ac:dyDescent="0.2">
      <c r="A866" s="749" t="s">
        <v>39</v>
      </c>
      <c r="B866" s="750"/>
      <c r="C866" s="750"/>
      <c r="D866" s="750"/>
      <c r="E866" s="751"/>
      <c r="F866" s="105">
        <f>ROUND(F848+F857+F864,2)</f>
        <v>1798.62</v>
      </c>
    </row>
    <row r="867" spans="1:6" ht="15.75" x14ac:dyDescent="0.2">
      <c r="A867" s="587" t="s">
        <v>8</v>
      </c>
      <c r="B867" s="743" t="s">
        <v>23</v>
      </c>
      <c r="C867" s="743"/>
      <c r="D867" s="743"/>
      <c r="E867" s="743"/>
      <c r="F867" s="588" t="s">
        <v>24</v>
      </c>
    </row>
    <row r="868" spans="1:6" ht="45.75" customHeight="1" x14ac:dyDescent="0.2">
      <c r="A868" s="63" t="s">
        <v>11675</v>
      </c>
      <c r="B868" s="744" t="str">
        <f>PO!D167</f>
        <v>PAL4 - Porta de abrir em chapa de painel de alumínio composto ACM 3 mm, cor branco, acabamento brilhoso, de dimensões 0,80x2,10m - Fornecimento e instalação</v>
      </c>
      <c r="C868" s="744"/>
      <c r="D868" s="744"/>
      <c r="E868" s="744"/>
      <c r="F868" s="107" t="str">
        <f>PO!E167</f>
        <v>und</v>
      </c>
    </row>
    <row r="869" spans="1:6" x14ac:dyDescent="0.2">
      <c r="A869" s="745" t="s">
        <v>25</v>
      </c>
      <c r="B869" s="745"/>
      <c r="C869" s="745"/>
      <c r="D869" s="745"/>
      <c r="E869" s="745"/>
      <c r="F869" s="745"/>
    </row>
    <row r="870" spans="1:6" x14ac:dyDescent="0.2">
      <c r="A870" s="64" t="s">
        <v>8</v>
      </c>
      <c r="B870" s="64" t="s">
        <v>26</v>
      </c>
      <c r="C870" s="64" t="s">
        <v>27</v>
      </c>
      <c r="D870" s="64" t="s">
        <v>28</v>
      </c>
      <c r="E870" s="64" t="s">
        <v>29</v>
      </c>
      <c r="F870" s="64" t="s">
        <v>30</v>
      </c>
    </row>
    <row r="871" spans="1:6" x14ac:dyDescent="0.2">
      <c r="A871" s="65">
        <v>88309</v>
      </c>
      <c r="B871" s="66" t="s">
        <v>10949</v>
      </c>
      <c r="C871" s="67" t="s">
        <v>10945</v>
      </c>
      <c r="D871" s="238">
        <v>1</v>
      </c>
      <c r="E871" s="174">
        <v>20.43</v>
      </c>
      <c r="F871" s="622">
        <f>D871*E871</f>
        <v>20.43</v>
      </c>
    </row>
    <row r="872" spans="1:6" x14ac:dyDescent="0.2">
      <c r="A872" s="65">
        <v>88316</v>
      </c>
      <c r="B872" s="66" t="s">
        <v>10944</v>
      </c>
      <c r="C872" s="67" t="s">
        <v>10945</v>
      </c>
      <c r="D872" s="238">
        <v>0.7</v>
      </c>
      <c r="E872" s="174">
        <v>16.940000000000001</v>
      </c>
      <c r="F872" s="616">
        <f>D872*E872</f>
        <v>11.858000000000001</v>
      </c>
    </row>
    <row r="873" spans="1:6" x14ac:dyDescent="0.2">
      <c r="A873" s="65"/>
      <c r="B873" s="66"/>
      <c r="C873" s="67"/>
      <c r="D873" s="630"/>
      <c r="E873" s="99"/>
      <c r="F873" s="174">
        <f>D873*E873</f>
        <v>0</v>
      </c>
    </row>
    <row r="874" spans="1:6" x14ac:dyDescent="0.2">
      <c r="A874" s="71"/>
      <c r="B874" s="62"/>
      <c r="C874" s="72"/>
      <c r="D874" s="73" t="s">
        <v>31</v>
      </c>
      <c r="E874" s="74"/>
      <c r="F874" s="75">
        <f>F871+F872+F873</f>
        <v>32.287999999999997</v>
      </c>
    </row>
    <row r="875" spans="1:6" x14ac:dyDescent="0.2">
      <c r="A875" s="71"/>
      <c r="B875" s="62"/>
      <c r="C875" s="72"/>
      <c r="D875" s="76" t="s">
        <v>32</v>
      </c>
      <c r="E875" s="77"/>
      <c r="F875" s="78">
        <f>F874*E875</f>
        <v>0</v>
      </c>
    </row>
    <row r="876" spans="1:6" x14ac:dyDescent="0.2">
      <c r="A876" s="71"/>
      <c r="B876" s="62"/>
      <c r="C876" s="72"/>
      <c r="D876" s="73" t="s">
        <v>33</v>
      </c>
      <c r="E876" s="74"/>
      <c r="F876" s="78">
        <f>SUM(F874:F875)</f>
        <v>32.287999999999997</v>
      </c>
    </row>
    <row r="877" spans="1:6" x14ac:dyDescent="0.2">
      <c r="A877" s="79"/>
      <c r="B877" s="76"/>
      <c r="C877" s="73"/>
      <c r="D877" s="80" t="s">
        <v>34</v>
      </c>
      <c r="E877" s="81"/>
      <c r="F877" s="82">
        <f>F876</f>
        <v>32.287999999999997</v>
      </c>
    </row>
    <row r="878" spans="1:6" x14ac:dyDescent="0.2">
      <c r="A878" s="79"/>
      <c r="B878" s="76"/>
      <c r="C878" s="73"/>
      <c r="D878" s="83"/>
      <c r="E878" s="84"/>
      <c r="F878" s="85"/>
    </row>
    <row r="879" spans="1:6" x14ac:dyDescent="0.2">
      <c r="A879" s="746" t="s">
        <v>35</v>
      </c>
      <c r="B879" s="747"/>
      <c r="C879" s="747"/>
      <c r="D879" s="747"/>
      <c r="E879" s="747"/>
      <c r="F879" s="748"/>
    </row>
    <row r="880" spans="1:6" x14ac:dyDescent="0.2">
      <c r="A880" s="64" t="s">
        <v>8</v>
      </c>
      <c r="B880" s="64" t="s">
        <v>26</v>
      </c>
      <c r="C880" s="64" t="s">
        <v>27</v>
      </c>
      <c r="D880" s="64" t="s">
        <v>28</v>
      </c>
      <c r="E880" s="64" t="s">
        <v>29</v>
      </c>
      <c r="F880" s="64" t="s">
        <v>30</v>
      </c>
    </row>
    <row r="881" spans="1:6" x14ac:dyDescent="0.2">
      <c r="A881" s="65"/>
      <c r="B881" s="66"/>
      <c r="C881" s="88"/>
      <c r="D881" s="89"/>
      <c r="E881" s="615"/>
      <c r="F881" s="622">
        <f t="shared" ref="F881:F884" si="27">D881*E881</f>
        <v>0</v>
      </c>
    </row>
    <row r="882" spans="1:6" ht="40.5" customHeight="1" x14ac:dyDescent="0.2">
      <c r="A882" s="624" t="s">
        <v>12061</v>
      </c>
      <c r="B882" s="632" t="s">
        <v>11046</v>
      </c>
      <c r="C882" s="633" t="s">
        <v>10884</v>
      </c>
      <c r="D882" s="634">
        <v>1</v>
      </c>
      <c r="E882" s="681">
        <v>1573</v>
      </c>
      <c r="F882" s="616">
        <f t="shared" si="27"/>
        <v>1573</v>
      </c>
    </row>
    <row r="883" spans="1:6" x14ac:dyDescent="0.2">
      <c r="A883" s="65"/>
      <c r="B883" s="87"/>
      <c r="C883" s="88"/>
      <c r="D883" s="89"/>
      <c r="E883" s="173"/>
      <c r="F883" s="616">
        <f t="shared" si="27"/>
        <v>0</v>
      </c>
    </row>
    <row r="884" spans="1:6" x14ac:dyDescent="0.2">
      <c r="A884" s="65"/>
      <c r="B884" s="216"/>
      <c r="C884" s="88"/>
      <c r="D884" s="89"/>
      <c r="E884" s="615"/>
      <c r="F884" s="616">
        <f t="shared" si="27"/>
        <v>0</v>
      </c>
    </row>
    <row r="885" spans="1:6" x14ac:dyDescent="0.2">
      <c r="A885" s="65"/>
      <c r="B885" s="66"/>
      <c r="C885" s="97"/>
      <c r="D885" s="98"/>
      <c r="E885" s="173"/>
      <c r="F885" s="174"/>
    </row>
    <row r="886" spans="1:6" x14ac:dyDescent="0.2">
      <c r="A886" s="79"/>
      <c r="B886" s="76"/>
      <c r="C886" s="73"/>
      <c r="D886" s="80" t="s">
        <v>36</v>
      </c>
      <c r="E886" s="81"/>
      <c r="F886" s="101">
        <f>SUM(F881:F885)</f>
        <v>1573</v>
      </c>
    </row>
    <row r="887" spans="1:6" x14ac:dyDescent="0.2">
      <c r="A887" s="79"/>
      <c r="B887" s="76"/>
      <c r="C887" s="73"/>
      <c r="D887" s="83"/>
      <c r="E887" s="84"/>
      <c r="F887" s="85"/>
    </row>
    <row r="888" spans="1:6" x14ac:dyDescent="0.2">
      <c r="A888" s="746" t="s">
        <v>37</v>
      </c>
      <c r="B888" s="747"/>
      <c r="C888" s="747"/>
      <c r="D888" s="747"/>
      <c r="E888" s="747"/>
      <c r="F888" s="748"/>
    </row>
    <row r="889" spans="1:6" x14ac:dyDescent="0.2">
      <c r="A889" s="64" t="s">
        <v>8</v>
      </c>
      <c r="B889" s="64" t="s">
        <v>26</v>
      </c>
      <c r="C889" s="64" t="s">
        <v>27</v>
      </c>
      <c r="D889" s="64" t="s">
        <v>28</v>
      </c>
      <c r="E889" s="64" t="s">
        <v>29</v>
      </c>
      <c r="F889" s="64" t="s">
        <v>30</v>
      </c>
    </row>
    <row r="890" spans="1:6" x14ac:dyDescent="0.2">
      <c r="A890" s="65"/>
      <c r="B890" s="66"/>
      <c r="C890" s="88"/>
      <c r="D890" s="89"/>
      <c r="E890" s="173"/>
      <c r="F890" s="174"/>
    </row>
    <row r="891" spans="1:6" x14ac:dyDescent="0.2">
      <c r="A891" s="92"/>
      <c r="B891" s="631"/>
      <c r="C891" s="88"/>
      <c r="D891" s="93"/>
      <c r="E891" s="94"/>
      <c r="F891" s="616">
        <f t="shared" ref="F891" si="28">D891*E891</f>
        <v>0</v>
      </c>
    </row>
    <row r="892" spans="1:6" x14ac:dyDescent="0.2">
      <c r="A892" s="95"/>
      <c r="B892" s="96"/>
      <c r="C892" s="97"/>
      <c r="D892" s="98"/>
      <c r="E892" s="99"/>
      <c r="F892" s="104"/>
    </row>
    <row r="893" spans="1:6" x14ac:dyDescent="0.2">
      <c r="A893" s="79"/>
      <c r="B893" s="76"/>
      <c r="C893" s="73"/>
      <c r="D893" s="80" t="s">
        <v>38</v>
      </c>
      <c r="E893" s="81"/>
      <c r="F893" s="101">
        <f>ROUND(SUM(F890:F890),2)</f>
        <v>0</v>
      </c>
    </row>
    <row r="894" spans="1:6" x14ac:dyDescent="0.2">
      <c r="A894" s="79"/>
      <c r="B894" s="76"/>
      <c r="C894" s="73"/>
      <c r="D894" s="83"/>
      <c r="E894" s="84"/>
      <c r="F894" s="85"/>
    </row>
    <row r="895" spans="1:6" x14ac:dyDescent="0.2">
      <c r="A895" s="749" t="s">
        <v>39</v>
      </c>
      <c r="B895" s="750"/>
      <c r="C895" s="750"/>
      <c r="D895" s="750"/>
      <c r="E895" s="751"/>
      <c r="F895" s="105">
        <f>ROUND(F877+F886+F893,2)</f>
        <v>1605.29</v>
      </c>
    </row>
    <row r="896" spans="1:6" ht="15.75" x14ac:dyDescent="0.2">
      <c r="A896" s="587" t="s">
        <v>8</v>
      </c>
      <c r="B896" s="743" t="s">
        <v>23</v>
      </c>
      <c r="C896" s="743"/>
      <c r="D896" s="743"/>
      <c r="E896" s="743"/>
      <c r="F896" s="588" t="s">
        <v>24</v>
      </c>
    </row>
    <row r="897" spans="1:6" ht="45.75" customHeight="1" x14ac:dyDescent="0.2">
      <c r="A897" s="63" t="s">
        <v>11953</v>
      </c>
      <c r="B897" s="744" t="str">
        <f>PO!D168</f>
        <v>PAL5 - Porta de abrir em chapa de painel de alumínio composto ACM 3 mm, cor branco, acabamento brilhoso, de dimensões 1,20x2,10m, com visor em vidro temperado de 10 mm de dimensões de 20x60cm - Fornecimento e instalação</v>
      </c>
      <c r="C897" s="744"/>
      <c r="D897" s="744"/>
      <c r="E897" s="744"/>
      <c r="F897" s="107" t="str">
        <f>PO!E168</f>
        <v>und</v>
      </c>
    </row>
    <row r="898" spans="1:6" x14ac:dyDescent="0.2">
      <c r="A898" s="745" t="s">
        <v>25</v>
      </c>
      <c r="B898" s="745"/>
      <c r="C898" s="745"/>
      <c r="D898" s="745"/>
      <c r="E898" s="745"/>
      <c r="F898" s="745"/>
    </row>
    <row r="899" spans="1:6" x14ac:dyDescent="0.2">
      <c r="A899" s="64" t="s">
        <v>8</v>
      </c>
      <c r="B899" s="64" t="s">
        <v>26</v>
      </c>
      <c r="C899" s="64" t="s">
        <v>27</v>
      </c>
      <c r="D899" s="64" t="s">
        <v>28</v>
      </c>
      <c r="E899" s="64" t="s">
        <v>29</v>
      </c>
      <c r="F899" s="64" t="s">
        <v>30</v>
      </c>
    </row>
    <row r="900" spans="1:6" x14ac:dyDescent="0.2">
      <c r="A900" s="65">
        <v>88309</v>
      </c>
      <c r="B900" s="66" t="s">
        <v>10949</v>
      </c>
      <c r="C900" s="67" t="s">
        <v>10945</v>
      </c>
      <c r="D900" s="238">
        <v>1</v>
      </c>
      <c r="E900" s="174">
        <v>20.43</v>
      </c>
      <c r="F900" s="622">
        <f>D900*E900</f>
        <v>20.43</v>
      </c>
    </row>
    <row r="901" spans="1:6" x14ac:dyDescent="0.2">
      <c r="A901" s="65">
        <v>88316</v>
      </c>
      <c r="B901" s="66" t="s">
        <v>10944</v>
      </c>
      <c r="C901" s="67" t="s">
        <v>10945</v>
      </c>
      <c r="D901" s="238">
        <v>0.7</v>
      </c>
      <c r="E901" s="174">
        <v>16.940000000000001</v>
      </c>
      <c r="F901" s="616">
        <f>D901*E901</f>
        <v>11.858000000000001</v>
      </c>
    </row>
    <row r="902" spans="1:6" x14ac:dyDescent="0.2">
      <c r="A902" s="65"/>
      <c r="B902" s="66"/>
      <c r="C902" s="67"/>
      <c r="D902" s="630"/>
      <c r="E902" s="99"/>
      <c r="F902" s="174">
        <f>D902*E902</f>
        <v>0</v>
      </c>
    </row>
    <row r="903" spans="1:6" x14ac:dyDescent="0.2">
      <c r="A903" s="71"/>
      <c r="B903" s="62"/>
      <c r="C903" s="72"/>
      <c r="D903" s="73" t="s">
        <v>31</v>
      </c>
      <c r="E903" s="74"/>
      <c r="F903" s="75">
        <f>F900+F901+F902</f>
        <v>32.287999999999997</v>
      </c>
    </row>
    <row r="904" spans="1:6" x14ac:dyDescent="0.2">
      <c r="A904" s="71"/>
      <c r="B904" s="62"/>
      <c r="C904" s="72"/>
      <c r="D904" s="76" t="s">
        <v>32</v>
      </c>
      <c r="E904" s="77"/>
      <c r="F904" s="78">
        <f>F903*E904</f>
        <v>0</v>
      </c>
    </row>
    <row r="905" spans="1:6" x14ac:dyDescent="0.2">
      <c r="A905" s="71"/>
      <c r="B905" s="62"/>
      <c r="C905" s="72"/>
      <c r="D905" s="73" t="s">
        <v>33</v>
      </c>
      <c r="E905" s="74"/>
      <c r="F905" s="78">
        <f>SUM(F903:F904)</f>
        <v>32.287999999999997</v>
      </c>
    </row>
    <row r="906" spans="1:6" x14ac:dyDescent="0.2">
      <c r="A906" s="79"/>
      <c r="B906" s="76"/>
      <c r="C906" s="73"/>
      <c r="D906" s="80" t="s">
        <v>34</v>
      </c>
      <c r="E906" s="81"/>
      <c r="F906" s="82">
        <f>F905</f>
        <v>32.287999999999997</v>
      </c>
    </row>
    <row r="907" spans="1:6" x14ac:dyDescent="0.2">
      <c r="A907" s="79"/>
      <c r="B907" s="76"/>
      <c r="C907" s="73"/>
      <c r="D907" s="83"/>
      <c r="E907" s="84"/>
      <c r="F907" s="85"/>
    </row>
    <row r="908" spans="1:6" x14ac:dyDescent="0.2">
      <c r="A908" s="746" t="s">
        <v>35</v>
      </c>
      <c r="B908" s="747"/>
      <c r="C908" s="747"/>
      <c r="D908" s="747"/>
      <c r="E908" s="747"/>
      <c r="F908" s="748"/>
    </row>
    <row r="909" spans="1:6" x14ac:dyDescent="0.2">
      <c r="A909" s="64" t="s">
        <v>8</v>
      </c>
      <c r="B909" s="64" t="s">
        <v>26</v>
      </c>
      <c r="C909" s="64" t="s">
        <v>27</v>
      </c>
      <c r="D909" s="64" t="s">
        <v>28</v>
      </c>
      <c r="E909" s="64" t="s">
        <v>29</v>
      </c>
      <c r="F909" s="64" t="s">
        <v>30</v>
      </c>
    </row>
    <row r="910" spans="1:6" x14ac:dyDescent="0.2">
      <c r="A910" s="65"/>
      <c r="B910" s="66"/>
      <c r="C910" s="88"/>
      <c r="D910" s="89"/>
      <c r="E910" s="615"/>
      <c r="F910" s="622">
        <f t="shared" ref="F910:F913" si="29">D910*E910</f>
        <v>0</v>
      </c>
    </row>
    <row r="911" spans="1:6" ht="40.5" customHeight="1" x14ac:dyDescent="0.2">
      <c r="A911" s="624" t="s">
        <v>12062</v>
      </c>
      <c r="B911" s="632" t="s">
        <v>11047</v>
      </c>
      <c r="C911" s="633" t="s">
        <v>10884</v>
      </c>
      <c r="D911" s="634">
        <v>1</v>
      </c>
      <c r="E911" s="681">
        <v>2355.3333333333335</v>
      </c>
      <c r="F911" s="616">
        <f t="shared" si="29"/>
        <v>2355.3333333333335</v>
      </c>
    </row>
    <row r="912" spans="1:6" x14ac:dyDescent="0.2">
      <c r="A912" s="65"/>
      <c r="B912" s="87"/>
      <c r="C912" s="88"/>
      <c r="D912" s="89"/>
      <c r="E912" s="173"/>
      <c r="F912" s="616">
        <f t="shared" si="29"/>
        <v>0</v>
      </c>
    </row>
    <row r="913" spans="1:6" x14ac:dyDescent="0.2">
      <c r="A913" s="65"/>
      <c r="B913" s="216"/>
      <c r="C913" s="88"/>
      <c r="D913" s="89"/>
      <c r="E913" s="615"/>
      <c r="F913" s="616">
        <f t="shared" si="29"/>
        <v>0</v>
      </c>
    </row>
    <row r="914" spans="1:6" x14ac:dyDescent="0.2">
      <c r="A914" s="65"/>
      <c r="B914" s="66"/>
      <c r="C914" s="97"/>
      <c r="D914" s="98"/>
      <c r="E914" s="173"/>
      <c r="F914" s="174"/>
    </row>
    <row r="915" spans="1:6" x14ac:dyDescent="0.2">
      <c r="A915" s="79"/>
      <c r="B915" s="76"/>
      <c r="C915" s="73"/>
      <c r="D915" s="80" t="s">
        <v>36</v>
      </c>
      <c r="E915" s="81"/>
      <c r="F915" s="101">
        <f>SUM(F910:F914)</f>
        <v>2355.3333333333335</v>
      </c>
    </row>
    <row r="916" spans="1:6" x14ac:dyDescent="0.2">
      <c r="A916" s="79"/>
      <c r="B916" s="76"/>
      <c r="C916" s="73"/>
      <c r="D916" s="83"/>
      <c r="E916" s="84"/>
      <c r="F916" s="85"/>
    </row>
    <row r="917" spans="1:6" x14ac:dyDescent="0.2">
      <c r="A917" s="746" t="s">
        <v>37</v>
      </c>
      <c r="B917" s="747"/>
      <c r="C917" s="747"/>
      <c r="D917" s="747"/>
      <c r="E917" s="747"/>
      <c r="F917" s="748"/>
    </row>
    <row r="918" spans="1:6" x14ac:dyDescent="0.2">
      <c r="A918" s="64" t="s">
        <v>8</v>
      </c>
      <c r="B918" s="64" t="s">
        <v>26</v>
      </c>
      <c r="C918" s="64" t="s">
        <v>27</v>
      </c>
      <c r="D918" s="64" t="s">
        <v>28</v>
      </c>
      <c r="E918" s="64" t="s">
        <v>29</v>
      </c>
      <c r="F918" s="64" t="s">
        <v>30</v>
      </c>
    </row>
    <row r="919" spans="1:6" x14ac:dyDescent="0.2">
      <c r="A919" s="65"/>
      <c r="B919" s="66"/>
      <c r="C919" s="88"/>
      <c r="D919" s="89"/>
      <c r="E919" s="173"/>
      <c r="F919" s="174"/>
    </row>
    <row r="920" spans="1:6" x14ac:dyDescent="0.2">
      <c r="A920" s="92"/>
      <c r="B920" s="631"/>
      <c r="C920" s="88"/>
      <c r="D920" s="93"/>
      <c r="E920" s="94"/>
      <c r="F920" s="616">
        <f t="shared" ref="F920" si="30">D920*E920</f>
        <v>0</v>
      </c>
    </row>
    <row r="921" spans="1:6" x14ac:dyDescent="0.2">
      <c r="A921" s="95"/>
      <c r="B921" s="96"/>
      <c r="C921" s="97"/>
      <c r="D921" s="98"/>
      <c r="E921" s="99"/>
      <c r="F921" s="104"/>
    </row>
    <row r="922" spans="1:6" x14ac:dyDescent="0.2">
      <c r="A922" s="79"/>
      <c r="B922" s="76"/>
      <c r="C922" s="73"/>
      <c r="D922" s="80" t="s">
        <v>38</v>
      </c>
      <c r="E922" s="81"/>
      <c r="F922" s="101">
        <f>ROUND(SUM(F919:F919),2)</f>
        <v>0</v>
      </c>
    </row>
    <row r="923" spans="1:6" x14ac:dyDescent="0.2">
      <c r="A923" s="79"/>
      <c r="B923" s="76"/>
      <c r="C923" s="73"/>
      <c r="D923" s="83"/>
      <c r="E923" s="84"/>
      <c r="F923" s="85"/>
    </row>
    <row r="924" spans="1:6" x14ac:dyDescent="0.2">
      <c r="A924" s="749" t="s">
        <v>39</v>
      </c>
      <c r="B924" s="750"/>
      <c r="C924" s="750"/>
      <c r="D924" s="750"/>
      <c r="E924" s="751"/>
      <c r="F924" s="105">
        <f>ROUND(F906+F915+F922,2)</f>
        <v>2387.62</v>
      </c>
    </row>
    <row r="925" spans="1:6" ht="15.75" x14ac:dyDescent="0.2">
      <c r="A925" s="587" t="s">
        <v>8</v>
      </c>
      <c r="B925" s="743" t="s">
        <v>23</v>
      </c>
      <c r="C925" s="743"/>
      <c r="D925" s="743"/>
      <c r="E925" s="743"/>
      <c r="F925" s="588" t="s">
        <v>24</v>
      </c>
    </row>
    <row r="926" spans="1:6" ht="15" x14ac:dyDescent="0.2">
      <c r="A926" s="63" t="s">
        <v>11954</v>
      </c>
      <c r="B926" s="744" t="str">
        <f>PO!D185</f>
        <v>Pintura esmalte alto brilho, duas demãos, sobre superfície metálica</v>
      </c>
      <c r="C926" s="744"/>
      <c r="D926" s="744"/>
      <c r="E926" s="744"/>
      <c r="F926" s="107" t="str">
        <f>PO!E185</f>
        <v>m²</v>
      </c>
    </row>
    <row r="927" spans="1:6" x14ac:dyDescent="0.2">
      <c r="A927" s="745" t="s">
        <v>25</v>
      </c>
      <c r="B927" s="745"/>
      <c r="C927" s="745"/>
      <c r="D927" s="745"/>
      <c r="E927" s="745"/>
      <c r="F927" s="745"/>
    </row>
    <row r="928" spans="1:6" x14ac:dyDescent="0.2">
      <c r="A928" s="64" t="s">
        <v>8</v>
      </c>
      <c r="B928" s="64" t="s">
        <v>26</v>
      </c>
      <c r="C928" s="64" t="s">
        <v>27</v>
      </c>
      <c r="D928" s="64" t="s">
        <v>28</v>
      </c>
      <c r="E928" s="64" t="s">
        <v>29</v>
      </c>
      <c r="F928" s="64" t="s">
        <v>30</v>
      </c>
    </row>
    <row r="929" spans="1:6" x14ac:dyDescent="0.2">
      <c r="A929" s="65">
        <v>88310</v>
      </c>
      <c r="B929" s="66" t="s">
        <v>5391</v>
      </c>
      <c r="C929" s="67" t="s">
        <v>10945</v>
      </c>
      <c r="D929" s="238">
        <v>0.5</v>
      </c>
      <c r="E929" s="615">
        <v>21.17</v>
      </c>
      <c r="F929" s="622">
        <f>D929*E929</f>
        <v>10.585000000000001</v>
      </c>
    </row>
    <row r="930" spans="1:6" x14ac:dyDescent="0.2">
      <c r="A930" s="65">
        <v>88316</v>
      </c>
      <c r="B930" s="66" t="s">
        <v>10944</v>
      </c>
      <c r="C930" s="67" t="s">
        <v>10945</v>
      </c>
      <c r="D930" s="238">
        <v>0.5</v>
      </c>
      <c r="E930" s="615">
        <v>16.940000000000001</v>
      </c>
      <c r="F930" s="616">
        <f>D930*E930</f>
        <v>8.4700000000000006</v>
      </c>
    </row>
    <row r="931" spans="1:6" x14ac:dyDescent="0.2">
      <c r="A931" s="65"/>
      <c r="B931" s="66"/>
      <c r="C931" s="67"/>
      <c r="D931" s="630"/>
      <c r="E931" s="99"/>
      <c r="F931" s="174">
        <f>D931*E931</f>
        <v>0</v>
      </c>
    </row>
    <row r="932" spans="1:6" x14ac:dyDescent="0.2">
      <c r="A932" s="71"/>
      <c r="B932" s="62"/>
      <c r="C932" s="72"/>
      <c r="D932" s="73" t="s">
        <v>31</v>
      </c>
      <c r="E932" s="74"/>
      <c r="F932" s="75">
        <f>F929+F930+F931</f>
        <v>19.055</v>
      </c>
    </row>
    <row r="933" spans="1:6" x14ac:dyDescent="0.2">
      <c r="A933" s="71"/>
      <c r="B933" s="62"/>
      <c r="C933" s="72"/>
      <c r="D933" s="76" t="s">
        <v>32</v>
      </c>
      <c r="E933" s="77"/>
      <c r="F933" s="78">
        <f>F932*E933</f>
        <v>0</v>
      </c>
    </row>
    <row r="934" spans="1:6" x14ac:dyDescent="0.2">
      <c r="A934" s="71"/>
      <c r="B934" s="62"/>
      <c r="C934" s="72"/>
      <c r="D934" s="73" t="s">
        <v>33</v>
      </c>
      <c r="E934" s="74"/>
      <c r="F934" s="78">
        <f>SUM(F932:F933)</f>
        <v>19.055</v>
      </c>
    </row>
    <row r="935" spans="1:6" x14ac:dyDescent="0.2">
      <c r="A935" s="79"/>
      <c r="B935" s="76"/>
      <c r="C935" s="73"/>
      <c r="D935" s="80" t="s">
        <v>34</v>
      </c>
      <c r="E935" s="81"/>
      <c r="F935" s="82">
        <f>F934</f>
        <v>19.055</v>
      </c>
    </row>
    <row r="936" spans="1:6" x14ac:dyDescent="0.2">
      <c r="A936" s="79"/>
      <c r="B936" s="76"/>
      <c r="C936" s="73"/>
      <c r="D936" s="83"/>
      <c r="E936" s="84"/>
      <c r="F936" s="85"/>
    </row>
    <row r="937" spans="1:6" x14ac:dyDescent="0.2">
      <c r="A937" s="746" t="s">
        <v>35</v>
      </c>
      <c r="B937" s="747"/>
      <c r="C937" s="747"/>
      <c r="D937" s="747"/>
      <c r="E937" s="747"/>
      <c r="F937" s="748"/>
    </row>
    <row r="938" spans="1:6" x14ac:dyDescent="0.2">
      <c r="A938" s="64" t="s">
        <v>8</v>
      </c>
      <c r="B938" s="64" t="s">
        <v>26</v>
      </c>
      <c r="C938" s="64" t="s">
        <v>27</v>
      </c>
      <c r="D938" s="64" t="s">
        <v>28</v>
      </c>
      <c r="E938" s="64" t="s">
        <v>29</v>
      </c>
      <c r="F938" s="64" t="s">
        <v>30</v>
      </c>
    </row>
    <row r="939" spans="1:6" x14ac:dyDescent="0.2">
      <c r="A939" s="65"/>
      <c r="B939" s="66"/>
      <c r="C939" s="88"/>
      <c r="D939" s="89"/>
      <c r="E939" s="615"/>
      <c r="F939" s="622">
        <f t="shared" ref="F939:F942" si="31">D939*E939</f>
        <v>0</v>
      </c>
    </row>
    <row r="940" spans="1:6" x14ac:dyDescent="0.2">
      <c r="A940" s="624">
        <v>3768</v>
      </c>
      <c r="B940" s="632" t="s">
        <v>13812</v>
      </c>
      <c r="C940" s="633" t="s">
        <v>10884</v>
      </c>
      <c r="D940" s="634">
        <v>0.6</v>
      </c>
      <c r="E940" s="635">
        <v>2.58</v>
      </c>
      <c r="F940" s="616">
        <f t="shared" si="31"/>
        <v>1.548</v>
      </c>
    </row>
    <row r="941" spans="1:6" x14ac:dyDescent="0.2">
      <c r="A941" s="65">
        <v>5318</v>
      </c>
      <c r="B941" s="87" t="s">
        <v>9784</v>
      </c>
      <c r="C941" s="88" t="s">
        <v>5201</v>
      </c>
      <c r="D941" s="89">
        <v>7.0000000000000007E-2</v>
      </c>
      <c r="E941" s="173">
        <v>12.5</v>
      </c>
      <c r="F941" s="616">
        <f t="shared" si="31"/>
        <v>0.87500000000000011</v>
      </c>
    </row>
    <row r="942" spans="1:6" x14ac:dyDescent="0.2">
      <c r="A942" s="65">
        <v>7292</v>
      </c>
      <c r="B942" s="216" t="s">
        <v>10270</v>
      </c>
      <c r="C942" s="88" t="s">
        <v>5201</v>
      </c>
      <c r="D942" s="89">
        <v>0.16</v>
      </c>
      <c r="E942" s="636">
        <v>22.78</v>
      </c>
      <c r="F942" s="616">
        <f t="shared" si="31"/>
        <v>3.6448</v>
      </c>
    </row>
    <row r="943" spans="1:6" x14ac:dyDescent="0.2">
      <c r="A943" s="65"/>
      <c r="B943" s="66"/>
      <c r="C943" s="97"/>
      <c r="D943" s="98"/>
      <c r="E943" s="173"/>
      <c r="F943" s="174"/>
    </row>
    <row r="944" spans="1:6" x14ac:dyDescent="0.2">
      <c r="A944" s="79"/>
      <c r="B944" s="76"/>
      <c r="C944" s="73"/>
      <c r="D944" s="80" t="s">
        <v>36</v>
      </c>
      <c r="E944" s="81"/>
      <c r="F944" s="101">
        <f>SUM(F939:F943)</f>
        <v>6.0678000000000001</v>
      </c>
    </row>
    <row r="945" spans="1:6" x14ac:dyDescent="0.2">
      <c r="A945" s="79"/>
      <c r="B945" s="76"/>
      <c r="C945" s="73"/>
      <c r="D945" s="83"/>
      <c r="E945" s="84"/>
      <c r="F945" s="85"/>
    </row>
    <row r="946" spans="1:6" x14ac:dyDescent="0.2">
      <c r="A946" s="746" t="s">
        <v>37</v>
      </c>
      <c r="B946" s="747"/>
      <c r="C946" s="747"/>
      <c r="D946" s="747"/>
      <c r="E946" s="747"/>
      <c r="F946" s="748"/>
    </row>
    <row r="947" spans="1:6" x14ac:dyDescent="0.2">
      <c r="A947" s="64" t="s">
        <v>8</v>
      </c>
      <c r="B947" s="64" t="s">
        <v>26</v>
      </c>
      <c r="C947" s="64" t="s">
        <v>27</v>
      </c>
      <c r="D947" s="64" t="s">
        <v>28</v>
      </c>
      <c r="E947" s="64" t="s">
        <v>29</v>
      </c>
      <c r="F947" s="64" t="s">
        <v>30</v>
      </c>
    </row>
    <row r="948" spans="1:6" x14ac:dyDescent="0.2">
      <c r="A948" s="65"/>
      <c r="B948" s="66"/>
      <c r="C948" s="88"/>
      <c r="D948" s="89"/>
      <c r="E948" s="173"/>
      <c r="F948" s="174"/>
    </row>
    <row r="949" spans="1:6" x14ac:dyDescent="0.2">
      <c r="A949" s="92"/>
      <c r="B949" s="631"/>
      <c r="C949" s="88"/>
      <c r="D949" s="93"/>
      <c r="E949" s="94"/>
      <c r="F949" s="616">
        <f t="shared" ref="F949" si="32">D949*E949</f>
        <v>0</v>
      </c>
    </row>
    <row r="950" spans="1:6" x14ac:dyDescent="0.2">
      <c r="A950" s="95"/>
      <c r="B950" s="96"/>
      <c r="C950" s="97"/>
      <c r="D950" s="98"/>
      <c r="E950" s="99"/>
      <c r="F950" s="104"/>
    </row>
    <row r="951" spans="1:6" x14ac:dyDescent="0.2">
      <c r="A951" s="79"/>
      <c r="B951" s="76"/>
      <c r="C951" s="73"/>
      <c r="D951" s="80" t="s">
        <v>38</v>
      </c>
      <c r="E951" s="81"/>
      <c r="F951" s="101">
        <f>ROUND(SUM(F948:F948),2)</f>
        <v>0</v>
      </c>
    </row>
    <row r="952" spans="1:6" x14ac:dyDescent="0.2">
      <c r="A952" s="79"/>
      <c r="B952" s="76"/>
      <c r="C952" s="73"/>
      <c r="D952" s="83"/>
      <c r="E952" s="84"/>
      <c r="F952" s="85"/>
    </row>
    <row r="953" spans="1:6" x14ac:dyDescent="0.2">
      <c r="A953" s="749" t="s">
        <v>39</v>
      </c>
      <c r="B953" s="750"/>
      <c r="C953" s="750"/>
      <c r="D953" s="750"/>
      <c r="E953" s="751"/>
      <c r="F953" s="105">
        <f>ROUND(F935+F944+F951,2)</f>
        <v>25.12</v>
      </c>
    </row>
    <row r="954" spans="1:6" ht="15.75" x14ac:dyDescent="0.2">
      <c r="A954" s="587" t="s">
        <v>8</v>
      </c>
      <c r="B954" s="743" t="s">
        <v>23</v>
      </c>
      <c r="C954" s="743"/>
      <c r="D954" s="743"/>
      <c r="E954" s="743"/>
      <c r="F954" s="588" t="s">
        <v>24</v>
      </c>
    </row>
    <row r="955" spans="1:6" ht="15" customHeight="1" x14ac:dyDescent="0.2">
      <c r="A955" s="63" t="s">
        <v>11686</v>
      </c>
      <c r="B955" s="744" t="str">
        <f>PO!D205</f>
        <v>Bucha de redução, PVC, soldável, DN 32mm x 25mm, instalado em ramal ou sub-ramal de água - fornecimento e instalação.</v>
      </c>
      <c r="C955" s="744"/>
      <c r="D955" s="744"/>
      <c r="E955" s="744"/>
      <c r="F955" s="107" t="str">
        <f>PO!E205</f>
        <v>und</v>
      </c>
    </row>
    <row r="956" spans="1:6" x14ac:dyDescent="0.2">
      <c r="A956" s="745" t="s">
        <v>25</v>
      </c>
      <c r="B956" s="745"/>
      <c r="C956" s="745"/>
      <c r="D956" s="745"/>
      <c r="E956" s="745"/>
      <c r="F956" s="745"/>
    </row>
    <row r="957" spans="1:6" x14ac:dyDescent="0.2">
      <c r="A957" s="64" t="s">
        <v>8</v>
      </c>
      <c r="B957" s="64" t="s">
        <v>26</v>
      </c>
      <c r="C957" s="64" t="s">
        <v>27</v>
      </c>
      <c r="D957" s="64" t="s">
        <v>28</v>
      </c>
      <c r="E957" s="64" t="s">
        <v>29</v>
      </c>
      <c r="F957" s="64" t="s">
        <v>30</v>
      </c>
    </row>
    <row r="958" spans="1:6" ht="22.5" x14ac:dyDescent="0.2">
      <c r="A958" s="65">
        <v>88248</v>
      </c>
      <c r="B958" s="87" t="s">
        <v>11811</v>
      </c>
      <c r="C958" s="88" t="s">
        <v>10945</v>
      </c>
      <c r="D958" s="156">
        <v>0.11899999999999999</v>
      </c>
      <c r="E958" s="174">
        <v>15.2</v>
      </c>
      <c r="F958" s="174">
        <f>D958*E958</f>
        <v>1.8087999999999997</v>
      </c>
    </row>
    <row r="959" spans="1:6" x14ac:dyDescent="0.2">
      <c r="A959" s="65">
        <v>88267</v>
      </c>
      <c r="B959" s="87" t="s">
        <v>11812</v>
      </c>
      <c r="C959" s="88" t="s">
        <v>10945</v>
      </c>
      <c r="D959" s="156">
        <v>0.11899999999999999</v>
      </c>
      <c r="E959" s="174">
        <v>19.64</v>
      </c>
      <c r="F959" s="174">
        <f>D959*E959</f>
        <v>2.3371599999999999</v>
      </c>
    </row>
    <row r="960" spans="1:6" x14ac:dyDescent="0.2">
      <c r="A960" s="65"/>
      <c r="B960" s="66"/>
      <c r="C960" s="67"/>
      <c r="D960" s="155"/>
      <c r="E960" s="99"/>
      <c r="F960" s="100"/>
    </row>
    <row r="961" spans="1:6" x14ac:dyDescent="0.2">
      <c r="A961" s="71"/>
      <c r="B961" s="62"/>
      <c r="C961" s="72"/>
      <c r="D961" s="73" t="s">
        <v>31</v>
      </c>
      <c r="E961" s="74"/>
      <c r="F961" s="75">
        <f>F958+F959+F960</f>
        <v>4.1459599999999996</v>
      </c>
    </row>
    <row r="962" spans="1:6" x14ac:dyDescent="0.2">
      <c r="A962" s="71"/>
      <c r="B962" s="62"/>
      <c r="C962" s="72"/>
      <c r="D962" s="76" t="s">
        <v>32</v>
      </c>
      <c r="E962" s="77"/>
      <c r="F962" s="78">
        <f>F961*E962</f>
        <v>0</v>
      </c>
    </row>
    <row r="963" spans="1:6" x14ac:dyDescent="0.2">
      <c r="A963" s="71"/>
      <c r="B963" s="62"/>
      <c r="C963" s="72"/>
      <c r="D963" s="73" t="s">
        <v>33</v>
      </c>
      <c r="E963" s="74"/>
      <c r="F963" s="78">
        <f>SUM(F961:F962)</f>
        <v>4.1459599999999996</v>
      </c>
    </row>
    <row r="964" spans="1:6" x14ac:dyDescent="0.2">
      <c r="A964" s="79"/>
      <c r="B964" s="76"/>
      <c r="C964" s="73"/>
      <c r="D964" s="80" t="s">
        <v>34</v>
      </c>
      <c r="E964" s="81"/>
      <c r="F964" s="82">
        <f>F963</f>
        <v>4.1459599999999996</v>
      </c>
    </row>
    <row r="965" spans="1:6" x14ac:dyDescent="0.2">
      <c r="A965" s="79"/>
      <c r="B965" s="76"/>
      <c r="C965" s="73"/>
      <c r="D965" s="83"/>
      <c r="E965" s="84"/>
      <c r="F965" s="85"/>
    </row>
    <row r="966" spans="1:6" x14ac:dyDescent="0.2">
      <c r="A966" s="746" t="s">
        <v>35</v>
      </c>
      <c r="B966" s="747"/>
      <c r="C966" s="747"/>
      <c r="D966" s="747"/>
      <c r="E966" s="747"/>
      <c r="F966" s="748"/>
    </row>
    <row r="967" spans="1:6" x14ac:dyDescent="0.2">
      <c r="A967" s="64" t="s">
        <v>8</v>
      </c>
      <c r="B967" s="64" t="s">
        <v>26</v>
      </c>
      <c r="C967" s="64" t="s">
        <v>27</v>
      </c>
      <c r="D967" s="64" t="s">
        <v>28</v>
      </c>
      <c r="E967" s="64" t="s">
        <v>29</v>
      </c>
      <c r="F967" s="64" t="s">
        <v>30</v>
      </c>
    </row>
    <row r="968" spans="1:6" x14ac:dyDescent="0.2">
      <c r="A968" s="65">
        <v>122</v>
      </c>
      <c r="B968" s="66" t="s">
        <v>11813</v>
      </c>
      <c r="C968" s="88" t="s">
        <v>18</v>
      </c>
      <c r="D968" s="89">
        <v>8.9999999999999993E-3</v>
      </c>
      <c r="E968" s="174">
        <v>54.2</v>
      </c>
      <c r="F968" s="174">
        <f t="shared" ref="F968:F971" si="33">D968*E968</f>
        <v>0.48780000000000001</v>
      </c>
    </row>
    <row r="969" spans="1:6" x14ac:dyDescent="0.2">
      <c r="A969" s="65">
        <v>20083</v>
      </c>
      <c r="B969" s="66" t="s">
        <v>11814</v>
      </c>
      <c r="C969" s="88" t="s">
        <v>18</v>
      </c>
      <c r="D969" s="89">
        <v>1.0999999999999999E-2</v>
      </c>
      <c r="E969" s="174">
        <v>47.06</v>
      </c>
      <c r="F969" s="174">
        <f t="shared" si="33"/>
        <v>0.51766000000000001</v>
      </c>
    </row>
    <row r="970" spans="1:6" x14ac:dyDescent="0.2">
      <c r="A970" s="65">
        <v>38383</v>
      </c>
      <c r="B970" s="66" t="s">
        <v>11815</v>
      </c>
      <c r="C970" s="88" t="s">
        <v>18</v>
      </c>
      <c r="D970" s="89">
        <v>0.06</v>
      </c>
      <c r="E970" s="174">
        <v>1.86</v>
      </c>
      <c r="F970" s="174">
        <f t="shared" si="33"/>
        <v>0.1116</v>
      </c>
    </row>
    <row r="971" spans="1:6" ht="22.5" x14ac:dyDescent="0.2">
      <c r="A971" s="65">
        <v>819</v>
      </c>
      <c r="B971" s="216" t="s">
        <v>11816</v>
      </c>
      <c r="C971" s="88" t="s">
        <v>18</v>
      </c>
      <c r="D971" s="89">
        <v>1</v>
      </c>
      <c r="E971" s="174">
        <v>0.73</v>
      </c>
      <c r="F971" s="174">
        <f t="shared" si="33"/>
        <v>0.73</v>
      </c>
    </row>
    <row r="972" spans="1:6" x14ac:dyDescent="0.2">
      <c r="A972" s="65"/>
      <c r="B972" s="66"/>
      <c r="C972" s="97"/>
      <c r="D972" s="98"/>
      <c r="E972" s="173"/>
      <c r="F972" s="174"/>
    </row>
    <row r="973" spans="1:6" x14ac:dyDescent="0.2">
      <c r="A973" s="79"/>
      <c r="B973" s="76"/>
      <c r="C973" s="73"/>
      <c r="D973" s="80" t="s">
        <v>36</v>
      </c>
      <c r="E973" s="81"/>
      <c r="F973" s="101">
        <f>SUM(F968:F972)</f>
        <v>1.8470599999999999</v>
      </c>
    </row>
    <row r="974" spans="1:6" x14ac:dyDescent="0.2">
      <c r="A974" s="79"/>
      <c r="B974" s="76"/>
      <c r="C974" s="73"/>
      <c r="D974" s="83"/>
      <c r="E974" s="84"/>
      <c r="F974" s="85"/>
    </row>
    <row r="975" spans="1:6" x14ac:dyDescent="0.2">
      <c r="A975" s="746" t="s">
        <v>37</v>
      </c>
      <c r="B975" s="747"/>
      <c r="C975" s="747"/>
      <c r="D975" s="747"/>
      <c r="E975" s="747"/>
      <c r="F975" s="748"/>
    </row>
    <row r="976" spans="1:6" x14ac:dyDescent="0.2">
      <c r="A976" s="64" t="s">
        <v>8</v>
      </c>
      <c r="B976" s="64" t="s">
        <v>26</v>
      </c>
      <c r="C976" s="64" t="s">
        <v>27</v>
      </c>
      <c r="D976" s="64" t="s">
        <v>28</v>
      </c>
      <c r="E976" s="64" t="s">
        <v>29</v>
      </c>
      <c r="F976" s="64" t="s">
        <v>30</v>
      </c>
    </row>
    <row r="977" spans="1:6" x14ac:dyDescent="0.2">
      <c r="A977" s="65"/>
      <c r="B977" s="66"/>
      <c r="C977" s="88"/>
      <c r="D977" s="89"/>
      <c r="E977" s="173"/>
      <c r="F977" s="174"/>
    </row>
    <row r="978" spans="1:6" x14ac:dyDescent="0.2">
      <c r="A978" s="92"/>
      <c r="B978" s="87"/>
      <c r="C978" s="88"/>
      <c r="D978" s="103"/>
      <c r="E978" s="94"/>
      <c r="F978" s="100"/>
    </row>
    <row r="979" spans="1:6" x14ac:dyDescent="0.2">
      <c r="A979" s="95"/>
      <c r="B979" s="96"/>
      <c r="C979" s="97"/>
      <c r="D979" s="98"/>
      <c r="E979" s="99"/>
      <c r="F979" s="104"/>
    </row>
    <row r="980" spans="1:6" x14ac:dyDescent="0.2">
      <c r="A980" s="79"/>
      <c r="B980" s="76"/>
      <c r="C980" s="73"/>
      <c r="D980" s="80" t="s">
        <v>38</v>
      </c>
      <c r="E980" s="81"/>
      <c r="F980" s="101">
        <f>ROUND(SUM(F977:F977),2)</f>
        <v>0</v>
      </c>
    </row>
    <row r="981" spans="1:6" x14ac:dyDescent="0.2">
      <c r="A981" s="79"/>
      <c r="B981" s="76"/>
      <c r="C981" s="73"/>
      <c r="D981" s="83"/>
      <c r="E981" s="84"/>
      <c r="F981" s="85"/>
    </row>
    <row r="982" spans="1:6" x14ac:dyDescent="0.2">
      <c r="A982" s="749" t="s">
        <v>39</v>
      </c>
      <c r="B982" s="750"/>
      <c r="C982" s="750"/>
      <c r="D982" s="750"/>
      <c r="E982" s="751"/>
      <c r="F982" s="105">
        <f>ROUND(F964+F973+F980,2)</f>
        <v>5.99</v>
      </c>
    </row>
    <row r="983" spans="1:6" ht="15.75" x14ac:dyDescent="0.2">
      <c r="A983" s="587" t="s">
        <v>8</v>
      </c>
      <c r="B983" s="743" t="s">
        <v>23</v>
      </c>
      <c r="C983" s="743"/>
      <c r="D983" s="743"/>
      <c r="E983" s="743"/>
      <c r="F983" s="588" t="s">
        <v>24</v>
      </c>
    </row>
    <row r="984" spans="1:6" ht="15" customHeight="1" x14ac:dyDescent="0.2">
      <c r="A984" s="63" t="s">
        <v>11688</v>
      </c>
      <c r="B984" s="744" t="str">
        <f>PO!D207</f>
        <v>Bucha de redução, PVC, soldável, DN 50mm x 40mm, instalado em ramal ou sub-ramal de água - fornecimento e instalação.</v>
      </c>
      <c r="C984" s="744"/>
      <c r="D984" s="744"/>
      <c r="E984" s="744"/>
      <c r="F984" s="107" t="str">
        <f>PO!E207</f>
        <v>und</v>
      </c>
    </row>
    <row r="985" spans="1:6" x14ac:dyDescent="0.2">
      <c r="A985" s="745" t="s">
        <v>25</v>
      </c>
      <c r="B985" s="745"/>
      <c r="C985" s="745"/>
      <c r="D985" s="745"/>
      <c r="E985" s="745"/>
      <c r="F985" s="745"/>
    </row>
    <row r="986" spans="1:6" x14ac:dyDescent="0.2">
      <c r="A986" s="64" t="s">
        <v>8</v>
      </c>
      <c r="B986" s="64" t="s">
        <v>26</v>
      </c>
      <c r="C986" s="64" t="s">
        <v>27</v>
      </c>
      <c r="D986" s="64" t="s">
        <v>28</v>
      </c>
      <c r="E986" s="64" t="s">
        <v>29</v>
      </c>
      <c r="F986" s="64" t="s">
        <v>30</v>
      </c>
    </row>
    <row r="987" spans="1:6" ht="22.5" x14ac:dyDescent="0.2">
      <c r="A987" s="65">
        <v>88248</v>
      </c>
      <c r="B987" s="87" t="s">
        <v>11811</v>
      </c>
      <c r="C987" s="88" t="s">
        <v>10945</v>
      </c>
      <c r="D987" s="156">
        <v>0.11899999999999999</v>
      </c>
      <c r="E987" s="174">
        <v>15.2</v>
      </c>
      <c r="F987" s="174">
        <f>D987*E987</f>
        <v>1.8087999999999997</v>
      </c>
    </row>
    <row r="988" spans="1:6" x14ac:dyDescent="0.2">
      <c r="A988" s="65">
        <v>88267</v>
      </c>
      <c r="B988" s="87" t="s">
        <v>11812</v>
      </c>
      <c r="C988" s="88" t="s">
        <v>10945</v>
      </c>
      <c r="D988" s="156">
        <v>0.11899999999999999</v>
      </c>
      <c r="E988" s="174">
        <v>19.64</v>
      </c>
      <c r="F988" s="174">
        <f>D988*E988</f>
        <v>2.3371599999999999</v>
      </c>
    </row>
    <row r="989" spans="1:6" x14ac:dyDescent="0.2">
      <c r="A989" s="65"/>
      <c r="B989" s="66"/>
      <c r="C989" s="67"/>
      <c r="D989" s="155"/>
      <c r="E989" s="99"/>
      <c r="F989" s="100"/>
    </row>
    <row r="990" spans="1:6" x14ac:dyDescent="0.2">
      <c r="A990" s="71"/>
      <c r="B990" s="62"/>
      <c r="C990" s="72"/>
      <c r="D990" s="73" t="s">
        <v>31</v>
      </c>
      <c r="E990" s="74"/>
      <c r="F990" s="75">
        <f>F987+F988+F989</f>
        <v>4.1459599999999996</v>
      </c>
    </row>
    <row r="991" spans="1:6" x14ac:dyDescent="0.2">
      <c r="A991" s="71"/>
      <c r="B991" s="62"/>
      <c r="C991" s="72"/>
      <c r="D991" s="76" t="s">
        <v>32</v>
      </c>
      <c r="E991" s="77"/>
      <c r="F991" s="78">
        <f>F990*E991</f>
        <v>0</v>
      </c>
    </row>
    <row r="992" spans="1:6" x14ac:dyDescent="0.2">
      <c r="A992" s="71"/>
      <c r="B992" s="62"/>
      <c r="C992" s="72"/>
      <c r="D992" s="73" t="s">
        <v>33</v>
      </c>
      <c r="E992" s="74"/>
      <c r="F992" s="78">
        <f>SUM(F990:F991)</f>
        <v>4.1459599999999996</v>
      </c>
    </row>
    <row r="993" spans="1:6" x14ac:dyDescent="0.2">
      <c r="A993" s="79"/>
      <c r="B993" s="76"/>
      <c r="C993" s="73"/>
      <c r="D993" s="80" t="s">
        <v>34</v>
      </c>
      <c r="E993" s="81"/>
      <c r="F993" s="82">
        <f>F992</f>
        <v>4.1459599999999996</v>
      </c>
    </row>
    <row r="994" spans="1:6" x14ac:dyDescent="0.2">
      <c r="A994" s="79"/>
      <c r="B994" s="76"/>
      <c r="C994" s="73"/>
      <c r="D994" s="83"/>
      <c r="E994" s="84"/>
      <c r="F994" s="85"/>
    </row>
    <row r="995" spans="1:6" x14ac:dyDescent="0.2">
      <c r="A995" s="746" t="s">
        <v>35</v>
      </c>
      <c r="B995" s="747"/>
      <c r="C995" s="747"/>
      <c r="D995" s="747"/>
      <c r="E995" s="747"/>
      <c r="F995" s="748"/>
    </row>
    <row r="996" spans="1:6" x14ac:dyDescent="0.2">
      <c r="A996" s="64" t="s">
        <v>8</v>
      </c>
      <c r="B996" s="64" t="s">
        <v>26</v>
      </c>
      <c r="C996" s="64" t="s">
        <v>27</v>
      </c>
      <c r="D996" s="64" t="s">
        <v>28</v>
      </c>
      <c r="E996" s="64" t="s">
        <v>29</v>
      </c>
      <c r="F996" s="64" t="s">
        <v>30</v>
      </c>
    </row>
    <row r="997" spans="1:6" x14ac:dyDescent="0.2">
      <c r="A997" s="65">
        <v>122</v>
      </c>
      <c r="B997" s="66" t="s">
        <v>11813</v>
      </c>
      <c r="C997" s="88" t="s">
        <v>18</v>
      </c>
      <c r="D997" s="89">
        <v>8.9999999999999993E-3</v>
      </c>
      <c r="E997" s="174">
        <v>54.2</v>
      </c>
      <c r="F997" s="174">
        <f t="shared" ref="F997:F1000" si="34">D997*E997</f>
        <v>0.48780000000000001</v>
      </c>
    </row>
    <row r="998" spans="1:6" x14ac:dyDescent="0.2">
      <c r="A998" s="65">
        <v>20083</v>
      </c>
      <c r="B998" s="66" t="s">
        <v>11814</v>
      </c>
      <c r="C998" s="88" t="s">
        <v>18</v>
      </c>
      <c r="D998" s="89">
        <v>1.0999999999999999E-2</v>
      </c>
      <c r="E998" s="174">
        <v>47.06</v>
      </c>
      <c r="F998" s="174">
        <f t="shared" si="34"/>
        <v>0.51766000000000001</v>
      </c>
    </row>
    <row r="999" spans="1:6" x14ac:dyDescent="0.2">
      <c r="A999" s="65">
        <v>38383</v>
      </c>
      <c r="B999" s="66" t="s">
        <v>11815</v>
      </c>
      <c r="C999" s="88" t="s">
        <v>18</v>
      </c>
      <c r="D999" s="89">
        <v>0.06</v>
      </c>
      <c r="E999" s="174">
        <v>1.86</v>
      </c>
      <c r="F999" s="174">
        <f t="shared" si="34"/>
        <v>0.1116</v>
      </c>
    </row>
    <row r="1000" spans="1:6" ht="22.5" x14ac:dyDescent="0.2">
      <c r="A1000" s="65">
        <v>819</v>
      </c>
      <c r="B1000" s="216" t="s">
        <v>11816</v>
      </c>
      <c r="C1000" s="88" t="s">
        <v>18</v>
      </c>
      <c r="D1000" s="89">
        <v>1</v>
      </c>
      <c r="E1000" s="174">
        <v>2.6</v>
      </c>
      <c r="F1000" s="174">
        <f t="shared" si="34"/>
        <v>2.6</v>
      </c>
    </row>
    <row r="1001" spans="1:6" x14ac:dyDescent="0.2">
      <c r="A1001" s="65"/>
      <c r="B1001" s="66"/>
      <c r="C1001" s="97"/>
      <c r="D1001" s="98"/>
      <c r="E1001" s="173"/>
      <c r="F1001" s="174"/>
    </row>
    <row r="1002" spans="1:6" x14ac:dyDescent="0.2">
      <c r="A1002" s="79"/>
      <c r="B1002" s="76"/>
      <c r="C1002" s="73"/>
      <c r="D1002" s="80" t="s">
        <v>36</v>
      </c>
      <c r="E1002" s="81"/>
      <c r="F1002" s="101">
        <f>SUM(F997:F1001)</f>
        <v>3.71706</v>
      </c>
    </row>
    <row r="1003" spans="1:6" x14ac:dyDescent="0.2">
      <c r="A1003" s="79"/>
      <c r="B1003" s="76"/>
      <c r="C1003" s="73"/>
      <c r="D1003" s="83"/>
      <c r="E1003" s="84"/>
      <c r="F1003" s="85"/>
    </row>
    <row r="1004" spans="1:6" x14ac:dyDescent="0.2">
      <c r="A1004" s="746" t="s">
        <v>37</v>
      </c>
      <c r="B1004" s="747"/>
      <c r="C1004" s="747"/>
      <c r="D1004" s="747"/>
      <c r="E1004" s="747"/>
      <c r="F1004" s="748"/>
    </row>
    <row r="1005" spans="1:6" x14ac:dyDescent="0.2">
      <c r="A1005" s="64" t="s">
        <v>8</v>
      </c>
      <c r="B1005" s="64" t="s">
        <v>26</v>
      </c>
      <c r="C1005" s="64" t="s">
        <v>27</v>
      </c>
      <c r="D1005" s="64" t="s">
        <v>28</v>
      </c>
      <c r="E1005" s="64" t="s">
        <v>29</v>
      </c>
      <c r="F1005" s="64" t="s">
        <v>30</v>
      </c>
    </row>
    <row r="1006" spans="1:6" x14ac:dyDescent="0.2">
      <c r="A1006" s="65"/>
      <c r="B1006" s="66"/>
      <c r="C1006" s="88"/>
      <c r="D1006" s="89"/>
      <c r="E1006" s="173"/>
      <c r="F1006" s="174"/>
    </row>
    <row r="1007" spans="1:6" x14ac:dyDescent="0.2">
      <c r="A1007" s="92"/>
      <c r="B1007" s="87"/>
      <c r="C1007" s="88"/>
      <c r="D1007" s="103"/>
      <c r="E1007" s="94"/>
      <c r="F1007" s="100"/>
    </row>
    <row r="1008" spans="1:6" x14ac:dyDescent="0.2">
      <c r="A1008" s="95"/>
      <c r="B1008" s="96"/>
      <c r="C1008" s="97"/>
      <c r="D1008" s="98"/>
      <c r="E1008" s="99"/>
      <c r="F1008" s="104"/>
    </row>
    <row r="1009" spans="1:6" x14ac:dyDescent="0.2">
      <c r="A1009" s="79"/>
      <c r="B1009" s="76"/>
      <c r="C1009" s="73"/>
      <c r="D1009" s="80" t="s">
        <v>38</v>
      </c>
      <c r="E1009" s="81"/>
      <c r="F1009" s="101">
        <f>ROUND(SUM(F1006:F1006),2)</f>
        <v>0</v>
      </c>
    </row>
    <row r="1010" spans="1:6" x14ac:dyDescent="0.2">
      <c r="A1010" s="79"/>
      <c r="B1010" s="76"/>
      <c r="C1010" s="73"/>
      <c r="D1010" s="83"/>
      <c r="E1010" s="84"/>
      <c r="F1010" s="85"/>
    </row>
    <row r="1011" spans="1:6" x14ac:dyDescent="0.2">
      <c r="A1011" s="749" t="s">
        <v>39</v>
      </c>
      <c r="B1011" s="750"/>
      <c r="C1011" s="750"/>
      <c r="D1011" s="750"/>
      <c r="E1011" s="751"/>
      <c r="F1011" s="105">
        <f>ROUND(F993+F1002+F1009,2)</f>
        <v>7.86</v>
      </c>
    </row>
    <row r="1012" spans="1:6" ht="15.75" x14ac:dyDescent="0.2">
      <c r="A1012" s="587" t="s">
        <v>8</v>
      </c>
      <c r="B1012" s="743" t="s">
        <v>23</v>
      </c>
      <c r="C1012" s="743"/>
      <c r="D1012" s="743"/>
      <c r="E1012" s="743"/>
      <c r="F1012" s="588" t="s">
        <v>24</v>
      </c>
    </row>
    <row r="1013" spans="1:6" ht="15" customHeight="1" x14ac:dyDescent="0.2">
      <c r="A1013" s="63" t="s">
        <v>11217</v>
      </c>
      <c r="B1013" s="744" t="str">
        <f>PO!D213</f>
        <v>Joelho 90° de redução soldável PVC Ø 32 x 25 mm  - fornecimento e instalação.</v>
      </c>
      <c r="C1013" s="744"/>
      <c r="D1013" s="744"/>
      <c r="E1013" s="744"/>
      <c r="F1013" s="107" t="str">
        <f>PO!E213</f>
        <v>und</v>
      </c>
    </row>
    <row r="1014" spans="1:6" x14ac:dyDescent="0.2">
      <c r="A1014" s="745" t="s">
        <v>25</v>
      </c>
      <c r="B1014" s="745"/>
      <c r="C1014" s="745"/>
      <c r="D1014" s="745"/>
      <c r="E1014" s="745"/>
      <c r="F1014" s="745"/>
    </row>
    <row r="1015" spans="1:6" x14ac:dyDescent="0.2">
      <c r="A1015" s="64" t="s">
        <v>8</v>
      </c>
      <c r="B1015" s="64" t="s">
        <v>26</v>
      </c>
      <c r="C1015" s="64" t="s">
        <v>27</v>
      </c>
      <c r="D1015" s="64" t="s">
        <v>28</v>
      </c>
      <c r="E1015" s="64" t="s">
        <v>29</v>
      </c>
      <c r="F1015" s="64" t="s">
        <v>30</v>
      </c>
    </row>
    <row r="1016" spans="1:6" x14ac:dyDescent="0.2">
      <c r="A1016" s="262">
        <v>88267</v>
      </c>
      <c r="B1016" s="87" t="s">
        <v>11812</v>
      </c>
      <c r="C1016" s="113" t="s">
        <v>10945</v>
      </c>
      <c r="D1016" s="589">
        <v>0.18</v>
      </c>
      <c r="E1016" s="174">
        <v>19.64</v>
      </c>
      <c r="F1016" s="174">
        <f>D1016*E1016</f>
        <v>3.5352000000000001</v>
      </c>
    </row>
    <row r="1017" spans="1:6" x14ac:dyDescent="0.2">
      <c r="A1017" s="65">
        <v>88248</v>
      </c>
      <c r="B1017" s="507" t="s">
        <v>11220</v>
      </c>
      <c r="C1017" s="113" t="s">
        <v>10945</v>
      </c>
      <c r="D1017" s="589">
        <v>0.18</v>
      </c>
      <c r="E1017" s="174">
        <v>15.2</v>
      </c>
      <c r="F1017" s="174">
        <f>D1017*E1017</f>
        <v>2.7359999999999998</v>
      </c>
    </row>
    <row r="1018" spans="1:6" x14ac:dyDescent="0.2">
      <c r="A1018" s="65"/>
      <c r="B1018" s="66"/>
      <c r="C1018" s="67"/>
      <c r="D1018" s="155"/>
      <c r="E1018" s="99"/>
      <c r="F1018" s="100"/>
    </row>
    <row r="1019" spans="1:6" x14ac:dyDescent="0.2">
      <c r="A1019" s="71"/>
      <c r="B1019" s="62"/>
      <c r="C1019" s="72"/>
      <c r="D1019" s="73" t="s">
        <v>31</v>
      </c>
      <c r="E1019" s="74"/>
      <c r="F1019" s="75">
        <f>F1016+F1017+F1018</f>
        <v>6.2712000000000003</v>
      </c>
    </row>
    <row r="1020" spans="1:6" x14ac:dyDescent="0.2">
      <c r="A1020" s="71"/>
      <c r="B1020" s="62"/>
      <c r="C1020" s="72"/>
      <c r="D1020" s="76" t="s">
        <v>32</v>
      </c>
      <c r="E1020" s="77"/>
      <c r="F1020" s="78">
        <f>F1019*E1020</f>
        <v>0</v>
      </c>
    </row>
    <row r="1021" spans="1:6" x14ac:dyDescent="0.2">
      <c r="A1021" s="71"/>
      <c r="B1021" s="62"/>
      <c r="C1021" s="72"/>
      <c r="D1021" s="73" t="s">
        <v>33</v>
      </c>
      <c r="E1021" s="74"/>
      <c r="F1021" s="78">
        <f>SUM(F1019:F1020)</f>
        <v>6.2712000000000003</v>
      </c>
    </row>
    <row r="1022" spans="1:6" x14ac:dyDescent="0.2">
      <c r="A1022" s="79"/>
      <c r="B1022" s="76"/>
      <c r="C1022" s="73"/>
      <c r="D1022" s="80" t="s">
        <v>34</v>
      </c>
      <c r="E1022" s="81"/>
      <c r="F1022" s="82">
        <f>F1021</f>
        <v>6.2712000000000003</v>
      </c>
    </row>
    <row r="1023" spans="1:6" x14ac:dyDescent="0.2">
      <c r="A1023" s="79"/>
      <c r="B1023" s="76"/>
      <c r="C1023" s="73"/>
      <c r="D1023" s="83"/>
      <c r="E1023" s="84"/>
      <c r="F1023" s="85"/>
    </row>
    <row r="1024" spans="1:6" x14ac:dyDescent="0.2">
      <c r="A1024" s="746" t="s">
        <v>35</v>
      </c>
      <c r="B1024" s="747"/>
      <c r="C1024" s="747"/>
      <c r="D1024" s="747"/>
      <c r="E1024" s="747"/>
      <c r="F1024" s="748"/>
    </row>
    <row r="1025" spans="1:6" x14ac:dyDescent="0.2">
      <c r="A1025" s="64" t="s">
        <v>8</v>
      </c>
      <c r="B1025" s="64" t="s">
        <v>26</v>
      </c>
      <c r="C1025" s="64" t="s">
        <v>27</v>
      </c>
      <c r="D1025" s="64" t="s">
        <v>28</v>
      </c>
      <c r="E1025" s="64" t="s">
        <v>29</v>
      </c>
      <c r="F1025" s="64" t="s">
        <v>30</v>
      </c>
    </row>
    <row r="1026" spans="1:6" x14ac:dyDescent="0.2">
      <c r="A1026" s="65">
        <v>122</v>
      </c>
      <c r="B1026" s="66" t="s">
        <v>11813</v>
      </c>
      <c r="C1026" s="67" t="s">
        <v>10884</v>
      </c>
      <c r="D1026" s="155">
        <v>5.28E-3</v>
      </c>
      <c r="E1026" s="174">
        <v>54.2</v>
      </c>
      <c r="F1026" s="174">
        <f>D1026*E1026</f>
        <v>0.28617599999999999</v>
      </c>
    </row>
    <row r="1027" spans="1:6" x14ac:dyDescent="0.2">
      <c r="A1027" s="65">
        <v>3538</v>
      </c>
      <c r="B1027" s="66" t="s">
        <v>11221</v>
      </c>
      <c r="C1027" s="67" t="s">
        <v>10884</v>
      </c>
      <c r="D1027" s="155">
        <v>1.0149999999999999</v>
      </c>
      <c r="E1027" s="174">
        <v>3.17</v>
      </c>
      <c r="F1027" s="174">
        <f t="shared" ref="F1027" si="35">D1027*E1027</f>
        <v>3.2175499999999997</v>
      </c>
    </row>
    <row r="1028" spans="1:6" x14ac:dyDescent="0.2">
      <c r="A1028" s="65"/>
      <c r="B1028" s="66"/>
      <c r="C1028" s="67"/>
      <c r="D1028" s="155"/>
      <c r="E1028" s="174"/>
      <c r="F1028" s="174"/>
    </row>
    <row r="1029" spans="1:6" x14ac:dyDescent="0.2">
      <c r="A1029" s="79"/>
      <c r="B1029" s="76"/>
      <c r="C1029" s="73"/>
      <c r="D1029" s="80" t="s">
        <v>36</v>
      </c>
      <c r="E1029" s="81"/>
      <c r="F1029" s="101">
        <f>SUM(F1026:F1028)</f>
        <v>3.5037259999999995</v>
      </c>
    </row>
    <row r="1030" spans="1:6" x14ac:dyDescent="0.2">
      <c r="A1030" s="79"/>
      <c r="B1030" s="76"/>
      <c r="C1030" s="73"/>
      <c r="D1030" s="83"/>
      <c r="E1030" s="84"/>
      <c r="F1030" s="85"/>
    </row>
    <row r="1031" spans="1:6" x14ac:dyDescent="0.2">
      <c r="A1031" s="746" t="s">
        <v>37</v>
      </c>
      <c r="B1031" s="747"/>
      <c r="C1031" s="747"/>
      <c r="D1031" s="747"/>
      <c r="E1031" s="747"/>
      <c r="F1031" s="748"/>
    </row>
    <row r="1032" spans="1:6" x14ac:dyDescent="0.2">
      <c r="A1032" s="64" t="s">
        <v>8</v>
      </c>
      <c r="B1032" s="64" t="s">
        <v>26</v>
      </c>
      <c r="C1032" s="64" t="s">
        <v>27</v>
      </c>
      <c r="D1032" s="64" t="s">
        <v>28</v>
      </c>
      <c r="E1032" s="64" t="s">
        <v>29</v>
      </c>
      <c r="F1032" s="64" t="s">
        <v>30</v>
      </c>
    </row>
    <row r="1033" spans="1:6" x14ac:dyDescent="0.2">
      <c r="A1033" s="65"/>
      <c r="B1033" s="66"/>
      <c r="C1033" s="88"/>
      <c r="D1033" s="89"/>
      <c r="E1033" s="173"/>
      <c r="F1033" s="174"/>
    </row>
    <row r="1034" spans="1:6" x14ac:dyDescent="0.2">
      <c r="A1034" s="92"/>
      <c r="B1034" s="87"/>
      <c r="C1034" s="88"/>
      <c r="D1034" s="103"/>
      <c r="E1034" s="94"/>
      <c r="F1034" s="100"/>
    </row>
    <row r="1035" spans="1:6" x14ac:dyDescent="0.2">
      <c r="A1035" s="95"/>
      <c r="B1035" s="96"/>
      <c r="C1035" s="97"/>
      <c r="D1035" s="98"/>
      <c r="E1035" s="99"/>
      <c r="F1035" s="104"/>
    </row>
    <row r="1036" spans="1:6" x14ac:dyDescent="0.2">
      <c r="A1036" s="79"/>
      <c r="B1036" s="76"/>
      <c r="C1036" s="73"/>
      <c r="D1036" s="80" t="s">
        <v>38</v>
      </c>
      <c r="E1036" s="81"/>
      <c r="F1036" s="101">
        <f>ROUND(SUM(F1033:F1033),2)</f>
        <v>0</v>
      </c>
    </row>
    <row r="1037" spans="1:6" x14ac:dyDescent="0.2">
      <c r="A1037" s="79"/>
      <c r="B1037" s="76"/>
      <c r="C1037" s="73"/>
      <c r="D1037" s="83"/>
      <c r="E1037" s="84"/>
      <c r="F1037" s="85"/>
    </row>
    <row r="1038" spans="1:6" x14ac:dyDescent="0.2">
      <c r="A1038" s="749" t="s">
        <v>39</v>
      </c>
      <c r="B1038" s="750"/>
      <c r="C1038" s="750"/>
      <c r="D1038" s="750"/>
      <c r="E1038" s="751"/>
      <c r="F1038" s="105">
        <f>ROUND(F1022+F1029+F1036,2)</f>
        <v>9.77</v>
      </c>
    </row>
    <row r="1039" spans="1:6" ht="15.75" x14ac:dyDescent="0.2">
      <c r="A1039" s="587" t="s">
        <v>8</v>
      </c>
      <c r="B1039" s="743" t="s">
        <v>23</v>
      </c>
      <c r="C1039" s="743"/>
      <c r="D1039" s="743"/>
      <c r="E1039" s="743"/>
      <c r="F1039" s="588" t="s">
        <v>24</v>
      </c>
    </row>
    <row r="1040" spans="1:6" ht="15" customHeight="1" x14ac:dyDescent="0.2">
      <c r="A1040" s="63" t="s">
        <v>11963</v>
      </c>
      <c r="B1040" s="744" t="str">
        <f>PO!D227</f>
        <v>Junção Simples 100 x 50mm, Esgoto Série Normal.</v>
      </c>
      <c r="C1040" s="744"/>
      <c r="D1040" s="744"/>
      <c r="E1040" s="744"/>
      <c r="F1040" s="107" t="str">
        <f>PO!E227</f>
        <v>und</v>
      </c>
    </row>
    <row r="1041" spans="1:6" x14ac:dyDescent="0.2">
      <c r="A1041" s="745" t="s">
        <v>25</v>
      </c>
      <c r="B1041" s="745"/>
      <c r="C1041" s="745"/>
      <c r="D1041" s="745"/>
      <c r="E1041" s="745"/>
      <c r="F1041" s="745"/>
    </row>
    <row r="1042" spans="1:6" x14ac:dyDescent="0.2">
      <c r="A1042" s="64" t="s">
        <v>8</v>
      </c>
      <c r="B1042" s="64" t="s">
        <v>26</v>
      </c>
      <c r="C1042" s="64" t="s">
        <v>27</v>
      </c>
      <c r="D1042" s="64" t="s">
        <v>28</v>
      </c>
      <c r="E1042" s="64" t="s">
        <v>29</v>
      </c>
      <c r="F1042" s="64" t="s">
        <v>30</v>
      </c>
    </row>
    <row r="1043" spans="1:6" ht="22.5" x14ac:dyDescent="0.2">
      <c r="A1043" s="65">
        <v>88248</v>
      </c>
      <c r="B1043" s="87" t="s">
        <v>11811</v>
      </c>
      <c r="C1043" s="88" t="s">
        <v>10945</v>
      </c>
      <c r="D1043" s="156">
        <v>0.32</v>
      </c>
      <c r="E1043" s="174">
        <v>15.2</v>
      </c>
      <c r="F1043" s="174">
        <f>D1043*E1043</f>
        <v>4.8639999999999999</v>
      </c>
    </row>
    <row r="1044" spans="1:6" x14ac:dyDescent="0.2">
      <c r="A1044" s="65">
        <v>88267</v>
      </c>
      <c r="B1044" s="87" t="s">
        <v>11812</v>
      </c>
      <c r="C1044" s="88" t="s">
        <v>10945</v>
      </c>
      <c r="D1044" s="156">
        <v>0.32</v>
      </c>
      <c r="E1044" s="174">
        <v>19.64</v>
      </c>
      <c r="F1044" s="174">
        <f>D1044*E1044</f>
        <v>6.2848000000000006</v>
      </c>
    </row>
    <row r="1045" spans="1:6" x14ac:dyDescent="0.2">
      <c r="A1045" s="65"/>
      <c r="B1045" s="66"/>
      <c r="C1045" s="67"/>
      <c r="D1045" s="155"/>
      <c r="E1045" s="99"/>
      <c r="F1045" s="100"/>
    </row>
    <row r="1046" spans="1:6" x14ac:dyDescent="0.2">
      <c r="A1046" s="71"/>
      <c r="B1046" s="62"/>
      <c r="C1046" s="72"/>
      <c r="D1046" s="73" t="s">
        <v>31</v>
      </c>
      <c r="E1046" s="74"/>
      <c r="F1046" s="75">
        <f>F1043+F1044+F1045</f>
        <v>11.148800000000001</v>
      </c>
    </row>
    <row r="1047" spans="1:6" x14ac:dyDescent="0.2">
      <c r="A1047" s="71"/>
      <c r="B1047" s="62"/>
      <c r="C1047" s="72"/>
      <c r="D1047" s="76" t="s">
        <v>32</v>
      </c>
      <c r="E1047" s="77"/>
      <c r="F1047" s="78">
        <f>F1046*E1047</f>
        <v>0</v>
      </c>
    </row>
    <row r="1048" spans="1:6" x14ac:dyDescent="0.2">
      <c r="A1048" s="71"/>
      <c r="B1048" s="62"/>
      <c r="C1048" s="72"/>
      <c r="D1048" s="73" t="s">
        <v>33</v>
      </c>
      <c r="E1048" s="74"/>
      <c r="F1048" s="78">
        <f>SUM(F1046:F1047)</f>
        <v>11.148800000000001</v>
      </c>
    </row>
    <row r="1049" spans="1:6" x14ac:dyDescent="0.2">
      <c r="A1049" s="79"/>
      <c r="B1049" s="76"/>
      <c r="C1049" s="73"/>
      <c r="D1049" s="80" t="s">
        <v>34</v>
      </c>
      <c r="E1049" s="81"/>
      <c r="F1049" s="82">
        <f>F1048</f>
        <v>11.148800000000001</v>
      </c>
    </row>
    <row r="1050" spans="1:6" x14ac:dyDescent="0.2">
      <c r="A1050" s="79"/>
      <c r="B1050" s="76"/>
      <c r="C1050" s="73"/>
      <c r="D1050" s="83"/>
      <c r="E1050" s="84"/>
      <c r="F1050" s="85"/>
    </row>
    <row r="1051" spans="1:6" x14ac:dyDescent="0.2">
      <c r="A1051" s="746" t="s">
        <v>35</v>
      </c>
      <c r="B1051" s="747"/>
      <c r="C1051" s="747"/>
      <c r="D1051" s="747"/>
      <c r="E1051" s="747"/>
      <c r="F1051" s="748"/>
    </row>
    <row r="1052" spans="1:6" x14ac:dyDescent="0.2">
      <c r="A1052" s="64" t="s">
        <v>8</v>
      </c>
      <c r="B1052" s="64" t="s">
        <v>26</v>
      </c>
      <c r="C1052" s="64" t="s">
        <v>27</v>
      </c>
      <c r="D1052" s="64" t="s">
        <v>28</v>
      </c>
      <c r="E1052" s="64" t="s">
        <v>29</v>
      </c>
      <c r="F1052" s="64" t="s">
        <v>30</v>
      </c>
    </row>
    <row r="1053" spans="1:6" x14ac:dyDescent="0.2">
      <c r="A1053" s="65">
        <v>301</v>
      </c>
      <c r="B1053" s="66" t="s">
        <v>11826</v>
      </c>
      <c r="C1053" s="88" t="s">
        <v>18</v>
      </c>
      <c r="D1053" s="89">
        <v>2</v>
      </c>
      <c r="E1053" s="174">
        <v>2.5</v>
      </c>
      <c r="F1053" s="174">
        <f t="shared" ref="F1053:F1055" si="36">D1053*E1053</f>
        <v>5</v>
      </c>
    </row>
    <row r="1054" spans="1:6" x14ac:dyDescent="0.2">
      <c r="A1054" s="65">
        <v>3659</v>
      </c>
      <c r="B1054" s="66" t="s">
        <v>11824</v>
      </c>
      <c r="C1054" s="88" t="s">
        <v>18</v>
      </c>
      <c r="D1054" s="89">
        <v>1</v>
      </c>
      <c r="E1054" s="174">
        <v>10.19</v>
      </c>
      <c r="F1054" s="174">
        <f t="shared" si="36"/>
        <v>10.19</v>
      </c>
    </row>
    <row r="1055" spans="1:6" ht="22.5" x14ac:dyDescent="0.2">
      <c r="A1055" s="65">
        <v>20078</v>
      </c>
      <c r="B1055" s="216" t="s">
        <v>11825</v>
      </c>
      <c r="C1055" s="88" t="s">
        <v>18</v>
      </c>
      <c r="D1055" s="89">
        <v>9.1999999999999998E-2</v>
      </c>
      <c r="E1055" s="174">
        <v>19.84</v>
      </c>
      <c r="F1055" s="174">
        <f t="shared" si="36"/>
        <v>1.82528</v>
      </c>
    </row>
    <row r="1056" spans="1:6" x14ac:dyDescent="0.2">
      <c r="A1056" s="65"/>
      <c r="B1056" s="66"/>
      <c r="C1056" s="97"/>
      <c r="D1056" s="98"/>
      <c r="E1056" s="173"/>
      <c r="F1056" s="174"/>
    </row>
    <row r="1057" spans="1:6" x14ac:dyDescent="0.2">
      <c r="A1057" s="79"/>
      <c r="B1057" s="76"/>
      <c r="C1057" s="73"/>
      <c r="D1057" s="80" t="s">
        <v>36</v>
      </c>
      <c r="E1057" s="81"/>
      <c r="F1057" s="101">
        <f>SUM(F1053:F1056)</f>
        <v>17.015280000000001</v>
      </c>
    </row>
    <row r="1058" spans="1:6" x14ac:dyDescent="0.2">
      <c r="A1058" s="79"/>
      <c r="B1058" s="76"/>
      <c r="C1058" s="73"/>
      <c r="D1058" s="83"/>
      <c r="E1058" s="84"/>
      <c r="F1058" s="85"/>
    </row>
    <row r="1059" spans="1:6" x14ac:dyDescent="0.2">
      <c r="A1059" s="746" t="s">
        <v>37</v>
      </c>
      <c r="B1059" s="747"/>
      <c r="C1059" s="747"/>
      <c r="D1059" s="747"/>
      <c r="E1059" s="747"/>
      <c r="F1059" s="748"/>
    </row>
    <row r="1060" spans="1:6" x14ac:dyDescent="0.2">
      <c r="A1060" s="64" t="s">
        <v>8</v>
      </c>
      <c r="B1060" s="64" t="s">
        <v>26</v>
      </c>
      <c r="C1060" s="64" t="s">
        <v>27</v>
      </c>
      <c r="D1060" s="64" t="s">
        <v>28</v>
      </c>
      <c r="E1060" s="64" t="s">
        <v>29</v>
      </c>
      <c r="F1060" s="64" t="s">
        <v>30</v>
      </c>
    </row>
    <row r="1061" spans="1:6" x14ac:dyDescent="0.2">
      <c r="A1061" s="65"/>
      <c r="B1061" s="66"/>
      <c r="C1061" s="88"/>
      <c r="D1061" s="89"/>
      <c r="E1061" s="173"/>
      <c r="F1061" s="174"/>
    </row>
    <row r="1062" spans="1:6" x14ac:dyDescent="0.2">
      <c r="A1062" s="92"/>
      <c r="B1062" s="87"/>
      <c r="C1062" s="88"/>
      <c r="D1062" s="103"/>
      <c r="E1062" s="94"/>
      <c r="F1062" s="100"/>
    </row>
    <row r="1063" spans="1:6" x14ac:dyDescent="0.2">
      <c r="A1063" s="95"/>
      <c r="B1063" s="96"/>
      <c r="C1063" s="97"/>
      <c r="D1063" s="98"/>
      <c r="E1063" s="99"/>
      <c r="F1063" s="104"/>
    </row>
    <row r="1064" spans="1:6" x14ac:dyDescent="0.2">
      <c r="A1064" s="79"/>
      <c r="B1064" s="76"/>
      <c r="C1064" s="73"/>
      <c r="D1064" s="80" t="s">
        <v>38</v>
      </c>
      <c r="E1064" s="81"/>
      <c r="F1064" s="101">
        <f>ROUND(SUM(F1061:F1061),2)</f>
        <v>0</v>
      </c>
    </row>
    <row r="1065" spans="1:6" x14ac:dyDescent="0.2">
      <c r="A1065" s="79"/>
      <c r="B1065" s="76"/>
      <c r="C1065" s="73"/>
      <c r="D1065" s="83"/>
      <c r="E1065" s="84"/>
      <c r="F1065" s="85"/>
    </row>
    <row r="1066" spans="1:6" x14ac:dyDescent="0.2">
      <c r="A1066" s="749" t="s">
        <v>39</v>
      </c>
      <c r="B1066" s="750"/>
      <c r="C1066" s="750"/>
      <c r="D1066" s="750"/>
      <c r="E1066" s="751"/>
      <c r="F1066" s="105">
        <f>ROUND(F1049+F1057+F1064,2)</f>
        <v>28.16</v>
      </c>
    </row>
    <row r="1067" spans="1:6" ht="15.75" x14ac:dyDescent="0.2">
      <c r="A1067" s="587" t="s">
        <v>8</v>
      </c>
      <c r="B1067" s="743" t="s">
        <v>23</v>
      </c>
      <c r="C1067" s="743"/>
      <c r="D1067" s="743"/>
      <c r="E1067" s="743"/>
      <c r="F1067" s="588" t="s">
        <v>24</v>
      </c>
    </row>
    <row r="1068" spans="1:6" ht="15" customHeight="1" x14ac:dyDescent="0.2">
      <c r="A1068" s="63" t="s">
        <v>11970</v>
      </c>
      <c r="B1068" s="744" t="str">
        <f>PO!D228</f>
        <v>Terminal de ventilacao, 50 mm, serie normal, esgoto predial - fornecimento e instalação.</v>
      </c>
      <c r="C1068" s="744"/>
      <c r="D1068" s="744"/>
      <c r="E1068" s="744"/>
      <c r="F1068" s="107" t="str">
        <f>PO!E228</f>
        <v>und</v>
      </c>
    </row>
    <row r="1069" spans="1:6" x14ac:dyDescent="0.2">
      <c r="A1069" s="745" t="s">
        <v>25</v>
      </c>
      <c r="B1069" s="745"/>
      <c r="C1069" s="745"/>
      <c r="D1069" s="745"/>
      <c r="E1069" s="745"/>
      <c r="F1069" s="745"/>
    </row>
    <row r="1070" spans="1:6" x14ac:dyDescent="0.2">
      <c r="A1070" s="64" t="s">
        <v>8</v>
      </c>
      <c r="B1070" s="64" t="s">
        <v>26</v>
      </c>
      <c r="C1070" s="64" t="s">
        <v>27</v>
      </c>
      <c r="D1070" s="64" t="s">
        <v>28</v>
      </c>
      <c r="E1070" s="64" t="s">
        <v>29</v>
      </c>
      <c r="F1070" s="64" t="s">
        <v>30</v>
      </c>
    </row>
    <row r="1071" spans="1:6" ht="22.5" x14ac:dyDescent="0.2">
      <c r="A1071" s="65">
        <v>88248</v>
      </c>
      <c r="B1071" s="87" t="s">
        <v>11811</v>
      </c>
      <c r="C1071" s="88" t="s">
        <v>10945</v>
      </c>
      <c r="D1071" s="156">
        <v>7.0000000000000007E-2</v>
      </c>
      <c r="E1071" s="174">
        <v>15.2</v>
      </c>
      <c r="F1071" s="174">
        <f>D1071*E1071</f>
        <v>1.0640000000000001</v>
      </c>
    </row>
    <row r="1072" spans="1:6" x14ac:dyDescent="0.2">
      <c r="A1072" s="65">
        <v>88267</v>
      </c>
      <c r="B1072" s="87" t="s">
        <v>11812</v>
      </c>
      <c r="C1072" s="88" t="s">
        <v>10945</v>
      </c>
      <c r="D1072" s="156">
        <v>7.0000000000000007E-2</v>
      </c>
      <c r="E1072" s="174">
        <v>19.64</v>
      </c>
      <c r="F1072" s="174">
        <f>D1072*E1072</f>
        <v>1.3748000000000002</v>
      </c>
    </row>
    <row r="1073" spans="1:6" x14ac:dyDescent="0.2">
      <c r="A1073" s="65"/>
      <c r="B1073" s="66"/>
      <c r="C1073" s="67"/>
      <c r="D1073" s="155"/>
      <c r="E1073" s="99"/>
      <c r="F1073" s="100"/>
    </row>
    <row r="1074" spans="1:6" x14ac:dyDescent="0.2">
      <c r="A1074" s="71"/>
      <c r="B1074" s="62"/>
      <c r="C1074" s="72"/>
      <c r="D1074" s="73" t="s">
        <v>31</v>
      </c>
      <c r="E1074" s="74"/>
      <c r="F1074" s="75">
        <f>F1071+F1072+F1073</f>
        <v>2.4388000000000005</v>
      </c>
    </row>
    <row r="1075" spans="1:6" x14ac:dyDescent="0.2">
      <c r="A1075" s="71"/>
      <c r="B1075" s="62"/>
      <c r="C1075" s="72"/>
      <c r="D1075" s="76" t="s">
        <v>32</v>
      </c>
      <c r="E1075" s="77"/>
      <c r="F1075" s="78">
        <f>F1074*E1075</f>
        <v>0</v>
      </c>
    </row>
    <row r="1076" spans="1:6" x14ac:dyDescent="0.2">
      <c r="A1076" s="71"/>
      <c r="B1076" s="62"/>
      <c r="C1076" s="72"/>
      <c r="D1076" s="73" t="s">
        <v>33</v>
      </c>
      <c r="E1076" s="74"/>
      <c r="F1076" s="78">
        <f>SUM(F1074:F1075)</f>
        <v>2.4388000000000005</v>
      </c>
    </row>
    <row r="1077" spans="1:6" x14ac:dyDescent="0.2">
      <c r="A1077" s="79"/>
      <c r="B1077" s="76"/>
      <c r="C1077" s="73"/>
      <c r="D1077" s="80" t="s">
        <v>34</v>
      </c>
      <c r="E1077" s="81"/>
      <c r="F1077" s="82">
        <f>F1076</f>
        <v>2.4388000000000005</v>
      </c>
    </row>
    <row r="1078" spans="1:6" x14ac:dyDescent="0.2">
      <c r="A1078" s="79"/>
      <c r="B1078" s="76"/>
      <c r="C1078" s="73"/>
      <c r="D1078" s="83"/>
      <c r="E1078" s="84"/>
      <c r="F1078" s="85"/>
    </row>
    <row r="1079" spans="1:6" x14ac:dyDescent="0.2">
      <c r="A1079" s="746" t="s">
        <v>35</v>
      </c>
      <c r="B1079" s="747"/>
      <c r="C1079" s="747"/>
      <c r="D1079" s="747"/>
      <c r="E1079" s="747"/>
      <c r="F1079" s="748"/>
    </row>
    <row r="1080" spans="1:6" x14ac:dyDescent="0.2">
      <c r="A1080" s="64" t="s">
        <v>8</v>
      </c>
      <c r="B1080" s="64" t="s">
        <v>26</v>
      </c>
      <c r="C1080" s="64" t="s">
        <v>27</v>
      </c>
      <c r="D1080" s="64" t="s">
        <v>28</v>
      </c>
      <c r="E1080" s="64" t="s">
        <v>29</v>
      </c>
      <c r="F1080" s="64" t="s">
        <v>30</v>
      </c>
    </row>
    <row r="1081" spans="1:6" x14ac:dyDescent="0.2">
      <c r="A1081" s="65">
        <v>122</v>
      </c>
      <c r="B1081" s="66" t="s">
        <v>11813</v>
      </c>
      <c r="C1081" s="88" t="s">
        <v>10884</v>
      </c>
      <c r="D1081" s="89">
        <v>7.0000000000000001E-3</v>
      </c>
      <c r="E1081" s="174">
        <v>54.2</v>
      </c>
      <c r="F1081" s="174">
        <f>D1081*E1081</f>
        <v>0.37940000000000002</v>
      </c>
    </row>
    <row r="1082" spans="1:6" x14ac:dyDescent="0.2">
      <c r="A1082" s="65">
        <v>20083</v>
      </c>
      <c r="B1082" s="87" t="s">
        <v>11241</v>
      </c>
      <c r="C1082" s="88" t="s">
        <v>10884</v>
      </c>
      <c r="D1082" s="89">
        <v>5.0000000000000001E-3</v>
      </c>
      <c r="E1082" s="174">
        <v>47.06</v>
      </c>
      <c r="F1082" s="174">
        <f t="shared" ref="F1082:F1083" si="37">D1082*E1082</f>
        <v>0.23530000000000001</v>
      </c>
    </row>
    <row r="1083" spans="1:6" x14ac:dyDescent="0.2">
      <c r="A1083" s="65">
        <v>39319</v>
      </c>
      <c r="B1083" s="87" t="s">
        <v>11242</v>
      </c>
      <c r="C1083" s="88" t="s">
        <v>10884</v>
      </c>
      <c r="D1083" s="89">
        <v>1.0149999999999999</v>
      </c>
      <c r="E1083" s="174">
        <v>4.3</v>
      </c>
      <c r="F1083" s="174">
        <f t="shared" si="37"/>
        <v>4.3644999999999996</v>
      </c>
    </row>
    <row r="1084" spans="1:6" x14ac:dyDescent="0.2">
      <c r="A1084" s="79"/>
      <c r="B1084" s="76"/>
      <c r="C1084" s="73"/>
      <c r="D1084" s="80" t="s">
        <v>36</v>
      </c>
      <c r="E1084" s="81"/>
      <c r="F1084" s="101">
        <f>SUM(F1081:F1083)</f>
        <v>4.9791999999999996</v>
      </c>
    </row>
    <row r="1085" spans="1:6" x14ac:dyDescent="0.2">
      <c r="A1085" s="79"/>
      <c r="B1085" s="76"/>
      <c r="C1085" s="73"/>
      <c r="D1085" s="83"/>
      <c r="E1085" s="84"/>
      <c r="F1085" s="85"/>
    </row>
    <row r="1086" spans="1:6" x14ac:dyDescent="0.2">
      <c r="A1086" s="746" t="s">
        <v>37</v>
      </c>
      <c r="B1086" s="747"/>
      <c r="C1086" s="747"/>
      <c r="D1086" s="747"/>
      <c r="E1086" s="747"/>
      <c r="F1086" s="748"/>
    </row>
    <row r="1087" spans="1:6" x14ac:dyDescent="0.2">
      <c r="A1087" s="64" t="s">
        <v>8</v>
      </c>
      <c r="B1087" s="64" t="s">
        <v>26</v>
      </c>
      <c r="C1087" s="64" t="s">
        <v>27</v>
      </c>
      <c r="D1087" s="64" t="s">
        <v>28</v>
      </c>
      <c r="E1087" s="64" t="s">
        <v>29</v>
      </c>
      <c r="F1087" s="64" t="s">
        <v>30</v>
      </c>
    </row>
    <row r="1088" spans="1:6" x14ac:dyDescent="0.2">
      <c r="A1088" s="65"/>
      <c r="B1088" s="66"/>
      <c r="C1088" s="88"/>
      <c r="D1088" s="89"/>
      <c r="E1088" s="173"/>
      <c r="F1088" s="174"/>
    </row>
    <row r="1089" spans="1:6" x14ac:dyDescent="0.2">
      <c r="A1089" s="92"/>
      <c r="B1089" s="87"/>
      <c r="C1089" s="88"/>
      <c r="D1089" s="103"/>
      <c r="E1089" s="94"/>
      <c r="F1089" s="100"/>
    </row>
    <row r="1090" spans="1:6" x14ac:dyDescent="0.2">
      <c r="A1090" s="95"/>
      <c r="B1090" s="96"/>
      <c r="C1090" s="97"/>
      <c r="D1090" s="98"/>
      <c r="E1090" s="99"/>
      <c r="F1090" s="104"/>
    </row>
    <row r="1091" spans="1:6" x14ac:dyDescent="0.2">
      <c r="A1091" s="79"/>
      <c r="B1091" s="76"/>
      <c r="C1091" s="73"/>
      <c r="D1091" s="80" t="s">
        <v>38</v>
      </c>
      <c r="E1091" s="81"/>
      <c r="F1091" s="101">
        <f>ROUND(SUM(F1088:F1088),2)</f>
        <v>0</v>
      </c>
    </row>
    <row r="1092" spans="1:6" x14ac:dyDescent="0.2">
      <c r="A1092" s="79"/>
      <c r="B1092" s="76"/>
      <c r="C1092" s="73"/>
      <c r="D1092" s="83"/>
      <c r="E1092" s="84"/>
      <c r="F1092" s="85"/>
    </row>
    <row r="1093" spans="1:6" x14ac:dyDescent="0.2">
      <c r="A1093" s="749" t="s">
        <v>39</v>
      </c>
      <c r="B1093" s="750"/>
      <c r="C1093" s="750"/>
      <c r="D1093" s="750"/>
      <c r="E1093" s="751"/>
      <c r="F1093" s="105">
        <f>ROUND(F1077+F1084+F1091,2)</f>
        <v>7.42</v>
      </c>
    </row>
    <row r="1094" spans="1:6" ht="15.75" x14ac:dyDescent="0.2">
      <c r="A1094" s="587" t="s">
        <v>8</v>
      </c>
      <c r="B1094" s="743" t="s">
        <v>23</v>
      </c>
      <c r="C1094" s="743"/>
      <c r="D1094" s="743"/>
      <c r="E1094" s="743"/>
      <c r="F1094" s="588" t="s">
        <v>24</v>
      </c>
    </row>
    <row r="1095" spans="1:6" ht="15" customHeight="1" x14ac:dyDescent="0.2">
      <c r="A1095" s="63" t="s">
        <v>11973</v>
      </c>
      <c r="B1095" s="744" t="str">
        <f>PO!D234</f>
        <v xml:space="preserve">Registro de gaveta bruto, latão, roscável,Ø 25 mm - 1", com acabamento e canopla cromados. Fornecido e instalado em ramal de água. </v>
      </c>
      <c r="C1095" s="744"/>
      <c r="D1095" s="744"/>
      <c r="E1095" s="744"/>
      <c r="F1095" s="107" t="str">
        <f>PO!E234</f>
        <v>und</v>
      </c>
    </row>
    <row r="1096" spans="1:6" x14ac:dyDescent="0.2">
      <c r="A1096" s="745" t="s">
        <v>25</v>
      </c>
      <c r="B1096" s="745"/>
      <c r="C1096" s="745"/>
      <c r="D1096" s="745"/>
      <c r="E1096" s="745"/>
      <c r="F1096" s="745"/>
    </row>
    <row r="1097" spans="1:6" x14ac:dyDescent="0.2">
      <c r="A1097" s="64" t="s">
        <v>8</v>
      </c>
      <c r="B1097" s="64" t="s">
        <v>26</v>
      </c>
      <c r="C1097" s="64" t="s">
        <v>27</v>
      </c>
      <c r="D1097" s="64" t="s">
        <v>28</v>
      </c>
      <c r="E1097" s="64" t="s">
        <v>29</v>
      </c>
      <c r="F1097" s="64" t="s">
        <v>30</v>
      </c>
    </row>
    <row r="1098" spans="1:6" ht="22.5" x14ac:dyDescent="0.2">
      <c r="A1098" s="65">
        <v>88248</v>
      </c>
      <c r="B1098" s="87" t="s">
        <v>11811</v>
      </c>
      <c r="C1098" s="88" t="s">
        <v>10945</v>
      </c>
      <c r="D1098" s="156">
        <v>0.23</v>
      </c>
      <c r="E1098" s="174">
        <v>15.2</v>
      </c>
      <c r="F1098" s="174">
        <f>D1098*E1098</f>
        <v>3.496</v>
      </c>
    </row>
    <row r="1099" spans="1:6" x14ac:dyDescent="0.2">
      <c r="A1099" s="65">
        <v>88267</v>
      </c>
      <c r="B1099" s="87" t="s">
        <v>11812</v>
      </c>
      <c r="C1099" s="88" t="s">
        <v>10945</v>
      </c>
      <c r="D1099" s="156">
        <v>0.3</v>
      </c>
      <c r="E1099" s="174">
        <v>19.64</v>
      </c>
      <c r="F1099" s="174">
        <f>D1099*E1099</f>
        <v>5.8920000000000003</v>
      </c>
    </row>
    <row r="1100" spans="1:6" x14ac:dyDescent="0.2">
      <c r="A1100" s="65"/>
      <c r="B1100" s="66"/>
      <c r="C1100" s="67"/>
      <c r="D1100" s="155"/>
      <c r="E1100" s="99"/>
      <c r="F1100" s="100"/>
    </row>
    <row r="1101" spans="1:6" x14ac:dyDescent="0.2">
      <c r="A1101" s="71"/>
      <c r="B1101" s="62"/>
      <c r="C1101" s="72"/>
      <c r="D1101" s="73" t="s">
        <v>31</v>
      </c>
      <c r="E1101" s="74"/>
      <c r="F1101" s="75">
        <f>F1098+F1099+F1100</f>
        <v>9.3879999999999999</v>
      </c>
    </row>
    <row r="1102" spans="1:6" x14ac:dyDescent="0.2">
      <c r="A1102" s="71"/>
      <c r="B1102" s="62"/>
      <c r="C1102" s="72"/>
      <c r="D1102" s="76" t="s">
        <v>32</v>
      </c>
      <c r="E1102" s="77"/>
      <c r="F1102" s="78">
        <f>F1101*E1102</f>
        <v>0</v>
      </c>
    </row>
    <row r="1103" spans="1:6" x14ac:dyDescent="0.2">
      <c r="A1103" s="71"/>
      <c r="B1103" s="62"/>
      <c r="C1103" s="72"/>
      <c r="D1103" s="73" t="s">
        <v>33</v>
      </c>
      <c r="E1103" s="74"/>
      <c r="F1103" s="78">
        <f>SUM(F1101:F1102)</f>
        <v>9.3879999999999999</v>
      </c>
    </row>
    <row r="1104" spans="1:6" x14ac:dyDescent="0.2">
      <c r="A1104" s="79"/>
      <c r="B1104" s="76"/>
      <c r="C1104" s="73"/>
      <c r="D1104" s="80" t="s">
        <v>34</v>
      </c>
      <c r="E1104" s="81"/>
      <c r="F1104" s="82">
        <f>F1103</f>
        <v>9.3879999999999999</v>
      </c>
    </row>
    <row r="1105" spans="1:6" x14ac:dyDescent="0.2">
      <c r="A1105" s="79"/>
      <c r="B1105" s="76"/>
      <c r="C1105" s="73"/>
      <c r="D1105" s="83"/>
      <c r="E1105" s="84"/>
      <c r="F1105" s="85"/>
    </row>
    <row r="1106" spans="1:6" x14ac:dyDescent="0.2">
      <c r="A1106" s="746" t="s">
        <v>35</v>
      </c>
      <c r="B1106" s="747"/>
      <c r="C1106" s="747"/>
      <c r="D1106" s="747"/>
      <c r="E1106" s="747"/>
      <c r="F1106" s="748"/>
    </row>
    <row r="1107" spans="1:6" x14ac:dyDescent="0.2">
      <c r="A1107" s="64" t="s">
        <v>8</v>
      </c>
      <c r="B1107" s="64" t="s">
        <v>26</v>
      </c>
      <c r="C1107" s="64" t="s">
        <v>27</v>
      </c>
      <c r="D1107" s="64" t="s">
        <v>28</v>
      </c>
      <c r="E1107" s="64" t="s">
        <v>29</v>
      </c>
      <c r="F1107" s="64" t="s">
        <v>30</v>
      </c>
    </row>
    <row r="1108" spans="1:6" x14ac:dyDescent="0.2">
      <c r="A1108" s="65">
        <v>3148</v>
      </c>
      <c r="B1108" s="66" t="s">
        <v>11818</v>
      </c>
      <c r="C1108" s="88" t="s">
        <v>18</v>
      </c>
      <c r="D1108" s="89">
        <v>1.2999999999999999E-2</v>
      </c>
      <c r="E1108" s="174">
        <v>15.54</v>
      </c>
      <c r="F1108" s="174">
        <f t="shared" ref="F1108:F1110" si="38">D1108*E1108</f>
        <v>0.20201999999999998</v>
      </c>
    </row>
    <row r="1109" spans="1:6" x14ac:dyDescent="0.2">
      <c r="A1109" s="65">
        <v>20083</v>
      </c>
      <c r="B1109" s="87" t="s">
        <v>11241</v>
      </c>
      <c r="C1109" s="88" t="s">
        <v>10884</v>
      </c>
      <c r="D1109" s="89">
        <v>5.0000000000000001E-3</v>
      </c>
      <c r="E1109" s="174">
        <v>47.06</v>
      </c>
      <c r="F1109" s="174">
        <f t="shared" si="38"/>
        <v>0.23530000000000001</v>
      </c>
    </row>
    <row r="1110" spans="1:6" ht="22.5" x14ac:dyDescent="0.2">
      <c r="A1110" s="65">
        <v>6013</v>
      </c>
      <c r="B1110" s="216" t="s">
        <v>9624</v>
      </c>
      <c r="C1110" s="88" t="s">
        <v>10884</v>
      </c>
      <c r="D1110" s="98">
        <v>1</v>
      </c>
      <c r="E1110" s="173">
        <v>58.76</v>
      </c>
      <c r="F1110" s="174">
        <f t="shared" si="38"/>
        <v>58.76</v>
      </c>
    </row>
    <row r="1111" spans="1:6" x14ac:dyDescent="0.2">
      <c r="A1111" s="79"/>
      <c r="B1111" s="76"/>
      <c r="C1111" s="73"/>
      <c r="D1111" s="80" t="s">
        <v>36</v>
      </c>
      <c r="E1111" s="81"/>
      <c r="F1111" s="101">
        <f>SUM(F1108:F1110)</f>
        <v>59.197319999999998</v>
      </c>
    </row>
    <row r="1112" spans="1:6" x14ac:dyDescent="0.2">
      <c r="A1112" s="79"/>
      <c r="B1112" s="76"/>
      <c r="C1112" s="73"/>
      <c r="D1112" s="83"/>
      <c r="E1112" s="84"/>
      <c r="F1112" s="85"/>
    </row>
    <row r="1113" spans="1:6" x14ac:dyDescent="0.2">
      <c r="A1113" s="746" t="s">
        <v>37</v>
      </c>
      <c r="B1113" s="747"/>
      <c r="C1113" s="747"/>
      <c r="D1113" s="747"/>
      <c r="E1113" s="747"/>
      <c r="F1113" s="748"/>
    </row>
    <row r="1114" spans="1:6" x14ac:dyDescent="0.2">
      <c r="A1114" s="64" t="s">
        <v>8</v>
      </c>
      <c r="B1114" s="64" t="s">
        <v>26</v>
      </c>
      <c r="C1114" s="64" t="s">
        <v>27</v>
      </c>
      <c r="D1114" s="64" t="s">
        <v>28</v>
      </c>
      <c r="E1114" s="64" t="s">
        <v>29</v>
      </c>
      <c r="F1114" s="64" t="s">
        <v>30</v>
      </c>
    </row>
    <row r="1115" spans="1:6" x14ac:dyDescent="0.2">
      <c r="A1115" s="65"/>
      <c r="B1115" s="66"/>
      <c r="C1115" s="88"/>
      <c r="D1115" s="89"/>
      <c r="E1115" s="173"/>
      <c r="F1115" s="174"/>
    </row>
    <row r="1116" spans="1:6" x14ac:dyDescent="0.2">
      <c r="A1116" s="92"/>
      <c r="B1116" s="87"/>
      <c r="C1116" s="88"/>
      <c r="D1116" s="103"/>
      <c r="E1116" s="94"/>
      <c r="F1116" s="100"/>
    </row>
    <row r="1117" spans="1:6" x14ac:dyDescent="0.2">
      <c r="A1117" s="95"/>
      <c r="B1117" s="96"/>
      <c r="C1117" s="97"/>
      <c r="D1117" s="98"/>
      <c r="E1117" s="99"/>
      <c r="F1117" s="104"/>
    </row>
    <row r="1118" spans="1:6" x14ac:dyDescent="0.2">
      <c r="A1118" s="79"/>
      <c r="B1118" s="76"/>
      <c r="C1118" s="73"/>
      <c r="D1118" s="80" t="s">
        <v>38</v>
      </c>
      <c r="E1118" s="81"/>
      <c r="F1118" s="101">
        <f>ROUND(SUM(F1115:F1115),2)</f>
        <v>0</v>
      </c>
    </row>
    <row r="1119" spans="1:6" x14ac:dyDescent="0.2">
      <c r="A1119" s="79"/>
      <c r="B1119" s="76"/>
      <c r="C1119" s="73"/>
      <c r="D1119" s="83"/>
      <c r="E1119" s="84"/>
      <c r="F1119" s="85"/>
    </row>
    <row r="1120" spans="1:6" x14ac:dyDescent="0.2">
      <c r="A1120" s="749" t="s">
        <v>39</v>
      </c>
      <c r="B1120" s="750"/>
      <c r="C1120" s="750"/>
      <c r="D1120" s="750"/>
      <c r="E1120" s="751"/>
      <c r="F1120" s="105">
        <f>ROUND(F1104+F1111+F1118,2)</f>
        <v>68.59</v>
      </c>
    </row>
    <row r="1121" spans="1:6" ht="15.75" x14ac:dyDescent="0.2">
      <c r="A1121" s="587" t="s">
        <v>8</v>
      </c>
      <c r="B1121" s="743" t="s">
        <v>23</v>
      </c>
      <c r="C1121" s="743"/>
      <c r="D1121" s="743"/>
      <c r="E1121" s="743"/>
      <c r="F1121" s="588" t="s">
        <v>24</v>
      </c>
    </row>
    <row r="1122" spans="1:6" ht="15" x14ac:dyDescent="0.2">
      <c r="A1122" s="63" t="s">
        <v>11974</v>
      </c>
      <c r="B1122" s="744" t="str">
        <f>PO!D242</f>
        <v>Ducha manual - fornecimento e instalação.</v>
      </c>
      <c r="C1122" s="744"/>
      <c r="D1122" s="744"/>
      <c r="E1122" s="744"/>
      <c r="F1122" s="107" t="str">
        <f>PO!E242</f>
        <v>und</v>
      </c>
    </row>
    <row r="1123" spans="1:6" x14ac:dyDescent="0.2">
      <c r="A1123" s="745" t="s">
        <v>25</v>
      </c>
      <c r="B1123" s="745"/>
      <c r="C1123" s="745"/>
      <c r="D1123" s="745"/>
      <c r="E1123" s="745"/>
      <c r="F1123" s="745"/>
    </row>
    <row r="1124" spans="1:6" x14ac:dyDescent="0.2">
      <c r="A1124" s="64" t="s">
        <v>8</v>
      </c>
      <c r="B1124" s="64" t="s">
        <v>26</v>
      </c>
      <c r="C1124" s="64" t="s">
        <v>27</v>
      </c>
      <c r="D1124" s="64" t="s">
        <v>28</v>
      </c>
      <c r="E1124" s="64" t="s">
        <v>29</v>
      </c>
      <c r="F1124" s="64" t="s">
        <v>30</v>
      </c>
    </row>
    <row r="1125" spans="1:6" x14ac:dyDescent="0.2">
      <c r="A1125" s="65">
        <v>88248</v>
      </c>
      <c r="B1125" s="66" t="s">
        <v>11676</v>
      </c>
      <c r="C1125" s="67" t="s">
        <v>10945</v>
      </c>
      <c r="D1125" s="265">
        <v>0.5</v>
      </c>
      <c r="E1125" s="174">
        <v>15.2</v>
      </c>
      <c r="F1125" s="174">
        <f>D1125*E1125</f>
        <v>7.6</v>
      </c>
    </row>
    <row r="1126" spans="1:6" x14ac:dyDescent="0.2">
      <c r="A1126" s="65">
        <v>88267</v>
      </c>
      <c r="B1126" s="87" t="s">
        <v>11812</v>
      </c>
      <c r="C1126" s="67" t="s">
        <v>10945</v>
      </c>
      <c r="D1126" s="265">
        <v>0.5</v>
      </c>
      <c r="E1126" s="174">
        <v>19.64</v>
      </c>
      <c r="F1126" s="174">
        <f>D1126*E1126</f>
        <v>9.82</v>
      </c>
    </row>
    <row r="1127" spans="1:6" x14ac:dyDescent="0.2">
      <c r="A1127" s="65"/>
      <c r="B1127" s="66"/>
      <c r="C1127" s="67"/>
      <c r="D1127" s="155"/>
      <c r="E1127" s="99"/>
      <c r="F1127" s="100"/>
    </row>
    <row r="1128" spans="1:6" x14ac:dyDescent="0.2">
      <c r="A1128" s="71"/>
      <c r="B1128" s="62"/>
      <c r="C1128" s="72"/>
      <c r="D1128" s="73" t="s">
        <v>31</v>
      </c>
      <c r="E1128" s="74"/>
      <c r="F1128" s="75">
        <f>F1125+F1126+F1127</f>
        <v>17.420000000000002</v>
      </c>
    </row>
    <row r="1129" spans="1:6" x14ac:dyDescent="0.2">
      <c r="A1129" s="71"/>
      <c r="B1129" s="62"/>
      <c r="C1129" s="72"/>
      <c r="D1129" s="76" t="s">
        <v>32</v>
      </c>
      <c r="E1129" s="77"/>
      <c r="F1129" s="78">
        <f>F1128*E1129</f>
        <v>0</v>
      </c>
    </row>
    <row r="1130" spans="1:6" x14ac:dyDescent="0.2">
      <c r="A1130" s="71"/>
      <c r="B1130" s="62"/>
      <c r="C1130" s="72"/>
      <c r="D1130" s="73" t="s">
        <v>33</v>
      </c>
      <c r="E1130" s="74"/>
      <c r="F1130" s="78">
        <f>SUM(F1128:F1129)</f>
        <v>17.420000000000002</v>
      </c>
    </row>
    <row r="1131" spans="1:6" x14ac:dyDescent="0.2">
      <c r="A1131" s="79"/>
      <c r="B1131" s="76"/>
      <c r="C1131" s="73"/>
      <c r="D1131" s="80" t="s">
        <v>34</v>
      </c>
      <c r="E1131" s="81"/>
      <c r="F1131" s="82">
        <f>F1130</f>
        <v>17.420000000000002</v>
      </c>
    </row>
    <row r="1132" spans="1:6" x14ac:dyDescent="0.2">
      <c r="A1132" s="79"/>
      <c r="B1132" s="76"/>
      <c r="C1132" s="73"/>
      <c r="D1132" s="83"/>
      <c r="E1132" s="84"/>
      <c r="F1132" s="85"/>
    </row>
    <row r="1133" spans="1:6" x14ac:dyDescent="0.2">
      <c r="A1133" s="746" t="s">
        <v>35</v>
      </c>
      <c r="B1133" s="747"/>
      <c r="C1133" s="747"/>
      <c r="D1133" s="747"/>
      <c r="E1133" s="747"/>
      <c r="F1133" s="748"/>
    </row>
    <row r="1134" spans="1:6" x14ac:dyDescent="0.2">
      <c r="A1134" s="64" t="s">
        <v>8</v>
      </c>
      <c r="B1134" s="64" t="s">
        <v>26</v>
      </c>
      <c r="C1134" s="64" t="s">
        <v>27</v>
      </c>
      <c r="D1134" s="64" t="s">
        <v>28</v>
      </c>
      <c r="E1134" s="64" t="s">
        <v>29</v>
      </c>
      <c r="F1134" s="64" t="s">
        <v>30</v>
      </c>
    </row>
    <row r="1135" spans="1:6" x14ac:dyDescent="0.2">
      <c r="A1135" s="65">
        <v>1370</v>
      </c>
      <c r="B1135" s="66" t="s">
        <v>11677</v>
      </c>
      <c r="C1135" s="67" t="s">
        <v>10884</v>
      </c>
      <c r="D1135" s="238">
        <v>1</v>
      </c>
      <c r="E1135" s="174">
        <v>85.79</v>
      </c>
      <c r="F1135" s="174">
        <f>D1135*E1135</f>
        <v>85.79</v>
      </c>
    </row>
    <row r="1136" spans="1:6" x14ac:dyDescent="0.2">
      <c r="A1136" s="65"/>
      <c r="B1136" s="216"/>
      <c r="C1136" s="113"/>
      <c r="D1136" s="265"/>
      <c r="E1136" s="174"/>
      <c r="F1136" s="174"/>
    </row>
    <row r="1137" spans="1:6" x14ac:dyDescent="0.2">
      <c r="A1137" s="65"/>
      <c r="B1137" s="87"/>
      <c r="C1137" s="88"/>
      <c r="D1137" s="89"/>
      <c r="E1137" s="174"/>
      <c r="F1137" s="174"/>
    </row>
    <row r="1138" spans="1:6" x14ac:dyDescent="0.2">
      <c r="A1138" s="79"/>
      <c r="B1138" s="76"/>
      <c r="C1138" s="73"/>
      <c r="D1138" s="80" t="s">
        <v>36</v>
      </c>
      <c r="E1138" s="81"/>
      <c r="F1138" s="101">
        <f>SUM(F1135:F1137)</f>
        <v>85.79</v>
      </c>
    </row>
    <row r="1139" spans="1:6" x14ac:dyDescent="0.2">
      <c r="A1139" s="79"/>
      <c r="B1139" s="76"/>
      <c r="C1139" s="73"/>
      <c r="D1139" s="83"/>
      <c r="E1139" s="84"/>
      <c r="F1139" s="85"/>
    </row>
    <row r="1140" spans="1:6" x14ac:dyDescent="0.2">
      <c r="A1140" s="746" t="s">
        <v>37</v>
      </c>
      <c r="B1140" s="747"/>
      <c r="C1140" s="747"/>
      <c r="D1140" s="747"/>
      <c r="E1140" s="747"/>
      <c r="F1140" s="748"/>
    </row>
    <row r="1141" spans="1:6" x14ac:dyDescent="0.2">
      <c r="A1141" s="64" t="s">
        <v>8</v>
      </c>
      <c r="B1141" s="64" t="s">
        <v>26</v>
      </c>
      <c r="C1141" s="64" t="s">
        <v>27</v>
      </c>
      <c r="D1141" s="64" t="s">
        <v>28</v>
      </c>
      <c r="E1141" s="64" t="s">
        <v>29</v>
      </c>
      <c r="F1141" s="64" t="s">
        <v>30</v>
      </c>
    </row>
    <row r="1142" spans="1:6" x14ac:dyDescent="0.2">
      <c r="A1142" s="65"/>
      <c r="B1142" s="66"/>
      <c r="C1142" s="88"/>
      <c r="D1142" s="89"/>
      <c r="E1142" s="173"/>
      <c r="F1142" s="174"/>
    </row>
    <row r="1143" spans="1:6" x14ac:dyDescent="0.2">
      <c r="A1143" s="92"/>
      <c r="B1143" s="87"/>
      <c r="C1143" s="88"/>
      <c r="D1143" s="103"/>
      <c r="E1143" s="94"/>
      <c r="F1143" s="100"/>
    </row>
    <row r="1144" spans="1:6" x14ac:dyDescent="0.2">
      <c r="A1144" s="95"/>
      <c r="B1144" s="96"/>
      <c r="C1144" s="97"/>
      <c r="D1144" s="98"/>
      <c r="E1144" s="99"/>
      <c r="F1144" s="104"/>
    </row>
    <row r="1145" spans="1:6" x14ac:dyDescent="0.2">
      <c r="A1145" s="79"/>
      <c r="B1145" s="76"/>
      <c r="C1145" s="73"/>
      <c r="D1145" s="80" t="s">
        <v>38</v>
      </c>
      <c r="E1145" s="81"/>
      <c r="F1145" s="101">
        <f>ROUND(SUM(F1142:F1142),2)</f>
        <v>0</v>
      </c>
    </row>
    <row r="1146" spans="1:6" x14ac:dyDescent="0.2">
      <c r="A1146" s="79"/>
      <c r="B1146" s="76"/>
      <c r="C1146" s="73"/>
      <c r="D1146" s="83"/>
      <c r="E1146" s="84"/>
      <c r="F1146" s="85"/>
    </row>
    <row r="1147" spans="1:6" x14ac:dyDescent="0.2">
      <c r="A1147" s="749" t="s">
        <v>39</v>
      </c>
      <c r="B1147" s="750"/>
      <c r="C1147" s="750"/>
      <c r="D1147" s="750"/>
      <c r="E1147" s="751"/>
      <c r="F1147" s="105">
        <f>ROUND(F1131+F1138+F1145,2)</f>
        <v>103.21</v>
      </c>
    </row>
    <row r="1148" spans="1:6" ht="15.75" x14ac:dyDescent="0.2">
      <c r="A1148" s="587" t="s">
        <v>8</v>
      </c>
      <c r="B1148" s="743" t="s">
        <v>23</v>
      </c>
      <c r="C1148" s="743"/>
      <c r="D1148" s="743"/>
      <c r="E1148" s="743"/>
      <c r="F1148" s="588" t="s">
        <v>11771</v>
      </c>
    </row>
    <row r="1149" spans="1:6" ht="15" customHeight="1" x14ac:dyDescent="0.2">
      <c r="A1149" s="63" t="s">
        <v>11187</v>
      </c>
      <c r="B1149" s="744" t="str">
        <f>PO!D244</f>
        <v>Chuveiro comum corpo plástico tipo ducha, fornecimento e instalação.</v>
      </c>
      <c r="C1149" s="744"/>
      <c r="D1149" s="744"/>
      <c r="E1149" s="744"/>
      <c r="F1149" s="107" t="str">
        <f>PO!E244</f>
        <v>und</v>
      </c>
    </row>
    <row r="1150" spans="1:6" x14ac:dyDescent="0.2">
      <c r="A1150" s="745" t="s">
        <v>25</v>
      </c>
      <c r="B1150" s="745"/>
      <c r="C1150" s="745"/>
      <c r="D1150" s="745"/>
      <c r="E1150" s="745"/>
      <c r="F1150" s="745"/>
    </row>
    <row r="1151" spans="1:6" x14ac:dyDescent="0.2">
      <c r="A1151" s="64" t="s">
        <v>8</v>
      </c>
      <c r="B1151" s="64" t="s">
        <v>26</v>
      </c>
      <c r="C1151" s="64" t="s">
        <v>11771</v>
      </c>
      <c r="D1151" s="64" t="s">
        <v>28</v>
      </c>
      <c r="E1151" s="64" t="s">
        <v>29</v>
      </c>
      <c r="F1151" s="64" t="s">
        <v>30</v>
      </c>
    </row>
    <row r="1152" spans="1:6" x14ac:dyDescent="0.2">
      <c r="A1152" s="65">
        <v>88264</v>
      </c>
      <c r="B1152" s="87" t="s">
        <v>5352</v>
      </c>
      <c r="C1152" s="88" t="s">
        <v>10945</v>
      </c>
      <c r="D1152" s="89">
        <v>0.45</v>
      </c>
      <c r="E1152" s="174">
        <v>21.08</v>
      </c>
      <c r="F1152" s="296">
        <f>D1152*E1152</f>
        <v>9.4859999999999989</v>
      </c>
    </row>
    <row r="1153" spans="1:6" x14ac:dyDescent="0.2">
      <c r="A1153" s="65">
        <v>88316</v>
      </c>
      <c r="B1153" s="87" t="s">
        <v>5397</v>
      </c>
      <c r="C1153" s="88" t="s">
        <v>10945</v>
      </c>
      <c r="D1153" s="89">
        <v>0.3</v>
      </c>
      <c r="E1153" s="174">
        <v>16.940000000000001</v>
      </c>
      <c r="F1153" s="296">
        <f>D1153*E1153</f>
        <v>5.0819999999999999</v>
      </c>
    </row>
    <row r="1154" spans="1:6" x14ac:dyDescent="0.2">
      <c r="A1154" s="65"/>
      <c r="B1154" s="66"/>
      <c r="C1154" s="67"/>
      <c r="D1154" s="70"/>
      <c r="E1154" s="68"/>
      <c r="F1154" s="69"/>
    </row>
    <row r="1155" spans="1:6" x14ac:dyDescent="0.2">
      <c r="A1155" s="71"/>
      <c r="B1155" s="62"/>
      <c r="C1155" s="72"/>
      <c r="D1155" s="73" t="s">
        <v>31</v>
      </c>
      <c r="E1155" s="74"/>
      <c r="F1155" s="75">
        <f>F1152+F1153+F1154</f>
        <v>14.567999999999998</v>
      </c>
    </row>
    <row r="1156" spans="1:6" x14ac:dyDescent="0.2">
      <c r="A1156" s="71"/>
      <c r="B1156" s="62"/>
      <c r="C1156" s="72"/>
      <c r="D1156" s="76" t="s">
        <v>32</v>
      </c>
      <c r="E1156" s="77"/>
      <c r="F1156" s="78">
        <f>F1155*E1156</f>
        <v>0</v>
      </c>
    </row>
    <row r="1157" spans="1:6" x14ac:dyDescent="0.2">
      <c r="A1157" s="71"/>
      <c r="B1157" s="62"/>
      <c r="C1157" s="72"/>
      <c r="D1157" s="73" t="s">
        <v>33</v>
      </c>
      <c r="E1157" s="74"/>
      <c r="F1157" s="78">
        <f>SUM(F1155:F1156)</f>
        <v>14.567999999999998</v>
      </c>
    </row>
    <row r="1158" spans="1:6" x14ac:dyDescent="0.2">
      <c r="A1158" s="79"/>
      <c r="B1158" s="76"/>
      <c r="C1158" s="73"/>
      <c r="D1158" s="80" t="s">
        <v>34</v>
      </c>
      <c r="E1158" s="81"/>
      <c r="F1158" s="82">
        <f>F1157</f>
        <v>14.567999999999998</v>
      </c>
    </row>
    <row r="1159" spans="1:6" x14ac:dyDescent="0.2">
      <c r="A1159" s="79"/>
      <c r="B1159" s="76"/>
      <c r="C1159" s="73"/>
      <c r="D1159" s="83"/>
      <c r="E1159" s="84"/>
      <c r="F1159" s="85"/>
    </row>
    <row r="1160" spans="1:6" x14ac:dyDescent="0.2">
      <c r="A1160" s="746" t="s">
        <v>35</v>
      </c>
      <c r="B1160" s="747"/>
      <c r="C1160" s="747"/>
      <c r="D1160" s="747"/>
      <c r="E1160" s="747"/>
      <c r="F1160" s="748"/>
    </row>
    <row r="1161" spans="1:6" x14ac:dyDescent="0.2">
      <c r="A1161" s="64" t="s">
        <v>8</v>
      </c>
      <c r="B1161" s="64" t="s">
        <v>26</v>
      </c>
      <c r="C1161" s="64" t="s">
        <v>11771</v>
      </c>
      <c r="D1161" s="64" t="s">
        <v>28</v>
      </c>
      <c r="E1161" s="64" t="s">
        <v>29</v>
      </c>
      <c r="F1161" s="64" t="s">
        <v>30</v>
      </c>
    </row>
    <row r="1162" spans="1:6" x14ac:dyDescent="0.2">
      <c r="A1162" s="65"/>
      <c r="B1162" s="87"/>
      <c r="C1162" s="88"/>
      <c r="D1162" s="89"/>
      <c r="E1162" s="287"/>
      <c r="F1162" s="292">
        <f>D1162*E1162</f>
        <v>0</v>
      </c>
    </row>
    <row r="1163" spans="1:6" ht="22.5" x14ac:dyDescent="0.2">
      <c r="A1163" s="65">
        <v>1368</v>
      </c>
      <c r="B1163" s="216" t="s">
        <v>6830</v>
      </c>
      <c r="C1163" s="88" t="s">
        <v>11771</v>
      </c>
      <c r="D1163" s="89">
        <v>1</v>
      </c>
      <c r="E1163" s="174">
        <v>63</v>
      </c>
      <c r="F1163" s="288">
        <f t="shared" ref="F1163:F1168" si="39">D1163*E1163</f>
        <v>63</v>
      </c>
    </row>
    <row r="1164" spans="1:6" x14ac:dyDescent="0.2">
      <c r="A1164" s="65">
        <v>3148</v>
      </c>
      <c r="B1164" s="87" t="s">
        <v>7863</v>
      </c>
      <c r="C1164" s="88" t="s">
        <v>11771</v>
      </c>
      <c r="D1164" s="89">
        <v>0.01</v>
      </c>
      <c r="E1164" s="174">
        <v>12.54</v>
      </c>
      <c r="F1164" s="288">
        <f t="shared" si="39"/>
        <v>0.12539999999999998</v>
      </c>
    </row>
    <row r="1165" spans="1:6" x14ac:dyDescent="0.2">
      <c r="A1165" s="65"/>
      <c r="B1165" s="87"/>
      <c r="C1165" s="88"/>
      <c r="D1165" s="89"/>
      <c r="E1165" s="174"/>
      <c r="F1165" s="288">
        <f t="shared" si="39"/>
        <v>0</v>
      </c>
    </row>
    <row r="1166" spans="1:6" x14ac:dyDescent="0.2">
      <c r="A1166" s="65"/>
      <c r="B1166" s="87"/>
      <c r="C1166" s="88"/>
      <c r="D1166" s="89"/>
      <c r="E1166" s="174"/>
      <c r="F1166" s="288">
        <f t="shared" si="39"/>
        <v>0</v>
      </c>
    </row>
    <row r="1167" spans="1:6" x14ac:dyDescent="0.2">
      <c r="A1167" s="65"/>
      <c r="B1167" s="87"/>
      <c r="C1167" s="297"/>
      <c r="D1167" s="89"/>
      <c r="E1167" s="174"/>
      <c r="F1167" s="288">
        <f t="shared" si="39"/>
        <v>0</v>
      </c>
    </row>
    <row r="1168" spans="1:6" x14ac:dyDescent="0.2">
      <c r="A1168" s="65"/>
      <c r="B1168" s="87"/>
      <c r="C1168" s="88"/>
      <c r="D1168" s="89"/>
      <c r="E1168" s="174"/>
      <c r="F1168" s="288">
        <f t="shared" si="39"/>
        <v>0</v>
      </c>
    </row>
    <row r="1169" spans="1:6" x14ac:dyDescent="0.2">
      <c r="A1169" s="79"/>
      <c r="B1169" s="76"/>
      <c r="C1169" s="73"/>
      <c r="D1169" s="80" t="s">
        <v>36</v>
      </c>
      <c r="E1169" s="81"/>
      <c r="F1169" s="101">
        <f>SUM(F1162:F1168)</f>
        <v>63.125399999999999</v>
      </c>
    </row>
    <row r="1170" spans="1:6" x14ac:dyDescent="0.2">
      <c r="A1170" s="79"/>
      <c r="B1170" s="76"/>
      <c r="C1170" s="73"/>
      <c r="D1170" s="83"/>
      <c r="E1170" s="84"/>
      <c r="F1170" s="85"/>
    </row>
    <row r="1171" spans="1:6" x14ac:dyDescent="0.2">
      <c r="A1171" s="746" t="s">
        <v>37</v>
      </c>
      <c r="B1171" s="747"/>
      <c r="C1171" s="747"/>
      <c r="D1171" s="747"/>
      <c r="E1171" s="747"/>
      <c r="F1171" s="748"/>
    </row>
    <row r="1172" spans="1:6" x14ac:dyDescent="0.2">
      <c r="A1172" s="64" t="s">
        <v>8</v>
      </c>
      <c r="B1172" s="64" t="s">
        <v>26</v>
      </c>
      <c r="C1172" s="64" t="s">
        <v>11771</v>
      </c>
      <c r="D1172" s="64" t="s">
        <v>28</v>
      </c>
      <c r="E1172" s="64" t="s">
        <v>29</v>
      </c>
      <c r="F1172" s="64" t="s">
        <v>30</v>
      </c>
    </row>
    <row r="1173" spans="1:6" x14ac:dyDescent="0.2">
      <c r="A1173" s="86"/>
      <c r="B1173" s="102"/>
      <c r="C1173" s="88"/>
      <c r="D1173" s="89"/>
      <c r="E1173" s="90"/>
      <c r="F1173" s="91"/>
    </row>
    <row r="1174" spans="1:6" x14ac:dyDescent="0.2">
      <c r="A1174" s="92"/>
      <c r="B1174" s="87"/>
      <c r="C1174" s="88"/>
      <c r="D1174" s="103"/>
      <c r="E1174" s="94"/>
      <c r="F1174" s="100"/>
    </row>
    <row r="1175" spans="1:6" x14ac:dyDescent="0.2">
      <c r="A1175" s="95"/>
      <c r="B1175" s="96"/>
      <c r="C1175" s="97"/>
      <c r="D1175" s="98"/>
      <c r="E1175" s="99"/>
      <c r="F1175" s="104"/>
    </row>
    <row r="1176" spans="1:6" x14ac:dyDescent="0.2">
      <c r="A1176" s="79"/>
      <c r="B1176" s="76"/>
      <c r="C1176" s="73"/>
      <c r="D1176" s="80" t="s">
        <v>38</v>
      </c>
      <c r="E1176" s="81"/>
      <c r="F1176" s="101">
        <f>ROUND(SUM(F1173:F1173),2)</f>
        <v>0</v>
      </c>
    </row>
    <row r="1177" spans="1:6" x14ac:dyDescent="0.2">
      <c r="A1177" s="79"/>
      <c r="B1177" s="76"/>
      <c r="C1177" s="73"/>
      <c r="D1177" s="83"/>
      <c r="E1177" s="84"/>
      <c r="F1177" s="85"/>
    </row>
    <row r="1178" spans="1:6" x14ac:dyDescent="0.2">
      <c r="A1178" s="749" t="s">
        <v>39</v>
      </c>
      <c r="B1178" s="750"/>
      <c r="C1178" s="750"/>
      <c r="D1178" s="750"/>
      <c r="E1178" s="751"/>
      <c r="F1178" s="105">
        <f>ROUND(F1158+F1169+F1176,2)</f>
        <v>77.69</v>
      </c>
    </row>
    <row r="1179" spans="1:6" ht="15.75" x14ac:dyDescent="0.2">
      <c r="A1179" s="587" t="s">
        <v>8</v>
      </c>
      <c r="B1179" s="743" t="s">
        <v>23</v>
      </c>
      <c r="C1179" s="743"/>
      <c r="D1179" s="743"/>
      <c r="E1179" s="743"/>
      <c r="F1179" s="588" t="s">
        <v>11771</v>
      </c>
    </row>
    <row r="1180" spans="1:6" ht="48" customHeight="1" x14ac:dyDescent="0.2">
      <c r="A1180" s="63" t="s">
        <v>11996</v>
      </c>
      <c r="B1180" s="744" t="str">
        <f>PO!D247</f>
        <v>Caixa PVC sifonada Ø 100 mm, altura 140 mm, entrada Ø 40 mm, saída Ø 50 mm, com corpo giratório, grelha redonda,  5 entradas, para esgoto sanitário - Fornecimento e instalação</v>
      </c>
      <c r="C1180" s="744"/>
      <c r="D1180" s="744"/>
      <c r="E1180" s="744"/>
      <c r="F1180" s="107" t="str">
        <f>PO!E247</f>
        <v>und</v>
      </c>
    </row>
    <row r="1181" spans="1:6" x14ac:dyDescent="0.2">
      <c r="A1181" s="745" t="s">
        <v>25</v>
      </c>
      <c r="B1181" s="745"/>
      <c r="C1181" s="745"/>
      <c r="D1181" s="745"/>
      <c r="E1181" s="745"/>
      <c r="F1181" s="745"/>
    </row>
    <row r="1182" spans="1:6" x14ac:dyDescent="0.2">
      <c r="A1182" s="64" t="s">
        <v>8</v>
      </c>
      <c r="B1182" s="64" t="s">
        <v>26</v>
      </c>
      <c r="C1182" s="64" t="s">
        <v>11771</v>
      </c>
      <c r="D1182" s="64" t="s">
        <v>28</v>
      </c>
      <c r="E1182" s="64" t="s">
        <v>29</v>
      </c>
      <c r="F1182" s="64" t="s">
        <v>30</v>
      </c>
    </row>
    <row r="1183" spans="1:6" ht="22.5" x14ac:dyDescent="0.2">
      <c r="A1183" s="65">
        <v>88248</v>
      </c>
      <c r="B1183" s="87" t="s">
        <v>11811</v>
      </c>
      <c r="C1183" s="88" t="s">
        <v>10945</v>
      </c>
      <c r="D1183" s="89">
        <v>0.25</v>
      </c>
      <c r="E1183" s="174">
        <v>15.2</v>
      </c>
      <c r="F1183" s="296">
        <f>D1183*E1183</f>
        <v>3.8</v>
      </c>
    </row>
    <row r="1184" spans="1:6" x14ac:dyDescent="0.2">
      <c r="A1184" s="65">
        <v>88267</v>
      </c>
      <c r="B1184" s="87" t="s">
        <v>11812</v>
      </c>
      <c r="C1184" s="88" t="s">
        <v>10945</v>
      </c>
      <c r="D1184" s="89">
        <v>0.25</v>
      </c>
      <c r="E1184" s="174">
        <v>19.64</v>
      </c>
      <c r="F1184" s="296">
        <f>D1184*E1184</f>
        <v>4.91</v>
      </c>
    </row>
    <row r="1185" spans="1:6" x14ac:dyDescent="0.2">
      <c r="A1185" s="65"/>
      <c r="B1185" s="66"/>
      <c r="C1185" s="67"/>
      <c r="D1185" s="70"/>
      <c r="E1185" s="68"/>
      <c r="F1185" s="69"/>
    </row>
    <row r="1186" spans="1:6" x14ac:dyDescent="0.2">
      <c r="A1186" s="71"/>
      <c r="B1186" s="62"/>
      <c r="C1186" s="72"/>
      <c r="D1186" s="73" t="s">
        <v>31</v>
      </c>
      <c r="E1186" s="74"/>
      <c r="F1186" s="75">
        <f>F1183+F1184+F1185</f>
        <v>8.7100000000000009</v>
      </c>
    </row>
    <row r="1187" spans="1:6" x14ac:dyDescent="0.2">
      <c r="A1187" s="71"/>
      <c r="B1187" s="62"/>
      <c r="C1187" s="72"/>
      <c r="D1187" s="76" t="s">
        <v>32</v>
      </c>
      <c r="E1187" s="77"/>
      <c r="F1187" s="78">
        <f>F1186*E1187</f>
        <v>0</v>
      </c>
    </row>
    <row r="1188" spans="1:6" x14ac:dyDescent="0.2">
      <c r="A1188" s="71"/>
      <c r="B1188" s="62"/>
      <c r="C1188" s="72"/>
      <c r="D1188" s="73" t="s">
        <v>33</v>
      </c>
      <c r="E1188" s="74"/>
      <c r="F1188" s="78">
        <f>SUM(F1186:F1187)</f>
        <v>8.7100000000000009</v>
      </c>
    </row>
    <row r="1189" spans="1:6" x14ac:dyDescent="0.2">
      <c r="A1189" s="79"/>
      <c r="B1189" s="76"/>
      <c r="C1189" s="73"/>
      <c r="D1189" s="80" t="s">
        <v>34</v>
      </c>
      <c r="E1189" s="81"/>
      <c r="F1189" s="82">
        <f>F1188</f>
        <v>8.7100000000000009</v>
      </c>
    </row>
    <row r="1190" spans="1:6" x14ac:dyDescent="0.2">
      <c r="A1190" s="79"/>
      <c r="B1190" s="76"/>
      <c r="C1190" s="73"/>
      <c r="D1190" s="83"/>
      <c r="E1190" s="84"/>
      <c r="F1190" s="85"/>
    </row>
    <row r="1191" spans="1:6" x14ac:dyDescent="0.2">
      <c r="A1191" s="746" t="s">
        <v>35</v>
      </c>
      <c r="B1191" s="747"/>
      <c r="C1191" s="747"/>
      <c r="D1191" s="747"/>
      <c r="E1191" s="747"/>
      <c r="F1191" s="748"/>
    </row>
    <row r="1192" spans="1:6" x14ac:dyDescent="0.2">
      <c r="A1192" s="64" t="s">
        <v>8</v>
      </c>
      <c r="B1192" s="64" t="s">
        <v>26</v>
      </c>
      <c r="C1192" s="64" t="s">
        <v>11771</v>
      </c>
      <c r="D1192" s="64" t="s">
        <v>28</v>
      </c>
      <c r="E1192" s="64" t="s">
        <v>29</v>
      </c>
      <c r="F1192" s="64" t="s">
        <v>30</v>
      </c>
    </row>
    <row r="1193" spans="1:6" ht="33.75" x14ac:dyDescent="0.2">
      <c r="A1193" s="65" t="s">
        <v>13804</v>
      </c>
      <c r="B1193" s="87" t="s">
        <v>11827</v>
      </c>
      <c r="C1193" s="88" t="s">
        <v>10884</v>
      </c>
      <c r="D1193" s="89">
        <v>1</v>
      </c>
      <c r="E1193" s="287">
        <v>8.8699999999999992</v>
      </c>
      <c r="F1193" s="292">
        <f>D1193*E1193</f>
        <v>8.8699999999999992</v>
      </c>
    </row>
    <row r="1194" spans="1:6" x14ac:dyDescent="0.2">
      <c r="A1194" s="65">
        <v>122</v>
      </c>
      <c r="B1194" s="66" t="s">
        <v>11813</v>
      </c>
      <c r="C1194" s="88" t="s">
        <v>10884</v>
      </c>
      <c r="D1194" s="89">
        <v>1.4800000000000001E-2</v>
      </c>
      <c r="E1194" s="174">
        <v>54.2</v>
      </c>
      <c r="F1194" s="288">
        <f t="shared" ref="F1194:F1199" si="40">D1194*E1194</f>
        <v>0.8021600000000001</v>
      </c>
    </row>
    <row r="1195" spans="1:6" ht="22.5" x14ac:dyDescent="0.2">
      <c r="A1195" s="65">
        <v>20078</v>
      </c>
      <c r="B1195" s="87" t="s">
        <v>11828</v>
      </c>
      <c r="C1195" s="88" t="s">
        <v>10884</v>
      </c>
      <c r="D1195" s="89">
        <v>0.02</v>
      </c>
      <c r="E1195" s="174">
        <v>19.21</v>
      </c>
      <c r="F1195" s="288">
        <f t="shared" si="40"/>
        <v>0.38420000000000004</v>
      </c>
    </row>
    <row r="1196" spans="1:6" x14ac:dyDescent="0.2">
      <c r="A1196" s="65">
        <v>20083</v>
      </c>
      <c r="B1196" s="87" t="s">
        <v>11829</v>
      </c>
      <c r="C1196" s="88" t="s">
        <v>10884</v>
      </c>
      <c r="D1196" s="89">
        <v>2.2499999999999999E-2</v>
      </c>
      <c r="E1196" s="174">
        <v>45.57</v>
      </c>
      <c r="F1196" s="288">
        <f t="shared" si="40"/>
        <v>1.025325</v>
      </c>
    </row>
    <row r="1197" spans="1:6" x14ac:dyDescent="0.2">
      <c r="A1197" s="65">
        <v>296</v>
      </c>
      <c r="B1197" s="87" t="s">
        <v>11830</v>
      </c>
      <c r="C1197" s="88" t="s">
        <v>10884</v>
      </c>
      <c r="D1197" s="89">
        <v>1</v>
      </c>
      <c r="E1197" s="174">
        <v>1.41</v>
      </c>
      <c r="F1197" s="288">
        <f t="shared" si="40"/>
        <v>1.41</v>
      </c>
    </row>
    <row r="1198" spans="1:6" x14ac:dyDescent="0.2">
      <c r="A1198" s="65">
        <v>38383</v>
      </c>
      <c r="B1198" s="87" t="s">
        <v>11831</v>
      </c>
      <c r="C1198" s="297" t="s">
        <v>10884</v>
      </c>
      <c r="D1198" s="89">
        <v>6.4000000000000001E-2</v>
      </c>
      <c r="E1198" s="174">
        <v>1.86</v>
      </c>
      <c r="F1198" s="288">
        <f t="shared" si="40"/>
        <v>0.11904000000000001</v>
      </c>
    </row>
    <row r="1199" spans="1:6" x14ac:dyDescent="0.2">
      <c r="A1199" s="65">
        <v>11733</v>
      </c>
      <c r="B1199" s="87" t="s">
        <v>11832</v>
      </c>
      <c r="C1199" s="88" t="s">
        <v>10884</v>
      </c>
      <c r="D1199" s="89">
        <v>1</v>
      </c>
      <c r="E1199" s="174">
        <v>1.79</v>
      </c>
      <c r="F1199" s="288">
        <f t="shared" si="40"/>
        <v>1.79</v>
      </c>
    </row>
    <row r="1200" spans="1:6" x14ac:dyDescent="0.2">
      <c r="A1200" s="79"/>
      <c r="B1200" s="76"/>
      <c r="C1200" s="73"/>
      <c r="D1200" s="80" t="s">
        <v>36</v>
      </c>
      <c r="E1200" s="81"/>
      <c r="F1200" s="101">
        <f>SUM(F1193:F1199)</f>
        <v>14.400725000000001</v>
      </c>
    </row>
    <row r="1201" spans="1:6" x14ac:dyDescent="0.2">
      <c r="A1201" s="79"/>
      <c r="B1201" s="76"/>
      <c r="C1201" s="73"/>
      <c r="D1201" s="83"/>
      <c r="E1201" s="84"/>
      <c r="F1201" s="85"/>
    </row>
    <row r="1202" spans="1:6" x14ac:dyDescent="0.2">
      <c r="A1202" s="746" t="s">
        <v>37</v>
      </c>
      <c r="B1202" s="747"/>
      <c r="C1202" s="747"/>
      <c r="D1202" s="747"/>
      <c r="E1202" s="747"/>
      <c r="F1202" s="748"/>
    </row>
    <row r="1203" spans="1:6" x14ac:dyDescent="0.2">
      <c r="A1203" s="64" t="s">
        <v>8</v>
      </c>
      <c r="B1203" s="64" t="s">
        <v>26</v>
      </c>
      <c r="C1203" s="64" t="s">
        <v>11771</v>
      </c>
      <c r="D1203" s="64" t="s">
        <v>28</v>
      </c>
      <c r="E1203" s="64" t="s">
        <v>29</v>
      </c>
      <c r="F1203" s="64" t="s">
        <v>30</v>
      </c>
    </row>
    <row r="1204" spans="1:6" x14ac:dyDescent="0.2">
      <c r="A1204" s="86"/>
      <c r="B1204" s="102"/>
      <c r="C1204" s="88"/>
      <c r="D1204" s="89"/>
      <c r="E1204" s="90"/>
      <c r="F1204" s="91"/>
    </row>
    <row r="1205" spans="1:6" x14ac:dyDescent="0.2">
      <c r="A1205" s="92"/>
      <c r="B1205" s="87"/>
      <c r="C1205" s="88"/>
      <c r="D1205" s="103"/>
      <c r="E1205" s="94"/>
      <c r="F1205" s="100"/>
    </row>
    <row r="1206" spans="1:6" x14ac:dyDescent="0.2">
      <c r="A1206" s="95"/>
      <c r="B1206" s="96"/>
      <c r="C1206" s="97"/>
      <c r="D1206" s="98"/>
      <c r="E1206" s="99"/>
      <c r="F1206" s="104"/>
    </row>
    <row r="1207" spans="1:6" x14ac:dyDescent="0.2">
      <c r="A1207" s="79"/>
      <c r="B1207" s="76"/>
      <c r="C1207" s="73"/>
      <c r="D1207" s="80" t="s">
        <v>38</v>
      </c>
      <c r="E1207" s="81"/>
      <c r="F1207" s="101">
        <f>ROUND(SUM(F1204:F1204),2)</f>
        <v>0</v>
      </c>
    </row>
    <row r="1208" spans="1:6" x14ac:dyDescent="0.2">
      <c r="A1208" s="79"/>
      <c r="B1208" s="76"/>
      <c r="C1208" s="73"/>
      <c r="D1208" s="83"/>
      <c r="E1208" s="84"/>
      <c r="F1208" s="85"/>
    </row>
    <row r="1209" spans="1:6" x14ac:dyDescent="0.2">
      <c r="A1209" s="749" t="s">
        <v>39</v>
      </c>
      <c r="B1209" s="750"/>
      <c r="C1209" s="750"/>
      <c r="D1209" s="750"/>
      <c r="E1209" s="751"/>
      <c r="F1209" s="105">
        <f>ROUND(F1189+F1200+F1207,2)</f>
        <v>23.11</v>
      </c>
    </row>
    <row r="1210" spans="1:6" ht="15.75" x14ac:dyDescent="0.2">
      <c r="A1210" s="587" t="s">
        <v>8</v>
      </c>
      <c r="B1210" s="743" t="s">
        <v>23</v>
      </c>
      <c r="C1210" s="743"/>
      <c r="D1210" s="743"/>
      <c r="E1210" s="743"/>
      <c r="F1210" s="588" t="s">
        <v>11771</v>
      </c>
    </row>
    <row r="1211" spans="1:6" ht="42.75" customHeight="1" x14ac:dyDescent="0.2">
      <c r="A1211" s="63" t="s">
        <v>12017</v>
      </c>
      <c r="B1211" s="744" t="str">
        <f>PO!D248</f>
        <v>Caixa Sifonada Montada com Grelha e Porta Grelha Quadrados 150 x 150 x 50mm, para esgoto sanitário - Fornecimento e instalação.</v>
      </c>
      <c r="C1211" s="744"/>
      <c r="D1211" s="744"/>
      <c r="E1211" s="744"/>
      <c r="F1211" s="107" t="str">
        <f>PO!E248</f>
        <v>und</v>
      </c>
    </row>
    <row r="1212" spans="1:6" x14ac:dyDescent="0.2">
      <c r="A1212" s="745" t="s">
        <v>25</v>
      </c>
      <c r="B1212" s="745"/>
      <c r="C1212" s="745"/>
      <c r="D1212" s="745"/>
      <c r="E1212" s="745"/>
      <c r="F1212" s="745"/>
    </row>
    <row r="1213" spans="1:6" x14ac:dyDescent="0.2">
      <c r="A1213" s="64" t="s">
        <v>8</v>
      </c>
      <c r="B1213" s="64" t="s">
        <v>26</v>
      </c>
      <c r="C1213" s="64" t="s">
        <v>11771</v>
      </c>
      <c r="D1213" s="64" t="s">
        <v>28</v>
      </c>
      <c r="E1213" s="64" t="s">
        <v>29</v>
      </c>
      <c r="F1213" s="64" t="s">
        <v>30</v>
      </c>
    </row>
    <row r="1214" spans="1:6" ht="22.5" x14ac:dyDescent="0.2">
      <c r="A1214" s="65">
        <v>88248</v>
      </c>
      <c r="B1214" s="87" t="s">
        <v>11811</v>
      </c>
      <c r="C1214" s="88" t="s">
        <v>10945</v>
      </c>
      <c r="D1214" s="89">
        <v>0.25</v>
      </c>
      <c r="E1214" s="174">
        <v>15.2</v>
      </c>
      <c r="F1214" s="296">
        <f>D1214*E1214</f>
        <v>3.8</v>
      </c>
    </row>
    <row r="1215" spans="1:6" x14ac:dyDescent="0.2">
      <c r="A1215" s="65">
        <v>88267</v>
      </c>
      <c r="B1215" s="87" t="s">
        <v>11812</v>
      </c>
      <c r="C1215" s="88" t="s">
        <v>10945</v>
      </c>
      <c r="D1215" s="89">
        <v>0.25</v>
      </c>
      <c r="E1215" s="174">
        <v>19.64</v>
      </c>
      <c r="F1215" s="296">
        <f>D1215*E1215</f>
        <v>4.91</v>
      </c>
    </row>
    <row r="1216" spans="1:6" x14ac:dyDescent="0.2">
      <c r="A1216" s="65"/>
      <c r="B1216" s="66"/>
      <c r="C1216" s="67"/>
      <c r="D1216" s="70"/>
      <c r="E1216" s="68"/>
      <c r="F1216" s="69"/>
    </row>
    <row r="1217" spans="1:6" x14ac:dyDescent="0.2">
      <c r="A1217" s="71"/>
      <c r="B1217" s="62"/>
      <c r="C1217" s="72"/>
      <c r="D1217" s="73" t="s">
        <v>31</v>
      </c>
      <c r="E1217" s="74"/>
      <c r="F1217" s="75">
        <f>F1214+F1215+F1216</f>
        <v>8.7100000000000009</v>
      </c>
    </row>
    <row r="1218" spans="1:6" x14ac:dyDescent="0.2">
      <c r="A1218" s="71"/>
      <c r="B1218" s="62"/>
      <c r="C1218" s="72"/>
      <c r="D1218" s="76" t="s">
        <v>32</v>
      </c>
      <c r="E1218" s="77"/>
      <c r="F1218" s="78">
        <f>F1217*E1218</f>
        <v>0</v>
      </c>
    </row>
    <row r="1219" spans="1:6" x14ac:dyDescent="0.2">
      <c r="A1219" s="71"/>
      <c r="B1219" s="62"/>
      <c r="C1219" s="72"/>
      <c r="D1219" s="73" t="s">
        <v>33</v>
      </c>
      <c r="E1219" s="74"/>
      <c r="F1219" s="78">
        <f>SUM(F1217:F1218)</f>
        <v>8.7100000000000009</v>
      </c>
    </row>
    <row r="1220" spans="1:6" x14ac:dyDescent="0.2">
      <c r="A1220" s="79"/>
      <c r="B1220" s="76"/>
      <c r="C1220" s="73"/>
      <c r="D1220" s="80" t="s">
        <v>34</v>
      </c>
      <c r="E1220" s="81"/>
      <c r="F1220" s="82">
        <f>F1219</f>
        <v>8.7100000000000009</v>
      </c>
    </row>
    <row r="1221" spans="1:6" x14ac:dyDescent="0.2">
      <c r="A1221" s="79"/>
      <c r="B1221" s="76"/>
      <c r="C1221" s="73"/>
      <c r="D1221" s="83"/>
      <c r="E1221" s="84"/>
      <c r="F1221" s="85"/>
    </row>
    <row r="1222" spans="1:6" x14ac:dyDescent="0.2">
      <c r="A1222" s="746" t="s">
        <v>35</v>
      </c>
      <c r="B1222" s="747"/>
      <c r="C1222" s="747"/>
      <c r="D1222" s="747"/>
      <c r="E1222" s="747"/>
      <c r="F1222" s="748"/>
    </row>
    <row r="1223" spans="1:6" x14ac:dyDescent="0.2">
      <c r="A1223" s="64" t="s">
        <v>8</v>
      </c>
      <c r="B1223" s="64" t="s">
        <v>26</v>
      </c>
      <c r="C1223" s="64" t="s">
        <v>11771</v>
      </c>
      <c r="D1223" s="64" t="s">
        <v>28</v>
      </c>
      <c r="E1223" s="64" t="s">
        <v>29</v>
      </c>
      <c r="F1223" s="64" t="s">
        <v>30</v>
      </c>
    </row>
    <row r="1224" spans="1:6" x14ac:dyDescent="0.2">
      <c r="A1224" s="65">
        <v>11712</v>
      </c>
      <c r="B1224" s="87" t="s">
        <v>11836</v>
      </c>
      <c r="C1224" s="88" t="s">
        <v>10884</v>
      </c>
      <c r="D1224" s="89">
        <v>1</v>
      </c>
      <c r="E1224" s="174">
        <v>24.75</v>
      </c>
      <c r="F1224" s="292">
        <f>D1224*E1224</f>
        <v>24.75</v>
      </c>
    </row>
    <row r="1225" spans="1:6" x14ac:dyDescent="0.2">
      <c r="A1225" s="65">
        <v>122</v>
      </c>
      <c r="B1225" s="66" t="s">
        <v>11813</v>
      </c>
      <c r="C1225" s="88" t="s">
        <v>10884</v>
      </c>
      <c r="D1225" s="89">
        <v>1.4800000000000001E-2</v>
      </c>
      <c r="E1225" s="174">
        <v>54.2</v>
      </c>
      <c r="F1225" s="288">
        <f t="shared" ref="F1225:F1230" si="41">D1225*E1225</f>
        <v>0.8021600000000001</v>
      </c>
    </row>
    <row r="1226" spans="1:6" ht="22.5" x14ac:dyDescent="0.2">
      <c r="A1226" s="65">
        <v>20078</v>
      </c>
      <c r="B1226" s="87" t="s">
        <v>11828</v>
      </c>
      <c r="C1226" s="88" t="s">
        <v>10884</v>
      </c>
      <c r="D1226" s="89">
        <v>0.02</v>
      </c>
      <c r="E1226" s="174">
        <v>19.84</v>
      </c>
      <c r="F1226" s="288">
        <f t="shared" si="41"/>
        <v>0.39679999999999999</v>
      </c>
    </row>
    <row r="1227" spans="1:6" x14ac:dyDescent="0.2">
      <c r="A1227" s="65">
        <v>20083</v>
      </c>
      <c r="B1227" s="87" t="s">
        <v>11829</v>
      </c>
      <c r="C1227" s="88" t="s">
        <v>10884</v>
      </c>
      <c r="D1227" s="89">
        <v>2.2499999999999999E-2</v>
      </c>
      <c r="E1227" s="174">
        <v>47.06</v>
      </c>
      <c r="F1227" s="288">
        <f t="shared" si="41"/>
        <v>1.0588500000000001</v>
      </c>
    </row>
    <row r="1228" spans="1:6" x14ac:dyDescent="0.2">
      <c r="A1228" s="65">
        <v>296</v>
      </c>
      <c r="B1228" s="87" t="s">
        <v>11830</v>
      </c>
      <c r="C1228" s="88" t="s">
        <v>10884</v>
      </c>
      <c r="D1228" s="89">
        <v>1</v>
      </c>
      <c r="E1228" s="174">
        <v>1.41</v>
      </c>
      <c r="F1228" s="288">
        <f t="shared" si="41"/>
        <v>1.41</v>
      </c>
    </row>
    <row r="1229" spans="1:6" x14ac:dyDescent="0.2">
      <c r="A1229" s="65">
        <v>38383</v>
      </c>
      <c r="B1229" s="87" t="s">
        <v>11831</v>
      </c>
      <c r="C1229" s="297" t="s">
        <v>10884</v>
      </c>
      <c r="D1229" s="89">
        <v>6.4000000000000001E-2</v>
      </c>
      <c r="E1229" s="174">
        <v>1.86</v>
      </c>
      <c r="F1229" s="288">
        <f t="shared" si="41"/>
        <v>0.11904000000000001</v>
      </c>
    </row>
    <row r="1230" spans="1:6" x14ac:dyDescent="0.2">
      <c r="A1230" s="65">
        <v>11737</v>
      </c>
      <c r="B1230" s="87" t="s">
        <v>11835</v>
      </c>
      <c r="C1230" s="88" t="s">
        <v>10884</v>
      </c>
      <c r="D1230" s="89">
        <v>1</v>
      </c>
      <c r="E1230" s="174">
        <v>4.87</v>
      </c>
      <c r="F1230" s="288">
        <f t="shared" si="41"/>
        <v>4.87</v>
      </c>
    </row>
    <row r="1231" spans="1:6" x14ac:dyDescent="0.2">
      <c r="A1231" s="79"/>
      <c r="B1231" s="76"/>
      <c r="C1231" s="73"/>
      <c r="D1231" s="80" t="s">
        <v>36</v>
      </c>
      <c r="E1231" s="81"/>
      <c r="F1231" s="101">
        <f>SUM(F1224:F1230)</f>
        <v>33.406849999999999</v>
      </c>
    </row>
    <row r="1232" spans="1:6" x14ac:dyDescent="0.2">
      <c r="A1232" s="79"/>
      <c r="B1232" s="76"/>
      <c r="C1232" s="73"/>
      <c r="D1232" s="83"/>
      <c r="E1232" s="84"/>
      <c r="F1232" s="85"/>
    </row>
    <row r="1233" spans="1:6" x14ac:dyDescent="0.2">
      <c r="A1233" s="746" t="s">
        <v>37</v>
      </c>
      <c r="B1233" s="747"/>
      <c r="C1233" s="747"/>
      <c r="D1233" s="747"/>
      <c r="E1233" s="747"/>
      <c r="F1233" s="748"/>
    </row>
    <row r="1234" spans="1:6" x14ac:dyDescent="0.2">
      <c r="A1234" s="64" t="s">
        <v>8</v>
      </c>
      <c r="B1234" s="64" t="s">
        <v>26</v>
      </c>
      <c r="C1234" s="64" t="s">
        <v>11771</v>
      </c>
      <c r="D1234" s="64" t="s">
        <v>28</v>
      </c>
      <c r="E1234" s="64" t="s">
        <v>29</v>
      </c>
      <c r="F1234" s="64" t="s">
        <v>30</v>
      </c>
    </row>
    <row r="1235" spans="1:6" x14ac:dyDescent="0.2">
      <c r="A1235" s="86"/>
      <c r="B1235" s="102"/>
      <c r="C1235" s="88"/>
      <c r="D1235" s="89"/>
      <c r="E1235" s="90"/>
      <c r="F1235" s="91"/>
    </row>
    <row r="1236" spans="1:6" x14ac:dyDescent="0.2">
      <c r="A1236" s="92"/>
      <c r="B1236" s="87"/>
      <c r="C1236" s="88"/>
      <c r="D1236" s="103"/>
      <c r="E1236" s="94"/>
      <c r="F1236" s="100"/>
    </row>
    <row r="1237" spans="1:6" x14ac:dyDescent="0.2">
      <c r="A1237" s="95"/>
      <c r="B1237" s="96"/>
      <c r="C1237" s="97"/>
      <c r="D1237" s="98"/>
      <c r="E1237" s="99"/>
      <c r="F1237" s="104"/>
    </row>
    <row r="1238" spans="1:6" x14ac:dyDescent="0.2">
      <c r="A1238" s="79"/>
      <c r="B1238" s="76"/>
      <c r="C1238" s="73"/>
      <c r="D1238" s="80" t="s">
        <v>38</v>
      </c>
      <c r="E1238" s="81"/>
      <c r="F1238" s="101">
        <f>ROUND(SUM(F1235:F1235),2)</f>
        <v>0</v>
      </c>
    </row>
    <row r="1239" spans="1:6" x14ac:dyDescent="0.2">
      <c r="A1239" s="79"/>
      <c r="B1239" s="76"/>
      <c r="C1239" s="73"/>
      <c r="D1239" s="83"/>
      <c r="E1239" s="84"/>
      <c r="F1239" s="85"/>
    </row>
    <row r="1240" spans="1:6" x14ac:dyDescent="0.2">
      <c r="A1240" s="749" t="s">
        <v>39</v>
      </c>
      <c r="B1240" s="750"/>
      <c r="C1240" s="750"/>
      <c r="D1240" s="750"/>
      <c r="E1240" s="751"/>
      <c r="F1240" s="105">
        <f>ROUND(F1220+F1231+F1238,2)</f>
        <v>42.12</v>
      </c>
    </row>
    <row r="1241" spans="1:6" ht="15.75" x14ac:dyDescent="0.2">
      <c r="A1241" s="587" t="s">
        <v>8</v>
      </c>
      <c r="B1241" s="743" t="s">
        <v>23</v>
      </c>
      <c r="C1241" s="743"/>
      <c r="D1241" s="743"/>
      <c r="E1241" s="743"/>
      <c r="F1241" s="588" t="s">
        <v>24</v>
      </c>
    </row>
    <row r="1242" spans="1:6" ht="37.5" customHeight="1" x14ac:dyDescent="0.2">
      <c r="A1242" s="63" t="s">
        <v>12018</v>
      </c>
      <c r="B1242" s="744" t="str">
        <f>PO!D259</f>
        <v>Enchimento de rasgo em alvenaria com argamassa mista traço 1:4, para tubulação de 1/2" a 25 mm</v>
      </c>
      <c r="C1242" s="744"/>
      <c r="D1242" s="744"/>
      <c r="E1242" s="744"/>
      <c r="F1242" s="107" t="str">
        <f>PO!E259</f>
        <v>m</v>
      </c>
    </row>
    <row r="1243" spans="1:6" x14ac:dyDescent="0.2">
      <c r="A1243" s="745" t="s">
        <v>25</v>
      </c>
      <c r="B1243" s="745"/>
      <c r="C1243" s="745"/>
      <c r="D1243" s="745"/>
      <c r="E1243" s="745"/>
      <c r="F1243" s="745"/>
    </row>
    <row r="1244" spans="1:6" x14ac:dyDescent="0.2">
      <c r="A1244" s="64" t="s">
        <v>8</v>
      </c>
      <c r="B1244" s="64" t="s">
        <v>26</v>
      </c>
      <c r="C1244" s="64" t="s">
        <v>27</v>
      </c>
      <c r="D1244" s="64" t="s">
        <v>28</v>
      </c>
      <c r="E1244" s="64" t="s">
        <v>29</v>
      </c>
      <c r="F1244" s="64" t="s">
        <v>30</v>
      </c>
    </row>
    <row r="1245" spans="1:6" x14ac:dyDescent="0.2">
      <c r="A1245" s="65">
        <v>88309</v>
      </c>
      <c r="B1245" s="66" t="s">
        <v>10949</v>
      </c>
      <c r="C1245" s="67" t="s">
        <v>10945</v>
      </c>
      <c r="D1245" s="265">
        <v>0.15</v>
      </c>
      <c r="E1245" s="174">
        <v>20.43</v>
      </c>
      <c r="F1245" s="174">
        <f>D1245*E1245</f>
        <v>3.0644999999999998</v>
      </c>
    </row>
    <row r="1246" spans="1:6" x14ac:dyDescent="0.2">
      <c r="A1246" s="65">
        <v>88242</v>
      </c>
      <c r="B1246" s="66" t="s">
        <v>5332</v>
      </c>
      <c r="C1246" s="67" t="s">
        <v>10945</v>
      </c>
      <c r="D1246" s="265">
        <v>0.1</v>
      </c>
      <c r="E1246" s="174">
        <v>17.23</v>
      </c>
      <c r="F1246" s="174">
        <f>D1246*E1246</f>
        <v>1.7230000000000001</v>
      </c>
    </row>
    <row r="1247" spans="1:6" x14ac:dyDescent="0.2">
      <c r="A1247" s="65"/>
      <c r="B1247" s="66"/>
      <c r="C1247" s="67"/>
      <c r="D1247" s="155"/>
      <c r="E1247" s="99"/>
      <c r="F1247" s="100"/>
    </row>
    <row r="1248" spans="1:6" x14ac:dyDescent="0.2">
      <c r="A1248" s="71"/>
      <c r="B1248" s="62"/>
      <c r="C1248" s="72"/>
      <c r="D1248" s="73" t="s">
        <v>31</v>
      </c>
      <c r="E1248" s="74"/>
      <c r="F1248" s="75">
        <f>F1245+F1246+F1247</f>
        <v>4.7874999999999996</v>
      </c>
    </row>
    <row r="1249" spans="1:6" x14ac:dyDescent="0.2">
      <c r="A1249" s="71"/>
      <c r="B1249" s="62"/>
      <c r="C1249" s="72"/>
      <c r="D1249" s="76" t="s">
        <v>32</v>
      </c>
      <c r="E1249" s="77"/>
      <c r="F1249" s="78">
        <f>F1248*E1249</f>
        <v>0</v>
      </c>
    </row>
    <row r="1250" spans="1:6" x14ac:dyDescent="0.2">
      <c r="A1250" s="71"/>
      <c r="B1250" s="62"/>
      <c r="C1250" s="72"/>
      <c r="D1250" s="73" t="s">
        <v>33</v>
      </c>
      <c r="E1250" s="74"/>
      <c r="F1250" s="78">
        <f>SUM(F1248:F1249)</f>
        <v>4.7874999999999996</v>
      </c>
    </row>
    <row r="1251" spans="1:6" x14ac:dyDescent="0.2">
      <c r="A1251" s="79"/>
      <c r="B1251" s="76"/>
      <c r="C1251" s="73"/>
      <c r="D1251" s="80" t="s">
        <v>34</v>
      </c>
      <c r="E1251" s="81"/>
      <c r="F1251" s="82">
        <f>F1250</f>
        <v>4.7874999999999996</v>
      </c>
    </row>
    <row r="1252" spans="1:6" x14ac:dyDescent="0.2">
      <c r="A1252" s="79"/>
      <c r="B1252" s="76"/>
      <c r="C1252" s="73"/>
      <c r="D1252" s="83"/>
      <c r="E1252" s="84"/>
      <c r="F1252" s="85"/>
    </row>
    <row r="1253" spans="1:6" x14ac:dyDescent="0.2">
      <c r="A1253" s="746" t="s">
        <v>35</v>
      </c>
      <c r="B1253" s="747"/>
      <c r="C1253" s="747"/>
      <c r="D1253" s="747"/>
      <c r="E1253" s="747"/>
      <c r="F1253" s="748"/>
    </row>
    <row r="1254" spans="1:6" x14ac:dyDescent="0.2">
      <c r="A1254" s="64" t="s">
        <v>8</v>
      </c>
      <c r="B1254" s="64" t="s">
        <v>26</v>
      </c>
      <c r="C1254" s="64" t="s">
        <v>27</v>
      </c>
      <c r="D1254" s="64" t="s">
        <v>28</v>
      </c>
      <c r="E1254" s="64" t="s">
        <v>29</v>
      </c>
      <c r="F1254" s="64" t="s">
        <v>30</v>
      </c>
    </row>
    <row r="1255" spans="1:6" x14ac:dyDescent="0.2">
      <c r="A1255" s="65">
        <v>1379</v>
      </c>
      <c r="B1255" s="66" t="s">
        <v>11190</v>
      </c>
      <c r="C1255" s="67" t="s">
        <v>11068</v>
      </c>
      <c r="D1255" s="155">
        <v>0.03</v>
      </c>
      <c r="E1255" s="174">
        <v>0.71</v>
      </c>
      <c r="F1255" s="174">
        <f>D1255*E1255</f>
        <v>2.1299999999999999E-2</v>
      </c>
    </row>
    <row r="1256" spans="1:6" x14ac:dyDescent="0.2">
      <c r="A1256" s="65">
        <v>370</v>
      </c>
      <c r="B1256" s="216" t="s">
        <v>11191</v>
      </c>
      <c r="C1256" s="113" t="s">
        <v>41</v>
      </c>
      <c r="D1256" s="265">
        <v>2.0000000000000001E-4</v>
      </c>
      <c r="E1256" s="174">
        <v>70</v>
      </c>
      <c r="F1256" s="174">
        <f t="shared" ref="F1256:F1257" si="42">D1256*E1256</f>
        <v>1.4E-2</v>
      </c>
    </row>
    <row r="1257" spans="1:6" x14ac:dyDescent="0.2">
      <c r="A1257" s="65">
        <v>1106</v>
      </c>
      <c r="B1257" s="66" t="s">
        <v>11192</v>
      </c>
      <c r="C1257" s="67" t="s">
        <v>11068</v>
      </c>
      <c r="D1257" s="155">
        <v>3.5999999999999997E-2</v>
      </c>
      <c r="E1257" s="174">
        <v>0.85</v>
      </c>
      <c r="F1257" s="174">
        <f t="shared" si="42"/>
        <v>3.0599999999999995E-2</v>
      </c>
    </row>
    <row r="1258" spans="1:6" x14ac:dyDescent="0.2">
      <c r="A1258" s="79"/>
      <c r="B1258" s="76"/>
      <c r="C1258" s="73"/>
      <c r="D1258" s="80" t="s">
        <v>36</v>
      </c>
      <c r="E1258" s="81"/>
      <c r="F1258" s="101">
        <f>SUM(F1255:F1257)</f>
        <v>6.5899999999999986E-2</v>
      </c>
    </row>
    <row r="1259" spans="1:6" x14ac:dyDescent="0.2">
      <c r="A1259" s="79"/>
      <c r="B1259" s="76"/>
      <c r="C1259" s="73"/>
      <c r="D1259" s="83"/>
      <c r="E1259" s="84"/>
      <c r="F1259" s="85"/>
    </row>
    <row r="1260" spans="1:6" x14ac:dyDescent="0.2">
      <c r="A1260" s="746" t="s">
        <v>37</v>
      </c>
      <c r="B1260" s="747"/>
      <c r="C1260" s="747"/>
      <c r="D1260" s="747"/>
      <c r="E1260" s="747"/>
      <c r="F1260" s="748"/>
    </row>
    <row r="1261" spans="1:6" x14ac:dyDescent="0.2">
      <c r="A1261" s="64" t="s">
        <v>8</v>
      </c>
      <c r="B1261" s="64" t="s">
        <v>26</v>
      </c>
      <c r="C1261" s="64" t="s">
        <v>27</v>
      </c>
      <c r="D1261" s="64" t="s">
        <v>28</v>
      </c>
      <c r="E1261" s="64" t="s">
        <v>29</v>
      </c>
      <c r="F1261" s="64" t="s">
        <v>30</v>
      </c>
    </row>
    <row r="1262" spans="1:6" x14ac:dyDescent="0.2">
      <c r="A1262" s="65"/>
      <c r="B1262" s="66"/>
      <c r="C1262" s="88"/>
      <c r="D1262" s="89"/>
      <c r="E1262" s="173"/>
      <c r="F1262" s="174"/>
    </row>
    <row r="1263" spans="1:6" x14ac:dyDescent="0.2">
      <c r="A1263" s="92"/>
      <c r="B1263" s="87"/>
      <c r="C1263" s="88"/>
      <c r="D1263" s="103"/>
      <c r="E1263" s="94"/>
      <c r="F1263" s="100"/>
    </row>
    <row r="1264" spans="1:6" x14ac:dyDescent="0.2">
      <c r="A1264" s="95"/>
      <c r="B1264" s="96"/>
      <c r="C1264" s="97"/>
      <c r="D1264" s="98"/>
      <c r="E1264" s="99"/>
      <c r="F1264" s="104"/>
    </row>
    <row r="1265" spans="1:6" x14ac:dyDescent="0.2">
      <c r="A1265" s="79"/>
      <c r="B1265" s="76"/>
      <c r="C1265" s="73"/>
      <c r="D1265" s="80" t="s">
        <v>38</v>
      </c>
      <c r="E1265" s="81"/>
      <c r="F1265" s="101">
        <f>ROUND(SUM(F1262:F1262),2)</f>
        <v>0</v>
      </c>
    </row>
    <row r="1266" spans="1:6" x14ac:dyDescent="0.2">
      <c r="A1266" s="79"/>
      <c r="B1266" s="76"/>
      <c r="C1266" s="73"/>
      <c r="D1266" s="83"/>
      <c r="E1266" s="84"/>
      <c r="F1266" s="85"/>
    </row>
    <row r="1267" spans="1:6" x14ac:dyDescent="0.2">
      <c r="A1267" s="749" t="s">
        <v>39</v>
      </c>
      <c r="B1267" s="750"/>
      <c r="C1267" s="750"/>
      <c r="D1267" s="750"/>
      <c r="E1267" s="751"/>
      <c r="F1267" s="105">
        <f>ROUND(F1251+F1258+F1265,2)</f>
        <v>4.8499999999999996</v>
      </c>
    </row>
    <row r="1268" spans="1:6" ht="15.75" x14ac:dyDescent="0.2">
      <c r="A1268" s="587" t="s">
        <v>8</v>
      </c>
      <c r="B1268" s="743" t="s">
        <v>23</v>
      </c>
      <c r="C1268" s="743"/>
      <c r="D1268" s="743"/>
      <c r="E1268" s="743"/>
      <c r="F1268" s="588" t="s">
        <v>24</v>
      </c>
    </row>
    <row r="1269" spans="1:6" ht="45" customHeight="1" x14ac:dyDescent="0.2">
      <c r="A1269" s="63" t="s">
        <v>12019</v>
      </c>
      <c r="B1269" s="744" t="str">
        <f>PO!D260</f>
        <v>Enchimento de rasgo em alvenaria com argamassa mista de cal hidratada e areia traço 1:4 com adição de 150 kg de cimento, para tubulação Ø 32 mm - 1 1/4" a 50 mm - 2"</v>
      </c>
      <c r="C1269" s="744"/>
      <c r="D1269" s="744"/>
      <c r="E1269" s="744"/>
      <c r="F1269" s="107" t="str">
        <f>PO!E260</f>
        <v>m</v>
      </c>
    </row>
    <row r="1270" spans="1:6" x14ac:dyDescent="0.2">
      <c r="A1270" s="745" t="s">
        <v>25</v>
      </c>
      <c r="B1270" s="745"/>
      <c r="C1270" s="745"/>
      <c r="D1270" s="745"/>
      <c r="E1270" s="745"/>
      <c r="F1270" s="745"/>
    </row>
    <row r="1271" spans="1:6" x14ac:dyDescent="0.2">
      <c r="A1271" s="64" t="s">
        <v>8</v>
      </c>
      <c r="B1271" s="64" t="s">
        <v>26</v>
      </c>
      <c r="C1271" s="64" t="s">
        <v>27</v>
      </c>
      <c r="D1271" s="64" t="s">
        <v>28</v>
      </c>
      <c r="E1271" s="64" t="s">
        <v>29</v>
      </c>
      <c r="F1271" s="64" t="s">
        <v>30</v>
      </c>
    </row>
    <row r="1272" spans="1:6" x14ac:dyDescent="0.2">
      <c r="A1272" s="65">
        <v>88309</v>
      </c>
      <c r="B1272" s="66" t="s">
        <v>10949</v>
      </c>
      <c r="C1272" s="67" t="s">
        <v>10945</v>
      </c>
      <c r="D1272" s="265">
        <v>0.2</v>
      </c>
      <c r="E1272" s="174">
        <v>20.43</v>
      </c>
      <c r="F1272" s="174">
        <f>D1272*E1272</f>
        <v>4.0860000000000003</v>
      </c>
    </row>
    <row r="1273" spans="1:6" x14ac:dyDescent="0.2">
      <c r="A1273" s="65">
        <v>88242</v>
      </c>
      <c r="B1273" s="66" t="s">
        <v>5332</v>
      </c>
      <c r="C1273" s="67" t="s">
        <v>10945</v>
      </c>
      <c r="D1273" s="265">
        <v>0.15</v>
      </c>
      <c r="E1273" s="174">
        <v>17.23</v>
      </c>
      <c r="F1273" s="174">
        <f>D1273*E1273</f>
        <v>2.5844999999999998</v>
      </c>
    </row>
    <row r="1274" spans="1:6" x14ac:dyDescent="0.2">
      <c r="A1274" s="65"/>
      <c r="B1274" s="66"/>
      <c r="C1274" s="67"/>
      <c r="D1274" s="155"/>
      <c r="E1274" s="99"/>
      <c r="F1274" s="100"/>
    </row>
    <row r="1275" spans="1:6" x14ac:dyDescent="0.2">
      <c r="A1275" s="71"/>
      <c r="B1275" s="62"/>
      <c r="C1275" s="72"/>
      <c r="D1275" s="73" t="s">
        <v>31</v>
      </c>
      <c r="E1275" s="74"/>
      <c r="F1275" s="75">
        <f>F1272+F1273+F1274</f>
        <v>6.6705000000000005</v>
      </c>
    </row>
    <row r="1276" spans="1:6" x14ac:dyDescent="0.2">
      <c r="A1276" s="71"/>
      <c r="B1276" s="62"/>
      <c r="C1276" s="72"/>
      <c r="D1276" s="76" t="s">
        <v>32</v>
      </c>
      <c r="E1276" s="77"/>
      <c r="F1276" s="78">
        <f>F1275*E1276</f>
        <v>0</v>
      </c>
    </row>
    <row r="1277" spans="1:6" x14ac:dyDescent="0.2">
      <c r="A1277" s="71"/>
      <c r="B1277" s="62"/>
      <c r="C1277" s="72"/>
      <c r="D1277" s="73" t="s">
        <v>33</v>
      </c>
      <c r="E1277" s="74"/>
      <c r="F1277" s="78">
        <f>SUM(F1275:F1276)</f>
        <v>6.6705000000000005</v>
      </c>
    </row>
    <row r="1278" spans="1:6" x14ac:dyDescent="0.2">
      <c r="A1278" s="79"/>
      <c r="B1278" s="76"/>
      <c r="C1278" s="73"/>
      <c r="D1278" s="80" t="s">
        <v>34</v>
      </c>
      <c r="E1278" s="81"/>
      <c r="F1278" s="82">
        <f>F1277</f>
        <v>6.6705000000000005</v>
      </c>
    </row>
    <row r="1279" spans="1:6" x14ac:dyDescent="0.2">
      <c r="A1279" s="79"/>
      <c r="B1279" s="76"/>
      <c r="C1279" s="73"/>
      <c r="D1279" s="83"/>
      <c r="E1279" s="84"/>
      <c r="F1279" s="85"/>
    </row>
    <row r="1280" spans="1:6" x14ac:dyDescent="0.2">
      <c r="A1280" s="746" t="s">
        <v>35</v>
      </c>
      <c r="B1280" s="747"/>
      <c r="C1280" s="747"/>
      <c r="D1280" s="747"/>
      <c r="E1280" s="747"/>
      <c r="F1280" s="748"/>
    </row>
    <row r="1281" spans="1:6" x14ac:dyDescent="0.2">
      <c r="A1281" s="64" t="s">
        <v>8</v>
      </c>
      <c r="B1281" s="64" t="s">
        <v>26</v>
      </c>
      <c r="C1281" s="64" t="s">
        <v>27</v>
      </c>
      <c r="D1281" s="64" t="s">
        <v>28</v>
      </c>
      <c r="E1281" s="64" t="s">
        <v>29</v>
      </c>
      <c r="F1281" s="64" t="s">
        <v>30</v>
      </c>
    </row>
    <row r="1282" spans="1:6" x14ac:dyDescent="0.2">
      <c r="A1282" s="65">
        <v>88631</v>
      </c>
      <c r="B1282" s="66" t="s">
        <v>11681</v>
      </c>
      <c r="C1282" s="67" t="s">
        <v>41</v>
      </c>
      <c r="D1282" s="238">
        <v>2.5000000000000001E-3</v>
      </c>
      <c r="E1282" s="174">
        <v>497.5</v>
      </c>
      <c r="F1282" s="174">
        <f>D1282*E1282</f>
        <v>1.2437500000000001</v>
      </c>
    </row>
    <row r="1283" spans="1:6" x14ac:dyDescent="0.2">
      <c r="A1283" s="65"/>
      <c r="B1283" s="216"/>
      <c r="C1283" s="113"/>
      <c r="D1283" s="265"/>
      <c r="E1283" s="174"/>
      <c r="F1283" s="174"/>
    </row>
    <row r="1284" spans="1:6" x14ac:dyDescent="0.2">
      <c r="A1284" s="65"/>
      <c r="B1284" s="87"/>
      <c r="C1284" s="88"/>
      <c r="D1284" s="89"/>
      <c r="E1284" s="174"/>
      <c r="F1284" s="174"/>
    </row>
    <row r="1285" spans="1:6" x14ac:dyDescent="0.2">
      <c r="A1285" s="79"/>
      <c r="B1285" s="76"/>
      <c r="C1285" s="73"/>
      <c r="D1285" s="80" t="s">
        <v>36</v>
      </c>
      <c r="E1285" s="81"/>
      <c r="F1285" s="101">
        <f>SUM(F1282:F1284)</f>
        <v>1.2437500000000001</v>
      </c>
    </row>
    <row r="1286" spans="1:6" x14ac:dyDescent="0.2">
      <c r="A1286" s="79"/>
      <c r="B1286" s="76"/>
      <c r="C1286" s="73"/>
      <c r="D1286" s="83"/>
      <c r="E1286" s="84"/>
      <c r="F1286" s="85"/>
    </row>
    <row r="1287" spans="1:6" x14ac:dyDescent="0.2">
      <c r="A1287" s="746" t="s">
        <v>37</v>
      </c>
      <c r="B1287" s="747"/>
      <c r="C1287" s="747"/>
      <c r="D1287" s="747"/>
      <c r="E1287" s="747"/>
      <c r="F1287" s="748"/>
    </row>
    <row r="1288" spans="1:6" x14ac:dyDescent="0.2">
      <c r="A1288" s="64" t="s">
        <v>8</v>
      </c>
      <c r="B1288" s="64" t="s">
        <v>26</v>
      </c>
      <c r="C1288" s="64" t="s">
        <v>27</v>
      </c>
      <c r="D1288" s="64" t="s">
        <v>28</v>
      </c>
      <c r="E1288" s="64" t="s">
        <v>29</v>
      </c>
      <c r="F1288" s="64" t="s">
        <v>30</v>
      </c>
    </row>
    <row r="1289" spans="1:6" x14ac:dyDescent="0.2">
      <c r="A1289" s="65"/>
      <c r="B1289" s="66"/>
      <c r="C1289" s="88"/>
      <c r="D1289" s="89"/>
      <c r="E1289" s="173"/>
      <c r="F1289" s="174"/>
    </row>
    <row r="1290" spans="1:6" x14ac:dyDescent="0.2">
      <c r="A1290" s="92"/>
      <c r="B1290" s="87"/>
      <c r="C1290" s="88"/>
      <c r="D1290" s="103"/>
      <c r="E1290" s="94"/>
      <c r="F1290" s="100"/>
    </row>
    <row r="1291" spans="1:6" x14ac:dyDescent="0.2">
      <c r="A1291" s="95"/>
      <c r="B1291" s="96"/>
      <c r="C1291" s="97"/>
      <c r="D1291" s="98"/>
      <c r="E1291" s="99"/>
      <c r="F1291" s="104"/>
    </row>
    <row r="1292" spans="1:6" x14ac:dyDescent="0.2">
      <c r="A1292" s="79"/>
      <c r="B1292" s="76"/>
      <c r="C1292" s="73"/>
      <c r="D1292" s="80" t="s">
        <v>38</v>
      </c>
      <c r="E1292" s="81"/>
      <c r="F1292" s="101">
        <f>ROUND(SUM(F1289:F1289),2)</f>
        <v>0</v>
      </c>
    </row>
    <row r="1293" spans="1:6" x14ac:dyDescent="0.2">
      <c r="A1293" s="79"/>
      <c r="B1293" s="76"/>
      <c r="C1293" s="73"/>
      <c r="D1293" s="83"/>
      <c r="E1293" s="84"/>
      <c r="F1293" s="85"/>
    </row>
    <row r="1294" spans="1:6" x14ac:dyDescent="0.2">
      <c r="A1294" s="749" t="s">
        <v>39</v>
      </c>
      <c r="B1294" s="750"/>
      <c r="C1294" s="750"/>
      <c r="D1294" s="750"/>
      <c r="E1294" s="751"/>
      <c r="F1294" s="105">
        <f>ROUND(F1278+F1285+F1292,2)</f>
        <v>7.91</v>
      </c>
    </row>
    <row r="1295" spans="1:6" ht="15.75" x14ac:dyDescent="0.2">
      <c r="A1295" s="587" t="s">
        <v>8</v>
      </c>
      <c r="B1295" s="743" t="s">
        <v>23</v>
      </c>
      <c r="C1295" s="743"/>
      <c r="D1295" s="743"/>
      <c r="E1295" s="743"/>
      <c r="F1295" s="588" t="s">
        <v>24</v>
      </c>
    </row>
    <row r="1296" spans="1:6" ht="45" customHeight="1" x14ac:dyDescent="0.2">
      <c r="A1296" s="63" t="s">
        <v>12020</v>
      </c>
      <c r="B1296" s="744" t="str">
        <f>PO!D301</f>
        <v>Luva para eletroduto, PVC, roscável, DN (3"), para circuitos terminais, instalada em parede - fornecimento e instalação.</v>
      </c>
      <c r="C1296" s="744"/>
      <c r="D1296" s="744"/>
      <c r="E1296" s="744"/>
      <c r="F1296" s="637" t="str">
        <f>PO!E301</f>
        <v>und</v>
      </c>
    </row>
    <row r="1297" spans="1:6" x14ac:dyDescent="0.2">
      <c r="A1297" s="745" t="s">
        <v>25</v>
      </c>
      <c r="B1297" s="745"/>
      <c r="C1297" s="745"/>
      <c r="D1297" s="745"/>
      <c r="E1297" s="745"/>
      <c r="F1297" s="745"/>
    </row>
    <row r="1298" spans="1:6" x14ac:dyDescent="0.2">
      <c r="A1298" s="64" t="s">
        <v>8</v>
      </c>
      <c r="B1298" s="64" t="s">
        <v>26</v>
      </c>
      <c r="C1298" s="64" t="s">
        <v>27</v>
      </c>
      <c r="D1298" s="64" t="s">
        <v>28</v>
      </c>
      <c r="E1298" s="64" t="s">
        <v>29</v>
      </c>
      <c r="F1298" s="64" t="s">
        <v>30</v>
      </c>
    </row>
    <row r="1299" spans="1:6" x14ac:dyDescent="0.2">
      <c r="A1299" s="65">
        <v>88247</v>
      </c>
      <c r="B1299" s="66" t="s">
        <v>11875</v>
      </c>
      <c r="C1299" s="67" t="s">
        <v>10945</v>
      </c>
      <c r="D1299" s="265">
        <v>0.20799999999999999</v>
      </c>
      <c r="E1299" s="174">
        <v>16.25</v>
      </c>
      <c r="F1299" s="174">
        <f>D1299*E1299</f>
        <v>3.38</v>
      </c>
    </row>
    <row r="1300" spans="1:6" x14ac:dyDescent="0.2">
      <c r="A1300" s="65">
        <v>88264</v>
      </c>
      <c r="B1300" s="66" t="s">
        <v>10976</v>
      </c>
      <c r="C1300" s="67" t="s">
        <v>10945</v>
      </c>
      <c r="D1300" s="265">
        <v>0.20799999999999999</v>
      </c>
      <c r="E1300" s="174">
        <v>21.08</v>
      </c>
      <c r="F1300" s="174">
        <f>D1300*E1300</f>
        <v>4.3846399999999992</v>
      </c>
    </row>
    <row r="1301" spans="1:6" x14ac:dyDescent="0.2">
      <c r="A1301" s="65"/>
      <c r="B1301" s="66"/>
      <c r="C1301" s="67"/>
      <c r="D1301" s="155"/>
      <c r="E1301" s="99"/>
      <c r="F1301" s="100"/>
    </row>
    <row r="1302" spans="1:6" x14ac:dyDescent="0.2">
      <c r="A1302" s="71"/>
      <c r="B1302" s="62"/>
      <c r="C1302" s="72"/>
      <c r="D1302" s="73" t="s">
        <v>31</v>
      </c>
      <c r="E1302" s="74"/>
      <c r="F1302" s="75">
        <f>F1299+F1300+F1301</f>
        <v>7.7646399999999991</v>
      </c>
    </row>
    <row r="1303" spans="1:6" x14ac:dyDescent="0.2">
      <c r="A1303" s="71"/>
      <c r="B1303" s="62"/>
      <c r="C1303" s="72"/>
      <c r="D1303" s="76" t="s">
        <v>32</v>
      </c>
      <c r="E1303" s="77"/>
      <c r="F1303" s="78">
        <f>F1302*E1303</f>
        <v>0</v>
      </c>
    </row>
    <row r="1304" spans="1:6" x14ac:dyDescent="0.2">
      <c r="A1304" s="71"/>
      <c r="B1304" s="62"/>
      <c r="C1304" s="72"/>
      <c r="D1304" s="73" t="s">
        <v>33</v>
      </c>
      <c r="E1304" s="74"/>
      <c r="F1304" s="78">
        <f>SUM(F1302:F1303)</f>
        <v>7.7646399999999991</v>
      </c>
    </row>
    <row r="1305" spans="1:6" x14ac:dyDescent="0.2">
      <c r="A1305" s="79"/>
      <c r="B1305" s="76"/>
      <c r="C1305" s="73"/>
      <c r="D1305" s="80" t="s">
        <v>34</v>
      </c>
      <c r="E1305" s="81"/>
      <c r="F1305" s="82">
        <f>F1304</f>
        <v>7.7646399999999991</v>
      </c>
    </row>
    <row r="1306" spans="1:6" x14ac:dyDescent="0.2">
      <c r="A1306" s="79"/>
      <c r="B1306" s="76"/>
      <c r="C1306" s="73"/>
      <c r="D1306" s="83"/>
      <c r="E1306" s="84"/>
      <c r="F1306" s="85"/>
    </row>
    <row r="1307" spans="1:6" x14ac:dyDescent="0.2">
      <c r="A1307" s="746" t="s">
        <v>35</v>
      </c>
      <c r="B1307" s="747"/>
      <c r="C1307" s="747"/>
      <c r="D1307" s="747"/>
      <c r="E1307" s="747"/>
      <c r="F1307" s="748"/>
    </row>
    <row r="1308" spans="1:6" x14ac:dyDescent="0.2">
      <c r="A1308" s="64" t="s">
        <v>8</v>
      </c>
      <c r="B1308" s="64" t="s">
        <v>26</v>
      </c>
      <c r="C1308" s="64" t="s">
        <v>27</v>
      </c>
      <c r="D1308" s="64" t="s">
        <v>28</v>
      </c>
      <c r="E1308" s="64" t="s">
        <v>29</v>
      </c>
      <c r="F1308" s="64" t="s">
        <v>30</v>
      </c>
    </row>
    <row r="1309" spans="1:6" x14ac:dyDescent="0.2">
      <c r="A1309" s="65">
        <v>1896</v>
      </c>
      <c r="B1309" s="66" t="s">
        <v>11880</v>
      </c>
      <c r="C1309" s="67" t="s">
        <v>18</v>
      </c>
      <c r="D1309" s="155">
        <v>1</v>
      </c>
      <c r="E1309" s="174">
        <v>12.96</v>
      </c>
      <c r="F1309" s="174">
        <f>D1309*E1309</f>
        <v>12.96</v>
      </c>
    </row>
    <row r="1310" spans="1:6" x14ac:dyDescent="0.2">
      <c r="A1310" s="65"/>
      <c r="B1310" s="216"/>
      <c r="C1310" s="113"/>
      <c r="D1310" s="265"/>
      <c r="E1310" s="174"/>
      <c r="F1310" s="174"/>
    </row>
    <row r="1311" spans="1:6" x14ac:dyDescent="0.2">
      <c r="A1311" s="65"/>
      <c r="B1311" s="66"/>
      <c r="C1311" s="67"/>
      <c r="D1311" s="155"/>
      <c r="E1311" s="174"/>
      <c r="F1311" s="174"/>
    </row>
    <row r="1312" spans="1:6" x14ac:dyDescent="0.2">
      <c r="A1312" s="79"/>
      <c r="B1312" s="76"/>
      <c r="C1312" s="73"/>
      <c r="D1312" s="80" t="s">
        <v>36</v>
      </c>
      <c r="E1312" s="81"/>
      <c r="F1312" s="101">
        <f>SUM(F1309:F1311)</f>
        <v>12.96</v>
      </c>
    </row>
    <row r="1313" spans="1:6" x14ac:dyDescent="0.2">
      <c r="A1313" s="79"/>
      <c r="B1313" s="76"/>
      <c r="C1313" s="73"/>
      <c r="D1313" s="83"/>
      <c r="E1313" s="84"/>
      <c r="F1313" s="85"/>
    </row>
    <row r="1314" spans="1:6" x14ac:dyDescent="0.2">
      <c r="A1314" s="746" t="s">
        <v>37</v>
      </c>
      <c r="B1314" s="747"/>
      <c r="C1314" s="747"/>
      <c r="D1314" s="747"/>
      <c r="E1314" s="747"/>
      <c r="F1314" s="748"/>
    </row>
    <row r="1315" spans="1:6" x14ac:dyDescent="0.2">
      <c r="A1315" s="64" t="s">
        <v>8</v>
      </c>
      <c r="B1315" s="64" t="s">
        <v>26</v>
      </c>
      <c r="C1315" s="64" t="s">
        <v>27</v>
      </c>
      <c r="D1315" s="64" t="s">
        <v>28</v>
      </c>
      <c r="E1315" s="64" t="s">
        <v>29</v>
      </c>
      <c r="F1315" s="64" t="s">
        <v>30</v>
      </c>
    </row>
    <row r="1316" spans="1:6" x14ac:dyDescent="0.2">
      <c r="A1316" s="65"/>
      <c r="B1316" s="66"/>
      <c r="C1316" s="88"/>
      <c r="D1316" s="89"/>
      <c r="E1316" s="173"/>
      <c r="F1316" s="174"/>
    </row>
    <row r="1317" spans="1:6" x14ac:dyDescent="0.2">
      <c r="A1317" s="92"/>
      <c r="B1317" s="87"/>
      <c r="C1317" s="88"/>
      <c r="D1317" s="103"/>
      <c r="E1317" s="94"/>
      <c r="F1317" s="100"/>
    </row>
    <row r="1318" spans="1:6" x14ac:dyDescent="0.2">
      <c r="A1318" s="95"/>
      <c r="B1318" s="96"/>
      <c r="C1318" s="97"/>
      <c r="D1318" s="98"/>
      <c r="E1318" s="99"/>
      <c r="F1318" s="104"/>
    </row>
    <row r="1319" spans="1:6" x14ac:dyDescent="0.2">
      <c r="A1319" s="79"/>
      <c r="B1319" s="76"/>
      <c r="C1319" s="73"/>
      <c r="D1319" s="80" t="s">
        <v>38</v>
      </c>
      <c r="E1319" s="81"/>
      <c r="F1319" s="101">
        <f>ROUND(SUM(F1316:F1316),2)</f>
        <v>0</v>
      </c>
    </row>
    <row r="1320" spans="1:6" x14ac:dyDescent="0.2">
      <c r="A1320" s="79"/>
      <c r="B1320" s="76"/>
      <c r="C1320" s="73"/>
      <c r="D1320" s="83"/>
      <c r="E1320" s="84"/>
      <c r="F1320" s="85"/>
    </row>
    <row r="1321" spans="1:6" x14ac:dyDescent="0.2">
      <c r="A1321" s="749" t="s">
        <v>39</v>
      </c>
      <c r="B1321" s="750"/>
      <c r="C1321" s="750"/>
      <c r="D1321" s="750"/>
      <c r="E1321" s="751"/>
      <c r="F1321" s="105">
        <f>ROUND(F1305+F1312+F1319,2)</f>
        <v>20.72</v>
      </c>
    </row>
    <row r="1322" spans="1:6" ht="15.75" x14ac:dyDescent="0.2">
      <c r="A1322" s="587" t="s">
        <v>8</v>
      </c>
      <c r="B1322" s="743" t="s">
        <v>23</v>
      </c>
      <c r="C1322" s="743"/>
      <c r="D1322" s="743"/>
      <c r="E1322" s="743"/>
      <c r="F1322" s="588" t="s">
        <v>24</v>
      </c>
    </row>
    <row r="1323" spans="1:6" ht="42.75" customHeight="1" x14ac:dyDescent="0.2">
      <c r="A1323" s="63" t="s">
        <v>12021</v>
      </c>
      <c r="B1323" s="744" t="str">
        <f>PO!D303</f>
        <v>Luva de emenda para eletroduto, aço galvanizado, DN 50 mm (2''), aparente, instalada em parede - fornecimento e instalação.</v>
      </c>
      <c r="C1323" s="744"/>
      <c r="D1323" s="744"/>
      <c r="E1323" s="744"/>
      <c r="F1323" s="637" t="str">
        <f>PO!E303</f>
        <v>und</v>
      </c>
    </row>
    <row r="1324" spans="1:6" x14ac:dyDescent="0.2">
      <c r="A1324" s="745" t="s">
        <v>25</v>
      </c>
      <c r="B1324" s="745"/>
      <c r="C1324" s="745"/>
      <c r="D1324" s="745"/>
      <c r="E1324" s="745"/>
      <c r="F1324" s="745"/>
    </row>
    <row r="1325" spans="1:6" x14ac:dyDescent="0.2">
      <c r="A1325" s="64" t="s">
        <v>8</v>
      </c>
      <c r="B1325" s="64" t="s">
        <v>26</v>
      </c>
      <c r="C1325" s="64" t="s">
        <v>27</v>
      </c>
      <c r="D1325" s="64" t="s">
        <v>28</v>
      </c>
      <c r="E1325" s="64" t="s">
        <v>29</v>
      </c>
      <c r="F1325" s="64" t="s">
        <v>30</v>
      </c>
    </row>
    <row r="1326" spans="1:6" x14ac:dyDescent="0.2">
      <c r="A1326" s="65">
        <v>88247</v>
      </c>
      <c r="B1326" s="66" t="s">
        <v>11875</v>
      </c>
      <c r="C1326" s="67" t="s">
        <v>10945</v>
      </c>
      <c r="D1326" s="265">
        <v>0.23219999999999999</v>
      </c>
      <c r="E1326" s="174">
        <v>16.25</v>
      </c>
      <c r="F1326" s="174">
        <f>D1326*E1326</f>
        <v>3.77325</v>
      </c>
    </row>
    <row r="1327" spans="1:6" x14ac:dyDescent="0.2">
      <c r="A1327" s="65">
        <v>88264</v>
      </c>
      <c r="B1327" s="66" t="s">
        <v>10976</v>
      </c>
      <c r="C1327" s="67" t="s">
        <v>10945</v>
      </c>
      <c r="D1327" s="265">
        <v>0.23219999999999999</v>
      </c>
      <c r="E1327" s="174">
        <v>21.08</v>
      </c>
      <c r="F1327" s="174">
        <f>D1327*E1327</f>
        <v>4.8947759999999993</v>
      </c>
    </row>
    <row r="1328" spans="1:6" x14ac:dyDescent="0.2">
      <c r="A1328" s="65"/>
      <c r="B1328" s="66"/>
      <c r="C1328" s="67"/>
      <c r="D1328" s="155"/>
      <c r="E1328" s="99"/>
      <c r="F1328" s="100"/>
    </row>
    <row r="1329" spans="1:6" x14ac:dyDescent="0.2">
      <c r="A1329" s="71"/>
      <c r="B1329" s="62"/>
      <c r="C1329" s="72"/>
      <c r="D1329" s="73" t="s">
        <v>31</v>
      </c>
      <c r="E1329" s="74"/>
      <c r="F1329" s="75">
        <f>F1326+F1327+F1328</f>
        <v>8.6680259999999993</v>
      </c>
    </row>
    <row r="1330" spans="1:6" x14ac:dyDescent="0.2">
      <c r="A1330" s="71"/>
      <c r="B1330" s="62"/>
      <c r="C1330" s="72"/>
      <c r="D1330" s="76" t="s">
        <v>32</v>
      </c>
      <c r="E1330" s="77"/>
      <c r="F1330" s="78">
        <f>F1329*E1330</f>
        <v>0</v>
      </c>
    </row>
    <row r="1331" spans="1:6" x14ac:dyDescent="0.2">
      <c r="A1331" s="71"/>
      <c r="B1331" s="62"/>
      <c r="C1331" s="72"/>
      <c r="D1331" s="73" t="s">
        <v>33</v>
      </c>
      <c r="E1331" s="74"/>
      <c r="F1331" s="78">
        <f>SUM(F1329:F1330)</f>
        <v>8.6680259999999993</v>
      </c>
    </row>
    <row r="1332" spans="1:6" x14ac:dyDescent="0.2">
      <c r="A1332" s="79"/>
      <c r="B1332" s="76"/>
      <c r="C1332" s="73"/>
      <c r="D1332" s="80" t="s">
        <v>34</v>
      </c>
      <c r="E1332" s="81"/>
      <c r="F1332" s="82">
        <f>F1331</f>
        <v>8.6680259999999993</v>
      </c>
    </row>
    <row r="1333" spans="1:6" x14ac:dyDescent="0.2">
      <c r="A1333" s="79"/>
      <c r="B1333" s="76"/>
      <c r="C1333" s="73"/>
      <c r="D1333" s="83"/>
      <c r="E1333" s="84"/>
      <c r="F1333" s="85"/>
    </row>
    <row r="1334" spans="1:6" x14ac:dyDescent="0.2">
      <c r="A1334" s="746" t="s">
        <v>35</v>
      </c>
      <c r="B1334" s="747"/>
      <c r="C1334" s="747"/>
      <c r="D1334" s="747"/>
      <c r="E1334" s="747"/>
      <c r="F1334" s="748"/>
    </row>
    <row r="1335" spans="1:6" x14ac:dyDescent="0.2">
      <c r="A1335" s="64" t="s">
        <v>8</v>
      </c>
      <c r="B1335" s="64" t="s">
        <v>26</v>
      </c>
      <c r="C1335" s="64" t="s">
        <v>27</v>
      </c>
      <c r="D1335" s="64" t="s">
        <v>28</v>
      </c>
      <c r="E1335" s="64" t="s">
        <v>29</v>
      </c>
      <c r="F1335" s="64" t="s">
        <v>30</v>
      </c>
    </row>
    <row r="1336" spans="1:6" ht="22.5" x14ac:dyDescent="0.2">
      <c r="A1336" s="65">
        <v>2643</v>
      </c>
      <c r="B1336" s="216" t="s">
        <v>11881</v>
      </c>
      <c r="C1336" s="67" t="s">
        <v>18</v>
      </c>
      <c r="D1336" s="155">
        <v>1</v>
      </c>
      <c r="E1336" s="174">
        <v>7.09</v>
      </c>
      <c r="F1336" s="174">
        <f>D1336*E1336</f>
        <v>7.09</v>
      </c>
    </row>
    <row r="1337" spans="1:6" x14ac:dyDescent="0.2">
      <c r="A1337" s="65"/>
      <c r="B1337" s="216"/>
      <c r="C1337" s="113"/>
      <c r="D1337" s="265"/>
      <c r="E1337" s="174"/>
      <c r="F1337" s="174"/>
    </row>
    <row r="1338" spans="1:6" x14ac:dyDescent="0.2">
      <c r="A1338" s="65"/>
      <c r="B1338" s="66"/>
      <c r="C1338" s="67"/>
      <c r="D1338" s="155"/>
      <c r="E1338" s="174"/>
      <c r="F1338" s="174"/>
    </row>
    <row r="1339" spans="1:6" x14ac:dyDescent="0.2">
      <c r="A1339" s="79"/>
      <c r="B1339" s="76"/>
      <c r="C1339" s="73"/>
      <c r="D1339" s="80" t="s">
        <v>36</v>
      </c>
      <c r="E1339" s="81"/>
      <c r="F1339" s="101">
        <f>SUM(F1336:F1338)</f>
        <v>7.09</v>
      </c>
    </row>
    <row r="1340" spans="1:6" x14ac:dyDescent="0.2">
      <c r="A1340" s="79"/>
      <c r="B1340" s="76"/>
      <c r="C1340" s="73"/>
      <c r="D1340" s="83"/>
      <c r="E1340" s="84"/>
      <c r="F1340" s="85"/>
    </row>
    <row r="1341" spans="1:6" x14ac:dyDescent="0.2">
      <c r="A1341" s="746" t="s">
        <v>37</v>
      </c>
      <c r="B1341" s="747"/>
      <c r="C1341" s="747"/>
      <c r="D1341" s="747"/>
      <c r="E1341" s="747"/>
      <c r="F1341" s="748"/>
    </row>
    <row r="1342" spans="1:6" x14ac:dyDescent="0.2">
      <c r="A1342" s="64" t="s">
        <v>8</v>
      </c>
      <c r="B1342" s="64" t="s">
        <v>26</v>
      </c>
      <c r="C1342" s="64" t="s">
        <v>27</v>
      </c>
      <c r="D1342" s="64" t="s">
        <v>28</v>
      </c>
      <c r="E1342" s="64" t="s">
        <v>29</v>
      </c>
      <c r="F1342" s="64" t="s">
        <v>30</v>
      </c>
    </row>
    <row r="1343" spans="1:6" x14ac:dyDescent="0.2">
      <c r="A1343" s="65"/>
      <c r="B1343" s="66"/>
      <c r="C1343" s="88"/>
      <c r="D1343" s="89"/>
      <c r="E1343" s="173"/>
      <c r="F1343" s="174"/>
    </row>
    <row r="1344" spans="1:6" x14ac:dyDescent="0.2">
      <c r="A1344" s="92"/>
      <c r="B1344" s="87"/>
      <c r="C1344" s="88"/>
      <c r="D1344" s="103"/>
      <c r="E1344" s="94"/>
      <c r="F1344" s="100"/>
    </row>
    <row r="1345" spans="1:6" x14ac:dyDescent="0.2">
      <c r="A1345" s="95"/>
      <c r="B1345" s="96"/>
      <c r="C1345" s="97"/>
      <c r="D1345" s="98"/>
      <c r="E1345" s="99"/>
      <c r="F1345" s="104"/>
    </row>
    <row r="1346" spans="1:6" x14ac:dyDescent="0.2">
      <c r="A1346" s="79"/>
      <c r="B1346" s="76"/>
      <c r="C1346" s="73"/>
      <c r="D1346" s="80" t="s">
        <v>38</v>
      </c>
      <c r="E1346" s="81"/>
      <c r="F1346" s="101">
        <f>ROUND(SUM(F1343:F1343),2)</f>
        <v>0</v>
      </c>
    </row>
    <row r="1347" spans="1:6" x14ac:dyDescent="0.2">
      <c r="A1347" s="79"/>
      <c r="B1347" s="76"/>
      <c r="C1347" s="73"/>
      <c r="D1347" s="83"/>
      <c r="E1347" s="84"/>
      <c r="F1347" s="85"/>
    </row>
    <row r="1348" spans="1:6" x14ac:dyDescent="0.2">
      <c r="A1348" s="749" t="s">
        <v>39</v>
      </c>
      <c r="B1348" s="750"/>
      <c r="C1348" s="750"/>
      <c r="D1348" s="750"/>
      <c r="E1348" s="751"/>
      <c r="F1348" s="105">
        <f>ROUND(F1332+F1339+F1346,2)</f>
        <v>15.76</v>
      </c>
    </row>
    <row r="1349" spans="1:6" ht="15.75" x14ac:dyDescent="0.2">
      <c r="A1349" s="587" t="s">
        <v>8</v>
      </c>
      <c r="B1349" s="743" t="s">
        <v>23</v>
      </c>
      <c r="C1349" s="743"/>
      <c r="D1349" s="743"/>
      <c r="E1349" s="743"/>
      <c r="F1349" s="588" t="s">
        <v>24</v>
      </c>
    </row>
    <row r="1350" spans="1:6" ht="32.25" customHeight="1" x14ac:dyDescent="0.2">
      <c r="A1350" s="63" t="s">
        <v>12022</v>
      </c>
      <c r="B1350" s="744" t="str">
        <f>PO!D343</f>
        <v>Tomada de sobrepor (1 módulo), 2P+T 10 A, incluindo suporte e placa - fornecimento e instalação.</v>
      </c>
      <c r="C1350" s="744"/>
      <c r="D1350" s="744"/>
      <c r="E1350" s="744"/>
      <c r="F1350" s="107" t="str">
        <f>PO!E343</f>
        <v>unid.</v>
      </c>
    </row>
    <row r="1351" spans="1:6" x14ac:dyDescent="0.2">
      <c r="A1351" s="745" t="s">
        <v>25</v>
      </c>
      <c r="B1351" s="745"/>
      <c r="C1351" s="745"/>
      <c r="D1351" s="745"/>
      <c r="E1351" s="745"/>
      <c r="F1351" s="745"/>
    </row>
    <row r="1352" spans="1:6" x14ac:dyDescent="0.2">
      <c r="A1352" s="64" t="s">
        <v>8</v>
      </c>
      <c r="B1352" s="64" t="s">
        <v>26</v>
      </c>
      <c r="C1352" s="64" t="s">
        <v>27</v>
      </c>
      <c r="D1352" s="64" t="s">
        <v>28</v>
      </c>
      <c r="E1352" s="64" t="s">
        <v>29</v>
      </c>
      <c r="F1352" s="64" t="s">
        <v>30</v>
      </c>
    </row>
    <row r="1353" spans="1:6" x14ac:dyDescent="0.2">
      <c r="A1353" s="65">
        <v>88247</v>
      </c>
      <c r="B1353" s="66" t="s">
        <v>11875</v>
      </c>
      <c r="C1353" s="67" t="s">
        <v>10945</v>
      </c>
      <c r="D1353" s="265">
        <v>0.23499999999999999</v>
      </c>
      <c r="E1353" s="174">
        <v>16.25</v>
      </c>
      <c r="F1353" s="174">
        <f>D1353*E1353</f>
        <v>3.8187499999999996</v>
      </c>
    </row>
    <row r="1354" spans="1:6" x14ac:dyDescent="0.2">
      <c r="A1354" s="65">
        <v>88264</v>
      </c>
      <c r="B1354" s="66" t="s">
        <v>10976</v>
      </c>
      <c r="C1354" s="67" t="s">
        <v>10945</v>
      </c>
      <c r="D1354" s="265">
        <v>0.23499999999999999</v>
      </c>
      <c r="E1354" s="174">
        <v>21.08</v>
      </c>
      <c r="F1354" s="174">
        <f>D1354*E1354</f>
        <v>4.9537999999999993</v>
      </c>
    </row>
    <row r="1355" spans="1:6" x14ac:dyDescent="0.2">
      <c r="A1355" s="65"/>
      <c r="B1355" s="66"/>
      <c r="C1355" s="67"/>
      <c r="D1355" s="155"/>
      <c r="E1355" s="99"/>
      <c r="F1355" s="100"/>
    </row>
    <row r="1356" spans="1:6" x14ac:dyDescent="0.2">
      <c r="A1356" s="71"/>
      <c r="B1356" s="62"/>
      <c r="C1356" s="72"/>
      <c r="D1356" s="73" t="s">
        <v>31</v>
      </c>
      <c r="E1356" s="74"/>
      <c r="F1356" s="75">
        <f>F1353+F1354+F1355</f>
        <v>8.772549999999999</v>
      </c>
    </row>
    <row r="1357" spans="1:6" x14ac:dyDescent="0.2">
      <c r="A1357" s="71"/>
      <c r="B1357" s="62"/>
      <c r="C1357" s="72"/>
      <c r="D1357" s="76" t="s">
        <v>32</v>
      </c>
      <c r="E1357" s="77"/>
      <c r="F1357" s="78">
        <f>F1356*E1357</f>
        <v>0</v>
      </c>
    </row>
    <row r="1358" spans="1:6" x14ac:dyDescent="0.2">
      <c r="A1358" s="71"/>
      <c r="B1358" s="62"/>
      <c r="C1358" s="72"/>
      <c r="D1358" s="73" t="s">
        <v>33</v>
      </c>
      <c r="E1358" s="74"/>
      <c r="F1358" s="78">
        <f>SUM(F1356:F1357)</f>
        <v>8.772549999999999</v>
      </c>
    </row>
    <row r="1359" spans="1:6" x14ac:dyDescent="0.2">
      <c r="A1359" s="79"/>
      <c r="B1359" s="76"/>
      <c r="C1359" s="73"/>
      <c r="D1359" s="80" t="s">
        <v>34</v>
      </c>
      <c r="E1359" s="81"/>
      <c r="F1359" s="82">
        <f>F1358</f>
        <v>8.772549999999999</v>
      </c>
    </row>
    <row r="1360" spans="1:6" x14ac:dyDescent="0.2">
      <c r="A1360" s="79"/>
      <c r="B1360" s="76"/>
      <c r="C1360" s="73"/>
      <c r="D1360" s="83"/>
      <c r="E1360" s="84"/>
      <c r="F1360" s="85"/>
    </row>
    <row r="1361" spans="1:6" x14ac:dyDescent="0.2">
      <c r="A1361" s="746" t="s">
        <v>35</v>
      </c>
      <c r="B1361" s="747"/>
      <c r="C1361" s="747"/>
      <c r="D1361" s="747"/>
      <c r="E1361" s="747"/>
      <c r="F1361" s="748"/>
    </row>
    <row r="1362" spans="1:6" x14ac:dyDescent="0.2">
      <c r="A1362" s="64" t="s">
        <v>8</v>
      </c>
      <c r="B1362" s="64" t="s">
        <v>26</v>
      </c>
      <c r="C1362" s="64" t="s">
        <v>27</v>
      </c>
      <c r="D1362" s="64" t="s">
        <v>28</v>
      </c>
      <c r="E1362" s="64" t="s">
        <v>29</v>
      </c>
      <c r="F1362" s="64" t="s">
        <v>30</v>
      </c>
    </row>
    <row r="1363" spans="1:6" ht="22.5" x14ac:dyDescent="0.2">
      <c r="A1363" s="65">
        <v>91946</v>
      </c>
      <c r="B1363" s="216" t="s">
        <v>11934</v>
      </c>
      <c r="C1363" s="67" t="s">
        <v>18</v>
      </c>
      <c r="D1363" s="155">
        <v>1</v>
      </c>
      <c r="E1363" s="174">
        <v>6.45</v>
      </c>
      <c r="F1363" s="174">
        <f>D1363*E1363</f>
        <v>6.45</v>
      </c>
    </row>
    <row r="1364" spans="1:6" ht="22.5" x14ac:dyDescent="0.2">
      <c r="A1364" s="65">
        <v>12147</v>
      </c>
      <c r="B1364" s="216" t="s">
        <v>11935</v>
      </c>
      <c r="C1364" s="67" t="s">
        <v>18</v>
      </c>
      <c r="D1364" s="155">
        <v>1</v>
      </c>
      <c r="E1364" s="174">
        <v>12.2</v>
      </c>
      <c r="F1364" s="174">
        <f>D1364*E1364</f>
        <v>12.2</v>
      </c>
    </row>
    <row r="1365" spans="1:6" x14ac:dyDescent="0.2">
      <c r="A1365" s="65"/>
      <c r="B1365" s="66"/>
      <c r="C1365" s="67"/>
      <c r="D1365" s="155"/>
      <c r="E1365" s="174"/>
      <c r="F1365" s="174"/>
    </row>
    <row r="1366" spans="1:6" x14ac:dyDescent="0.2">
      <c r="A1366" s="79"/>
      <c r="B1366" s="76"/>
      <c r="C1366" s="73"/>
      <c r="D1366" s="80" t="s">
        <v>36</v>
      </c>
      <c r="E1366" s="81"/>
      <c r="F1366" s="101">
        <f>SUM(F1363:F1365)</f>
        <v>18.649999999999999</v>
      </c>
    </row>
    <row r="1367" spans="1:6" x14ac:dyDescent="0.2">
      <c r="A1367" s="79"/>
      <c r="B1367" s="76"/>
      <c r="C1367" s="73"/>
      <c r="D1367" s="83"/>
      <c r="E1367" s="84"/>
      <c r="F1367" s="85"/>
    </row>
    <row r="1368" spans="1:6" x14ac:dyDescent="0.2">
      <c r="A1368" s="746" t="s">
        <v>37</v>
      </c>
      <c r="B1368" s="747"/>
      <c r="C1368" s="747"/>
      <c r="D1368" s="747"/>
      <c r="E1368" s="747"/>
      <c r="F1368" s="748"/>
    </row>
    <row r="1369" spans="1:6" x14ac:dyDescent="0.2">
      <c r="A1369" s="64" t="s">
        <v>8</v>
      </c>
      <c r="B1369" s="64" t="s">
        <v>26</v>
      </c>
      <c r="C1369" s="64" t="s">
        <v>27</v>
      </c>
      <c r="D1369" s="64" t="s">
        <v>28</v>
      </c>
      <c r="E1369" s="64" t="s">
        <v>29</v>
      </c>
      <c r="F1369" s="64" t="s">
        <v>30</v>
      </c>
    </row>
    <row r="1370" spans="1:6" x14ac:dyDescent="0.2">
      <c r="A1370" s="65"/>
      <c r="B1370" s="66"/>
      <c r="C1370" s="88"/>
      <c r="D1370" s="89"/>
      <c r="E1370" s="173"/>
      <c r="F1370" s="174"/>
    </row>
    <row r="1371" spans="1:6" x14ac:dyDescent="0.2">
      <c r="A1371" s="92"/>
      <c r="B1371" s="87"/>
      <c r="C1371" s="88"/>
      <c r="D1371" s="103"/>
      <c r="E1371" s="94"/>
      <c r="F1371" s="100"/>
    </row>
    <row r="1372" spans="1:6" x14ac:dyDescent="0.2">
      <c r="A1372" s="95"/>
      <c r="B1372" s="96"/>
      <c r="C1372" s="97"/>
      <c r="D1372" s="98"/>
      <c r="E1372" s="99"/>
      <c r="F1372" s="104"/>
    </row>
    <row r="1373" spans="1:6" x14ac:dyDescent="0.2">
      <c r="A1373" s="79"/>
      <c r="B1373" s="76"/>
      <c r="C1373" s="73"/>
      <c r="D1373" s="80" t="s">
        <v>38</v>
      </c>
      <c r="E1373" s="81"/>
      <c r="F1373" s="101">
        <f>ROUND(SUM(F1370:F1370),2)</f>
        <v>0</v>
      </c>
    </row>
    <row r="1374" spans="1:6" x14ac:dyDescent="0.2">
      <c r="A1374" s="79"/>
      <c r="B1374" s="76"/>
      <c r="C1374" s="73"/>
      <c r="D1374" s="83"/>
      <c r="E1374" s="84"/>
      <c r="F1374" s="85"/>
    </row>
    <row r="1375" spans="1:6" x14ac:dyDescent="0.2">
      <c r="A1375" s="749" t="s">
        <v>39</v>
      </c>
      <c r="B1375" s="750"/>
      <c r="C1375" s="750"/>
      <c r="D1375" s="750"/>
      <c r="E1375" s="751"/>
      <c r="F1375" s="105">
        <f>ROUND(F1359+F1366+F1373,2)</f>
        <v>27.42</v>
      </c>
    </row>
    <row r="1376" spans="1:6" ht="15.75" x14ac:dyDescent="0.2">
      <c r="A1376" s="587" t="s">
        <v>8</v>
      </c>
      <c r="B1376" s="743" t="s">
        <v>23</v>
      </c>
      <c r="C1376" s="743"/>
      <c r="D1376" s="743"/>
      <c r="E1376" s="743"/>
      <c r="F1376" s="588" t="s">
        <v>24</v>
      </c>
    </row>
    <row r="1377" spans="1:6" ht="15" customHeight="1" x14ac:dyDescent="0.2">
      <c r="A1377" s="63" t="s">
        <v>12023</v>
      </c>
      <c r="B1377" s="744" t="str">
        <f>PO!D352</f>
        <v>Disjuntor DIN tripolar termomagnético de 70A - fornecimento e instalação</v>
      </c>
      <c r="C1377" s="744"/>
      <c r="D1377" s="744"/>
      <c r="E1377" s="744"/>
      <c r="F1377" s="107" t="str">
        <f>PO!E352</f>
        <v>unid</v>
      </c>
    </row>
    <row r="1378" spans="1:6" x14ac:dyDescent="0.2">
      <c r="A1378" s="745" t="s">
        <v>25</v>
      </c>
      <c r="B1378" s="745"/>
      <c r="C1378" s="745"/>
      <c r="D1378" s="745"/>
      <c r="E1378" s="745"/>
      <c r="F1378" s="745"/>
    </row>
    <row r="1379" spans="1:6" x14ac:dyDescent="0.2">
      <c r="A1379" s="64" t="s">
        <v>8</v>
      </c>
      <c r="B1379" s="64" t="s">
        <v>26</v>
      </c>
      <c r="C1379" s="64" t="s">
        <v>27</v>
      </c>
      <c r="D1379" s="64" t="s">
        <v>28</v>
      </c>
      <c r="E1379" s="64" t="s">
        <v>29</v>
      </c>
      <c r="F1379" s="64" t="s">
        <v>30</v>
      </c>
    </row>
    <row r="1380" spans="1:6" x14ac:dyDescent="0.2">
      <c r="A1380" s="65">
        <v>88247</v>
      </c>
      <c r="B1380" s="66" t="s">
        <v>11875</v>
      </c>
      <c r="C1380" s="67" t="s">
        <v>10945</v>
      </c>
      <c r="D1380" s="265">
        <v>0.4</v>
      </c>
      <c r="E1380" s="174">
        <v>16.25</v>
      </c>
      <c r="F1380" s="174">
        <f>D1380*E1380</f>
        <v>6.5</v>
      </c>
    </row>
    <row r="1381" spans="1:6" x14ac:dyDescent="0.2">
      <c r="A1381" s="65">
        <v>88264</v>
      </c>
      <c r="B1381" s="66" t="s">
        <v>10976</v>
      </c>
      <c r="C1381" s="67" t="s">
        <v>10945</v>
      </c>
      <c r="D1381" s="265">
        <v>0.4</v>
      </c>
      <c r="E1381" s="174">
        <v>21.08</v>
      </c>
      <c r="F1381" s="174">
        <f>D1381*E1381</f>
        <v>8.4320000000000004</v>
      </c>
    </row>
    <row r="1382" spans="1:6" x14ac:dyDescent="0.2">
      <c r="A1382" s="65"/>
      <c r="B1382" s="66"/>
      <c r="C1382" s="67"/>
      <c r="D1382" s="155"/>
      <c r="E1382" s="99"/>
      <c r="F1382" s="100"/>
    </row>
    <row r="1383" spans="1:6" x14ac:dyDescent="0.2">
      <c r="A1383" s="71"/>
      <c r="B1383" s="62"/>
      <c r="C1383" s="72"/>
      <c r="D1383" s="73" t="s">
        <v>31</v>
      </c>
      <c r="E1383" s="74"/>
      <c r="F1383" s="75">
        <f>F1380+F1381+F1382</f>
        <v>14.932</v>
      </c>
    </row>
    <row r="1384" spans="1:6" x14ac:dyDescent="0.2">
      <c r="A1384" s="71"/>
      <c r="B1384" s="62"/>
      <c r="C1384" s="72"/>
      <c r="D1384" s="76" t="s">
        <v>32</v>
      </c>
      <c r="E1384" s="77"/>
      <c r="F1384" s="78">
        <f>F1383*E1384</f>
        <v>0</v>
      </c>
    </row>
    <row r="1385" spans="1:6" x14ac:dyDescent="0.2">
      <c r="A1385" s="71"/>
      <c r="B1385" s="62"/>
      <c r="C1385" s="72"/>
      <c r="D1385" s="73" t="s">
        <v>33</v>
      </c>
      <c r="E1385" s="74"/>
      <c r="F1385" s="78">
        <f>SUM(F1383:F1384)</f>
        <v>14.932</v>
      </c>
    </row>
    <row r="1386" spans="1:6" x14ac:dyDescent="0.2">
      <c r="A1386" s="79"/>
      <c r="B1386" s="76"/>
      <c r="C1386" s="73"/>
      <c r="D1386" s="80" t="s">
        <v>34</v>
      </c>
      <c r="E1386" s="81"/>
      <c r="F1386" s="82">
        <f>F1385</f>
        <v>14.932</v>
      </c>
    </row>
    <row r="1387" spans="1:6" x14ac:dyDescent="0.2">
      <c r="A1387" s="79"/>
      <c r="B1387" s="76"/>
      <c r="C1387" s="73"/>
      <c r="D1387" s="83"/>
      <c r="E1387" s="84"/>
      <c r="F1387" s="85"/>
    </row>
    <row r="1388" spans="1:6" x14ac:dyDescent="0.2">
      <c r="A1388" s="746" t="s">
        <v>35</v>
      </c>
      <c r="B1388" s="747"/>
      <c r="C1388" s="747"/>
      <c r="D1388" s="747"/>
      <c r="E1388" s="747"/>
      <c r="F1388" s="748"/>
    </row>
    <row r="1389" spans="1:6" x14ac:dyDescent="0.2">
      <c r="A1389" s="64" t="s">
        <v>8</v>
      </c>
      <c r="B1389" s="64" t="s">
        <v>26</v>
      </c>
      <c r="C1389" s="64" t="s">
        <v>27</v>
      </c>
      <c r="D1389" s="64" t="s">
        <v>28</v>
      </c>
      <c r="E1389" s="64" t="s">
        <v>29</v>
      </c>
      <c r="F1389" s="64" t="s">
        <v>30</v>
      </c>
    </row>
    <row r="1390" spans="1:6" x14ac:dyDescent="0.2">
      <c r="A1390" s="624" t="s">
        <v>11951</v>
      </c>
      <c r="B1390" s="682" t="s">
        <v>11943</v>
      </c>
      <c r="C1390" s="683" t="s">
        <v>18</v>
      </c>
      <c r="D1390" s="684">
        <v>1</v>
      </c>
      <c r="E1390" s="681">
        <f>Cotações!K11</f>
        <v>36.326666666666661</v>
      </c>
      <c r="F1390" s="174">
        <f>D1390*E1390</f>
        <v>36.326666666666661</v>
      </c>
    </row>
    <row r="1391" spans="1:6" x14ac:dyDescent="0.2">
      <c r="A1391" s="65"/>
      <c r="B1391" s="216"/>
      <c r="C1391" s="67"/>
      <c r="D1391" s="155"/>
      <c r="E1391" s="174"/>
      <c r="F1391" s="174"/>
    </row>
    <row r="1392" spans="1:6" x14ac:dyDescent="0.2">
      <c r="A1392" s="65"/>
      <c r="B1392" s="66"/>
      <c r="C1392" s="67"/>
      <c r="D1392" s="155"/>
      <c r="E1392" s="174"/>
      <c r="F1392" s="174"/>
    </row>
    <row r="1393" spans="1:6" x14ac:dyDescent="0.2">
      <c r="A1393" s="79"/>
      <c r="B1393" s="76"/>
      <c r="C1393" s="73"/>
      <c r="D1393" s="80" t="s">
        <v>36</v>
      </c>
      <c r="E1393" s="81"/>
      <c r="F1393" s="101">
        <f>SUM(F1390:F1392)</f>
        <v>36.326666666666661</v>
      </c>
    </row>
    <row r="1394" spans="1:6" x14ac:dyDescent="0.2">
      <c r="A1394" s="79"/>
      <c r="B1394" s="76"/>
      <c r="C1394" s="73"/>
      <c r="D1394" s="83"/>
      <c r="E1394" s="84"/>
      <c r="F1394" s="85"/>
    </row>
    <row r="1395" spans="1:6" x14ac:dyDescent="0.2">
      <c r="A1395" s="746" t="s">
        <v>37</v>
      </c>
      <c r="B1395" s="747"/>
      <c r="C1395" s="747"/>
      <c r="D1395" s="747"/>
      <c r="E1395" s="747"/>
      <c r="F1395" s="748"/>
    </row>
    <row r="1396" spans="1:6" x14ac:dyDescent="0.2">
      <c r="A1396" s="64" t="s">
        <v>8</v>
      </c>
      <c r="B1396" s="64" t="s">
        <v>26</v>
      </c>
      <c r="C1396" s="64" t="s">
        <v>27</v>
      </c>
      <c r="D1396" s="64" t="s">
        <v>28</v>
      </c>
      <c r="E1396" s="64" t="s">
        <v>29</v>
      </c>
      <c r="F1396" s="64" t="s">
        <v>30</v>
      </c>
    </row>
    <row r="1397" spans="1:6" x14ac:dyDescent="0.2">
      <c r="A1397" s="65"/>
      <c r="B1397" s="66"/>
      <c r="C1397" s="88"/>
      <c r="D1397" s="89"/>
      <c r="E1397" s="173"/>
      <c r="F1397" s="174"/>
    </row>
    <row r="1398" spans="1:6" x14ac:dyDescent="0.2">
      <c r="A1398" s="92"/>
      <c r="B1398" s="87"/>
      <c r="C1398" s="88"/>
      <c r="D1398" s="103"/>
      <c r="E1398" s="94"/>
      <c r="F1398" s="100"/>
    </row>
    <row r="1399" spans="1:6" x14ac:dyDescent="0.2">
      <c r="A1399" s="95"/>
      <c r="B1399" s="96"/>
      <c r="C1399" s="97"/>
      <c r="D1399" s="98"/>
      <c r="E1399" s="99"/>
      <c r="F1399" s="104"/>
    </row>
    <row r="1400" spans="1:6" x14ac:dyDescent="0.2">
      <c r="A1400" s="79"/>
      <c r="B1400" s="76"/>
      <c r="C1400" s="73"/>
      <c r="D1400" s="80" t="s">
        <v>38</v>
      </c>
      <c r="E1400" s="81"/>
      <c r="F1400" s="101">
        <f>ROUND(SUM(F1397:F1397),2)</f>
        <v>0</v>
      </c>
    </row>
    <row r="1401" spans="1:6" x14ac:dyDescent="0.2">
      <c r="A1401" s="79"/>
      <c r="B1401" s="76"/>
      <c r="C1401" s="73"/>
      <c r="D1401" s="83"/>
      <c r="E1401" s="84"/>
      <c r="F1401" s="85"/>
    </row>
    <row r="1402" spans="1:6" x14ac:dyDescent="0.2">
      <c r="A1402" s="749" t="s">
        <v>39</v>
      </c>
      <c r="B1402" s="750"/>
      <c r="C1402" s="750"/>
      <c r="D1402" s="750"/>
      <c r="E1402" s="751"/>
      <c r="F1402" s="105">
        <f>ROUND(F1386+F1393+F1400,2)</f>
        <v>51.26</v>
      </c>
    </row>
    <row r="1403" spans="1:6" ht="15.75" x14ac:dyDescent="0.2">
      <c r="A1403" s="587" t="s">
        <v>8</v>
      </c>
      <c r="B1403" s="743" t="s">
        <v>23</v>
      </c>
      <c r="C1403" s="743"/>
      <c r="D1403" s="743"/>
      <c r="E1403" s="743"/>
      <c r="F1403" s="588" t="s">
        <v>24</v>
      </c>
    </row>
    <row r="1404" spans="1:6" ht="15" customHeight="1" x14ac:dyDescent="0.2">
      <c r="A1404" s="63" t="s">
        <v>12024</v>
      </c>
      <c r="B1404" s="744" t="str">
        <f>PO!D353</f>
        <v>Disjuntor DIN tripolar termomagnético de 150A - fornecimento e instalação</v>
      </c>
      <c r="C1404" s="744"/>
      <c r="D1404" s="744"/>
      <c r="E1404" s="744"/>
      <c r="F1404" s="107" t="str">
        <f>PO!E353</f>
        <v>unid</v>
      </c>
    </row>
    <row r="1405" spans="1:6" x14ac:dyDescent="0.2">
      <c r="A1405" s="745" t="s">
        <v>25</v>
      </c>
      <c r="B1405" s="745"/>
      <c r="C1405" s="745"/>
      <c r="D1405" s="745"/>
      <c r="E1405" s="745"/>
      <c r="F1405" s="745"/>
    </row>
    <row r="1406" spans="1:6" x14ac:dyDescent="0.2">
      <c r="A1406" s="64" t="s">
        <v>8</v>
      </c>
      <c r="B1406" s="64" t="s">
        <v>26</v>
      </c>
      <c r="C1406" s="64" t="s">
        <v>27</v>
      </c>
      <c r="D1406" s="64" t="s">
        <v>28</v>
      </c>
      <c r="E1406" s="64" t="s">
        <v>29</v>
      </c>
      <c r="F1406" s="64" t="s">
        <v>30</v>
      </c>
    </row>
    <row r="1407" spans="1:6" x14ac:dyDescent="0.2">
      <c r="A1407" s="65">
        <v>88247</v>
      </c>
      <c r="B1407" s="66" t="s">
        <v>11875</v>
      </c>
      <c r="C1407" s="67" t="s">
        <v>10945</v>
      </c>
      <c r="D1407" s="265">
        <v>0.4</v>
      </c>
      <c r="E1407" s="174">
        <v>16.25</v>
      </c>
      <c r="F1407" s="174">
        <f>D1407*E1407</f>
        <v>6.5</v>
      </c>
    </row>
    <row r="1408" spans="1:6" x14ac:dyDescent="0.2">
      <c r="A1408" s="65">
        <v>88264</v>
      </c>
      <c r="B1408" s="66" t="s">
        <v>10976</v>
      </c>
      <c r="C1408" s="67" t="s">
        <v>10945</v>
      </c>
      <c r="D1408" s="265">
        <v>0.4</v>
      </c>
      <c r="E1408" s="174">
        <v>21.08</v>
      </c>
      <c r="F1408" s="174">
        <f>D1408*E1408</f>
        <v>8.4320000000000004</v>
      </c>
    </row>
    <row r="1409" spans="1:6" x14ac:dyDescent="0.2">
      <c r="A1409" s="65"/>
      <c r="B1409" s="66"/>
      <c r="C1409" s="67"/>
      <c r="D1409" s="155"/>
      <c r="E1409" s="99"/>
      <c r="F1409" s="100"/>
    </row>
    <row r="1410" spans="1:6" x14ac:dyDescent="0.2">
      <c r="A1410" s="71"/>
      <c r="B1410" s="62"/>
      <c r="C1410" s="72"/>
      <c r="D1410" s="73" t="s">
        <v>31</v>
      </c>
      <c r="E1410" s="74"/>
      <c r="F1410" s="75">
        <f>F1407+F1408+F1409</f>
        <v>14.932</v>
      </c>
    </row>
    <row r="1411" spans="1:6" x14ac:dyDescent="0.2">
      <c r="A1411" s="71"/>
      <c r="B1411" s="62"/>
      <c r="C1411" s="72"/>
      <c r="D1411" s="76" t="s">
        <v>32</v>
      </c>
      <c r="E1411" s="77"/>
      <c r="F1411" s="78">
        <f>F1410*E1411</f>
        <v>0</v>
      </c>
    </row>
    <row r="1412" spans="1:6" x14ac:dyDescent="0.2">
      <c r="A1412" s="71"/>
      <c r="B1412" s="62"/>
      <c r="C1412" s="72"/>
      <c r="D1412" s="73" t="s">
        <v>33</v>
      </c>
      <c r="E1412" s="74"/>
      <c r="F1412" s="78">
        <f>SUM(F1410:F1411)</f>
        <v>14.932</v>
      </c>
    </row>
    <row r="1413" spans="1:6" x14ac:dyDescent="0.2">
      <c r="A1413" s="79"/>
      <c r="B1413" s="76"/>
      <c r="C1413" s="73"/>
      <c r="D1413" s="80" t="s">
        <v>34</v>
      </c>
      <c r="E1413" s="81"/>
      <c r="F1413" s="82">
        <f>F1412</f>
        <v>14.932</v>
      </c>
    </row>
    <row r="1414" spans="1:6" x14ac:dyDescent="0.2">
      <c r="A1414" s="79"/>
      <c r="B1414" s="76"/>
      <c r="C1414" s="73"/>
      <c r="D1414" s="83"/>
      <c r="E1414" s="84"/>
      <c r="F1414" s="85"/>
    </row>
    <row r="1415" spans="1:6" x14ac:dyDescent="0.2">
      <c r="A1415" s="746" t="s">
        <v>35</v>
      </c>
      <c r="B1415" s="747"/>
      <c r="C1415" s="747"/>
      <c r="D1415" s="747"/>
      <c r="E1415" s="747"/>
      <c r="F1415" s="748"/>
    </row>
    <row r="1416" spans="1:6" x14ac:dyDescent="0.2">
      <c r="A1416" s="64" t="s">
        <v>8</v>
      </c>
      <c r="B1416" s="64" t="s">
        <v>26</v>
      </c>
      <c r="C1416" s="64" t="s">
        <v>27</v>
      </c>
      <c r="D1416" s="64" t="s">
        <v>28</v>
      </c>
      <c r="E1416" s="64" t="s">
        <v>29</v>
      </c>
      <c r="F1416" s="64" t="s">
        <v>30</v>
      </c>
    </row>
    <row r="1417" spans="1:6" x14ac:dyDescent="0.2">
      <c r="A1417" s="624" t="s">
        <v>11942</v>
      </c>
      <c r="B1417" s="682" t="s">
        <v>11957</v>
      </c>
      <c r="C1417" s="683" t="s">
        <v>18</v>
      </c>
      <c r="D1417" s="684">
        <v>1</v>
      </c>
      <c r="E1417" s="681">
        <f>Cotações!K12</f>
        <v>234.94333333333336</v>
      </c>
      <c r="F1417" s="174">
        <f>D1417*E1417</f>
        <v>234.94333333333336</v>
      </c>
    </row>
    <row r="1418" spans="1:6" x14ac:dyDescent="0.2">
      <c r="A1418" s="624"/>
      <c r="B1418" s="628"/>
      <c r="C1418" s="683"/>
      <c r="D1418" s="684"/>
      <c r="E1418" s="685"/>
      <c r="F1418" s="616"/>
    </row>
    <row r="1419" spans="1:6" x14ac:dyDescent="0.2">
      <c r="A1419" s="65"/>
      <c r="B1419" s="66"/>
      <c r="C1419" s="67"/>
      <c r="D1419" s="155"/>
      <c r="E1419" s="615"/>
      <c r="F1419" s="616"/>
    </row>
    <row r="1420" spans="1:6" x14ac:dyDescent="0.2">
      <c r="A1420" s="79"/>
      <c r="B1420" s="76"/>
      <c r="C1420" s="73"/>
      <c r="D1420" s="80" t="s">
        <v>36</v>
      </c>
      <c r="E1420" s="81"/>
      <c r="F1420" s="101">
        <f>SUM(F1417:F1419)</f>
        <v>234.94333333333336</v>
      </c>
    </row>
    <row r="1421" spans="1:6" x14ac:dyDescent="0.2">
      <c r="A1421" s="79"/>
      <c r="B1421" s="76"/>
      <c r="C1421" s="73"/>
      <c r="D1421" s="83"/>
      <c r="E1421" s="84"/>
      <c r="F1421" s="85"/>
    </row>
    <row r="1422" spans="1:6" x14ac:dyDescent="0.2">
      <c r="A1422" s="746" t="s">
        <v>37</v>
      </c>
      <c r="B1422" s="747"/>
      <c r="C1422" s="747"/>
      <c r="D1422" s="747"/>
      <c r="E1422" s="747"/>
      <c r="F1422" s="748"/>
    </row>
    <row r="1423" spans="1:6" x14ac:dyDescent="0.2">
      <c r="A1423" s="64" t="s">
        <v>8</v>
      </c>
      <c r="B1423" s="64" t="s">
        <v>26</v>
      </c>
      <c r="C1423" s="64" t="s">
        <v>27</v>
      </c>
      <c r="D1423" s="64" t="s">
        <v>28</v>
      </c>
      <c r="E1423" s="64" t="s">
        <v>29</v>
      </c>
      <c r="F1423" s="64" t="s">
        <v>30</v>
      </c>
    </row>
    <row r="1424" spans="1:6" x14ac:dyDescent="0.2">
      <c r="A1424" s="65"/>
      <c r="B1424" s="66"/>
      <c r="C1424" s="88"/>
      <c r="D1424" s="89"/>
      <c r="E1424" s="173"/>
      <c r="F1424" s="174"/>
    </row>
    <row r="1425" spans="1:6" x14ac:dyDescent="0.2">
      <c r="A1425" s="92"/>
      <c r="B1425" s="87"/>
      <c r="C1425" s="88"/>
      <c r="D1425" s="103"/>
      <c r="E1425" s="94"/>
      <c r="F1425" s="100"/>
    </row>
    <row r="1426" spans="1:6" x14ac:dyDescent="0.2">
      <c r="A1426" s="95"/>
      <c r="B1426" s="96"/>
      <c r="C1426" s="97"/>
      <c r="D1426" s="98"/>
      <c r="E1426" s="99"/>
      <c r="F1426" s="104"/>
    </row>
    <row r="1427" spans="1:6" x14ac:dyDescent="0.2">
      <c r="A1427" s="79"/>
      <c r="B1427" s="76"/>
      <c r="C1427" s="73"/>
      <c r="D1427" s="80" t="s">
        <v>38</v>
      </c>
      <c r="E1427" s="81"/>
      <c r="F1427" s="101">
        <f>ROUND(SUM(F1424:F1424),2)</f>
        <v>0</v>
      </c>
    </row>
    <row r="1428" spans="1:6" x14ac:dyDescent="0.2">
      <c r="A1428" s="79"/>
      <c r="B1428" s="76"/>
      <c r="C1428" s="73"/>
      <c r="D1428" s="83"/>
      <c r="E1428" s="84"/>
      <c r="F1428" s="85"/>
    </row>
    <row r="1429" spans="1:6" x14ac:dyDescent="0.2">
      <c r="A1429" s="749" t="s">
        <v>39</v>
      </c>
      <c r="B1429" s="750"/>
      <c r="C1429" s="750"/>
      <c r="D1429" s="750"/>
      <c r="E1429" s="751"/>
      <c r="F1429" s="105">
        <f>ROUND(F1413+F1420+F1427,2)</f>
        <v>249.88</v>
      </c>
    </row>
    <row r="1430" spans="1:6" ht="15.75" x14ac:dyDescent="0.2">
      <c r="A1430" s="587" t="s">
        <v>8</v>
      </c>
      <c r="B1430" s="743" t="s">
        <v>23</v>
      </c>
      <c r="C1430" s="743"/>
      <c r="D1430" s="743"/>
      <c r="E1430" s="743"/>
      <c r="F1430" s="588" t="s">
        <v>24</v>
      </c>
    </row>
    <row r="1431" spans="1:6" ht="15" customHeight="1" x14ac:dyDescent="0.2">
      <c r="A1431" s="63" t="s">
        <v>12025</v>
      </c>
      <c r="B1431" s="744" t="str">
        <f>PO!D354</f>
        <v>Disjuntor DIN tripolar termomagnético de 200A - fornecimento e instalação</v>
      </c>
      <c r="C1431" s="744"/>
      <c r="D1431" s="744"/>
      <c r="E1431" s="744"/>
      <c r="F1431" s="107" t="str">
        <f>PO!E354</f>
        <v>unid</v>
      </c>
    </row>
    <row r="1432" spans="1:6" x14ac:dyDescent="0.2">
      <c r="A1432" s="745" t="s">
        <v>25</v>
      </c>
      <c r="B1432" s="745"/>
      <c r="C1432" s="745"/>
      <c r="D1432" s="745"/>
      <c r="E1432" s="745"/>
      <c r="F1432" s="745"/>
    </row>
    <row r="1433" spans="1:6" x14ac:dyDescent="0.2">
      <c r="A1433" s="64" t="s">
        <v>8</v>
      </c>
      <c r="B1433" s="64" t="s">
        <v>26</v>
      </c>
      <c r="C1433" s="64" t="s">
        <v>27</v>
      </c>
      <c r="D1433" s="64" t="s">
        <v>28</v>
      </c>
      <c r="E1433" s="64" t="s">
        <v>29</v>
      </c>
      <c r="F1433" s="64" t="s">
        <v>30</v>
      </c>
    </row>
    <row r="1434" spans="1:6" x14ac:dyDescent="0.2">
      <c r="A1434" s="65">
        <v>88247</v>
      </c>
      <c r="B1434" s="66" t="s">
        <v>11875</v>
      </c>
      <c r="C1434" s="67" t="s">
        <v>10945</v>
      </c>
      <c r="D1434" s="265">
        <v>0.4</v>
      </c>
      <c r="E1434" s="174">
        <v>16.25</v>
      </c>
      <c r="F1434" s="174">
        <f>D1434*E1434</f>
        <v>6.5</v>
      </c>
    </row>
    <row r="1435" spans="1:6" x14ac:dyDescent="0.2">
      <c r="A1435" s="65">
        <v>88264</v>
      </c>
      <c r="B1435" s="66" t="s">
        <v>10976</v>
      </c>
      <c r="C1435" s="67" t="s">
        <v>10945</v>
      </c>
      <c r="D1435" s="265">
        <v>0.4</v>
      </c>
      <c r="E1435" s="174">
        <v>21.08</v>
      </c>
      <c r="F1435" s="174">
        <f>D1435*E1435</f>
        <v>8.4320000000000004</v>
      </c>
    </row>
    <row r="1436" spans="1:6" x14ac:dyDescent="0.2">
      <c r="A1436" s="65"/>
      <c r="B1436" s="66"/>
      <c r="C1436" s="67"/>
      <c r="D1436" s="155"/>
      <c r="E1436" s="99"/>
      <c r="F1436" s="100"/>
    </row>
    <row r="1437" spans="1:6" x14ac:dyDescent="0.2">
      <c r="A1437" s="71"/>
      <c r="B1437" s="62"/>
      <c r="C1437" s="72"/>
      <c r="D1437" s="73" t="s">
        <v>31</v>
      </c>
      <c r="E1437" s="74"/>
      <c r="F1437" s="75">
        <f>F1434+F1435+F1436</f>
        <v>14.932</v>
      </c>
    </row>
    <row r="1438" spans="1:6" x14ac:dyDescent="0.2">
      <c r="A1438" s="71"/>
      <c r="B1438" s="62"/>
      <c r="C1438" s="72"/>
      <c r="D1438" s="76" t="s">
        <v>32</v>
      </c>
      <c r="E1438" s="77"/>
      <c r="F1438" s="78">
        <f>F1437*E1438</f>
        <v>0</v>
      </c>
    </row>
    <row r="1439" spans="1:6" x14ac:dyDescent="0.2">
      <c r="A1439" s="71"/>
      <c r="B1439" s="62"/>
      <c r="C1439" s="72"/>
      <c r="D1439" s="73" t="s">
        <v>33</v>
      </c>
      <c r="E1439" s="74"/>
      <c r="F1439" s="78">
        <f>SUM(F1437:F1438)</f>
        <v>14.932</v>
      </c>
    </row>
    <row r="1440" spans="1:6" x14ac:dyDescent="0.2">
      <c r="A1440" s="79"/>
      <c r="B1440" s="76"/>
      <c r="C1440" s="73"/>
      <c r="D1440" s="80" t="s">
        <v>34</v>
      </c>
      <c r="E1440" s="81"/>
      <c r="F1440" s="82">
        <f>F1439</f>
        <v>14.932</v>
      </c>
    </row>
    <row r="1441" spans="1:6" x14ac:dyDescent="0.2">
      <c r="A1441" s="79"/>
      <c r="B1441" s="76"/>
      <c r="C1441" s="73"/>
      <c r="D1441" s="83"/>
      <c r="E1441" s="84"/>
      <c r="F1441" s="85"/>
    </row>
    <row r="1442" spans="1:6" x14ac:dyDescent="0.2">
      <c r="A1442" s="746" t="s">
        <v>35</v>
      </c>
      <c r="B1442" s="747"/>
      <c r="C1442" s="747"/>
      <c r="D1442" s="747"/>
      <c r="E1442" s="747"/>
      <c r="F1442" s="748"/>
    </row>
    <row r="1443" spans="1:6" x14ac:dyDescent="0.2">
      <c r="A1443" s="64" t="s">
        <v>8</v>
      </c>
      <c r="B1443" s="64" t="s">
        <v>26</v>
      </c>
      <c r="C1443" s="64" t="s">
        <v>27</v>
      </c>
      <c r="D1443" s="64" t="s">
        <v>28</v>
      </c>
      <c r="E1443" s="64" t="s">
        <v>29</v>
      </c>
      <c r="F1443" s="64" t="s">
        <v>30</v>
      </c>
    </row>
    <row r="1444" spans="1:6" x14ac:dyDescent="0.2">
      <c r="A1444" s="624" t="s">
        <v>11956</v>
      </c>
      <c r="B1444" s="682" t="s">
        <v>11958</v>
      </c>
      <c r="C1444" s="683" t="s">
        <v>18</v>
      </c>
      <c r="D1444" s="684">
        <v>1</v>
      </c>
      <c r="E1444" s="681">
        <f>Cotações!K13</f>
        <v>240.84666666666666</v>
      </c>
      <c r="F1444" s="174">
        <f>D1444*E1444</f>
        <v>240.84666666666666</v>
      </c>
    </row>
    <row r="1445" spans="1:6" x14ac:dyDescent="0.2">
      <c r="A1445" s="65"/>
      <c r="B1445" s="216"/>
      <c r="C1445" s="67"/>
      <c r="D1445" s="155"/>
      <c r="E1445" s="615"/>
      <c r="F1445" s="616"/>
    </row>
    <row r="1446" spans="1:6" x14ac:dyDescent="0.2">
      <c r="A1446" s="65"/>
      <c r="B1446" s="66"/>
      <c r="C1446" s="67"/>
      <c r="D1446" s="155"/>
      <c r="E1446" s="615"/>
      <c r="F1446" s="616"/>
    </row>
    <row r="1447" spans="1:6" x14ac:dyDescent="0.2">
      <c r="A1447" s="79"/>
      <c r="B1447" s="76"/>
      <c r="C1447" s="73"/>
      <c r="D1447" s="80" t="s">
        <v>36</v>
      </c>
      <c r="E1447" s="81"/>
      <c r="F1447" s="101">
        <f>SUM(F1444:F1446)</f>
        <v>240.84666666666666</v>
      </c>
    </row>
    <row r="1448" spans="1:6" x14ac:dyDescent="0.2">
      <c r="A1448" s="79"/>
      <c r="B1448" s="76"/>
      <c r="C1448" s="73"/>
      <c r="D1448" s="83"/>
      <c r="E1448" s="84"/>
      <c r="F1448" s="85"/>
    </row>
    <row r="1449" spans="1:6" x14ac:dyDescent="0.2">
      <c r="A1449" s="746" t="s">
        <v>37</v>
      </c>
      <c r="B1449" s="747"/>
      <c r="C1449" s="747"/>
      <c r="D1449" s="747"/>
      <c r="E1449" s="747"/>
      <c r="F1449" s="748"/>
    </row>
    <row r="1450" spans="1:6" x14ac:dyDescent="0.2">
      <c r="A1450" s="64" t="s">
        <v>8</v>
      </c>
      <c r="B1450" s="64" t="s">
        <v>26</v>
      </c>
      <c r="C1450" s="64" t="s">
        <v>27</v>
      </c>
      <c r="D1450" s="64" t="s">
        <v>28</v>
      </c>
      <c r="E1450" s="64" t="s">
        <v>29</v>
      </c>
      <c r="F1450" s="64" t="s">
        <v>30</v>
      </c>
    </row>
    <row r="1451" spans="1:6" x14ac:dyDescent="0.2">
      <c r="A1451" s="65"/>
      <c r="B1451" s="66"/>
      <c r="C1451" s="88"/>
      <c r="D1451" s="89"/>
      <c r="E1451" s="173"/>
      <c r="F1451" s="174"/>
    </row>
    <row r="1452" spans="1:6" x14ac:dyDescent="0.2">
      <c r="A1452" s="92"/>
      <c r="B1452" s="87"/>
      <c r="C1452" s="88"/>
      <c r="D1452" s="103"/>
      <c r="E1452" s="94"/>
      <c r="F1452" s="100"/>
    </row>
    <row r="1453" spans="1:6" x14ac:dyDescent="0.2">
      <c r="A1453" s="95"/>
      <c r="B1453" s="96"/>
      <c r="C1453" s="97"/>
      <c r="D1453" s="98"/>
      <c r="E1453" s="99"/>
      <c r="F1453" s="104"/>
    </row>
    <row r="1454" spans="1:6" x14ac:dyDescent="0.2">
      <c r="A1454" s="79"/>
      <c r="B1454" s="76"/>
      <c r="C1454" s="73"/>
      <c r="D1454" s="80" t="s">
        <v>38</v>
      </c>
      <c r="E1454" s="81"/>
      <c r="F1454" s="101">
        <f>ROUND(SUM(F1451:F1451),2)</f>
        <v>0</v>
      </c>
    </row>
    <row r="1455" spans="1:6" x14ac:dyDescent="0.2">
      <c r="A1455" s="79"/>
      <c r="B1455" s="76"/>
      <c r="C1455" s="73"/>
      <c r="D1455" s="83"/>
      <c r="E1455" s="84"/>
      <c r="F1455" s="85"/>
    </row>
    <row r="1456" spans="1:6" x14ac:dyDescent="0.2">
      <c r="A1456" s="749" t="s">
        <v>39</v>
      </c>
      <c r="B1456" s="750"/>
      <c r="C1456" s="750"/>
      <c r="D1456" s="750"/>
      <c r="E1456" s="751"/>
      <c r="F1456" s="105">
        <f>ROUND(F1440+F1447+F1454,2)</f>
        <v>255.78</v>
      </c>
    </row>
    <row r="1457" spans="1:6" ht="15.75" x14ac:dyDescent="0.2">
      <c r="A1457" s="587" t="s">
        <v>8</v>
      </c>
      <c r="B1457" s="743" t="s">
        <v>23</v>
      </c>
      <c r="C1457" s="743"/>
      <c r="D1457" s="743"/>
      <c r="E1457" s="743"/>
      <c r="F1457" s="588" t="s">
        <v>24</v>
      </c>
    </row>
    <row r="1458" spans="1:6" ht="15" customHeight="1" x14ac:dyDescent="0.2">
      <c r="A1458" s="63" t="s">
        <v>12026</v>
      </c>
      <c r="B1458" s="744" t="str">
        <f>PO!D355</f>
        <v>Dispositivo DPS, classe II, 01 Pólo, 175V, 8kA - Fornecimento e Instalação</v>
      </c>
      <c r="C1458" s="744"/>
      <c r="D1458" s="744"/>
      <c r="E1458" s="744"/>
      <c r="F1458" s="107" t="str">
        <f>PO!E355</f>
        <v>unid</v>
      </c>
    </row>
    <row r="1459" spans="1:6" x14ac:dyDescent="0.2">
      <c r="A1459" s="745" t="s">
        <v>25</v>
      </c>
      <c r="B1459" s="745"/>
      <c r="C1459" s="745"/>
      <c r="D1459" s="745"/>
      <c r="E1459" s="745"/>
      <c r="F1459" s="745"/>
    </row>
    <row r="1460" spans="1:6" x14ac:dyDescent="0.2">
      <c r="A1460" s="64" t="s">
        <v>8</v>
      </c>
      <c r="B1460" s="64" t="s">
        <v>26</v>
      </c>
      <c r="C1460" s="64" t="s">
        <v>27</v>
      </c>
      <c r="D1460" s="64" t="s">
        <v>28</v>
      </c>
      <c r="E1460" s="64" t="s">
        <v>29</v>
      </c>
      <c r="F1460" s="64" t="s">
        <v>30</v>
      </c>
    </row>
    <row r="1461" spans="1:6" x14ac:dyDescent="0.2">
      <c r="A1461" s="65">
        <v>88247</v>
      </c>
      <c r="B1461" s="66" t="s">
        <v>11875</v>
      </c>
      <c r="C1461" s="67" t="s">
        <v>10945</v>
      </c>
      <c r="D1461" s="265">
        <v>0.5</v>
      </c>
      <c r="E1461" s="174">
        <v>16.25</v>
      </c>
      <c r="F1461" s="174">
        <f>D1461*E1461</f>
        <v>8.125</v>
      </c>
    </row>
    <row r="1462" spans="1:6" x14ac:dyDescent="0.2">
      <c r="A1462" s="65">
        <v>88264</v>
      </c>
      <c r="B1462" s="66" t="s">
        <v>10976</v>
      </c>
      <c r="C1462" s="67" t="s">
        <v>10945</v>
      </c>
      <c r="D1462" s="265">
        <v>0.5</v>
      </c>
      <c r="E1462" s="174">
        <v>21.08</v>
      </c>
      <c r="F1462" s="174">
        <f>D1462*E1462</f>
        <v>10.54</v>
      </c>
    </row>
    <row r="1463" spans="1:6" x14ac:dyDescent="0.2">
      <c r="A1463" s="65"/>
      <c r="B1463" s="66"/>
      <c r="C1463" s="67"/>
      <c r="D1463" s="155"/>
      <c r="E1463" s="99"/>
      <c r="F1463" s="100"/>
    </row>
    <row r="1464" spans="1:6" x14ac:dyDescent="0.2">
      <c r="A1464" s="71"/>
      <c r="B1464" s="62"/>
      <c r="C1464" s="72"/>
      <c r="D1464" s="73" t="s">
        <v>31</v>
      </c>
      <c r="E1464" s="74"/>
      <c r="F1464" s="75">
        <f>F1461+F1462+F1463</f>
        <v>18.664999999999999</v>
      </c>
    </row>
    <row r="1465" spans="1:6" x14ac:dyDescent="0.2">
      <c r="A1465" s="71"/>
      <c r="B1465" s="62"/>
      <c r="C1465" s="72"/>
      <c r="D1465" s="76" t="s">
        <v>32</v>
      </c>
      <c r="E1465" s="77"/>
      <c r="F1465" s="78">
        <f>F1464*E1465</f>
        <v>0</v>
      </c>
    </row>
    <row r="1466" spans="1:6" x14ac:dyDescent="0.2">
      <c r="A1466" s="71"/>
      <c r="B1466" s="62"/>
      <c r="C1466" s="72"/>
      <c r="D1466" s="73" t="s">
        <v>33</v>
      </c>
      <c r="E1466" s="74"/>
      <c r="F1466" s="78">
        <f>SUM(F1464:F1465)</f>
        <v>18.664999999999999</v>
      </c>
    </row>
    <row r="1467" spans="1:6" x14ac:dyDescent="0.2">
      <c r="A1467" s="79"/>
      <c r="B1467" s="76"/>
      <c r="C1467" s="73"/>
      <c r="D1467" s="80" t="s">
        <v>34</v>
      </c>
      <c r="E1467" s="81"/>
      <c r="F1467" s="82">
        <f>F1466</f>
        <v>18.664999999999999</v>
      </c>
    </row>
    <row r="1468" spans="1:6" x14ac:dyDescent="0.2">
      <c r="A1468" s="79"/>
      <c r="B1468" s="76"/>
      <c r="C1468" s="73"/>
      <c r="D1468" s="83"/>
      <c r="E1468" s="84"/>
      <c r="F1468" s="85"/>
    </row>
    <row r="1469" spans="1:6" x14ac:dyDescent="0.2">
      <c r="A1469" s="746" t="s">
        <v>35</v>
      </c>
      <c r="B1469" s="747"/>
      <c r="C1469" s="747"/>
      <c r="D1469" s="747"/>
      <c r="E1469" s="747"/>
      <c r="F1469" s="748"/>
    </row>
    <row r="1470" spans="1:6" x14ac:dyDescent="0.2">
      <c r="A1470" s="64" t="s">
        <v>8</v>
      </c>
      <c r="B1470" s="64" t="s">
        <v>26</v>
      </c>
      <c r="C1470" s="64" t="s">
        <v>27</v>
      </c>
      <c r="D1470" s="64" t="s">
        <v>28</v>
      </c>
      <c r="E1470" s="64" t="s">
        <v>29</v>
      </c>
      <c r="F1470" s="64" t="s">
        <v>30</v>
      </c>
    </row>
    <row r="1471" spans="1:6" x14ac:dyDescent="0.2">
      <c r="A1471" s="65">
        <v>39467</v>
      </c>
      <c r="B1471" s="66" t="s">
        <v>11961</v>
      </c>
      <c r="C1471" s="67" t="s">
        <v>18</v>
      </c>
      <c r="D1471" s="155">
        <v>1</v>
      </c>
      <c r="E1471" s="174">
        <v>87.3</v>
      </c>
      <c r="F1471" s="174">
        <f>D1471*E1471</f>
        <v>87.3</v>
      </c>
    </row>
    <row r="1472" spans="1:6" x14ac:dyDescent="0.2">
      <c r="A1472" s="65"/>
      <c r="B1472" s="216"/>
      <c r="C1472" s="67"/>
      <c r="D1472" s="155"/>
      <c r="E1472" s="174"/>
      <c r="F1472" s="174"/>
    </row>
    <row r="1473" spans="1:6" x14ac:dyDescent="0.2">
      <c r="A1473" s="65"/>
      <c r="B1473" s="66"/>
      <c r="C1473" s="67"/>
      <c r="D1473" s="155"/>
      <c r="E1473" s="174"/>
      <c r="F1473" s="174"/>
    </row>
    <row r="1474" spans="1:6" x14ac:dyDescent="0.2">
      <c r="A1474" s="79"/>
      <c r="B1474" s="76"/>
      <c r="C1474" s="73"/>
      <c r="D1474" s="80" t="s">
        <v>36</v>
      </c>
      <c r="E1474" s="81"/>
      <c r="F1474" s="101">
        <f>SUM(F1471:F1473)</f>
        <v>87.3</v>
      </c>
    </row>
    <row r="1475" spans="1:6" x14ac:dyDescent="0.2">
      <c r="A1475" s="79"/>
      <c r="B1475" s="76"/>
      <c r="C1475" s="73"/>
      <c r="D1475" s="83"/>
      <c r="E1475" s="84"/>
      <c r="F1475" s="85"/>
    </row>
    <row r="1476" spans="1:6" x14ac:dyDescent="0.2">
      <c r="A1476" s="746" t="s">
        <v>37</v>
      </c>
      <c r="B1476" s="747"/>
      <c r="C1476" s="747"/>
      <c r="D1476" s="747"/>
      <c r="E1476" s="747"/>
      <c r="F1476" s="748"/>
    </row>
    <row r="1477" spans="1:6" x14ac:dyDescent="0.2">
      <c r="A1477" s="64" t="s">
        <v>8</v>
      </c>
      <c r="B1477" s="64" t="s">
        <v>26</v>
      </c>
      <c r="C1477" s="64" t="s">
        <v>27</v>
      </c>
      <c r="D1477" s="64" t="s">
        <v>28</v>
      </c>
      <c r="E1477" s="64" t="s">
        <v>29</v>
      </c>
      <c r="F1477" s="64" t="s">
        <v>30</v>
      </c>
    </row>
    <row r="1478" spans="1:6" x14ac:dyDescent="0.2">
      <c r="A1478" s="65"/>
      <c r="B1478" s="66"/>
      <c r="C1478" s="88"/>
      <c r="D1478" s="89"/>
      <c r="E1478" s="173"/>
      <c r="F1478" s="174"/>
    </row>
    <row r="1479" spans="1:6" x14ac:dyDescent="0.2">
      <c r="A1479" s="92"/>
      <c r="B1479" s="87"/>
      <c r="C1479" s="88"/>
      <c r="D1479" s="103"/>
      <c r="E1479" s="94"/>
      <c r="F1479" s="100"/>
    </row>
    <row r="1480" spans="1:6" x14ac:dyDescent="0.2">
      <c r="A1480" s="95"/>
      <c r="B1480" s="96"/>
      <c r="C1480" s="97"/>
      <c r="D1480" s="98"/>
      <c r="E1480" s="99"/>
      <c r="F1480" s="104"/>
    </row>
    <row r="1481" spans="1:6" x14ac:dyDescent="0.2">
      <c r="A1481" s="79"/>
      <c r="B1481" s="76"/>
      <c r="C1481" s="73"/>
      <c r="D1481" s="80" t="s">
        <v>38</v>
      </c>
      <c r="E1481" s="81"/>
      <c r="F1481" s="101">
        <f>ROUND(SUM(F1478:F1478),2)</f>
        <v>0</v>
      </c>
    </row>
    <row r="1482" spans="1:6" x14ac:dyDescent="0.2">
      <c r="A1482" s="79"/>
      <c r="B1482" s="76"/>
      <c r="C1482" s="73"/>
      <c r="D1482" s="83"/>
      <c r="E1482" s="84"/>
      <c r="F1482" s="85"/>
    </row>
    <row r="1483" spans="1:6" x14ac:dyDescent="0.2">
      <c r="A1483" s="749" t="s">
        <v>39</v>
      </c>
      <c r="B1483" s="750"/>
      <c r="C1483" s="750"/>
      <c r="D1483" s="750"/>
      <c r="E1483" s="751"/>
      <c r="F1483" s="105">
        <f>ROUND(F1467+F1474+F1481,2)</f>
        <v>105.97</v>
      </c>
    </row>
    <row r="1484" spans="1:6" ht="15.75" x14ac:dyDescent="0.2">
      <c r="A1484" s="587" t="s">
        <v>8</v>
      </c>
      <c r="B1484" s="743" t="s">
        <v>23</v>
      </c>
      <c r="C1484" s="743"/>
      <c r="D1484" s="743"/>
      <c r="E1484" s="743"/>
      <c r="F1484" s="588" t="s">
        <v>24</v>
      </c>
    </row>
    <row r="1485" spans="1:6" ht="45" customHeight="1" x14ac:dyDescent="0.2">
      <c r="A1485" s="63" t="s">
        <v>12027</v>
      </c>
      <c r="B1485" s="744" t="str">
        <f>PO!D358</f>
        <v>Quadro de distribuição de energia de embutir, em chapa metálica, para 56 disjuntores termomagnéticos monopolares, com barramento trifásico e neutro, 225A - Fornecimento e instalação</v>
      </c>
      <c r="C1485" s="744"/>
      <c r="D1485" s="744"/>
      <c r="E1485" s="744"/>
      <c r="F1485" s="107" t="str">
        <f>PO!E358</f>
        <v>unid</v>
      </c>
    </row>
    <row r="1486" spans="1:6" x14ac:dyDescent="0.2">
      <c r="A1486" s="745" t="s">
        <v>25</v>
      </c>
      <c r="B1486" s="745"/>
      <c r="C1486" s="745"/>
      <c r="D1486" s="745"/>
      <c r="E1486" s="745"/>
      <c r="F1486" s="745"/>
    </row>
    <row r="1487" spans="1:6" x14ac:dyDescent="0.2">
      <c r="A1487" s="64" t="s">
        <v>8</v>
      </c>
      <c r="B1487" s="64" t="s">
        <v>26</v>
      </c>
      <c r="C1487" s="64" t="s">
        <v>27</v>
      </c>
      <c r="D1487" s="64" t="s">
        <v>28</v>
      </c>
      <c r="E1487" s="64" t="s">
        <v>29</v>
      </c>
      <c r="F1487" s="64" t="s">
        <v>30</v>
      </c>
    </row>
    <row r="1488" spans="1:6" x14ac:dyDescent="0.2">
      <c r="A1488" s="65">
        <v>88247</v>
      </c>
      <c r="B1488" s="66" t="s">
        <v>11875</v>
      </c>
      <c r="C1488" s="67" t="s">
        <v>10945</v>
      </c>
      <c r="D1488" s="265">
        <v>6</v>
      </c>
      <c r="E1488" s="174">
        <v>16.25</v>
      </c>
      <c r="F1488" s="174">
        <f>D1488*E1488</f>
        <v>97.5</v>
      </c>
    </row>
    <row r="1489" spans="1:6" x14ac:dyDescent="0.2">
      <c r="A1489" s="65">
        <v>88264</v>
      </c>
      <c r="B1489" s="66" t="s">
        <v>10976</v>
      </c>
      <c r="C1489" s="67" t="s">
        <v>10945</v>
      </c>
      <c r="D1489" s="265">
        <v>6</v>
      </c>
      <c r="E1489" s="174">
        <v>21.08</v>
      </c>
      <c r="F1489" s="174">
        <f>D1489*E1489</f>
        <v>126.47999999999999</v>
      </c>
    </row>
    <row r="1490" spans="1:6" x14ac:dyDescent="0.2">
      <c r="A1490" s="65"/>
      <c r="B1490" s="66"/>
      <c r="C1490" s="67"/>
      <c r="D1490" s="155"/>
      <c r="E1490" s="99"/>
      <c r="F1490" s="100"/>
    </row>
    <row r="1491" spans="1:6" x14ac:dyDescent="0.2">
      <c r="A1491" s="71"/>
      <c r="B1491" s="62"/>
      <c r="C1491" s="72"/>
      <c r="D1491" s="73" t="s">
        <v>31</v>
      </c>
      <c r="E1491" s="74"/>
      <c r="F1491" s="75">
        <f>F1488+F1489+F1490</f>
        <v>223.98</v>
      </c>
    </row>
    <row r="1492" spans="1:6" x14ac:dyDescent="0.2">
      <c r="A1492" s="71"/>
      <c r="B1492" s="62"/>
      <c r="C1492" s="72"/>
      <c r="D1492" s="76" t="s">
        <v>32</v>
      </c>
      <c r="E1492" s="77"/>
      <c r="F1492" s="78">
        <f>F1491*E1492</f>
        <v>0</v>
      </c>
    </row>
    <row r="1493" spans="1:6" x14ac:dyDescent="0.2">
      <c r="A1493" s="71"/>
      <c r="B1493" s="62"/>
      <c r="C1493" s="72"/>
      <c r="D1493" s="73" t="s">
        <v>33</v>
      </c>
      <c r="E1493" s="74"/>
      <c r="F1493" s="78">
        <f>SUM(F1491:F1492)</f>
        <v>223.98</v>
      </c>
    </row>
    <row r="1494" spans="1:6" x14ac:dyDescent="0.2">
      <c r="A1494" s="79"/>
      <c r="B1494" s="76"/>
      <c r="C1494" s="73"/>
      <c r="D1494" s="80" t="s">
        <v>34</v>
      </c>
      <c r="E1494" s="81"/>
      <c r="F1494" s="82">
        <f>F1493</f>
        <v>223.98</v>
      </c>
    </row>
    <row r="1495" spans="1:6" x14ac:dyDescent="0.2">
      <c r="A1495" s="79"/>
      <c r="B1495" s="76"/>
      <c r="C1495" s="73"/>
      <c r="D1495" s="83"/>
      <c r="E1495" s="84"/>
      <c r="F1495" s="85"/>
    </row>
    <row r="1496" spans="1:6" x14ac:dyDescent="0.2">
      <c r="A1496" s="746" t="s">
        <v>35</v>
      </c>
      <c r="B1496" s="747"/>
      <c r="C1496" s="747"/>
      <c r="D1496" s="747"/>
      <c r="E1496" s="747"/>
      <c r="F1496" s="748"/>
    </row>
    <row r="1497" spans="1:6" x14ac:dyDescent="0.2">
      <c r="A1497" s="64" t="s">
        <v>8</v>
      </c>
      <c r="B1497" s="64" t="s">
        <v>26</v>
      </c>
      <c r="C1497" s="64" t="s">
        <v>27</v>
      </c>
      <c r="D1497" s="64" t="s">
        <v>28</v>
      </c>
      <c r="E1497" s="64" t="s">
        <v>29</v>
      </c>
      <c r="F1497" s="64" t="s">
        <v>30</v>
      </c>
    </row>
    <row r="1498" spans="1:6" ht="33.75" x14ac:dyDescent="0.2">
      <c r="A1498" s="624" t="s">
        <v>11964</v>
      </c>
      <c r="B1498" s="628" t="s">
        <v>13829</v>
      </c>
      <c r="C1498" s="626" t="s">
        <v>10884</v>
      </c>
      <c r="D1498" s="627">
        <v>1</v>
      </c>
      <c r="E1498" s="681">
        <f>Cotações!K17</f>
        <v>1044.9333333333334</v>
      </c>
      <c r="F1498" s="174">
        <f>D1498*E1498</f>
        <v>1044.9333333333334</v>
      </c>
    </row>
    <row r="1499" spans="1:6" x14ac:dyDescent="0.2">
      <c r="A1499" s="65"/>
      <c r="B1499" s="216"/>
      <c r="C1499" s="67"/>
      <c r="D1499" s="155"/>
      <c r="E1499" s="174"/>
      <c r="F1499" s="174"/>
    </row>
    <row r="1500" spans="1:6" x14ac:dyDescent="0.2">
      <c r="A1500" s="65"/>
      <c r="B1500" s="66"/>
      <c r="C1500" s="67"/>
      <c r="D1500" s="155"/>
      <c r="E1500" s="174"/>
      <c r="F1500" s="174"/>
    </row>
    <row r="1501" spans="1:6" x14ac:dyDescent="0.2">
      <c r="A1501" s="79"/>
      <c r="B1501" s="76"/>
      <c r="C1501" s="73"/>
      <c r="D1501" s="80" t="s">
        <v>36</v>
      </c>
      <c r="E1501" s="81"/>
      <c r="F1501" s="101">
        <f>SUM(F1498:F1500)</f>
        <v>1044.9333333333334</v>
      </c>
    </row>
    <row r="1502" spans="1:6" x14ac:dyDescent="0.2">
      <c r="A1502" s="79"/>
      <c r="B1502" s="76"/>
      <c r="C1502" s="73"/>
      <c r="D1502" s="83"/>
      <c r="E1502" s="84"/>
      <c r="F1502" s="85"/>
    </row>
    <row r="1503" spans="1:6" x14ac:dyDescent="0.2">
      <c r="A1503" s="746" t="s">
        <v>37</v>
      </c>
      <c r="B1503" s="747"/>
      <c r="C1503" s="747"/>
      <c r="D1503" s="747"/>
      <c r="E1503" s="747"/>
      <c r="F1503" s="748"/>
    </row>
    <row r="1504" spans="1:6" x14ac:dyDescent="0.2">
      <c r="A1504" s="64" t="s">
        <v>8</v>
      </c>
      <c r="B1504" s="64" t="s">
        <v>26</v>
      </c>
      <c r="C1504" s="64" t="s">
        <v>27</v>
      </c>
      <c r="D1504" s="64" t="s">
        <v>28</v>
      </c>
      <c r="E1504" s="64" t="s">
        <v>29</v>
      </c>
      <c r="F1504" s="64" t="s">
        <v>30</v>
      </c>
    </row>
    <row r="1505" spans="1:6" x14ac:dyDescent="0.2">
      <c r="A1505" s="65"/>
      <c r="B1505" s="66"/>
      <c r="C1505" s="88"/>
      <c r="D1505" s="89"/>
      <c r="E1505" s="173"/>
      <c r="F1505" s="174"/>
    </row>
    <row r="1506" spans="1:6" x14ac:dyDescent="0.2">
      <c r="A1506" s="92"/>
      <c r="B1506" s="87"/>
      <c r="C1506" s="88"/>
      <c r="D1506" s="103"/>
      <c r="E1506" s="94"/>
      <c r="F1506" s="100"/>
    </row>
    <row r="1507" spans="1:6" x14ac:dyDescent="0.2">
      <c r="A1507" s="95"/>
      <c r="B1507" s="96"/>
      <c r="C1507" s="97"/>
      <c r="D1507" s="98"/>
      <c r="E1507" s="99"/>
      <c r="F1507" s="104"/>
    </row>
    <row r="1508" spans="1:6" x14ac:dyDescent="0.2">
      <c r="A1508" s="79"/>
      <c r="B1508" s="76"/>
      <c r="C1508" s="73"/>
      <c r="D1508" s="80" t="s">
        <v>38</v>
      </c>
      <c r="E1508" s="81"/>
      <c r="F1508" s="101">
        <f>ROUND(SUM(F1505:F1505),2)</f>
        <v>0</v>
      </c>
    </row>
    <row r="1509" spans="1:6" x14ac:dyDescent="0.2">
      <c r="A1509" s="79"/>
      <c r="B1509" s="76"/>
      <c r="C1509" s="73"/>
      <c r="D1509" s="83"/>
      <c r="E1509" s="84"/>
      <c r="F1509" s="85"/>
    </row>
    <row r="1510" spans="1:6" x14ac:dyDescent="0.2">
      <c r="A1510" s="749" t="s">
        <v>39</v>
      </c>
      <c r="B1510" s="750"/>
      <c r="C1510" s="750"/>
      <c r="D1510" s="750"/>
      <c r="E1510" s="751"/>
      <c r="F1510" s="105">
        <f>ROUND(F1494+F1501+F1508,2)</f>
        <v>1268.9100000000001</v>
      </c>
    </row>
    <row r="1511" spans="1:6" ht="15.75" x14ac:dyDescent="0.2">
      <c r="A1511" s="587" t="s">
        <v>8</v>
      </c>
      <c r="B1511" s="743" t="s">
        <v>23</v>
      </c>
      <c r="C1511" s="743"/>
      <c r="D1511" s="743"/>
      <c r="E1511" s="743"/>
      <c r="F1511" s="588" t="s">
        <v>24</v>
      </c>
    </row>
    <row r="1512" spans="1:6" ht="43.5" customHeight="1" x14ac:dyDescent="0.2">
      <c r="A1512" s="63" t="s">
        <v>12040</v>
      </c>
      <c r="B1512" s="744" t="str">
        <f>PO!D359</f>
        <v>Quadro de distribuição de energia de embutir, em chapa metálica, para 12 disjuntores termomagnéticos monopolares, com barramento trifásico e neutro, 200A - Fornecimento e instalação</v>
      </c>
      <c r="C1512" s="744"/>
      <c r="D1512" s="744"/>
      <c r="E1512" s="744"/>
      <c r="F1512" s="107" t="str">
        <f>PO!E359</f>
        <v>unid</v>
      </c>
    </row>
    <row r="1513" spans="1:6" x14ac:dyDescent="0.2">
      <c r="A1513" s="745" t="s">
        <v>25</v>
      </c>
      <c r="B1513" s="745"/>
      <c r="C1513" s="745"/>
      <c r="D1513" s="745"/>
      <c r="E1513" s="745"/>
      <c r="F1513" s="745"/>
    </row>
    <row r="1514" spans="1:6" x14ac:dyDescent="0.2">
      <c r="A1514" s="64" t="s">
        <v>8</v>
      </c>
      <c r="B1514" s="64" t="s">
        <v>26</v>
      </c>
      <c r="C1514" s="64" t="s">
        <v>27</v>
      </c>
      <c r="D1514" s="64" t="s">
        <v>28</v>
      </c>
      <c r="E1514" s="64" t="s">
        <v>29</v>
      </c>
      <c r="F1514" s="64" t="s">
        <v>30</v>
      </c>
    </row>
    <row r="1515" spans="1:6" x14ac:dyDescent="0.2">
      <c r="A1515" s="65">
        <v>88247</v>
      </c>
      <c r="B1515" s="66" t="s">
        <v>11875</v>
      </c>
      <c r="C1515" s="67" t="s">
        <v>10945</v>
      </c>
      <c r="D1515" s="265">
        <v>6</v>
      </c>
      <c r="E1515" s="174">
        <v>16.25</v>
      </c>
      <c r="F1515" s="174">
        <f>D1515*E1515</f>
        <v>97.5</v>
      </c>
    </row>
    <row r="1516" spans="1:6" x14ac:dyDescent="0.2">
      <c r="A1516" s="65">
        <v>88264</v>
      </c>
      <c r="B1516" s="66" t="s">
        <v>10976</v>
      </c>
      <c r="C1516" s="67" t="s">
        <v>10945</v>
      </c>
      <c r="D1516" s="265">
        <v>6</v>
      </c>
      <c r="E1516" s="174">
        <v>21.08</v>
      </c>
      <c r="F1516" s="174">
        <f>D1516*E1516</f>
        <v>126.47999999999999</v>
      </c>
    </row>
    <row r="1517" spans="1:6" x14ac:dyDescent="0.2">
      <c r="A1517" s="65"/>
      <c r="B1517" s="66"/>
      <c r="C1517" s="67"/>
      <c r="D1517" s="155"/>
      <c r="E1517" s="99"/>
      <c r="F1517" s="100"/>
    </row>
    <row r="1518" spans="1:6" x14ac:dyDescent="0.2">
      <c r="A1518" s="71"/>
      <c r="B1518" s="62"/>
      <c r="C1518" s="72"/>
      <c r="D1518" s="73" t="s">
        <v>31</v>
      </c>
      <c r="E1518" s="74"/>
      <c r="F1518" s="75">
        <f>F1515+F1516+F1517</f>
        <v>223.98</v>
      </c>
    </row>
    <row r="1519" spans="1:6" x14ac:dyDescent="0.2">
      <c r="A1519" s="71"/>
      <c r="B1519" s="62"/>
      <c r="C1519" s="72"/>
      <c r="D1519" s="76" t="s">
        <v>32</v>
      </c>
      <c r="E1519" s="77"/>
      <c r="F1519" s="78">
        <f>F1518*E1519</f>
        <v>0</v>
      </c>
    </row>
    <row r="1520" spans="1:6" x14ac:dyDescent="0.2">
      <c r="A1520" s="71"/>
      <c r="B1520" s="62"/>
      <c r="C1520" s="72"/>
      <c r="D1520" s="73" t="s">
        <v>33</v>
      </c>
      <c r="E1520" s="74"/>
      <c r="F1520" s="78">
        <f>SUM(F1518:F1519)</f>
        <v>223.98</v>
      </c>
    </row>
    <row r="1521" spans="1:6" x14ac:dyDescent="0.2">
      <c r="A1521" s="79"/>
      <c r="B1521" s="76"/>
      <c r="C1521" s="73"/>
      <c r="D1521" s="80" t="s">
        <v>34</v>
      </c>
      <c r="E1521" s="81"/>
      <c r="F1521" s="82">
        <f>F1520</f>
        <v>223.98</v>
      </c>
    </row>
    <row r="1522" spans="1:6" x14ac:dyDescent="0.2">
      <c r="A1522" s="79"/>
      <c r="B1522" s="76"/>
      <c r="C1522" s="73"/>
      <c r="D1522" s="83"/>
      <c r="E1522" s="84"/>
      <c r="F1522" s="85"/>
    </row>
    <row r="1523" spans="1:6" x14ac:dyDescent="0.2">
      <c r="A1523" s="746" t="s">
        <v>35</v>
      </c>
      <c r="B1523" s="747"/>
      <c r="C1523" s="747"/>
      <c r="D1523" s="747"/>
      <c r="E1523" s="747"/>
      <c r="F1523" s="748"/>
    </row>
    <row r="1524" spans="1:6" x14ac:dyDescent="0.2">
      <c r="A1524" s="64" t="s">
        <v>8</v>
      </c>
      <c r="B1524" s="64" t="s">
        <v>26</v>
      </c>
      <c r="C1524" s="64" t="s">
        <v>27</v>
      </c>
      <c r="D1524" s="64" t="s">
        <v>28</v>
      </c>
      <c r="E1524" s="64" t="s">
        <v>29</v>
      </c>
      <c r="F1524" s="64" t="s">
        <v>30</v>
      </c>
    </row>
    <row r="1525" spans="1:6" ht="33.75" x14ac:dyDescent="0.2">
      <c r="A1525" s="624" t="s">
        <v>11965</v>
      </c>
      <c r="B1525" s="625" t="s">
        <v>12246</v>
      </c>
      <c r="C1525" s="626" t="s">
        <v>18</v>
      </c>
      <c r="D1525" s="627">
        <v>1</v>
      </c>
      <c r="E1525" s="681">
        <f>Cotações!K18</f>
        <v>1057.8533333333332</v>
      </c>
      <c r="F1525" s="174">
        <f>D1525*E1525</f>
        <v>1057.8533333333332</v>
      </c>
    </row>
    <row r="1526" spans="1:6" x14ac:dyDescent="0.2">
      <c r="A1526" s="65"/>
      <c r="B1526" s="216"/>
      <c r="C1526" s="67"/>
      <c r="D1526" s="155"/>
      <c r="E1526" s="174"/>
      <c r="F1526" s="174"/>
    </row>
    <row r="1527" spans="1:6" x14ac:dyDescent="0.2">
      <c r="A1527" s="65"/>
      <c r="B1527" s="66"/>
      <c r="C1527" s="67"/>
      <c r="D1527" s="155"/>
      <c r="E1527" s="174"/>
      <c r="F1527" s="174"/>
    </row>
    <row r="1528" spans="1:6" x14ac:dyDescent="0.2">
      <c r="A1528" s="79"/>
      <c r="B1528" s="76"/>
      <c r="C1528" s="73"/>
      <c r="D1528" s="80" t="s">
        <v>36</v>
      </c>
      <c r="E1528" s="81"/>
      <c r="F1528" s="101">
        <f>SUM(F1525:F1527)</f>
        <v>1057.8533333333332</v>
      </c>
    </row>
    <row r="1529" spans="1:6" x14ac:dyDescent="0.2">
      <c r="A1529" s="79"/>
      <c r="B1529" s="76"/>
      <c r="C1529" s="73"/>
      <c r="D1529" s="83"/>
      <c r="E1529" s="84"/>
      <c r="F1529" s="85"/>
    </row>
    <row r="1530" spans="1:6" x14ac:dyDescent="0.2">
      <c r="A1530" s="746" t="s">
        <v>37</v>
      </c>
      <c r="B1530" s="747"/>
      <c r="C1530" s="747"/>
      <c r="D1530" s="747"/>
      <c r="E1530" s="747"/>
      <c r="F1530" s="748"/>
    </row>
    <row r="1531" spans="1:6" x14ac:dyDescent="0.2">
      <c r="A1531" s="64" t="s">
        <v>8</v>
      </c>
      <c r="B1531" s="64" t="s">
        <v>26</v>
      </c>
      <c r="C1531" s="64" t="s">
        <v>27</v>
      </c>
      <c r="D1531" s="64" t="s">
        <v>28</v>
      </c>
      <c r="E1531" s="64" t="s">
        <v>29</v>
      </c>
      <c r="F1531" s="64" t="s">
        <v>30</v>
      </c>
    </row>
    <row r="1532" spans="1:6" x14ac:dyDescent="0.2">
      <c r="A1532" s="65"/>
      <c r="B1532" s="66"/>
      <c r="C1532" s="88"/>
      <c r="D1532" s="89"/>
      <c r="E1532" s="173"/>
      <c r="F1532" s="174"/>
    </row>
    <row r="1533" spans="1:6" x14ac:dyDescent="0.2">
      <c r="A1533" s="92"/>
      <c r="B1533" s="87"/>
      <c r="C1533" s="88"/>
      <c r="D1533" s="103"/>
      <c r="E1533" s="94"/>
      <c r="F1533" s="100"/>
    </row>
    <row r="1534" spans="1:6" x14ac:dyDescent="0.2">
      <c r="A1534" s="95"/>
      <c r="B1534" s="96"/>
      <c r="C1534" s="97"/>
      <c r="D1534" s="98"/>
      <c r="E1534" s="99"/>
      <c r="F1534" s="104"/>
    </row>
    <row r="1535" spans="1:6" x14ac:dyDescent="0.2">
      <c r="A1535" s="79"/>
      <c r="B1535" s="76"/>
      <c r="C1535" s="73"/>
      <c r="D1535" s="80" t="s">
        <v>38</v>
      </c>
      <c r="E1535" s="81"/>
      <c r="F1535" s="101">
        <f>ROUND(SUM(F1532:F1532),2)</f>
        <v>0</v>
      </c>
    </row>
    <row r="1536" spans="1:6" x14ac:dyDescent="0.2">
      <c r="A1536" s="79"/>
      <c r="B1536" s="76"/>
      <c r="C1536" s="73"/>
      <c r="D1536" s="83"/>
      <c r="E1536" s="84"/>
      <c r="F1536" s="85"/>
    </row>
    <row r="1537" spans="1:6" x14ac:dyDescent="0.2">
      <c r="A1537" s="749" t="s">
        <v>39</v>
      </c>
      <c r="B1537" s="750"/>
      <c r="C1537" s="750"/>
      <c r="D1537" s="750"/>
      <c r="E1537" s="751"/>
      <c r="F1537" s="105">
        <f>ROUND(F1521+F1528+F1535,2)</f>
        <v>1281.83</v>
      </c>
    </row>
    <row r="1538" spans="1:6" ht="15.75" x14ac:dyDescent="0.2">
      <c r="A1538" s="587" t="s">
        <v>8</v>
      </c>
      <c r="B1538" s="743" t="s">
        <v>23</v>
      </c>
      <c r="C1538" s="743"/>
      <c r="D1538" s="743"/>
      <c r="E1538" s="743"/>
      <c r="F1538" s="588" t="s">
        <v>24</v>
      </c>
    </row>
    <row r="1539" spans="1:6" ht="44.25" customHeight="1" x14ac:dyDescent="0.2">
      <c r="A1539" s="63" t="s">
        <v>12041</v>
      </c>
      <c r="B1539" s="744" t="str">
        <f>PO!D360</f>
        <v>Quadro de distribuição de energia de embutir, em chapa metálica, para 25 disjuntores termomagnéticos monopolares, com barramento trifásico e neutro, 250A - Fornecimento e instalação</v>
      </c>
      <c r="C1539" s="744"/>
      <c r="D1539" s="744"/>
      <c r="E1539" s="744"/>
      <c r="F1539" s="107" t="str">
        <f>PO!E360</f>
        <v>unid</v>
      </c>
    </row>
    <row r="1540" spans="1:6" x14ac:dyDescent="0.2">
      <c r="A1540" s="745" t="s">
        <v>25</v>
      </c>
      <c r="B1540" s="745"/>
      <c r="C1540" s="745"/>
      <c r="D1540" s="745"/>
      <c r="E1540" s="745"/>
      <c r="F1540" s="745"/>
    </row>
    <row r="1541" spans="1:6" x14ac:dyDescent="0.2">
      <c r="A1541" s="64" t="s">
        <v>8</v>
      </c>
      <c r="B1541" s="64" t="s">
        <v>26</v>
      </c>
      <c r="C1541" s="64" t="s">
        <v>27</v>
      </c>
      <c r="D1541" s="64" t="s">
        <v>28</v>
      </c>
      <c r="E1541" s="64" t="s">
        <v>29</v>
      </c>
      <c r="F1541" s="64" t="s">
        <v>30</v>
      </c>
    </row>
    <row r="1542" spans="1:6" x14ac:dyDescent="0.2">
      <c r="A1542" s="65">
        <v>88247</v>
      </c>
      <c r="B1542" s="66" t="s">
        <v>11875</v>
      </c>
      <c r="C1542" s="67" t="s">
        <v>10945</v>
      </c>
      <c r="D1542" s="265">
        <v>10</v>
      </c>
      <c r="E1542" s="174">
        <v>16.25</v>
      </c>
      <c r="F1542" s="174">
        <f>D1542*E1542</f>
        <v>162.5</v>
      </c>
    </row>
    <row r="1543" spans="1:6" x14ac:dyDescent="0.2">
      <c r="A1543" s="65">
        <v>88264</v>
      </c>
      <c r="B1543" s="66" t="s">
        <v>10976</v>
      </c>
      <c r="C1543" s="67" t="s">
        <v>10945</v>
      </c>
      <c r="D1543" s="265">
        <v>10</v>
      </c>
      <c r="E1543" s="174">
        <v>21.08</v>
      </c>
      <c r="F1543" s="174">
        <f>D1543*E1543</f>
        <v>210.79999999999998</v>
      </c>
    </row>
    <row r="1544" spans="1:6" x14ac:dyDescent="0.2">
      <c r="A1544" s="65"/>
      <c r="B1544" s="66"/>
      <c r="C1544" s="67"/>
      <c r="D1544" s="155"/>
      <c r="E1544" s="99"/>
      <c r="F1544" s="100"/>
    </row>
    <row r="1545" spans="1:6" x14ac:dyDescent="0.2">
      <c r="A1545" s="71"/>
      <c r="B1545" s="62"/>
      <c r="C1545" s="72"/>
      <c r="D1545" s="73" t="s">
        <v>31</v>
      </c>
      <c r="E1545" s="74"/>
      <c r="F1545" s="75">
        <f>F1542+F1543+F1544</f>
        <v>373.29999999999995</v>
      </c>
    </row>
    <row r="1546" spans="1:6" x14ac:dyDescent="0.2">
      <c r="A1546" s="71"/>
      <c r="B1546" s="62"/>
      <c r="C1546" s="72"/>
      <c r="D1546" s="76" t="s">
        <v>32</v>
      </c>
      <c r="E1546" s="77"/>
      <c r="F1546" s="78">
        <f>F1545*E1546</f>
        <v>0</v>
      </c>
    </row>
    <row r="1547" spans="1:6" x14ac:dyDescent="0.2">
      <c r="A1547" s="71"/>
      <c r="B1547" s="62"/>
      <c r="C1547" s="72"/>
      <c r="D1547" s="73" t="s">
        <v>33</v>
      </c>
      <c r="E1547" s="74"/>
      <c r="F1547" s="78">
        <f>SUM(F1545:F1546)</f>
        <v>373.29999999999995</v>
      </c>
    </row>
    <row r="1548" spans="1:6" x14ac:dyDescent="0.2">
      <c r="A1548" s="79"/>
      <c r="B1548" s="76"/>
      <c r="C1548" s="73"/>
      <c r="D1548" s="80" t="s">
        <v>34</v>
      </c>
      <c r="E1548" s="81"/>
      <c r="F1548" s="82">
        <f>F1547</f>
        <v>373.29999999999995</v>
      </c>
    </row>
    <row r="1549" spans="1:6" x14ac:dyDescent="0.2">
      <c r="A1549" s="79"/>
      <c r="B1549" s="76"/>
      <c r="C1549" s="73"/>
      <c r="D1549" s="83"/>
      <c r="E1549" s="84"/>
      <c r="F1549" s="85"/>
    </row>
    <row r="1550" spans="1:6" x14ac:dyDescent="0.2">
      <c r="A1550" s="746" t="s">
        <v>35</v>
      </c>
      <c r="B1550" s="747"/>
      <c r="C1550" s="747"/>
      <c r="D1550" s="747"/>
      <c r="E1550" s="747"/>
      <c r="F1550" s="748"/>
    </row>
    <row r="1551" spans="1:6" x14ac:dyDescent="0.2">
      <c r="A1551" s="64" t="s">
        <v>8</v>
      </c>
      <c r="B1551" s="64" t="s">
        <v>26</v>
      </c>
      <c r="C1551" s="64" t="s">
        <v>27</v>
      </c>
      <c r="D1551" s="64" t="s">
        <v>28</v>
      </c>
      <c r="E1551" s="64" t="s">
        <v>29</v>
      </c>
      <c r="F1551" s="64" t="s">
        <v>30</v>
      </c>
    </row>
    <row r="1552" spans="1:6" ht="22.5" x14ac:dyDescent="0.2">
      <c r="A1552" s="65" t="s">
        <v>12237</v>
      </c>
      <c r="B1552" s="591" t="s">
        <v>12238</v>
      </c>
      <c r="C1552" s="113" t="s">
        <v>18</v>
      </c>
      <c r="D1552" s="265">
        <v>1</v>
      </c>
      <c r="E1552" s="174">
        <v>744.75</v>
      </c>
      <c r="F1552" s="174">
        <f>D1552*E1552</f>
        <v>744.75</v>
      </c>
    </row>
    <row r="1553" spans="1:6" x14ac:dyDescent="0.2">
      <c r="A1553" s="624" t="s">
        <v>12239</v>
      </c>
      <c r="B1553" s="625" t="s">
        <v>12240</v>
      </c>
      <c r="C1553" s="626" t="s">
        <v>18</v>
      </c>
      <c r="D1553" s="627">
        <v>1</v>
      </c>
      <c r="E1553" s="174">
        <v>24.45</v>
      </c>
      <c r="F1553" s="174">
        <f t="shared" ref="F1553:F1555" si="43">D1553*E1553</f>
        <v>24.45</v>
      </c>
    </row>
    <row r="1554" spans="1:6" x14ac:dyDescent="0.2">
      <c r="A1554" s="624" t="s">
        <v>12241</v>
      </c>
      <c r="B1554" s="628" t="s">
        <v>12242</v>
      </c>
      <c r="C1554" s="626" t="s">
        <v>18</v>
      </c>
      <c r="D1554" s="627">
        <v>1</v>
      </c>
      <c r="E1554" s="174">
        <v>173.21</v>
      </c>
      <c r="F1554" s="174">
        <f t="shared" si="43"/>
        <v>173.21</v>
      </c>
    </row>
    <row r="1555" spans="1:6" x14ac:dyDescent="0.2">
      <c r="A1555" s="624" t="s">
        <v>12243</v>
      </c>
      <c r="B1555" s="629" t="s">
        <v>12244</v>
      </c>
      <c r="C1555" s="626" t="s">
        <v>18</v>
      </c>
      <c r="D1555" s="627">
        <v>1</v>
      </c>
      <c r="E1555" s="174">
        <v>25.88</v>
      </c>
      <c r="F1555" s="174">
        <f t="shared" si="43"/>
        <v>25.88</v>
      </c>
    </row>
    <row r="1556" spans="1:6" x14ac:dyDescent="0.2">
      <c r="A1556" s="79"/>
      <c r="B1556" s="76"/>
      <c r="C1556" s="73"/>
      <c r="D1556" s="80" t="s">
        <v>36</v>
      </c>
      <c r="E1556" s="81"/>
      <c r="F1556" s="101">
        <f>SUM(F1552:F1555)</f>
        <v>968.29000000000008</v>
      </c>
    </row>
    <row r="1557" spans="1:6" x14ac:dyDescent="0.2">
      <c r="A1557" s="79"/>
      <c r="B1557" s="76"/>
      <c r="C1557" s="73"/>
      <c r="D1557" s="83"/>
      <c r="E1557" s="84"/>
      <c r="F1557" s="85"/>
    </row>
    <row r="1558" spans="1:6" x14ac:dyDescent="0.2">
      <c r="A1558" s="746" t="s">
        <v>37</v>
      </c>
      <c r="B1558" s="747"/>
      <c r="C1558" s="747"/>
      <c r="D1558" s="747"/>
      <c r="E1558" s="747"/>
      <c r="F1558" s="748"/>
    </row>
    <row r="1559" spans="1:6" x14ac:dyDescent="0.2">
      <c r="A1559" s="64" t="s">
        <v>8</v>
      </c>
      <c r="B1559" s="64" t="s">
        <v>26</v>
      </c>
      <c r="C1559" s="64" t="s">
        <v>27</v>
      </c>
      <c r="D1559" s="64" t="s">
        <v>28</v>
      </c>
      <c r="E1559" s="64" t="s">
        <v>29</v>
      </c>
      <c r="F1559" s="64" t="s">
        <v>30</v>
      </c>
    </row>
    <row r="1560" spans="1:6" x14ac:dyDescent="0.2">
      <c r="A1560" s="65"/>
      <c r="B1560" s="66"/>
      <c r="C1560" s="88"/>
      <c r="D1560" s="89"/>
      <c r="E1560" s="173"/>
      <c r="F1560" s="174"/>
    </row>
    <row r="1561" spans="1:6" x14ac:dyDescent="0.2">
      <c r="A1561" s="92"/>
      <c r="B1561" s="87"/>
      <c r="C1561" s="88"/>
      <c r="D1561" s="103"/>
      <c r="E1561" s="94"/>
      <c r="F1561" s="100"/>
    </row>
    <row r="1562" spans="1:6" x14ac:dyDescent="0.2">
      <c r="A1562" s="95"/>
      <c r="B1562" s="96"/>
      <c r="C1562" s="97"/>
      <c r="D1562" s="98"/>
      <c r="E1562" s="99"/>
      <c r="F1562" s="104"/>
    </row>
    <row r="1563" spans="1:6" x14ac:dyDescent="0.2">
      <c r="A1563" s="79"/>
      <c r="B1563" s="76"/>
      <c r="C1563" s="73"/>
      <c r="D1563" s="80" t="s">
        <v>38</v>
      </c>
      <c r="E1563" s="81"/>
      <c r="F1563" s="101">
        <f>ROUND(SUM(F1560:F1560),2)</f>
        <v>0</v>
      </c>
    </row>
    <row r="1564" spans="1:6" x14ac:dyDescent="0.2">
      <c r="A1564" s="79"/>
      <c r="B1564" s="76"/>
      <c r="C1564" s="73"/>
      <c r="D1564" s="83"/>
      <c r="E1564" s="84"/>
      <c r="F1564" s="85"/>
    </row>
    <row r="1565" spans="1:6" x14ac:dyDescent="0.2">
      <c r="A1565" s="749" t="s">
        <v>39</v>
      </c>
      <c r="B1565" s="750"/>
      <c r="C1565" s="750"/>
      <c r="D1565" s="750"/>
      <c r="E1565" s="751"/>
      <c r="F1565" s="105">
        <f>ROUND(F1548+F1556+F1563,2)</f>
        <v>1341.59</v>
      </c>
    </row>
    <row r="1566" spans="1:6" ht="15.75" x14ac:dyDescent="0.2">
      <c r="A1566" s="587" t="s">
        <v>8</v>
      </c>
      <c r="B1566" s="743" t="s">
        <v>23</v>
      </c>
      <c r="C1566" s="743"/>
      <c r="D1566" s="743"/>
      <c r="E1566" s="743"/>
      <c r="F1566" s="588" t="s">
        <v>24</v>
      </c>
    </row>
    <row r="1567" spans="1:6" ht="15" customHeight="1" x14ac:dyDescent="0.2">
      <c r="A1567" s="63" t="s">
        <v>12042</v>
      </c>
      <c r="B1567" s="744" t="str">
        <f>PO!D363</f>
        <v>Luminária led industrial - 120 W - Fornecimento e instalação.</v>
      </c>
      <c r="C1567" s="744"/>
      <c r="D1567" s="744"/>
      <c r="E1567" s="744"/>
      <c r="F1567" s="107" t="str">
        <f>PO!E363</f>
        <v>unid</v>
      </c>
    </row>
    <row r="1568" spans="1:6" x14ac:dyDescent="0.2">
      <c r="A1568" s="745" t="s">
        <v>25</v>
      </c>
      <c r="B1568" s="745"/>
      <c r="C1568" s="745"/>
      <c r="D1568" s="745"/>
      <c r="E1568" s="745"/>
      <c r="F1568" s="745"/>
    </row>
    <row r="1569" spans="1:6" x14ac:dyDescent="0.2">
      <c r="A1569" s="64" t="s">
        <v>8</v>
      </c>
      <c r="B1569" s="64" t="s">
        <v>26</v>
      </c>
      <c r="C1569" s="64" t="s">
        <v>27</v>
      </c>
      <c r="D1569" s="64" t="s">
        <v>28</v>
      </c>
      <c r="E1569" s="64" t="s">
        <v>29</v>
      </c>
      <c r="F1569" s="64" t="s">
        <v>30</v>
      </c>
    </row>
    <row r="1570" spans="1:6" x14ac:dyDescent="0.2">
      <c r="A1570" s="65">
        <v>88247</v>
      </c>
      <c r="B1570" s="66" t="s">
        <v>11875</v>
      </c>
      <c r="C1570" s="67" t="s">
        <v>10945</v>
      </c>
      <c r="D1570" s="155">
        <v>0.2883</v>
      </c>
      <c r="E1570" s="174">
        <v>16.25</v>
      </c>
      <c r="F1570" s="174">
        <f>D1570*E1570</f>
        <v>4.6848749999999999</v>
      </c>
    </row>
    <row r="1571" spans="1:6" x14ac:dyDescent="0.2">
      <c r="A1571" s="65">
        <v>88264</v>
      </c>
      <c r="B1571" s="66" t="s">
        <v>10976</v>
      </c>
      <c r="C1571" s="67" t="s">
        <v>10945</v>
      </c>
      <c r="D1571" s="155">
        <v>0.69199999999999995</v>
      </c>
      <c r="E1571" s="174">
        <v>21.08</v>
      </c>
      <c r="F1571" s="174">
        <f>D1571*E1571</f>
        <v>14.587359999999999</v>
      </c>
    </row>
    <row r="1572" spans="1:6" x14ac:dyDescent="0.2">
      <c r="A1572" s="65"/>
      <c r="B1572" s="66"/>
      <c r="C1572" s="67"/>
      <c r="D1572" s="155"/>
      <c r="E1572" s="99"/>
      <c r="F1572" s="100"/>
    </row>
    <row r="1573" spans="1:6" x14ac:dyDescent="0.2">
      <c r="A1573" s="71"/>
      <c r="B1573" s="62"/>
      <c r="C1573" s="72"/>
      <c r="D1573" s="73" t="s">
        <v>31</v>
      </c>
      <c r="E1573" s="74"/>
      <c r="F1573" s="75">
        <f>F1570+F1571+F1572</f>
        <v>19.272234999999998</v>
      </c>
    </row>
    <row r="1574" spans="1:6" x14ac:dyDescent="0.2">
      <c r="A1574" s="71"/>
      <c r="B1574" s="62"/>
      <c r="C1574" s="72"/>
      <c r="D1574" s="76" t="s">
        <v>32</v>
      </c>
      <c r="E1574" s="77"/>
      <c r="F1574" s="78">
        <f>F1573*E1574</f>
        <v>0</v>
      </c>
    </row>
    <row r="1575" spans="1:6" x14ac:dyDescent="0.2">
      <c r="A1575" s="71"/>
      <c r="B1575" s="62"/>
      <c r="C1575" s="72"/>
      <c r="D1575" s="73" t="s">
        <v>33</v>
      </c>
      <c r="E1575" s="74"/>
      <c r="F1575" s="78">
        <f>SUM(F1573:F1574)</f>
        <v>19.272234999999998</v>
      </c>
    </row>
    <row r="1576" spans="1:6" x14ac:dyDescent="0.2">
      <c r="A1576" s="79"/>
      <c r="B1576" s="76"/>
      <c r="C1576" s="73"/>
      <c r="D1576" s="80" t="s">
        <v>34</v>
      </c>
      <c r="E1576" s="81"/>
      <c r="F1576" s="82">
        <f>F1575</f>
        <v>19.272234999999998</v>
      </c>
    </row>
    <row r="1577" spans="1:6" x14ac:dyDescent="0.2">
      <c r="A1577" s="79"/>
      <c r="B1577" s="76"/>
      <c r="C1577" s="73"/>
      <c r="D1577" s="83"/>
      <c r="E1577" s="84"/>
      <c r="F1577" s="85"/>
    </row>
    <row r="1578" spans="1:6" x14ac:dyDescent="0.2">
      <c r="A1578" s="746" t="s">
        <v>35</v>
      </c>
      <c r="B1578" s="747"/>
      <c r="C1578" s="747"/>
      <c r="D1578" s="747"/>
      <c r="E1578" s="747"/>
      <c r="F1578" s="748"/>
    </row>
    <row r="1579" spans="1:6" x14ac:dyDescent="0.2">
      <c r="A1579" s="64" t="s">
        <v>8</v>
      </c>
      <c r="B1579" s="64" t="s">
        <v>26</v>
      </c>
      <c r="C1579" s="64" t="s">
        <v>27</v>
      </c>
      <c r="D1579" s="64" t="s">
        <v>28</v>
      </c>
      <c r="E1579" s="64" t="s">
        <v>29</v>
      </c>
      <c r="F1579" s="64" t="s">
        <v>30</v>
      </c>
    </row>
    <row r="1580" spans="1:6" x14ac:dyDescent="0.2">
      <c r="A1580" s="624" t="s">
        <v>11966</v>
      </c>
      <c r="B1580" s="632" t="s">
        <v>12057</v>
      </c>
      <c r="C1580" s="633" t="s">
        <v>10884</v>
      </c>
      <c r="D1580" s="639">
        <v>1</v>
      </c>
      <c r="E1580" s="640">
        <f>Cotações!K22</f>
        <v>669.63833333333332</v>
      </c>
      <c r="F1580" s="174">
        <f>D1580*E1580</f>
        <v>669.63833333333332</v>
      </c>
    </row>
    <row r="1581" spans="1:6" x14ac:dyDescent="0.2">
      <c r="A1581" s="65"/>
      <c r="B1581" s="216"/>
      <c r="C1581" s="67"/>
      <c r="D1581" s="155"/>
      <c r="E1581" s="174"/>
      <c r="F1581" s="174"/>
    </row>
    <row r="1582" spans="1:6" x14ac:dyDescent="0.2">
      <c r="A1582" s="65"/>
      <c r="B1582" s="66"/>
      <c r="C1582" s="67"/>
      <c r="D1582" s="155"/>
      <c r="E1582" s="174"/>
      <c r="F1582" s="174"/>
    </row>
    <row r="1583" spans="1:6" x14ac:dyDescent="0.2">
      <c r="A1583" s="79"/>
      <c r="B1583" s="76"/>
      <c r="C1583" s="73"/>
      <c r="D1583" s="80" t="s">
        <v>36</v>
      </c>
      <c r="E1583" s="81"/>
      <c r="F1583" s="101">
        <f>SUM(F1580:F1582)</f>
        <v>669.63833333333332</v>
      </c>
    </row>
    <row r="1584" spans="1:6" x14ac:dyDescent="0.2">
      <c r="A1584" s="79"/>
      <c r="B1584" s="76"/>
      <c r="C1584" s="73"/>
      <c r="D1584" s="83"/>
      <c r="E1584" s="84"/>
      <c r="F1584" s="85"/>
    </row>
    <row r="1585" spans="1:6" x14ac:dyDescent="0.2">
      <c r="A1585" s="746" t="s">
        <v>37</v>
      </c>
      <c r="B1585" s="747"/>
      <c r="C1585" s="747"/>
      <c r="D1585" s="747"/>
      <c r="E1585" s="747"/>
      <c r="F1585" s="748"/>
    </row>
    <row r="1586" spans="1:6" x14ac:dyDescent="0.2">
      <c r="A1586" s="64" t="s">
        <v>8</v>
      </c>
      <c r="B1586" s="64" t="s">
        <v>26</v>
      </c>
      <c r="C1586" s="64" t="s">
        <v>27</v>
      </c>
      <c r="D1586" s="64" t="s">
        <v>28</v>
      </c>
      <c r="E1586" s="64" t="s">
        <v>29</v>
      </c>
      <c r="F1586" s="64" t="s">
        <v>30</v>
      </c>
    </row>
    <row r="1587" spans="1:6" x14ac:dyDescent="0.2">
      <c r="A1587" s="65"/>
      <c r="B1587" s="66"/>
      <c r="C1587" s="88"/>
      <c r="D1587" s="89"/>
      <c r="E1587" s="173"/>
      <c r="F1587" s="174"/>
    </row>
    <row r="1588" spans="1:6" x14ac:dyDescent="0.2">
      <c r="A1588" s="92"/>
      <c r="B1588" s="87"/>
      <c r="C1588" s="88"/>
      <c r="D1588" s="103"/>
      <c r="E1588" s="94"/>
      <c r="F1588" s="100"/>
    </row>
    <row r="1589" spans="1:6" x14ac:dyDescent="0.2">
      <c r="A1589" s="95"/>
      <c r="B1589" s="96"/>
      <c r="C1589" s="97"/>
      <c r="D1589" s="98"/>
      <c r="E1589" s="99"/>
      <c r="F1589" s="104"/>
    </row>
    <row r="1590" spans="1:6" x14ac:dyDescent="0.2">
      <c r="A1590" s="79"/>
      <c r="B1590" s="76"/>
      <c r="C1590" s="73"/>
      <c r="D1590" s="80" t="s">
        <v>38</v>
      </c>
      <c r="E1590" s="81"/>
      <c r="F1590" s="101">
        <f>ROUND(SUM(F1587:F1587),2)</f>
        <v>0</v>
      </c>
    </row>
    <row r="1591" spans="1:6" x14ac:dyDescent="0.2">
      <c r="A1591" s="79"/>
      <c r="B1591" s="76"/>
      <c r="C1591" s="73"/>
      <c r="D1591" s="83"/>
      <c r="E1591" s="84"/>
      <c r="F1591" s="85"/>
    </row>
    <row r="1592" spans="1:6" x14ac:dyDescent="0.2">
      <c r="A1592" s="749" t="s">
        <v>39</v>
      </c>
      <c r="B1592" s="750"/>
      <c r="C1592" s="750"/>
      <c r="D1592" s="750"/>
      <c r="E1592" s="751"/>
      <c r="F1592" s="105">
        <f>ROUND(F1576+F1583+F1590,2)</f>
        <v>688.91</v>
      </c>
    </row>
    <row r="1593" spans="1:6" ht="15.75" x14ac:dyDescent="0.2">
      <c r="A1593" s="587" t="s">
        <v>8</v>
      </c>
      <c r="B1593" s="743" t="s">
        <v>23</v>
      </c>
      <c r="C1593" s="743"/>
      <c r="D1593" s="743"/>
      <c r="E1593" s="743"/>
      <c r="F1593" s="588" t="s">
        <v>24</v>
      </c>
    </row>
    <row r="1594" spans="1:6" ht="15" x14ac:dyDescent="0.2">
      <c r="A1594" s="63" t="s">
        <v>12043</v>
      </c>
      <c r="B1594" s="744" t="str">
        <f>PO!D365</f>
        <v>Placa Led 20x20 - Fornecimento e instalação.</v>
      </c>
      <c r="C1594" s="744"/>
      <c r="D1594" s="744"/>
      <c r="E1594" s="744"/>
      <c r="F1594" s="107" t="str">
        <f>PO!E365</f>
        <v>unid</v>
      </c>
    </row>
    <row r="1595" spans="1:6" x14ac:dyDescent="0.2">
      <c r="A1595" s="745" t="s">
        <v>25</v>
      </c>
      <c r="B1595" s="745"/>
      <c r="C1595" s="745"/>
      <c r="D1595" s="745"/>
      <c r="E1595" s="745"/>
      <c r="F1595" s="745"/>
    </row>
    <row r="1596" spans="1:6" x14ac:dyDescent="0.2">
      <c r="A1596" s="64" t="s">
        <v>8</v>
      </c>
      <c r="B1596" s="64" t="s">
        <v>26</v>
      </c>
      <c r="C1596" s="64" t="s">
        <v>27</v>
      </c>
      <c r="D1596" s="64" t="s">
        <v>28</v>
      </c>
      <c r="E1596" s="64" t="s">
        <v>29</v>
      </c>
      <c r="F1596" s="64" t="s">
        <v>30</v>
      </c>
    </row>
    <row r="1597" spans="1:6" x14ac:dyDescent="0.2">
      <c r="A1597" s="65">
        <v>88247</v>
      </c>
      <c r="B1597" s="66" t="s">
        <v>11875</v>
      </c>
      <c r="C1597" s="67" t="s">
        <v>10945</v>
      </c>
      <c r="D1597" s="155">
        <v>0.2883</v>
      </c>
      <c r="E1597" s="174">
        <v>16.25</v>
      </c>
      <c r="F1597" s="174">
        <f>D1597*E1597</f>
        <v>4.6848749999999999</v>
      </c>
    </row>
    <row r="1598" spans="1:6" x14ac:dyDescent="0.2">
      <c r="A1598" s="65">
        <v>88264</v>
      </c>
      <c r="B1598" s="66" t="s">
        <v>10976</v>
      </c>
      <c r="C1598" s="67" t="s">
        <v>10945</v>
      </c>
      <c r="D1598" s="155">
        <v>0.69199999999999995</v>
      </c>
      <c r="E1598" s="174">
        <v>21.08</v>
      </c>
      <c r="F1598" s="174">
        <f>D1598*E1598</f>
        <v>14.587359999999999</v>
      </c>
    </row>
    <row r="1599" spans="1:6" x14ac:dyDescent="0.2">
      <c r="A1599" s="65"/>
      <c r="B1599" s="66"/>
      <c r="C1599" s="67"/>
      <c r="D1599" s="155"/>
      <c r="E1599" s="99"/>
      <c r="F1599" s="100"/>
    </row>
    <row r="1600" spans="1:6" x14ac:dyDescent="0.2">
      <c r="A1600" s="71"/>
      <c r="B1600" s="62"/>
      <c r="C1600" s="72"/>
      <c r="D1600" s="73" t="s">
        <v>31</v>
      </c>
      <c r="E1600" s="74"/>
      <c r="F1600" s="75">
        <f>F1597+F1598+F1599</f>
        <v>19.272234999999998</v>
      </c>
    </row>
    <row r="1601" spans="1:6" x14ac:dyDescent="0.2">
      <c r="A1601" s="71"/>
      <c r="B1601" s="62"/>
      <c r="C1601" s="72"/>
      <c r="D1601" s="76" t="s">
        <v>32</v>
      </c>
      <c r="E1601" s="77"/>
      <c r="F1601" s="78">
        <f>F1600*E1601</f>
        <v>0</v>
      </c>
    </row>
    <row r="1602" spans="1:6" x14ac:dyDescent="0.2">
      <c r="A1602" s="71"/>
      <c r="B1602" s="62"/>
      <c r="C1602" s="72"/>
      <c r="D1602" s="73" t="s">
        <v>33</v>
      </c>
      <c r="E1602" s="74"/>
      <c r="F1602" s="78">
        <f>SUM(F1600:F1601)</f>
        <v>19.272234999999998</v>
      </c>
    </row>
    <row r="1603" spans="1:6" x14ac:dyDescent="0.2">
      <c r="A1603" s="79"/>
      <c r="B1603" s="76"/>
      <c r="C1603" s="73"/>
      <c r="D1603" s="80" t="s">
        <v>34</v>
      </c>
      <c r="E1603" s="81"/>
      <c r="F1603" s="82">
        <f>F1602</f>
        <v>19.272234999999998</v>
      </c>
    </row>
    <row r="1604" spans="1:6" x14ac:dyDescent="0.2">
      <c r="A1604" s="79"/>
      <c r="B1604" s="76"/>
      <c r="C1604" s="73"/>
      <c r="D1604" s="83"/>
      <c r="E1604" s="84"/>
      <c r="F1604" s="85"/>
    </row>
    <row r="1605" spans="1:6" x14ac:dyDescent="0.2">
      <c r="A1605" s="746" t="s">
        <v>35</v>
      </c>
      <c r="B1605" s="747"/>
      <c r="C1605" s="747"/>
      <c r="D1605" s="747"/>
      <c r="E1605" s="747"/>
      <c r="F1605" s="748"/>
    </row>
    <row r="1606" spans="1:6" x14ac:dyDescent="0.2">
      <c r="A1606" s="64" t="s">
        <v>8</v>
      </c>
      <c r="B1606" s="64" t="s">
        <v>26</v>
      </c>
      <c r="C1606" s="64" t="s">
        <v>27</v>
      </c>
      <c r="D1606" s="64" t="s">
        <v>28</v>
      </c>
      <c r="E1606" s="64" t="s">
        <v>29</v>
      </c>
      <c r="F1606" s="64" t="s">
        <v>30</v>
      </c>
    </row>
    <row r="1607" spans="1:6" x14ac:dyDescent="0.2">
      <c r="A1607" s="624" t="s">
        <v>12055</v>
      </c>
      <c r="B1607" s="632" t="s">
        <v>12053</v>
      </c>
      <c r="C1607" s="633" t="s">
        <v>10884</v>
      </c>
      <c r="D1607" s="639">
        <v>1</v>
      </c>
      <c r="E1607" s="640">
        <v>21.92</v>
      </c>
      <c r="F1607" s="174">
        <f>D1607*E1607</f>
        <v>21.92</v>
      </c>
    </row>
    <row r="1608" spans="1:6" x14ac:dyDescent="0.2">
      <c r="A1608" s="624"/>
      <c r="B1608" s="628"/>
      <c r="C1608" s="683"/>
      <c r="D1608" s="684"/>
      <c r="E1608" s="681"/>
      <c r="F1608" s="174"/>
    </row>
    <row r="1609" spans="1:6" x14ac:dyDescent="0.2">
      <c r="A1609" s="65"/>
      <c r="B1609" s="66"/>
      <c r="C1609" s="67"/>
      <c r="D1609" s="155"/>
      <c r="E1609" s="174"/>
      <c r="F1609" s="174"/>
    </row>
    <row r="1610" spans="1:6" x14ac:dyDescent="0.2">
      <c r="A1610" s="79"/>
      <c r="B1610" s="76"/>
      <c r="C1610" s="73"/>
      <c r="D1610" s="80" t="s">
        <v>36</v>
      </c>
      <c r="E1610" s="81"/>
      <c r="F1610" s="101">
        <f>SUM(F1607:F1609)</f>
        <v>21.92</v>
      </c>
    </row>
    <row r="1611" spans="1:6" x14ac:dyDescent="0.2">
      <c r="A1611" s="79"/>
      <c r="B1611" s="76"/>
      <c r="C1611" s="73"/>
      <c r="D1611" s="83"/>
      <c r="E1611" s="84"/>
      <c r="F1611" s="85"/>
    </row>
    <row r="1612" spans="1:6" x14ac:dyDescent="0.2">
      <c r="A1612" s="746" t="s">
        <v>37</v>
      </c>
      <c r="B1612" s="747"/>
      <c r="C1612" s="747"/>
      <c r="D1612" s="747"/>
      <c r="E1612" s="747"/>
      <c r="F1612" s="748"/>
    </row>
    <row r="1613" spans="1:6" x14ac:dyDescent="0.2">
      <c r="A1613" s="64" t="s">
        <v>8</v>
      </c>
      <c r="B1613" s="64" t="s">
        <v>26</v>
      </c>
      <c r="C1613" s="64" t="s">
        <v>27</v>
      </c>
      <c r="D1613" s="64" t="s">
        <v>28</v>
      </c>
      <c r="E1613" s="64" t="s">
        <v>29</v>
      </c>
      <c r="F1613" s="64" t="s">
        <v>30</v>
      </c>
    </row>
    <row r="1614" spans="1:6" x14ac:dyDescent="0.2">
      <c r="A1614" s="65"/>
      <c r="B1614" s="66"/>
      <c r="C1614" s="88"/>
      <c r="D1614" s="89"/>
      <c r="E1614" s="173"/>
      <c r="F1614" s="174"/>
    </row>
    <row r="1615" spans="1:6" x14ac:dyDescent="0.2">
      <c r="A1615" s="92"/>
      <c r="B1615" s="87"/>
      <c r="C1615" s="88"/>
      <c r="D1615" s="103"/>
      <c r="E1615" s="94"/>
      <c r="F1615" s="100"/>
    </row>
    <row r="1616" spans="1:6" x14ac:dyDescent="0.2">
      <c r="A1616" s="95"/>
      <c r="B1616" s="96"/>
      <c r="C1616" s="97"/>
      <c r="D1616" s="98"/>
      <c r="E1616" s="99"/>
      <c r="F1616" s="104"/>
    </row>
    <row r="1617" spans="1:6" x14ac:dyDescent="0.2">
      <c r="A1617" s="79"/>
      <c r="B1617" s="76"/>
      <c r="C1617" s="73"/>
      <c r="D1617" s="80" t="s">
        <v>38</v>
      </c>
      <c r="E1617" s="81"/>
      <c r="F1617" s="101">
        <f>ROUND(SUM(F1614:F1614),2)</f>
        <v>0</v>
      </c>
    </row>
    <row r="1618" spans="1:6" x14ac:dyDescent="0.2">
      <c r="A1618" s="79"/>
      <c r="B1618" s="76"/>
      <c r="C1618" s="73"/>
      <c r="D1618" s="83"/>
      <c r="E1618" s="84"/>
      <c r="F1618" s="85"/>
    </row>
    <row r="1619" spans="1:6" x14ac:dyDescent="0.2">
      <c r="A1619" s="749" t="s">
        <v>39</v>
      </c>
      <c r="B1619" s="750"/>
      <c r="C1619" s="750"/>
      <c r="D1619" s="750"/>
      <c r="E1619" s="751"/>
      <c r="F1619" s="105">
        <f>ROUND(F1603+F1610+F1617,2)</f>
        <v>41.19</v>
      </c>
    </row>
    <row r="1620" spans="1:6" ht="15.75" x14ac:dyDescent="0.2">
      <c r="A1620" s="587" t="s">
        <v>8</v>
      </c>
      <c r="B1620" s="743" t="s">
        <v>23</v>
      </c>
      <c r="C1620" s="743"/>
      <c r="D1620" s="743"/>
      <c r="E1620" s="743"/>
      <c r="F1620" s="588" t="s">
        <v>24</v>
      </c>
    </row>
    <row r="1621" spans="1:6" ht="15" x14ac:dyDescent="0.2">
      <c r="A1621" s="63" t="s">
        <v>13813</v>
      </c>
      <c r="B1621" s="744" t="str">
        <f>PO!D366</f>
        <v>Placa Led 30x30 - Fornecimento e instalação.</v>
      </c>
      <c r="C1621" s="744"/>
      <c r="D1621" s="744"/>
      <c r="E1621" s="744"/>
      <c r="F1621" s="107" t="str">
        <f>PO!E366</f>
        <v>unid</v>
      </c>
    </row>
    <row r="1622" spans="1:6" x14ac:dyDescent="0.2">
      <c r="A1622" s="745" t="s">
        <v>25</v>
      </c>
      <c r="B1622" s="745"/>
      <c r="C1622" s="745"/>
      <c r="D1622" s="745"/>
      <c r="E1622" s="745"/>
      <c r="F1622" s="745"/>
    </row>
    <row r="1623" spans="1:6" x14ac:dyDescent="0.2">
      <c r="A1623" s="64" t="s">
        <v>8</v>
      </c>
      <c r="B1623" s="64" t="s">
        <v>26</v>
      </c>
      <c r="C1623" s="64" t="s">
        <v>27</v>
      </c>
      <c r="D1623" s="64" t="s">
        <v>28</v>
      </c>
      <c r="E1623" s="64" t="s">
        <v>29</v>
      </c>
      <c r="F1623" s="64" t="s">
        <v>30</v>
      </c>
    </row>
    <row r="1624" spans="1:6" x14ac:dyDescent="0.2">
      <c r="A1624" s="65">
        <v>88247</v>
      </c>
      <c r="B1624" s="66" t="s">
        <v>11875</v>
      </c>
      <c r="C1624" s="67" t="s">
        <v>10945</v>
      </c>
      <c r="D1624" s="155">
        <v>0.2883</v>
      </c>
      <c r="E1624" s="174">
        <v>16.25</v>
      </c>
      <c r="F1624" s="174">
        <f>D1624*E1624</f>
        <v>4.6848749999999999</v>
      </c>
    </row>
    <row r="1625" spans="1:6" x14ac:dyDescent="0.2">
      <c r="A1625" s="65">
        <v>88264</v>
      </c>
      <c r="B1625" s="66" t="s">
        <v>10976</v>
      </c>
      <c r="C1625" s="67" t="s">
        <v>10945</v>
      </c>
      <c r="D1625" s="155">
        <v>0.69199999999999995</v>
      </c>
      <c r="E1625" s="174">
        <v>21.08</v>
      </c>
      <c r="F1625" s="174">
        <f>D1625*E1625</f>
        <v>14.587359999999999</v>
      </c>
    </row>
    <row r="1626" spans="1:6" x14ac:dyDescent="0.2">
      <c r="A1626" s="65"/>
      <c r="B1626" s="66"/>
      <c r="C1626" s="67"/>
      <c r="D1626" s="155"/>
      <c r="E1626" s="99"/>
      <c r="F1626" s="100"/>
    </row>
    <row r="1627" spans="1:6" x14ac:dyDescent="0.2">
      <c r="A1627" s="71"/>
      <c r="B1627" s="62"/>
      <c r="C1627" s="72"/>
      <c r="D1627" s="73" t="s">
        <v>31</v>
      </c>
      <c r="E1627" s="74"/>
      <c r="F1627" s="75">
        <f>F1624+F1625+F1626</f>
        <v>19.272234999999998</v>
      </c>
    </row>
    <row r="1628" spans="1:6" x14ac:dyDescent="0.2">
      <c r="A1628" s="71"/>
      <c r="B1628" s="62"/>
      <c r="C1628" s="72"/>
      <c r="D1628" s="76" t="s">
        <v>32</v>
      </c>
      <c r="E1628" s="77"/>
      <c r="F1628" s="78">
        <f>F1627*E1628</f>
        <v>0</v>
      </c>
    </row>
    <row r="1629" spans="1:6" x14ac:dyDescent="0.2">
      <c r="A1629" s="71"/>
      <c r="B1629" s="62"/>
      <c r="C1629" s="72"/>
      <c r="D1629" s="73" t="s">
        <v>33</v>
      </c>
      <c r="E1629" s="74"/>
      <c r="F1629" s="78">
        <f>SUM(F1627:F1628)</f>
        <v>19.272234999999998</v>
      </c>
    </row>
    <row r="1630" spans="1:6" x14ac:dyDescent="0.2">
      <c r="A1630" s="79"/>
      <c r="B1630" s="76"/>
      <c r="C1630" s="73"/>
      <c r="D1630" s="80" t="s">
        <v>34</v>
      </c>
      <c r="E1630" s="81"/>
      <c r="F1630" s="82">
        <f>F1629</f>
        <v>19.272234999999998</v>
      </c>
    </row>
    <row r="1631" spans="1:6" x14ac:dyDescent="0.2">
      <c r="A1631" s="79"/>
      <c r="B1631" s="76"/>
      <c r="C1631" s="73"/>
      <c r="D1631" s="83"/>
      <c r="E1631" s="84"/>
      <c r="F1631" s="85"/>
    </row>
    <row r="1632" spans="1:6" x14ac:dyDescent="0.2">
      <c r="A1632" s="746" t="s">
        <v>35</v>
      </c>
      <c r="B1632" s="747"/>
      <c r="C1632" s="747"/>
      <c r="D1632" s="747"/>
      <c r="E1632" s="747"/>
      <c r="F1632" s="748"/>
    </row>
    <row r="1633" spans="1:6" x14ac:dyDescent="0.2">
      <c r="A1633" s="64" t="s">
        <v>8</v>
      </c>
      <c r="B1633" s="64" t="s">
        <v>26</v>
      </c>
      <c r="C1633" s="64" t="s">
        <v>27</v>
      </c>
      <c r="D1633" s="64" t="s">
        <v>28</v>
      </c>
      <c r="E1633" s="64" t="s">
        <v>29</v>
      </c>
      <c r="F1633" s="64" t="s">
        <v>30</v>
      </c>
    </row>
    <row r="1634" spans="1:6" x14ac:dyDescent="0.2">
      <c r="A1634" s="624" t="s">
        <v>12056</v>
      </c>
      <c r="B1634" s="632" t="s">
        <v>12054</v>
      </c>
      <c r="C1634" s="633" t="s">
        <v>10884</v>
      </c>
      <c r="D1634" s="639">
        <v>1</v>
      </c>
      <c r="E1634" s="640">
        <v>40.869999999999997</v>
      </c>
      <c r="F1634" s="174">
        <f>D1634*E1634</f>
        <v>40.869999999999997</v>
      </c>
    </row>
    <row r="1635" spans="1:6" x14ac:dyDescent="0.2">
      <c r="A1635" s="624"/>
      <c r="B1635" s="628"/>
      <c r="C1635" s="683"/>
      <c r="D1635" s="684"/>
      <c r="E1635" s="681"/>
      <c r="F1635" s="174"/>
    </row>
    <row r="1636" spans="1:6" x14ac:dyDescent="0.2">
      <c r="A1636" s="65"/>
      <c r="B1636" s="66"/>
      <c r="C1636" s="67"/>
      <c r="D1636" s="155"/>
      <c r="E1636" s="174"/>
      <c r="F1636" s="174"/>
    </row>
    <row r="1637" spans="1:6" x14ac:dyDescent="0.2">
      <c r="A1637" s="79"/>
      <c r="B1637" s="76"/>
      <c r="C1637" s="73"/>
      <c r="D1637" s="80" t="s">
        <v>36</v>
      </c>
      <c r="E1637" s="81"/>
      <c r="F1637" s="101">
        <f>SUM(F1634:F1636)</f>
        <v>40.869999999999997</v>
      </c>
    </row>
    <row r="1638" spans="1:6" x14ac:dyDescent="0.2">
      <c r="A1638" s="79"/>
      <c r="B1638" s="76"/>
      <c r="C1638" s="73"/>
      <c r="D1638" s="83"/>
      <c r="E1638" s="84"/>
      <c r="F1638" s="85"/>
    </row>
    <row r="1639" spans="1:6" x14ac:dyDescent="0.2">
      <c r="A1639" s="746" t="s">
        <v>37</v>
      </c>
      <c r="B1639" s="747"/>
      <c r="C1639" s="747"/>
      <c r="D1639" s="747"/>
      <c r="E1639" s="747"/>
      <c r="F1639" s="748"/>
    </row>
    <row r="1640" spans="1:6" x14ac:dyDescent="0.2">
      <c r="A1640" s="64" t="s">
        <v>8</v>
      </c>
      <c r="B1640" s="64" t="s">
        <v>26</v>
      </c>
      <c r="C1640" s="64" t="s">
        <v>27</v>
      </c>
      <c r="D1640" s="64" t="s">
        <v>28</v>
      </c>
      <c r="E1640" s="64" t="s">
        <v>29</v>
      </c>
      <c r="F1640" s="64" t="s">
        <v>30</v>
      </c>
    </row>
    <row r="1641" spans="1:6" x14ac:dyDescent="0.2">
      <c r="A1641" s="65"/>
      <c r="B1641" s="66"/>
      <c r="C1641" s="88"/>
      <c r="D1641" s="89"/>
      <c r="E1641" s="173"/>
      <c r="F1641" s="174"/>
    </row>
    <row r="1642" spans="1:6" x14ac:dyDescent="0.2">
      <c r="A1642" s="92"/>
      <c r="B1642" s="87"/>
      <c r="C1642" s="88"/>
      <c r="D1642" s="103"/>
      <c r="E1642" s="94"/>
      <c r="F1642" s="100"/>
    </row>
    <row r="1643" spans="1:6" x14ac:dyDescent="0.2">
      <c r="A1643" s="95"/>
      <c r="B1643" s="96"/>
      <c r="C1643" s="97"/>
      <c r="D1643" s="98"/>
      <c r="E1643" s="99"/>
      <c r="F1643" s="104"/>
    </row>
    <row r="1644" spans="1:6" x14ac:dyDescent="0.2">
      <c r="A1644" s="79"/>
      <c r="B1644" s="76"/>
      <c r="C1644" s="73"/>
      <c r="D1644" s="80" t="s">
        <v>38</v>
      </c>
      <c r="E1644" s="81"/>
      <c r="F1644" s="101">
        <f>ROUND(SUM(F1641:F1641),2)</f>
        <v>0</v>
      </c>
    </row>
    <row r="1645" spans="1:6" x14ac:dyDescent="0.2">
      <c r="A1645" s="79"/>
      <c r="B1645" s="76"/>
      <c r="C1645" s="73"/>
      <c r="D1645" s="83"/>
      <c r="E1645" s="84"/>
      <c r="F1645" s="85"/>
    </row>
    <row r="1646" spans="1:6" x14ac:dyDescent="0.2">
      <c r="A1646" s="749" t="s">
        <v>39</v>
      </c>
      <c r="B1646" s="750"/>
      <c r="C1646" s="750"/>
      <c r="D1646" s="750"/>
      <c r="E1646" s="751"/>
      <c r="F1646" s="105">
        <f>ROUND(F1630+F1637+F1644,2)</f>
        <v>60.14</v>
      </c>
    </row>
    <row r="1647" spans="1:6" ht="15.75" x14ac:dyDescent="0.2">
      <c r="A1647" s="587" t="s">
        <v>8</v>
      </c>
      <c r="B1647" s="743" t="s">
        <v>23</v>
      </c>
      <c r="C1647" s="743"/>
      <c r="D1647" s="743"/>
      <c r="E1647" s="743"/>
      <c r="F1647" s="588" t="s">
        <v>24</v>
      </c>
    </row>
    <row r="1648" spans="1:6" ht="15" x14ac:dyDescent="0.2">
      <c r="A1648" s="63" t="s">
        <v>13814</v>
      </c>
      <c r="B1648" s="744" t="str">
        <f>PO!D367</f>
        <v>Refletor Led - 50W - Fornecimento e instalação.</v>
      </c>
      <c r="C1648" s="744"/>
      <c r="D1648" s="744"/>
      <c r="E1648" s="744"/>
      <c r="F1648" s="107" t="str">
        <f>PO!E367</f>
        <v>unid</v>
      </c>
    </row>
    <row r="1649" spans="1:6" x14ac:dyDescent="0.2">
      <c r="A1649" s="745" t="s">
        <v>25</v>
      </c>
      <c r="B1649" s="745"/>
      <c r="C1649" s="745"/>
      <c r="D1649" s="745"/>
      <c r="E1649" s="745"/>
      <c r="F1649" s="745"/>
    </row>
    <row r="1650" spans="1:6" x14ac:dyDescent="0.2">
      <c r="A1650" s="64" t="s">
        <v>8</v>
      </c>
      <c r="B1650" s="64" t="s">
        <v>26</v>
      </c>
      <c r="C1650" s="64" t="s">
        <v>27</v>
      </c>
      <c r="D1650" s="64" t="s">
        <v>28</v>
      </c>
      <c r="E1650" s="64" t="s">
        <v>29</v>
      </c>
      <c r="F1650" s="64" t="s">
        <v>30</v>
      </c>
    </row>
    <row r="1651" spans="1:6" x14ac:dyDescent="0.2">
      <c r="A1651" s="65">
        <v>88247</v>
      </c>
      <c r="B1651" s="66" t="s">
        <v>11875</v>
      </c>
      <c r="C1651" s="67" t="s">
        <v>10945</v>
      </c>
      <c r="D1651" s="155">
        <v>0.28000000000000003</v>
      </c>
      <c r="E1651" s="174">
        <v>16.25</v>
      </c>
      <c r="F1651" s="174">
        <f>D1651*E1651</f>
        <v>4.5500000000000007</v>
      </c>
    </row>
    <row r="1652" spans="1:6" x14ac:dyDescent="0.2">
      <c r="A1652" s="65">
        <v>88264</v>
      </c>
      <c r="B1652" s="66" t="s">
        <v>10976</v>
      </c>
      <c r="C1652" s="67" t="s">
        <v>10945</v>
      </c>
      <c r="D1652" s="155">
        <v>0.68</v>
      </c>
      <c r="E1652" s="174">
        <v>21.08</v>
      </c>
      <c r="F1652" s="174">
        <f>D1652*E1652</f>
        <v>14.3344</v>
      </c>
    </row>
    <row r="1653" spans="1:6" x14ac:dyDescent="0.2">
      <c r="A1653" s="65"/>
      <c r="B1653" s="66"/>
      <c r="C1653" s="67"/>
      <c r="D1653" s="155"/>
      <c r="E1653" s="99"/>
      <c r="F1653" s="100"/>
    </row>
    <row r="1654" spans="1:6" x14ac:dyDescent="0.2">
      <c r="A1654" s="71"/>
      <c r="B1654" s="62"/>
      <c r="C1654" s="72"/>
      <c r="D1654" s="73" t="s">
        <v>31</v>
      </c>
      <c r="E1654" s="74"/>
      <c r="F1654" s="75">
        <f>F1651+F1652+F1653</f>
        <v>18.884399999999999</v>
      </c>
    </row>
    <row r="1655" spans="1:6" x14ac:dyDescent="0.2">
      <c r="A1655" s="71"/>
      <c r="B1655" s="62"/>
      <c r="C1655" s="72"/>
      <c r="D1655" s="76" t="s">
        <v>32</v>
      </c>
      <c r="E1655" s="77"/>
      <c r="F1655" s="78">
        <f>F1654*E1655</f>
        <v>0</v>
      </c>
    </row>
    <row r="1656" spans="1:6" x14ac:dyDescent="0.2">
      <c r="A1656" s="71"/>
      <c r="B1656" s="62"/>
      <c r="C1656" s="72"/>
      <c r="D1656" s="73" t="s">
        <v>33</v>
      </c>
      <c r="E1656" s="74"/>
      <c r="F1656" s="78">
        <f>SUM(F1654:F1655)</f>
        <v>18.884399999999999</v>
      </c>
    </row>
    <row r="1657" spans="1:6" x14ac:dyDescent="0.2">
      <c r="A1657" s="79"/>
      <c r="B1657" s="76"/>
      <c r="C1657" s="73"/>
      <c r="D1657" s="80" t="s">
        <v>34</v>
      </c>
      <c r="E1657" s="81"/>
      <c r="F1657" s="82">
        <f>F1656</f>
        <v>18.884399999999999</v>
      </c>
    </row>
    <row r="1658" spans="1:6" x14ac:dyDescent="0.2">
      <c r="A1658" s="79"/>
      <c r="B1658" s="76"/>
      <c r="C1658" s="73"/>
      <c r="D1658" s="83"/>
      <c r="E1658" s="84"/>
      <c r="F1658" s="85"/>
    </row>
    <row r="1659" spans="1:6" x14ac:dyDescent="0.2">
      <c r="A1659" s="746" t="s">
        <v>35</v>
      </c>
      <c r="B1659" s="747"/>
      <c r="C1659" s="747"/>
      <c r="D1659" s="747"/>
      <c r="E1659" s="747"/>
      <c r="F1659" s="748"/>
    </row>
    <row r="1660" spans="1:6" x14ac:dyDescent="0.2">
      <c r="A1660" s="64" t="s">
        <v>8</v>
      </c>
      <c r="B1660" s="64" t="s">
        <v>26</v>
      </c>
      <c r="C1660" s="64" t="s">
        <v>27</v>
      </c>
      <c r="D1660" s="64" t="s">
        <v>28</v>
      </c>
      <c r="E1660" s="64" t="s">
        <v>29</v>
      </c>
      <c r="F1660" s="64" t="s">
        <v>30</v>
      </c>
    </row>
    <row r="1661" spans="1:6" x14ac:dyDescent="0.2">
      <c r="A1661" s="65">
        <v>39391</v>
      </c>
      <c r="B1661" s="592" t="s">
        <v>12029</v>
      </c>
      <c r="C1661" s="67" t="s">
        <v>10884</v>
      </c>
      <c r="D1661" s="238">
        <v>1</v>
      </c>
      <c r="E1661" s="174">
        <v>223.4</v>
      </c>
      <c r="F1661" s="174">
        <f>D1661*E1661</f>
        <v>223.4</v>
      </c>
    </row>
    <row r="1662" spans="1:6" x14ac:dyDescent="0.2">
      <c r="A1662" s="65"/>
      <c r="B1662" s="216"/>
      <c r="C1662" s="67"/>
      <c r="D1662" s="155"/>
      <c r="E1662" s="174"/>
      <c r="F1662" s="174"/>
    </row>
    <row r="1663" spans="1:6" x14ac:dyDescent="0.2">
      <c r="A1663" s="65"/>
      <c r="B1663" s="66"/>
      <c r="C1663" s="67"/>
      <c r="D1663" s="155"/>
      <c r="E1663" s="174"/>
      <c r="F1663" s="174"/>
    </row>
    <row r="1664" spans="1:6" x14ac:dyDescent="0.2">
      <c r="A1664" s="79"/>
      <c r="B1664" s="76"/>
      <c r="C1664" s="73"/>
      <c r="D1664" s="80" t="s">
        <v>36</v>
      </c>
      <c r="E1664" s="81"/>
      <c r="F1664" s="101">
        <f>SUM(F1661:F1663)</f>
        <v>223.4</v>
      </c>
    </row>
    <row r="1665" spans="1:6" x14ac:dyDescent="0.2">
      <c r="A1665" s="79"/>
      <c r="B1665" s="76"/>
      <c r="C1665" s="73"/>
      <c r="D1665" s="83"/>
      <c r="E1665" s="84"/>
      <c r="F1665" s="85"/>
    </row>
    <row r="1666" spans="1:6" x14ac:dyDescent="0.2">
      <c r="A1666" s="746" t="s">
        <v>37</v>
      </c>
      <c r="B1666" s="747"/>
      <c r="C1666" s="747"/>
      <c r="D1666" s="747"/>
      <c r="E1666" s="747"/>
      <c r="F1666" s="748"/>
    </row>
    <row r="1667" spans="1:6" x14ac:dyDescent="0.2">
      <c r="A1667" s="64" t="s">
        <v>8</v>
      </c>
      <c r="B1667" s="64" t="s">
        <v>26</v>
      </c>
      <c r="C1667" s="64" t="s">
        <v>27</v>
      </c>
      <c r="D1667" s="64" t="s">
        <v>28</v>
      </c>
      <c r="E1667" s="64" t="s">
        <v>29</v>
      </c>
      <c r="F1667" s="64" t="s">
        <v>30</v>
      </c>
    </row>
    <row r="1668" spans="1:6" x14ac:dyDescent="0.2">
      <c r="A1668" s="65"/>
      <c r="B1668" s="66"/>
      <c r="C1668" s="88"/>
      <c r="D1668" s="89"/>
      <c r="E1668" s="173"/>
      <c r="F1668" s="174"/>
    </row>
    <row r="1669" spans="1:6" x14ac:dyDescent="0.2">
      <c r="A1669" s="92"/>
      <c r="B1669" s="87"/>
      <c r="C1669" s="88"/>
      <c r="D1669" s="103"/>
      <c r="E1669" s="94"/>
      <c r="F1669" s="100"/>
    </row>
    <row r="1670" spans="1:6" x14ac:dyDescent="0.2">
      <c r="A1670" s="95"/>
      <c r="B1670" s="96"/>
      <c r="C1670" s="97"/>
      <c r="D1670" s="98"/>
      <c r="E1670" s="99"/>
      <c r="F1670" s="104"/>
    </row>
    <row r="1671" spans="1:6" x14ac:dyDescent="0.2">
      <c r="A1671" s="79"/>
      <c r="B1671" s="76"/>
      <c r="C1671" s="73"/>
      <c r="D1671" s="80" t="s">
        <v>38</v>
      </c>
      <c r="E1671" s="81"/>
      <c r="F1671" s="101">
        <f>ROUND(SUM(F1668:F1668),2)</f>
        <v>0</v>
      </c>
    </row>
    <row r="1672" spans="1:6" x14ac:dyDescent="0.2">
      <c r="A1672" s="79"/>
      <c r="B1672" s="76"/>
      <c r="C1672" s="73"/>
      <c r="D1672" s="83"/>
      <c r="E1672" s="84"/>
      <c r="F1672" s="85"/>
    </row>
    <row r="1673" spans="1:6" x14ac:dyDescent="0.2">
      <c r="A1673" s="749" t="s">
        <v>39</v>
      </c>
      <c r="B1673" s="750"/>
      <c r="C1673" s="750"/>
      <c r="D1673" s="750"/>
      <c r="E1673" s="751"/>
      <c r="F1673" s="105">
        <f>ROUND(F1657+F1664+F1671,2)</f>
        <v>242.28</v>
      </c>
    </row>
    <row r="1674" spans="1:6" ht="15.75" x14ac:dyDescent="0.2">
      <c r="A1674" s="587" t="s">
        <v>8</v>
      </c>
      <c r="B1674" s="743" t="s">
        <v>23</v>
      </c>
      <c r="C1674" s="743"/>
      <c r="D1674" s="743"/>
      <c r="E1674" s="743"/>
      <c r="F1674" s="588" t="s">
        <v>24</v>
      </c>
    </row>
    <row r="1675" spans="1:6" ht="15" customHeight="1" x14ac:dyDescent="0.2">
      <c r="A1675" s="63" t="s">
        <v>13815</v>
      </c>
      <c r="B1675" s="744" t="str">
        <f>PO!D370</f>
        <v>Cabo de cobre nu 50 mm² - fornecimento e instalação</v>
      </c>
      <c r="C1675" s="744"/>
      <c r="D1675" s="744"/>
      <c r="E1675" s="744"/>
      <c r="F1675" s="107" t="str">
        <f>PO!E370</f>
        <v>m</v>
      </c>
    </row>
    <row r="1676" spans="1:6" x14ac:dyDescent="0.2">
      <c r="A1676" s="745" t="s">
        <v>25</v>
      </c>
      <c r="B1676" s="745"/>
      <c r="C1676" s="745"/>
      <c r="D1676" s="745"/>
      <c r="E1676" s="745"/>
      <c r="F1676" s="745"/>
    </row>
    <row r="1677" spans="1:6" x14ac:dyDescent="0.2">
      <c r="A1677" s="64" t="s">
        <v>8</v>
      </c>
      <c r="B1677" s="64" t="s">
        <v>26</v>
      </c>
      <c r="C1677" s="64" t="s">
        <v>27</v>
      </c>
      <c r="D1677" s="64" t="s">
        <v>28</v>
      </c>
      <c r="E1677" s="64" t="s">
        <v>29</v>
      </c>
      <c r="F1677" s="64" t="s">
        <v>30</v>
      </c>
    </row>
    <row r="1678" spans="1:6" x14ac:dyDescent="0.2">
      <c r="A1678" s="65">
        <v>88247</v>
      </c>
      <c r="B1678" s="66" t="s">
        <v>11875</v>
      </c>
      <c r="C1678" s="67" t="s">
        <v>10945</v>
      </c>
      <c r="D1678" s="265">
        <v>0.31</v>
      </c>
      <c r="E1678" s="174">
        <v>16.25</v>
      </c>
      <c r="F1678" s="174">
        <f>D1678*E1678</f>
        <v>5.0374999999999996</v>
      </c>
    </row>
    <row r="1679" spans="1:6" x14ac:dyDescent="0.2">
      <c r="A1679" s="65">
        <v>88264</v>
      </c>
      <c r="B1679" s="66" t="s">
        <v>10976</v>
      </c>
      <c r="C1679" s="67" t="s">
        <v>10945</v>
      </c>
      <c r="D1679" s="265">
        <v>0.31</v>
      </c>
      <c r="E1679" s="174">
        <v>21.08</v>
      </c>
      <c r="F1679" s="174">
        <f>D1679*E1679</f>
        <v>6.5347999999999997</v>
      </c>
    </row>
    <row r="1680" spans="1:6" x14ac:dyDescent="0.2">
      <c r="A1680" s="65"/>
      <c r="B1680" s="66"/>
      <c r="C1680" s="67"/>
      <c r="D1680" s="155"/>
      <c r="E1680" s="99"/>
      <c r="F1680" s="100"/>
    </row>
    <row r="1681" spans="1:6" x14ac:dyDescent="0.2">
      <c r="A1681" s="71"/>
      <c r="B1681" s="62"/>
      <c r="C1681" s="72"/>
      <c r="D1681" s="73" t="s">
        <v>31</v>
      </c>
      <c r="E1681" s="74"/>
      <c r="F1681" s="75">
        <f>F1678+F1679+F1680</f>
        <v>11.572299999999998</v>
      </c>
    </row>
    <row r="1682" spans="1:6" x14ac:dyDescent="0.2">
      <c r="A1682" s="71"/>
      <c r="B1682" s="62"/>
      <c r="C1682" s="72"/>
      <c r="D1682" s="76" t="s">
        <v>32</v>
      </c>
      <c r="E1682" s="77"/>
      <c r="F1682" s="78">
        <f>F1681*E1682</f>
        <v>0</v>
      </c>
    </row>
    <row r="1683" spans="1:6" x14ac:dyDescent="0.2">
      <c r="A1683" s="71"/>
      <c r="B1683" s="62"/>
      <c r="C1683" s="72"/>
      <c r="D1683" s="73" t="s">
        <v>33</v>
      </c>
      <c r="E1683" s="74"/>
      <c r="F1683" s="78">
        <f>SUM(F1681:F1682)</f>
        <v>11.572299999999998</v>
      </c>
    </row>
    <row r="1684" spans="1:6" x14ac:dyDescent="0.2">
      <c r="A1684" s="79"/>
      <c r="B1684" s="76"/>
      <c r="C1684" s="73"/>
      <c r="D1684" s="80" t="s">
        <v>34</v>
      </c>
      <c r="E1684" s="81"/>
      <c r="F1684" s="82">
        <f>F1683</f>
        <v>11.572299999999998</v>
      </c>
    </row>
    <row r="1685" spans="1:6" x14ac:dyDescent="0.2">
      <c r="A1685" s="79"/>
      <c r="B1685" s="76"/>
      <c r="C1685" s="73"/>
      <c r="D1685" s="83"/>
      <c r="E1685" s="84"/>
      <c r="F1685" s="85"/>
    </row>
    <row r="1686" spans="1:6" x14ac:dyDescent="0.2">
      <c r="A1686" s="746" t="s">
        <v>35</v>
      </c>
      <c r="B1686" s="747"/>
      <c r="C1686" s="747"/>
      <c r="D1686" s="747"/>
      <c r="E1686" s="747"/>
      <c r="F1686" s="748"/>
    </row>
    <row r="1687" spans="1:6" x14ac:dyDescent="0.2">
      <c r="A1687" s="64" t="s">
        <v>8</v>
      </c>
      <c r="B1687" s="64" t="s">
        <v>26</v>
      </c>
      <c r="C1687" s="64" t="s">
        <v>27</v>
      </c>
      <c r="D1687" s="64" t="s">
        <v>28</v>
      </c>
      <c r="E1687" s="64" t="s">
        <v>29</v>
      </c>
      <c r="F1687" s="64" t="s">
        <v>30</v>
      </c>
    </row>
    <row r="1688" spans="1:6" x14ac:dyDescent="0.2">
      <c r="A1688" s="65">
        <v>867</v>
      </c>
      <c r="B1688" s="66" t="s">
        <v>11971</v>
      </c>
      <c r="C1688" s="67" t="s">
        <v>47</v>
      </c>
      <c r="D1688" s="155">
        <v>1</v>
      </c>
      <c r="E1688" s="174">
        <v>29.42</v>
      </c>
      <c r="F1688" s="174">
        <f>D1688*E1688</f>
        <v>29.42</v>
      </c>
    </row>
    <row r="1689" spans="1:6" x14ac:dyDescent="0.2">
      <c r="A1689" s="65"/>
      <c r="B1689" s="216"/>
      <c r="C1689" s="67"/>
      <c r="D1689" s="155"/>
      <c r="E1689" s="174"/>
      <c r="F1689" s="174"/>
    </row>
    <row r="1690" spans="1:6" x14ac:dyDescent="0.2">
      <c r="A1690" s="65"/>
      <c r="B1690" s="66"/>
      <c r="C1690" s="67"/>
      <c r="D1690" s="155"/>
      <c r="E1690" s="174"/>
      <c r="F1690" s="174"/>
    </row>
    <row r="1691" spans="1:6" x14ac:dyDescent="0.2">
      <c r="A1691" s="79"/>
      <c r="B1691" s="76"/>
      <c r="C1691" s="73"/>
      <c r="D1691" s="80" t="s">
        <v>36</v>
      </c>
      <c r="E1691" s="81"/>
      <c r="F1691" s="101">
        <f>SUM(F1688:F1690)</f>
        <v>29.42</v>
      </c>
    </row>
    <row r="1692" spans="1:6" x14ac:dyDescent="0.2">
      <c r="A1692" s="79"/>
      <c r="B1692" s="76"/>
      <c r="C1692" s="73"/>
      <c r="D1692" s="83"/>
      <c r="E1692" s="84"/>
      <c r="F1692" s="85"/>
    </row>
    <row r="1693" spans="1:6" x14ac:dyDescent="0.2">
      <c r="A1693" s="746" t="s">
        <v>37</v>
      </c>
      <c r="B1693" s="747"/>
      <c r="C1693" s="747"/>
      <c r="D1693" s="747"/>
      <c r="E1693" s="747"/>
      <c r="F1693" s="748"/>
    </row>
    <row r="1694" spans="1:6" x14ac:dyDescent="0.2">
      <c r="A1694" s="64" t="s">
        <v>8</v>
      </c>
      <c r="B1694" s="64" t="s">
        <v>26</v>
      </c>
      <c r="C1694" s="64" t="s">
        <v>27</v>
      </c>
      <c r="D1694" s="64" t="s">
        <v>28</v>
      </c>
      <c r="E1694" s="64" t="s">
        <v>29</v>
      </c>
      <c r="F1694" s="64" t="s">
        <v>30</v>
      </c>
    </row>
    <row r="1695" spans="1:6" x14ac:dyDescent="0.2">
      <c r="A1695" s="65"/>
      <c r="B1695" s="66"/>
      <c r="C1695" s="88"/>
      <c r="D1695" s="89"/>
      <c r="E1695" s="173"/>
      <c r="F1695" s="174"/>
    </row>
    <row r="1696" spans="1:6" x14ac:dyDescent="0.2">
      <c r="A1696" s="92"/>
      <c r="B1696" s="87"/>
      <c r="C1696" s="88"/>
      <c r="D1696" s="103"/>
      <c r="E1696" s="94"/>
      <c r="F1696" s="100"/>
    </row>
    <row r="1697" spans="1:6" x14ac:dyDescent="0.2">
      <c r="A1697" s="95"/>
      <c r="B1697" s="96"/>
      <c r="C1697" s="97"/>
      <c r="D1697" s="98"/>
      <c r="E1697" s="99"/>
      <c r="F1697" s="104"/>
    </row>
    <row r="1698" spans="1:6" x14ac:dyDescent="0.2">
      <c r="A1698" s="79"/>
      <c r="B1698" s="76"/>
      <c r="C1698" s="73"/>
      <c r="D1698" s="80" t="s">
        <v>38</v>
      </c>
      <c r="E1698" s="81"/>
      <c r="F1698" s="101">
        <f>ROUND(SUM(F1695:F1695),2)</f>
        <v>0</v>
      </c>
    </row>
    <row r="1699" spans="1:6" x14ac:dyDescent="0.2">
      <c r="A1699" s="79"/>
      <c r="B1699" s="76"/>
      <c r="C1699" s="73"/>
      <c r="D1699" s="83"/>
      <c r="E1699" s="84"/>
      <c r="F1699" s="85"/>
    </row>
    <row r="1700" spans="1:6" x14ac:dyDescent="0.2">
      <c r="A1700" s="749" t="s">
        <v>39</v>
      </c>
      <c r="B1700" s="750"/>
      <c r="C1700" s="750"/>
      <c r="D1700" s="750"/>
      <c r="E1700" s="751"/>
      <c r="F1700" s="105">
        <f>ROUND(F1684+F1691+F1698,2)</f>
        <v>40.99</v>
      </c>
    </row>
    <row r="1701" spans="1:6" ht="15.75" x14ac:dyDescent="0.2">
      <c r="A1701" s="587" t="s">
        <v>8</v>
      </c>
      <c r="B1701" s="743" t="s">
        <v>23</v>
      </c>
      <c r="C1701" s="743"/>
      <c r="D1701" s="743"/>
      <c r="E1701" s="743"/>
      <c r="F1701" s="588" t="s">
        <v>24</v>
      </c>
    </row>
    <row r="1702" spans="1:6" ht="30.75" customHeight="1" x14ac:dyDescent="0.2">
      <c r="A1702" s="63" t="s">
        <v>13816</v>
      </c>
      <c r="B1702" s="744" t="str">
        <f>PO!D371</f>
        <v>Grampo paralelo em alumínio fundido ou estrudado de 2 parafusos, para cabo de 6 a 50 mm², pasta antioxidante. Fornecimento e instalação.</v>
      </c>
      <c r="C1702" s="744"/>
      <c r="D1702" s="744"/>
      <c r="E1702" s="744"/>
      <c r="F1702" s="107" t="str">
        <f>PO!E371</f>
        <v>und</v>
      </c>
    </row>
    <row r="1703" spans="1:6" x14ac:dyDescent="0.2">
      <c r="A1703" s="745" t="s">
        <v>25</v>
      </c>
      <c r="B1703" s="745"/>
      <c r="C1703" s="745"/>
      <c r="D1703" s="745"/>
      <c r="E1703" s="745"/>
      <c r="F1703" s="745"/>
    </row>
    <row r="1704" spans="1:6" x14ac:dyDescent="0.2">
      <c r="A1704" s="64" t="s">
        <v>8</v>
      </c>
      <c r="B1704" s="64" t="s">
        <v>26</v>
      </c>
      <c r="C1704" s="64" t="s">
        <v>27</v>
      </c>
      <c r="D1704" s="64" t="s">
        <v>28</v>
      </c>
      <c r="E1704" s="64" t="s">
        <v>29</v>
      </c>
      <c r="F1704" s="64" t="s">
        <v>30</v>
      </c>
    </row>
    <row r="1705" spans="1:6" x14ac:dyDescent="0.2">
      <c r="A1705" s="65"/>
      <c r="B1705" s="66"/>
      <c r="C1705" s="67"/>
      <c r="D1705" s="265"/>
      <c r="E1705" s="174"/>
      <c r="F1705" s="174"/>
    </row>
    <row r="1706" spans="1:6" x14ac:dyDescent="0.2">
      <c r="A1706" s="65">
        <v>88264</v>
      </c>
      <c r="B1706" s="66" t="s">
        <v>10976</v>
      </c>
      <c r="C1706" s="67" t="s">
        <v>10945</v>
      </c>
      <c r="D1706" s="265">
        <v>0.14000000000000001</v>
      </c>
      <c r="E1706" s="615">
        <v>21.08</v>
      </c>
      <c r="F1706" s="616">
        <f>D1706*E1706</f>
        <v>2.9512</v>
      </c>
    </row>
    <row r="1707" spans="1:6" x14ac:dyDescent="0.2">
      <c r="A1707" s="65"/>
      <c r="B1707" s="66"/>
      <c r="C1707" s="67"/>
      <c r="D1707" s="155"/>
      <c r="E1707" s="99"/>
      <c r="F1707" s="100"/>
    </row>
    <row r="1708" spans="1:6" x14ac:dyDescent="0.2">
      <c r="A1708" s="71"/>
      <c r="B1708" s="62"/>
      <c r="C1708" s="72"/>
      <c r="D1708" s="73" t="s">
        <v>31</v>
      </c>
      <c r="E1708" s="74"/>
      <c r="F1708" s="75">
        <f>F1705+F1706+F1707</f>
        <v>2.9512</v>
      </c>
    </row>
    <row r="1709" spans="1:6" x14ac:dyDescent="0.2">
      <c r="A1709" s="71"/>
      <c r="B1709" s="62"/>
      <c r="C1709" s="72"/>
      <c r="D1709" s="76" t="s">
        <v>32</v>
      </c>
      <c r="E1709" s="77"/>
      <c r="F1709" s="78">
        <f>F1708*E1709</f>
        <v>0</v>
      </c>
    </row>
    <row r="1710" spans="1:6" x14ac:dyDescent="0.2">
      <c r="A1710" s="71"/>
      <c r="B1710" s="62"/>
      <c r="C1710" s="72"/>
      <c r="D1710" s="73" t="s">
        <v>33</v>
      </c>
      <c r="E1710" s="74"/>
      <c r="F1710" s="78">
        <f>SUM(F1708:F1709)</f>
        <v>2.9512</v>
      </c>
    </row>
    <row r="1711" spans="1:6" x14ac:dyDescent="0.2">
      <c r="A1711" s="79"/>
      <c r="B1711" s="76"/>
      <c r="C1711" s="73"/>
      <c r="D1711" s="80" t="s">
        <v>34</v>
      </c>
      <c r="E1711" s="81"/>
      <c r="F1711" s="82">
        <f>F1710</f>
        <v>2.9512</v>
      </c>
    </row>
    <row r="1712" spans="1:6" x14ac:dyDescent="0.2">
      <c r="A1712" s="79"/>
      <c r="B1712" s="76"/>
      <c r="C1712" s="73"/>
      <c r="D1712" s="83"/>
      <c r="E1712" s="84"/>
      <c r="F1712" s="85"/>
    </row>
    <row r="1713" spans="1:6" x14ac:dyDescent="0.2">
      <c r="A1713" s="746" t="s">
        <v>35</v>
      </c>
      <c r="B1713" s="747"/>
      <c r="C1713" s="747"/>
      <c r="D1713" s="747"/>
      <c r="E1713" s="747"/>
      <c r="F1713" s="748"/>
    </row>
    <row r="1714" spans="1:6" x14ac:dyDescent="0.2">
      <c r="A1714" s="64" t="s">
        <v>8</v>
      </c>
      <c r="B1714" s="64" t="s">
        <v>26</v>
      </c>
      <c r="C1714" s="64" t="s">
        <v>27</v>
      </c>
      <c r="D1714" s="64" t="s">
        <v>28</v>
      </c>
      <c r="E1714" s="64" t="s">
        <v>29</v>
      </c>
      <c r="F1714" s="64" t="s">
        <v>30</v>
      </c>
    </row>
    <row r="1715" spans="1:6" x14ac:dyDescent="0.2">
      <c r="A1715" s="65"/>
      <c r="B1715" s="66"/>
      <c r="C1715" s="67"/>
      <c r="D1715" s="155"/>
      <c r="E1715" s="174"/>
      <c r="F1715" s="174"/>
    </row>
    <row r="1716" spans="1:6" ht="22.5" x14ac:dyDescent="0.2">
      <c r="A1716" s="65">
        <v>1564</v>
      </c>
      <c r="B1716" s="216" t="s">
        <v>7984</v>
      </c>
      <c r="C1716" s="67" t="s">
        <v>11771</v>
      </c>
      <c r="D1716" s="155">
        <v>1</v>
      </c>
      <c r="E1716" s="615">
        <v>8.5399999999999991</v>
      </c>
      <c r="F1716" s="616">
        <f>D1716*E1716</f>
        <v>8.5399999999999991</v>
      </c>
    </row>
    <row r="1717" spans="1:6" x14ac:dyDescent="0.2">
      <c r="A1717" s="65"/>
      <c r="B1717" s="66"/>
      <c r="C1717" s="67"/>
      <c r="D1717" s="155"/>
      <c r="E1717" s="615"/>
      <c r="F1717" s="616"/>
    </row>
    <row r="1718" spans="1:6" x14ac:dyDescent="0.2">
      <c r="A1718" s="79"/>
      <c r="B1718" s="76"/>
      <c r="C1718" s="73"/>
      <c r="D1718" s="80" t="s">
        <v>36</v>
      </c>
      <c r="E1718" s="81"/>
      <c r="F1718" s="101">
        <f>SUM(F1715:F1717)</f>
        <v>8.5399999999999991</v>
      </c>
    </row>
    <row r="1719" spans="1:6" x14ac:dyDescent="0.2">
      <c r="A1719" s="79"/>
      <c r="B1719" s="76"/>
      <c r="C1719" s="73"/>
      <c r="D1719" s="83"/>
      <c r="E1719" s="84"/>
      <c r="F1719" s="85"/>
    </row>
    <row r="1720" spans="1:6" x14ac:dyDescent="0.2">
      <c r="A1720" s="746" t="s">
        <v>37</v>
      </c>
      <c r="B1720" s="747"/>
      <c r="C1720" s="747"/>
      <c r="D1720" s="747"/>
      <c r="E1720" s="747"/>
      <c r="F1720" s="748"/>
    </row>
    <row r="1721" spans="1:6" x14ac:dyDescent="0.2">
      <c r="A1721" s="64" t="s">
        <v>8</v>
      </c>
      <c r="B1721" s="64" t="s">
        <v>26</v>
      </c>
      <c r="C1721" s="64" t="s">
        <v>27</v>
      </c>
      <c r="D1721" s="64" t="s">
        <v>28</v>
      </c>
      <c r="E1721" s="64" t="s">
        <v>29</v>
      </c>
      <c r="F1721" s="64" t="s">
        <v>30</v>
      </c>
    </row>
    <row r="1722" spans="1:6" x14ac:dyDescent="0.2">
      <c r="A1722" s="65"/>
      <c r="B1722" s="66"/>
      <c r="C1722" s="88"/>
      <c r="D1722" s="89"/>
      <c r="E1722" s="173"/>
      <c r="F1722" s="174"/>
    </row>
    <row r="1723" spans="1:6" x14ac:dyDescent="0.2">
      <c r="A1723" s="92"/>
      <c r="B1723" s="87"/>
      <c r="C1723" s="88"/>
      <c r="D1723" s="103"/>
      <c r="E1723" s="94"/>
      <c r="F1723" s="100"/>
    </row>
    <row r="1724" spans="1:6" x14ac:dyDescent="0.2">
      <c r="A1724" s="95"/>
      <c r="B1724" s="96"/>
      <c r="C1724" s="97"/>
      <c r="D1724" s="98"/>
      <c r="E1724" s="99"/>
      <c r="F1724" s="104"/>
    </row>
    <row r="1725" spans="1:6" x14ac:dyDescent="0.2">
      <c r="A1725" s="79"/>
      <c r="B1725" s="76"/>
      <c r="C1725" s="73"/>
      <c r="D1725" s="80" t="s">
        <v>38</v>
      </c>
      <c r="E1725" s="81"/>
      <c r="F1725" s="101">
        <f>ROUND(SUM(F1722:F1722),2)</f>
        <v>0</v>
      </c>
    </row>
    <row r="1726" spans="1:6" x14ac:dyDescent="0.2">
      <c r="A1726" s="79"/>
      <c r="B1726" s="76"/>
      <c r="C1726" s="73"/>
      <c r="D1726" s="83"/>
      <c r="E1726" s="84"/>
      <c r="F1726" s="85"/>
    </row>
    <row r="1727" spans="1:6" x14ac:dyDescent="0.2">
      <c r="A1727" s="749" t="s">
        <v>39</v>
      </c>
      <c r="B1727" s="750"/>
      <c r="C1727" s="750"/>
      <c r="D1727" s="750"/>
      <c r="E1727" s="751"/>
      <c r="F1727" s="105">
        <f>ROUND(F1711+F1718+F1725,2)</f>
        <v>11.49</v>
      </c>
    </row>
    <row r="1728" spans="1:6" ht="15.75" x14ac:dyDescent="0.2">
      <c r="A1728" s="587" t="s">
        <v>8</v>
      </c>
      <c r="B1728" s="743" t="s">
        <v>23</v>
      </c>
      <c r="C1728" s="743"/>
      <c r="D1728" s="743"/>
      <c r="E1728" s="743"/>
      <c r="F1728" s="588" t="s">
        <v>24</v>
      </c>
    </row>
    <row r="1729" spans="1:6" ht="31.5" customHeight="1" x14ac:dyDescent="0.2">
      <c r="A1729" s="63" t="s">
        <v>13817</v>
      </c>
      <c r="B1729" s="744" t="str">
        <f>PO!D379</f>
        <v>Enchimento de rasgo em alvenaria com argamassa mista de cal hidratada e areia traço 1:4, para eletroduto Ø 32 mm - 1 1/4" a 50 mm - 2"</v>
      </c>
      <c r="C1729" s="744"/>
      <c r="D1729" s="744"/>
      <c r="E1729" s="744"/>
      <c r="F1729" s="107" t="str">
        <f>PO!E379</f>
        <v>m</v>
      </c>
    </row>
    <row r="1730" spans="1:6" x14ac:dyDescent="0.2">
      <c r="A1730" s="745" t="s">
        <v>25</v>
      </c>
      <c r="B1730" s="745"/>
      <c r="C1730" s="745"/>
      <c r="D1730" s="745"/>
      <c r="E1730" s="745"/>
      <c r="F1730" s="745"/>
    </row>
    <row r="1731" spans="1:6" x14ac:dyDescent="0.2">
      <c r="A1731" s="64" t="s">
        <v>8</v>
      </c>
      <c r="B1731" s="64" t="s">
        <v>26</v>
      </c>
      <c r="C1731" s="64" t="s">
        <v>27</v>
      </c>
      <c r="D1731" s="64" t="s">
        <v>28</v>
      </c>
      <c r="E1731" s="64" t="s">
        <v>29</v>
      </c>
      <c r="F1731" s="64" t="s">
        <v>30</v>
      </c>
    </row>
    <row r="1732" spans="1:6" x14ac:dyDescent="0.2">
      <c r="A1732" s="65">
        <v>88309</v>
      </c>
      <c r="B1732" s="507" t="s">
        <v>10949</v>
      </c>
      <c r="C1732" s="67" t="s">
        <v>10945</v>
      </c>
      <c r="D1732" s="265">
        <v>0.2</v>
      </c>
      <c r="E1732" s="174">
        <v>20.43</v>
      </c>
      <c r="F1732" s="174">
        <f>D1732*E1732</f>
        <v>4.0860000000000003</v>
      </c>
    </row>
    <row r="1733" spans="1:6" x14ac:dyDescent="0.2">
      <c r="A1733" s="65">
        <v>88242</v>
      </c>
      <c r="B1733" s="66" t="s">
        <v>5332</v>
      </c>
      <c r="C1733" s="67" t="s">
        <v>10945</v>
      </c>
      <c r="D1733" s="265">
        <v>0.15</v>
      </c>
      <c r="E1733" s="174">
        <v>17.23</v>
      </c>
      <c r="F1733" s="174">
        <f>D1733*E1733</f>
        <v>2.5844999999999998</v>
      </c>
    </row>
    <row r="1734" spans="1:6" x14ac:dyDescent="0.2">
      <c r="A1734" s="65"/>
      <c r="B1734" s="66"/>
      <c r="C1734" s="67"/>
      <c r="D1734" s="155"/>
      <c r="E1734" s="99"/>
      <c r="F1734" s="100"/>
    </row>
    <row r="1735" spans="1:6" x14ac:dyDescent="0.2">
      <c r="A1735" s="71"/>
      <c r="B1735" s="62"/>
      <c r="C1735" s="72"/>
      <c r="D1735" s="73" t="s">
        <v>31</v>
      </c>
      <c r="E1735" s="74"/>
      <c r="F1735" s="75">
        <f>F1732+F1733+F1734</f>
        <v>6.6705000000000005</v>
      </c>
    </row>
    <row r="1736" spans="1:6" x14ac:dyDescent="0.2">
      <c r="A1736" s="71"/>
      <c r="B1736" s="62"/>
      <c r="C1736" s="72"/>
      <c r="D1736" s="76" t="s">
        <v>32</v>
      </c>
      <c r="E1736" s="77"/>
      <c r="F1736" s="78">
        <f>F1735*E1736</f>
        <v>0</v>
      </c>
    </row>
    <row r="1737" spans="1:6" x14ac:dyDescent="0.2">
      <c r="A1737" s="71"/>
      <c r="B1737" s="62"/>
      <c r="C1737" s="72"/>
      <c r="D1737" s="73" t="s">
        <v>33</v>
      </c>
      <c r="E1737" s="74"/>
      <c r="F1737" s="78">
        <f>SUM(F1735:F1736)</f>
        <v>6.6705000000000005</v>
      </c>
    </row>
    <row r="1738" spans="1:6" x14ac:dyDescent="0.2">
      <c r="A1738" s="79"/>
      <c r="B1738" s="76"/>
      <c r="C1738" s="73"/>
      <c r="D1738" s="80" t="s">
        <v>34</v>
      </c>
      <c r="E1738" s="81"/>
      <c r="F1738" s="82">
        <f>F1737</f>
        <v>6.6705000000000005</v>
      </c>
    </row>
    <row r="1739" spans="1:6" x14ac:dyDescent="0.2">
      <c r="A1739" s="79"/>
      <c r="B1739" s="76"/>
      <c r="C1739" s="73"/>
      <c r="D1739" s="83"/>
      <c r="E1739" s="84"/>
      <c r="F1739" s="85"/>
    </row>
    <row r="1740" spans="1:6" x14ac:dyDescent="0.2">
      <c r="A1740" s="746" t="s">
        <v>35</v>
      </c>
      <c r="B1740" s="747"/>
      <c r="C1740" s="747"/>
      <c r="D1740" s="747"/>
      <c r="E1740" s="747"/>
      <c r="F1740" s="748"/>
    </row>
    <row r="1741" spans="1:6" x14ac:dyDescent="0.2">
      <c r="A1741" s="64" t="s">
        <v>8</v>
      </c>
      <c r="B1741" s="64" t="s">
        <v>26</v>
      </c>
      <c r="C1741" s="64" t="s">
        <v>27</v>
      </c>
      <c r="D1741" s="64" t="s">
        <v>28</v>
      </c>
      <c r="E1741" s="64" t="s">
        <v>29</v>
      </c>
      <c r="F1741" s="64" t="s">
        <v>30</v>
      </c>
    </row>
    <row r="1742" spans="1:6" x14ac:dyDescent="0.2">
      <c r="A1742" s="65">
        <v>87373</v>
      </c>
      <c r="B1742" s="66" t="s">
        <v>11687</v>
      </c>
      <c r="C1742" s="67" t="s">
        <v>41</v>
      </c>
      <c r="D1742" s="238">
        <v>2.5000000000000001E-3</v>
      </c>
      <c r="E1742" s="174">
        <v>603.91999999999996</v>
      </c>
      <c r="F1742" s="174">
        <f>D1742*E1742</f>
        <v>1.5098</v>
      </c>
    </row>
    <row r="1743" spans="1:6" x14ac:dyDescent="0.2">
      <c r="A1743" s="65"/>
      <c r="B1743" s="216"/>
      <c r="C1743" s="113"/>
      <c r="D1743" s="265"/>
      <c r="E1743" s="174"/>
      <c r="F1743" s="174"/>
    </row>
    <row r="1744" spans="1:6" x14ac:dyDescent="0.2">
      <c r="A1744" s="65"/>
      <c r="B1744" s="87"/>
      <c r="C1744" s="88"/>
      <c r="D1744" s="89"/>
      <c r="E1744" s="174"/>
      <c r="F1744" s="174"/>
    </row>
    <row r="1745" spans="1:6" x14ac:dyDescent="0.2">
      <c r="A1745" s="79"/>
      <c r="B1745" s="76"/>
      <c r="C1745" s="73"/>
      <c r="D1745" s="80" t="s">
        <v>36</v>
      </c>
      <c r="E1745" s="81"/>
      <c r="F1745" s="101">
        <f>SUM(F1742:F1744)</f>
        <v>1.5098</v>
      </c>
    </row>
    <row r="1746" spans="1:6" x14ac:dyDescent="0.2">
      <c r="A1746" s="79"/>
      <c r="B1746" s="76"/>
      <c r="C1746" s="73"/>
      <c r="D1746" s="83"/>
      <c r="E1746" s="84"/>
      <c r="F1746" s="85"/>
    </row>
    <row r="1747" spans="1:6" x14ac:dyDescent="0.2">
      <c r="A1747" s="746" t="s">
        <v>37</v>
      </c>
      <c r="B1747" s="747"/>
      <c r="C1747" s="747"/>
      <c r="D1747" s="747"/>
      <c r="E1747" s="747"/>
      <c r="F1747" s="748"/>
    </row>
    <row r="1748" spans="1:6" x14ac:dyDescent="0.2">
      <c r="A1748" s="64" t="s">
        <v>8</v>
      </c>
      <c r="B1748" s="64" t="s">
        <v>26</v>
      </c>
      <c r="C1748" s="64" t="s">
        <v>27</v>
      </c>
      <c r="D1748" s="64" t="s">
        <v>28</v>
      </c>
      <c r="E1748" s="64" t="s">
        <v>29</v>
      </c>
      <c r="F1748" s="64" t="s">
        <v>30</v>
      </c>
    </row>
    <row r="1749" spans="1:6" x14ac:dyDescent="0.2">
      <c r="A1749" s="65"/>
      <c r="B1749" s="66"/>
      <c r="C1749" s="88"/>
      <c r="D1749" s="89"/>
      <c r="E1749" s="173"/>
      <c r="F1749" s="174"/>
    </row>
    <row r="1750" spans="1:6" x14ac:dyDescent="0.2">
      <c r="A1750" s="92"/>
      <c r="B1750" s="87"/>
      <c r="C1750" s="88"/>
      <c r="D1750" s="103"/>
      <c r="E1750" s="94"/>
      <c r="F1750" s="100"/>
    </row>
    <row r="1751" spans="1:6" x14ac:dyDescent="0.2">
      <c r="A1751" s="95"/>
      <c r="B1751" s="96"/>
      <c r="C1751" s="97"/>
      <c r="D1751" s="98"/>
      <c r="E1751" s="99"/>
      <c r="F1751" s="104"/>
    </row>
    <row r="1752" spans="1:6" x14ac:dyDescent="0.2">
      <c r="A1752" s="79"/>
      <c r="B1752" s="76"/>
      <c r="C1752" s="73"/>
      <c r="D1752" s="80" t="s">
        <v>38</v>
      </c>
      <c r="E1752" s="81"/>
      <c r="F1752" s="101">
        <f>ROUND(SUM(F1749:F1749),2)</f>
        <v>0</v>
      </c>
    </row>
    <row r="1753" spans="1:6" x14ac:dyDescent="0.2">
      <c r="A1753" s="79"/>
      <c r="B1753" s="76"/>
      <c r="C1753" s="73"/>
      <c r="D1753" s="83"/>
      <c r="E1753" s="84"/>
      <c r="F1753" s="85"/>
    </row>
    <row r="1754" spans="1:6" x14ac:dyDescent="0.2">
      <c r="A1754" s="749" t="s">
        <v>39</v>
      </c>
      <c r="B1754" s="750"/>
      <c r="C1754" s="750"/>
      <c r="D1754" s="750"/>
      <c r="E1754" s="751"/>
      <c r="F1754" s="105">
        <f>ROUND(F1738+F1745+F1752,2)</f>
        <v>8.18</v>
      </c>
    </row>
    <row r="1755" spans="1:6" ht="15.75" x14ac:dyDescent="0.2">
      <c r="A1755" s="587" t="s">
        <v>8</v>
      </c>
      <c r="B1755" s="743" t="s">
        <v>23</v>
      </c>
      <c r="C1755" s="743"/>
      <c r="D1755" s="743"/>
      <c r="E1755" s="743"/>
      <c r="F1755" s="588" t="s">
        <v>24</v>
      </c>
    </row>
    <row r="1756" spans="1:6" ht="15" customHeight="1" x14ac:dyDescent="0.2">
      <c r="A1756" s="63" t="s">
        <v>13818</v>
      </c>
      <c r="B1756" s="744" t="str">
        <f>PO!D380</f>
        <v>Quebra em alvenaria para instalação de quadro distribuição</v>
      </c>
      <c r="C1756" s="744"/>
      <c r="D1756" s="744"/>
      <c r="E1756" s="744"/>
      <c r="F1756" s="107" t="str">
        <f>PO!E380</f>
        <v>m²</v>
      </c>
    </row>
    <row r="1757" spans="1:6" x14ac:dyDescent="0.2">
      <c r="A1757" s="745" t="s">
        <v>25</v>
      </c>
      <c r="B1757" s="745"/>
      <c r="C1757" s="745"/>
      <c r="D1757" s="745"/>
      <c r="E1757" s="745"/>
      <c r="F1757" s="745"/>
    </row>
    <row r="1758" spans="1:6" x14ac:dyDescent="0.2">
      <c r="A1758" s="64" t="s">
        <v>8</v>
      </c>
      <c r="B1758" s="64" t="s">
        <v>26</v>
      </c>
      <c r="C1758" s="64" t="s">
        <v>27</v>
      </c>
      <c r="D1758" s="64" t="s">
        <v>28</v>
      </c>
      <c r="E1758" s="64" t="s">
        <v>29</v>
      </c>
      <c r="F1758" s="64" t="s">
        <v>30</v>
      </c>
    </row>
    <row r="1759" spans="1:6" x14ac:dyDescent="0.2">
      <c r="A1759" s="65">
        <v>88248</v>
      </c>
      <c r="B1759" s="66" t="s">
        <v>11676</v>
      </c>
      <c r="C1759" s="67" t="s">
        <v>10945</v>
      </c>
      <c r="D1759" s="265">
        <v>0.48020000000000002</v>
      </c>
      <c r="E1759" s="174">
        <v>15.2</v>
      </c>
      <c r="F1759" s="174">
        <f>D1759*E1759</f>
        <v>7.2990399999999998</v>
      </c>
    </row>
    <row r="1760" spans="1:6" x14ac:dyDescent="0.2">
      <c r="A1760" s="65">
        <v>88267</v>
      </c>
      <c r="B1760" s="87" t="s">
        <v>11812</v>
      </c>
      <c r="C1760" s="67" t="s">
        <v>10945</v>
      </c>
      <c r="D1760" s="265">
        <v>3.0657000000000001</v>
      </c>
      <c r="E1760" s="174">
        <v>19.64</v>
      </c>
      <c r="F1760" s="174">
        <f>D1760*E1760</f>
        <v>60.210348000000003</v>
      </c>
    </row>
    <row r="1761" spans="1:6" x14ac:dyDescent="0.2">
      <c r="A1761" s="65"/>
      <c r="B1761" s="66"/>
      <c r="C1761" s="67"/>
      <c r="D1761" s="155"/>
      <c r="E1761" s="99"/>
      <c r="F1761" s="100"/>
    </row>
    <row r="1762" spans="1:6" x14ac:dyDescent="0.2">
      <c r="A1762" s="71"/>
      <c r="B1762" s="62"/>
      <c r="C1762" s="72"/>
      <c r="D1762" s="73" t="s">
        <v>31</v>
      </c>
      <c r="E1762" s="74"/>
      <c r="F1762" s="75">
        <f>F1759+F1760+F1761</f>
        <v>67.509388000000001</v>
      </c>
    </row>
    <row r="1763" spans="1:6" x14ac:dyDescent="0.2">
      <c r="A1763" s="71"/>
      <c r="B1763" s="62"/>
      <c r="C1763" s="72"/>
      <c r="D1763" s="76" t="s">
        <v>32</v>
      </c>
      <c r="E1763" s="77"/>
      <c r="F1763" s="78">
        <f>F1762*E1763</f>
        <v>0</v>
      </c>
    </row>
    <row r="1764" spans="1:6" x14ac:dyDescent="0.2">
      <c r="A1764" s="71"/>
      <c r="B1764" s="62"/>
      <c r="C1764" s="72"/>
      <c r="D1764" s="73" t="s">
        <v>33</v>
      </c>
      <c r="E1764" s="74"/>
      <c r="F1764" s="78">
        <f>SUM(F1762:F1763)</f>
        <v>67.509388000000001</v>
      </c>
    </row>
    <row r="1765" spans="1:6" x14ac:dyDescent="0.2">
      <c r="A1765" s="79"/>
      <c r="B1765" s="76"/>
      <c r="C1765" s="73"/>
      <c r="D1765" s="80" t="s">
        <v>34</v>
      </c>
      <c r="E1765" s="81"/>
      <c r="F1765" s="82">
        <f>F1764</f>
        <v>67.509388000000001</v>
      </c>
    </row>
    <row r="1766" spans="1:6" x14ac:dyDescent="0.2">
      <c r="A1766" s="79"/>
      <c r="B1766" s="76"/>
      <c r="C1766" s="73"/>
      <c r="D1766" s="83"/>
      <c r="E1766" s="84"/>
      <c r="F1766" s="85"/>
    </row>
    <row r="1767" spans="1:6" x14ac:dyDescent="0.2">
      <c r="A1767" s="746" t="s">
        <v>35</v>
      </c>
      <c r="B1767" s="747"/>
      <c r="C1767" s="747"/>
      <c r="D1767" s="747"/>
      <c r="E1767" s="747"/>
      <c r="F1767" s="748"/>
    </row>
    <row r="1768" spans="1:6" x14ac:dyDescent="0.2">
      <c r="A1768" s="64" t="s">
        <v>8</v>
      </c>
      <c r="B1768" s="64" t="s">
        <v>26</v>
      </c>
      <c r="C1768" s="64" t="s">
        <v>27</v>
      </c>
      <c r="D1768" s="64" t="s">
        <v>28</v>
      </c>
      <c r="E1768" s="64" t="s">
        <v>29</v>
      </c>
      <c r="F1768" s="64" t="s">
        <v>30</v>
      </c>
    </row>
    <row r="1769" spans="1:6" x14ac:dyDescent="0.2">
      <c r="A1769" s="65">
        <v>87373</v>
      </c>
      <c r="B1769" s="66" t="s">
        <v>11687</v>
      </c>
      <c r="C1769" s="67" t="s">
        <v>41</v>
      </c>
      <c r="D1769" s="238">
        <v>2.5000000000000001E-3</v>
      </c>
      <c r="E1769" s="174">
        <v>603.91999999999996</v>
      </c>
      <c r="F1769" s="174">
        <f>D1769*E1769</f>
        <v>1.5098</v>
      </c>
    </row>
    <row r="1770" spans="1:6" x14ac:dyDescent="0.2">
      <c r="A1770" s="65"/>
      <c r="B1770" s="216"/>
      <c r="C1770" s="113"/>
      <c r="D1770" s="265"/>
      <c r="E1770" s="174"/>
      <c r="F1770" s="174"/>
    </row>
    <row r="1771" spans="1:6" x14ac:dyDescent="0.2">
      <c r="A1771" s="65"/>
      <c r="B1771" s="87"/>
      <c r="C1771" s="88"/>
      <c r="D1771" s="89"/>
      <c r="E1771" s="174"/>
      <c r="F1771" s="174"/>
    </row>
    <row r="1772" spans="1:6" x14ac:dyDescent="0.2">
      <c r="A1772" s="79"/>
      <c r="B1772" s="76"/>
      <c r="C1772" s="73"/>
      <c r="D1772" s="80" t="s">
        <v>36</v>
      </c>
      <c r="E1772" s="81"/>
      <c r="F1772" s="101">
        <f>SUM(F1769:F1771)</f>
        <v>1.5098</v>
      </c>
    </row>
    <row r="1773" spans="1:6" x14ac:dyDescent="0.2">
      <c r="A1773" s="79"/>
      <c r="B1773" s="76"/>
      <c r="C1773" s="73"/>
      <c r="D1773" s="83"/>
      <c r="E1773" s="84"/>
      <c r="F1773" s="85"/>
    </row>
    <row r="1774" spans="1:6" x14ac:dyDescent="0.2">
      <c r="A1774" s="746" t="s">
        <v>37</v>
      </c>
      <c r="B1774" s="747"/>
      <c r="C1774" s="747"/>
      <c r="D1774" s="747"/>
      <c r="E1774" s="747"/>
      <c r="F1774" s="748"/>
    </row>
    <row r="1775" spans="1:6" x14ac:dyDescent="0.2">
      <c r="A1775" s="64" t="s">
        <v>8</v>
      </c>
      <c r="B1775" s="64" t="s">
        <v>26</v>
      </c>
      <c r="C1775" s="64" t="s">
        <v>27</v>
      </c>
      <c r="D1775" s="64" t="s">
        <v>28</v>
      </c>
      <c r="E1775" s="64" t="s">
        <v>29</v>
      </c>
      <c r="F1775" s="64" t="s">
        <v>30</v>
      </c>
    </row>
    <row r="1776" spans="1:6" x14ac:dyDescent="0.2">
      <c r="A1776" s="65"/>
      <c r="B1776" s="66"/>
      <c r="C1776" s="88"/>
      <c r="D1776" s="89"/>
      <c r="E1776" s="173"/>
      <c r="F1776" s="174"/>
    </row>
    <row r="1777" spans="1:6" x14ac:dyDescent="0.2">
      <c r="A1777" s="92"/>
      <c r="B1777" s="87"/>
      <c r="C1777" s="88"/>
      <c r="D1777" s="103"/>
      <c r="E1777" s="94"/>
      <c r="F1777" s="100"/>
    </row>
    <row r="1778" spans="1:6" x14ac:dyDescent="0.2">
      <c r="A1778" s="95"/>
      <c r="B1778" s="96"/>
      <c r="C1778" s="97"/>
      <c r="D1778" s="98"/>
      <c r="E1778" s="99"/>
      <c r="F1778" s="104"/>
    </row>
    <row r="1779" spans="1:6" x14ac:dyDescent="0.2">
      <c r="A1779" s="79"/>
      <c r="B1779" s="76"/>
      <c r="C1779" s="73"/>
      <c r="D1779" s="80" t="s">
        <v>38</v>
      </c>
      <c r="E1779" s="81"/>
      <c r="F1779" s="101">
        <f>ROUND(SUM(F1776:F1776),2)</f>
        <v>0</v>
      </c>
    </row>
    <row r="1780" spans="1:6" x14ac:dyDescent="0.2">
      <c r="A1780" s="79"/>
      <c r="B1780" s="76"/>
      <c r="C1780" s="73"/>
      <c r="D1780" s="83"/>
      <c r="E1780" s="84"/>
      <c r="F1780" s="85"/>
    </row>
    <row r="1781" spans="1:6" x14ac:dyDescent="0.2">
      <c r="A1781" s="749" t="s">
        <v>39</v>
      </c>
      <c r="B1781" s="750"/>
      <c r="C1781" s="750"/>
      <c r="D1781" s="750"/>
      <c r="E1781" s="751"/>
      <c r="F1781" s="105">
        <f>ROUND(F1765+F1772+F1779,2)</f>
        <v>69.02</v>
      </c>
    </row>
    <row r="1782" spans="1:6" ht="15.75" x14ac:dyDescent="0.2">
      <c r="A1782" s="587" t="s">
        <v>8</v>
      </c>
      <c r="B1782" s="743" t="s">
        <v>23</v>
      </c>
      <c r="C1782" s="743"/>
      <c r="D1782" s="743"/>
      <c r="E1782" s="743"/>
      <c r="F1782" s="588" t="s">
        <v>24</v>
      </c>
    </row>
    <row r="1783" spans="1:6" ht="15" customHeight="1" x14ac:dyDescent="0.2">
      <c r="A1783" s="63" t="s">
        <v>13819</v>
      </c>
      <c r="B1783" s="744" t="str">
        <f>PO!D403</f>
        <v>Tomada RJ45, CAT 6, com placa 2x4", 1 módulo - fornecimento e instalação.</v>
      </c>
      <c r="C1783" s="744"/>
      <c r="D1783" s="744"/>
      <c r="E1783" s="744"/>
      <c r="F1783" s="107" t="str">
        <f>PO!E403</f>
        <v>unid.</v>
      </c>
    </row>
    <row r="1784" spans="1:6" x14ac:dyDescent="0.2">
      <c r="A1784" s="745" t="s">
        <v>25</v>
      </c>
      <c r="B1784" s="745"/>
      <c r="C1784" s="745"/>
      <c r="D1784" s="745"/>
      <c r="E1784" s="745"/>
      <c r="F1784" s="745"/>
    </row>
    <row r="1785" spans="1:6" x14ac:dyDescent="0.2">
      <c r="A1785" s="64" t="s">
        <v>8</v>
      </c>
      <c r="B1785" s="64" t="s">
        <v>26</v>
      </c>
      <c r="C1785" s="64" t="s">
        <v>27</v>
      </c>
      <c r="D1785" s="64" t="s">
        <v>28</v>
      </c>
      <c r="E1785" s="64" t="s">
        <v>29</v>
      </c>
      <c r="F1785" s="64" t="s">
        <v>30</v>
      </c>
    </row>
    <row r="1786" spans="1:6" x14ac:dyDescent="0.2">
      <c r="A1786" s="65">
        <v>88247</v>
      </c>
      <c r="B1786" s="66" t="s">
        <v>11875</v>
      </c>
      <c r="C1786" s="67" t="s">
        <v>10945</v>
      </c>
      <c r="D1786" s="265">
        <v>0.21</v>
      </c>
      <c r="E1786" s="174">
        <v>16.25</v>
      </c>
      <c r="F1786" s="174">
        <f>D1786*E1786</f>
        <v>3.4125000000000001</v>
      </c>
    </row>
    <row r="1787" spans="1:6" x14ac:dyDescent="0.2">
      <c r="A1787" s="65">
        <v>88264</v>
      </c>
      <c r="B1787" s="66" t="s">
        <v>10976</v>
      </c>
      <c r="C1787" s="67" t="s">
        <v>10945</v>
      </c>
      <c r="D1787" s="265">
        <v>0.21</v>
      </c>
      <c r="E1787" s="174">
        <v>21.08</v>
      </c>
      <c r="F1787" s="174">
        <f>D1787*E1787</f>
        <v>4.4267999999999992</v>
      </c>
    </row>
    <row r="1788" spans="1:6" x14ac:dyDescent="0.2">
      <c r="A1788" s="65"/>
      <c r="B1788" s="66"/>
      <c r="C1788" s="67"/>
      <c r="D1788" s="155"/>
      <c r="E1788" s="99"/>
      <c r="F1788" s="100"/>
    </row>
    <row r="1789" spans="1:6" x14ac:dyDescent="0.2">
      <c r="A1789" s="71"/>
      <c r="B1789" s="62"/>
      <c r="C1789" s="72"/>
      <c r="D1789" s="73" t="s">
        <v>31</v>
      </c>
      <c r="E1789" s="74"/>
      <c r="F1789" s="75">
        <f>F1786+F1787+F1788</f>
        <v>7.8392999999999997</v>
      </c>
    </row>
    <row r="1790" spans="1:6" x14ac:dyDescent="0.2">
      <c r="A1790" s="71"/>
      <c r="B1790" s="62"/>
      <c r="C1790" s="72"/>
      <c r="D1790" s="76" t="s">
        <v>32</v>
      </c>
      <c r="E1790" s="77"/>
      <c r="F1790" s="78">
        <f>F1789*E1790</f>
        <v>0</v>
      </c>
    </row>
    <row r="1791" spans="1:6" x14ac:dyDescent="0.2">
      <c r="A1791" s="71"/>
      <c r="B1791" s="62"/>
      <c r="C1791" s="72"/>
      <c r="D1791" s="73" t="s">
        <v>33</v>
      </c>
      <c r="E1791" s="74"/>
      <c r="F1791" s="78">
        <f>SUM(F1789:F1790)</f>
        <v>7.8392999999999997</v>
      </c>
    </row>
    <row r="1792" spans="1:6" x14ac:dyDescent="0.2">
      <c r="A1792" s="79"/>
      <c r="B1792" s="76"/>
      <c r="C1792" s="73"/>
      <c r="D1792" s="80" t="s">
        <v>34</v>
      </c>
      <c r="E1792" s="81"/>
      <c r="F1792" s="82">
        <f>F1791</f>
        <v>7.8392999999999997</v>
      </c>
    </row>
    <row r="1793" spans="1:6" x14ac:dyDescent="0.2">
      <c r="A1793" s="79"/>
      <c r="B1793" s="76"/>
      <c r="C1793" s="73"/>
      <c r="D1793" s="83"/>
      <c r="E1793" s="84"/>
      <c r="F1793" s="85"/>
    </row>
    <row r="1794" spans="1:6" x14ac:dyDescent="0.2">
      <c r="A1794" s="746" t="s">
        <v>35</v>
      </c>
      <c r="B1794" s="747"/>
      <c r="C1794" s="747"/>
      <c r="D1794" s="747"/>
      <c r="E1794" s="747"/>
      <c r="F1794" s="748"/>
    </row>
    <row r="1795" spans="1:6" x14ac:dyDescent="0.2">
      <c r="A1795" s="64" t="s">
        <v>8</v>
      </c>
      <c r="B1795" s="64" t="s">
        <v>26</v>
      </c>
      <c r="C1795" s="64" t="s">
        <v>27</v>
      </c>
      <c r="D1795" s="64" t="s">
        <v>28</v>
      </c>
      <c r="E1795" s="64" t="s">
        <v>29</v>
      </c>
      <c r="F1795" s="64" t="s">
        <v>30</v>
      </c>
    </row>
    <row r="1796" spans="1:6" x14ac:dyDescent="0.2">
      <c r="A1796" s="624" t="s">
        <v>12000</v>
      </c>
      <c r="B1796" s="686" t="s">
        <v>12002</v>
      </c>
      <c r="C1796" s="683" t="s">
        <v>18</v>
      </c>
      <c r="D1796" s="684">
        <v>1</v>
      </c>
      <c r="E1796" s="681">
        <v>18.169999999999998</v>
      </c>
      <c r="F1796" s="174">
        <f>D1796*E1796</f>
        <v>18.169999999999998</v>
      </c>
    </row>
    <row r="1797" spans="1:6" x14ac:dyDescent="0.2">
      <c r="A1797" s="65"/>
      <c r="B1797" s="216"/>
      <c r="C1797" s="67"/>
      <c r="D1797" s="155"/>
      <c r="E1797" s="174"/>
      <c r="F1797" s="174"/>
    </row>
    <row r="1798" spans="1:6" x14ac:dyDescent="0.2">
      <c r="A1798" s="65"/>
      <c r="B1798" s="66"/>
      <c r="C1798" s="67"/>
      <c r="D1798" s="155"/>
      <c r="E1798" s="174"/>
      <c r="F1798" s="174"/>
    </row>
    <row r="1799" spans="1:6" x14ac:dyDescent="0.2">
      <c r="A1799" s="79"/>
      <c r="B1799" s="76"/>
      <c r="C1799" s="73"/>
      <c r="D1799" s="80" t="s">
        <v>36</v>
      </c>
      <c r="E1799" s="81"/>
      <c r="F1799" s="101">
        <f>SUM(F1796:F1798)</f>
        <v>18.169999999999998</v>
      </c>
    </row>
    <row r="1800" spans="1:6" x14ac:dyDescent="0.2">
      <c r="A1800" s="79"/>
      <c r="B1800" s="76"/>
      <c r="C1800" s="73"/>
      <c r="D1800" s="83"/>
      <c r="E1800" s="84"/>
      <c r="F1800" s="85"/>
    </row>
    <row r="1801" spans="1:6" x14ac:dyDescent="0.2">
      <c r="A1801" s="746" t="s">
        <v>37</v>
      </c>
      <c r="B1801" s="747"/>
      <c r="C1801" s="747"/>
      <c r="D1801" s="747"/>
      <c r="E1801" s="747"/>
      <c r="F1801" s="748"/>
    </row>
    <row r="1802" spans="1:6" x14ac:dyDescent="0.2">
      <c r="A1802" s="64" t="s">
        <v>8</v>
      </c>
      <c r="B1802" s="64" t="s">
        <v>26</v>
      </c>
      <c r="C1802" s="64" t="s">
        <v>27</v>
      </c>
      <c r="D1802" s="64" t="s">
        <v>28</v>
      </c>
      <c r="E1802" s="64" t="s">
        <v>29</v>
      </c>
      <c r="F1802" s="64" t="s">
        <v>30</v>
      </c>
    </row>
    <row r="1803" spans="1:6" x14ac:dyDescent="0.2">
      <c r="A1803" s="65"/>
      <c r="B1803" s="66"/>
      <c r="C1803" s="88"/>
      <c r="D1803" s="89"/>
      <c r="E1803" s="173"/>
      <c r="F1803" s="174"/>
    </row>
    <row r="1804" spans="1:6" x14ac:dyDescent="0.2">
      <c r="A1804" s="92"/>
      <c r="B1804" s="87"/>
      <c r="C1804" s="88"/>
      <c r="D1804" s="103"/>
      <c r="E1804" s="94"/>
      <c r="F1804" s="100"/>
    </row>
    <row r="1805" spans="1:6" x14ac:dyDescent="0.2">
      <c r="A1805" s="95"/>
      <c r="B1805" s="96"/>
      <c r="C1805" s="97"/>
      <c r="D1805" s="98"/>
      <c r="E1805" s="99"/>
      <c r="F1805" s="104"/>
    </row>
    <row r="1806" spans="1:6" x14ac:dyDescent="0.2">
      <c r="A1806" s="79"/>
      <c r="B1806" s="76"/>
      <c r="C1806" s="73"/>
      <c r="D1806" s="80" t="s">
        <v>38</v>
      </c>
      <c r="E1806" s="81"/>
      <c r="F1806" s="101">
        <f>ROUND(SUM(F1803:F1803),2)</f>
        <v>0</v>
      </c>
    </row>
    <row r="1807" spans="1:6" x14ac:dyDescent="0.2">
      <c r="A1807" s="79"/>
      <c r="B1807" s="76"/>
      <c r="C1807" s="73"/>
      <c r="D1807" s="83"/>
      <c r="E1807" s="84"/>
      <c r="F1807" s="85"/>
    </row>
    <row r="1808" spans="1:6" x14ac:dyDescent="0.2">
      <c r="A1808" s="749" t="s">
        <v>39</v>
      </c>
      <c r="B1808" s="750"/>
      <c r="C1808" s="750"/>
      <c r="D1808" s="750"/>
      <c r="E1808" s="751"/>
      <c r="F1808" s="105">
        <f>ROUND(F1792+F1799+F1806,2)</f>
        <v>26.01</v>
      </c>
    </row>
    <row r="1809" spans="1:6" ht="15.75" x14ac:dyDescent="0.2">
      <c r="A1809" s="587" t="s">
        <v>8</v>
      </c>
      <c r="B1809" s="743" t="s">
        <v>23</v>
      </c>
      <c r="C1809" s="743"/>
      <c r="D1809" s="743"/>
      <c r="E1809" s="743"/>
      <c r="F1809" s="588" t="s">
        <v>24</v>
      </c>
    </row>
    <row r="1810" spans="1:6" ht="15" customHeight="1" x14ac:dyDescent="0.2">
      <c r="A1810" s="63" t="s">
        <v>13820</v>
      </c>
      <c r="B1810" s="744" t="str">
        <f>PO!D404</f>
        <v>Tomada RJ45, CAT 6, com placa 2x4", 2 módulos - fornecimento e instalação.</v>
      </c>
      <c r="C1810" s="744"/>
      <c r="D1810" s="744"/>
      <c r="E1810" s="744"/>
      <c r="F1810" s="107" t="str">
        <f>PO!E404</f>
        <v>unid.</v>
      </c>
    </row>
    <row r="1811" spans="1:6" x14ac:dyDescent="0.2">
      <c r="A1811" s="745" t="s">
        <v>25</v>
      </c>
      <c r="B1811" s="745"/>
      <c r="C1811" s="745"/>
      <c r="D1811" s="745"/>
      <c r="E1811" s="745"/>
      <c r="F1811" s="745"/>
    </row>
    <row r="1812" spans="1:6" x14ac:dyDescent="0.2">
      <c r="A1812" s="64" t="s">
        <v>8</v>
      </c>
      <c r="B1812" s="64" t="s">
        <v>26</v>
      </c>
      <c r="C1812" s="64" t="s">
        <v>27</v>
      </c>
      <c r="D1812" s="64" t="s">
        <v>28</v>
      </c>
      <c r="E1812" s="64" t="s">
        <v>29</v>
      </c>
      <c r="F1812" s="64" t="s">
        <v>30</v>
      </c>
    </row>
    <row r="1813" spans="1:6" x14ac:dyDescent="0.2">
      <c r="A1813" s="65">
        <v>88247</v>
      </c>
      <c r="B1813" s="66" t="s">
        <v>11875</v>
      </c>
      <c r="C1813" s="67" t="s">
        <v>10945</v>
      </c>
      <c r="D1813" s="265">
        <v>0.21</v>
      </c>
      <c r="E1813" s="174">
        <v>16.25</v>
      </c>
      <c r="F1813" s="174">
        <f>D1813*E1813</f>
        <v>3.4125000000000001</v>
      </c>
    </row>
    <row r="1814" spans="1:6" x14ac:dyDescent="0.2">
      <c r="A1814" s="65">
        <v>88264</v>
      </c>
      <c r="B1814" s="66" t="s">
        <v>10976</v>
      </c>
      <c r="C1814" s="67" t="s">
        <v>10945</v>
      </c>
      <c r="D1814" s="265">
        <v>0.21</v>
      </c>
      <c r="E1814" s="174">
        <v>21.08</v>
      </c>
      <c r="F1814" s="174">
        <f>D1814*E1814</f>
        <v>4.4267999999999992</v>
      </c>
    </row>
    <row r="1815" spans="1:6" x14ac:dyDescent="0.2">
      <c r="A1815" s="65"/>
      <c r="B1815" s="66"/>
      <c r="C1815" s="67"/>
      <c r="D1815" s="155"/>
      <c r="E1815" s="99"/>
      <c r="F1815" s="100"/>
    </row>
    <row r="1816" spans="1:6" x14ac:dyDescent="0.2">
      <c r="A1816" s="71"/>
      <c r="B1816" s="62"/>
      <c r="C1816" s="72"/>
      <c r="D1816" s="73" t="s">
        <v>31</v>
      </c>
      <c r="E1816" s="74"/>
      <c r="F1816" s="75">
        <f>F1813+F1814+F1815</f>
        <v>7.8392999999999997</v>
      </c>
    </row>
    <row r="1817" spans="1:6" x14ac:dyDescent="0.2">
      <c r="A1817" s="71"/>
      <c r="B1817" s="62"/>
      <c r="C1817" s="72"/>
      <c r="D1817" s="76" t="s">
        <v>32</v>
      </c>
      <c r="E1817" s="77"/>
      <c r="F1817" s="78">
        <f>F1816*E1817</f>
        <v>0</v>
      </c>
    </row>
    <row r="1818" spans="1:6" x14ac:dyDescent="0.2">
      <c r="A1818" s="71"/>
      <c r="B1818" s="62"/>
      <c r="C1818" s="72"/>
      <c r="D1818" s="73" t="s">
        <v>33</v>
      </c>
      <c r="E1818" s="74"/>
      <c r="F1818" s="78">
        <f>SUM(F1816:F1817)</f>
        <v>7.8392999999999997</v>
      </c>
    </row>
    <row r="1819" spans="1:6" x14ac:dyDescent="0.2">
      <c r="A1819" s="79"/>
      <c r="B1819" s="76"/>
      <c r="C1819" s="73"/>
      <c r="D1819" s="80" t="s">
        <v>34</v>
      </c>
      <c r="E1819" s="81"/>
      <c r="F1819" s="82">
        <f>F1818</f>
        <v>7.8392999999999997</v>
      </c>
    </row>
    <row r="1820" spans="1:6" x14ac:dyDescent="0.2">
      <c r="A1820" s="79"/>
      <c r="B1820" s="76"/>
      <c r="C1820" s="73"/>
      <c r="D1820" s="83"/>
      <c r="E1820" s="84"/>
      <c r="F1820" s="85"/>
    </row>
    <row r="1821" spans="1:6" x14ac:dyDescent="0.2">
      <c r="A1821" s="746" t="s">
        <v>35</v>
      </c>
      <c r="B1821" s="747"/>
      <c r="C1821" s="747"/>
      <c r="D1821" s="747"/>
      <c r="E1821" s="747"/>
      <c r="F1821" s="748"/>
    </row>
    <row r="1822" spans="1:6" x14ac:dyDescent="0.2">
      <c r="A1822" s="64" t="s">
        <v>8</v>
      </c>
      <c r="B1822" s="64" t="s">
        <v>26</v>
      </c>
      <c r="C1822" s="64" t="s">
        <v>27</v>
      </c>
      <c r="D1822" s="64" t="s">
        <v>28</v>
      </c>
      <c r="E1822" s="64" t="s">
        <v>29</v>
      </c>
      <c r="F1822" s="64" t="s">
        <v>30</v>
      </c>
    </row>
    <row r="1823" spans="1:6" x14ac:dyDescent="0.2">
      <c r="A1823" s="624" t="s">
        <v>12001</v>
      </c>
      <c r="B1823" s="686" t="s">
        <v>12003</v>
      </c>
      <c r="C1823" s="683" t="s">
        <v>18</v>
      </c>
      <c r="D1823" s="684">
        <v>1</v>
      </c>
      <c r="E1823" s="640">
        <v>34.846666666666671</v>
      </c>
      <c r="F1823" s="174">
        <f>D1823*E1823</f>
        <v>34.846666666666671</v>
      </c>
    </row>
    <row r="1824" spans="1:6" x14ac:dyDescent="0.2">
      <c r="A1824" s="624"/>
      <c r="B1824" s="628"/>
      <c r="C1824" s="683"/>
      <c r="D1824" s="684"/>
      <c r="E1824" s="681"/>
      <c r="F1824" s="174"/>
    </row>
    <row r="1825" spans="1:6" x14ac:dyDescent="0.2">
      <c r="A1825" s="65"/>
      <c r="B1825" s="66"/>
      <c r="C1825" s="67"/>
      <c r="D1825" s="155"/>
      <c r="E1825" s="174"/>
      <c r="F1825" s="174"/>
    </row>
    <row r="1826" spans="1:6" x14ac:dyDescent="0.2">
      <c r="A1826" s="79"/>
      <c r="B1826" s="76"/>
      <c r="C1826" s="73"/>
      <c r="D1826" s="80" t="s">
        <v>36</v>
      </c>
      <c r="E1826" s="81"/>
      <c r="F1826" s="101">
        <f>SUM(F1823:F1825)</f>
        <v>34.846666666666671</v>
      </c>
    </row>
    <row r="1827" spans="1:6" x14ac:dyDescent="0.2">
      <c r="A1827" s="79"/>
      <c r="B1827" s="76"/>
      <c r="C1827" s="73"/>
      <c r="D1827" s="83"/>
      <c r="E1827" s="84"/>
      <c r="F1827" s="85"/>
    </row>
    <row r="1828" spans="1:6" x14ac:dyDescent="0.2">
      <c r="A1828" s="746" t="s">
        <v>37</v>
      </c>
      <c r="B1828" s="747"/>
      <c r="C1828" s="747"/>
      <c r="D1828" s="747"/>
      <c r="E1828" s="747"/>
      <c r="F1828" s="748"/>
    </row>
    <row r="1829" spans="1:6" x14ac:dyDescent="0.2">
      <c r="A1829" s="64" t="s">
        <v>8</v>
      </c>
      <c r="B1829" s="64" t="s">
        <v>26</v>
      </c>
      <c r="C1829" s="64" t="s">
        <v>27</v>
      </c>
      <c r="D1829" s="64" t="s">
        <v>28</v>
      </c>
      <c r="E1829" s="64" t="s">
        <v>29</v>
      </c>
      <c r="F1829" s="64" t="s">
        <v>30</v>
      </c>
    </row>
    <row r="1830" spans="1:6" x14ac:dyDescent="0.2">
      <c r="A1830" s="65"/>
      <c r="B1830" s="66"/>
      <c r="C1830" s="88"/>
      <c r="D1830" s="89"/>
      <c r="E1830" s="173"/>
      <c r="F1830" s="174"/>
    </row>
    <row r="1831" spans="1:6" x14ac:dyDescent="0.2">
      <c r="A1831" s="92"/>
      <c r="B1831" s="87"/>
      <c r="C1831" s="88"/>
      <c r="D1831" s="103"/>
      <c r="E1831" s="94"/>
      <c r="F1831" s="100"/>
    </row>
    <row r="1832" spans="1:6" x14ac:dyDescent="0.2">
      <c r="A1832" s="95"/>
      <c r="B1832" s="96"/>
      <c r="C1832" s="97"/>
      <c r="D1832" s="98"/>
      <c r="E1832" s="99"/>
      <c r="F1832" s="104"/>
    </row>
    <row r="1833" spans="1:6" x14ac:dyDescent="0.2">
      <c r="A1833" s="79"/>
      <c r="B1833" s="76"/>
      <c r="C1833" s="73"/>
      <c r="D1833" s="80" t="s">
        <v>38</v>
      </c>
      <c r="E1833" s="81"/>
      <c r="F1833" s="101">
        <f>ROUND(SUM(F1830:F1830),2)</f>
        <v>0</v>
      </c>
    </row>
    <row r="1834" spans="1:6" x14ac:dyDescent="0.2">
      <c r="A1834" s="79"/>
      <c r="B1834" s="76"/>
      <c r="C1834" s="73"/>
      <c r="D1834" s="83"/>
      <c r="E1834" s="84"/>
      <c r="F1834" s="85"/>
    </row>
    <row r="1835" spans="1:6" x14ac:dyDescent="0.2">
      <c r="A1835" s="749" t="s">
        <v>39</v>
      </c>
      <c r="B1835" s="750"/>
      <c r="C1835" s="750"/>
      <c r="D1835" s="750"/>
      <c r="E1835" s="751"/>
      <c r="F1835" s="105">
        <f>ROUND(F1819+F1826+F1833,2)</f>
        <v>42.69</v>
      </c>
    </row>
    <row r="1836" spans="1:6" ht="15.75" x14ac:dyDescent="0.2">
      <c r="A1836" s="587" t="s">
        <v>8</v>
      </c>
      <c r="B1836" s="743" t="s">
        <v>23</v>
      </c>
      <c r="C1836" s="743"/>
      <c r="D1836" s="743"/>
      <c r="E1836" s="743"/>
      <c r="F1836" s="588" t="s">
        <v>24</v>
      </c>
    </row>
    <row r="1837" spans="1:6" ht="15" customHeight="1" x14ac:dyDescent="0.2">
      <c r="A1837" s="63" t="s">
        <v>13821</v>
      </c>
      <c r="B1837" s="744" t="str">
        <f>PO!D407</f>
        <v>Rack de parede fechado, 19", 17U - fornecimento e instalação.</v>
      </c>
      <c r="C1837" s="744"/>
      <c r="D1837" s="744"/>
      <c r="E1837" s="744"/>
      <c r="F1837" s="107" t="str">
        <f>PO!E407</f>
        <v>unid.</v>
      </c>
    </row>
    <row r="1838" spans="1:6" x14ac:dyDescent="0.2">
      <c r="A1838" s="745" t="s">
        <v>25</v>
      </c>
      <c r="B1838" s="745"/>
      <c r="C1838" s="745"/>
      <c r="D1838" s="745"/>
      <c r="E1838" s="745"/>
      <c r="F1838" s="745"/>
    </row>
    <row r="1839" spans="1:6" x14ac:dyDescent="0.2">
      <c r="A1839" s="64" t="s">
        <v>8</v>
      </c>
      <c r="B1839" s="64" t="s">
        <v>26</v>
      </c>
      <c r="C1839" s="64" t="s">
        <v>27</v>
      </c>
      <c r="D1839" s="64" t="s">
        <v>28</v>
      </c>
      <c r="E1839" s="64" t="s">
        <v>29</v>
      </c>
      <c r="F1839" s="64" t="s">
        <v>30</v>
      </c>
    </row>
    <row r="1840" spans="1:6" x14ac:dyDescent="0.2">
      <c r="A1840" s="65">
        <v>88247</v>
      </c>
      <c r="B1840" s="66" t="s">
        <v>11875</v>
      </c>
      <c r="C1840" s="67" t="s">
        <v>10945</v>
      </c>
      <c r="D1840" s="155">
        <v>4</v>
      </c>
      <c r="E1840" s="174">
        <v>16.25</v>
      </c>
      <c r="F1840" s="288">
        <f>ROUND(D1840*E1840,2)</f>
        <v>65</v>
      </c>
    </row>
    <row r="1841" spans="1:6" x14ac:dyDescent="0.2">
      <c r="A1841" s="65">
        <v>88266</v>
      </c>
      <c r="B1841" s="66" t="s">
        <v>12066</v>
      </c>
      <c r="C1841" s="67" t="s">
        <v>10945</v>
      </c>
      <c r="D1841" s="155">
        <v>4</v>
      </c>
      <c r="E1841" s="174">
        <v>24.98</v>
      </c>
      <c r="F1841" s="288">
        <f>ROUND(D1841*E1841,2)</f>
        <v>99.92</v>
      </c>
    </row>
    <row r="1842" spans="1:6" x14ac:dyDescent="0.2">
      <c r="A1842" s="65">
        <v>88264</v>
      </c>
      <c r="B1842" s="66" t="s">
        <v>10976</v>
      </c>
      <c r="C1842" s="67" t="s">
        <v>10945</v>
      </c>
      <c r="D1842" s="155">
        <v>4</v>
      </c>
      <c r="E1842" s="174">
        <v>21.08</v>
      </c>
      <c r="F1842" s="288">
        <f>ROUND(D1842*E1842,2)</f>
        <v>84.32</v>
      </c>
    </row>
    <row r="1843" spans="1:6" x14ac:dyDescent="0.2">
      <c r="A1843" s="71"/>
      <c r="B1843" s="62"/>
      <c r="C1843" s="72"/>
      <c r="D1843" s="73" t="s">
        <v>31</v>
      </c>
      <c r="E1843" s="74"/>
      <c r="F1843" s="75">
        <f>F1840+F1841+F1842</f>
        <v>249.24</v>
      </c>
    </row>
    <row r="1844" spans="1:6" x14ac:dyDescent="0.2">
      <c r="A1844" s="71"/>
      <c r="B1844" s="62"/>
      <c r="C1844" s="72"/>
      <c r="D1844" s="76" t="s">
        <v>32</v>
      </c>
      <c r="E1844" s="77"/>
      <c r="F1844" s="78">
        <f>F1843*E1844</f>
        <v>0</v>
      </c>
    </row>
    <row r="1845" spans="1:6" x14ac:dyDescent="0.2">
      <c r="A1845" s="71"/>
      <c r="B1845" s="62"/>
      <c r="C1845" s="72"/>
      <c r="D1845" s="73" t="s">
        <v>33</v>
      </c>
      <c r="E1845" s="74"/>
      <c r="F1845" s="78">
        <f>SUM(F1843:F1844)</f>
        <v>249.24</v>
      </c>
    </row>
    <row r="1846" spans="1:6" x14ac:dyDescent="0.2">
      <c r="A1846" s="79"/>
      <c r="B1846" s="76"/>
      <c r="C1846" s="73"/>
      <c r="D1846" s="80" t="s">
        <v>34</v>
      </c>
      <c r="E1846" s="81"/>
      <c r="F1846" s="82">
        <f>F1845</f>
        <v>249.24</v>
      </c>
    </row>
    <row r="1847" spans="1:6" x14ac:dyDescent="0.2">
      <c r="A1847" s="79"/>
      <c r="B1847" s="76"/>
      <c r="C1847" s="73"/>
      <c r="D1847" s="83"/>
      <c r="E1847" s="84"/>
      <c r="F1847" s="85"/>
    </row>
    <row r="1848" spans="1:6" x14ac:dyDescent="0.2">
      <c r="A1848" s="746" t="s">
        <v>35</v>
      </c>
      <c r="B1848" s="747"/>
      <c r="C1848" s="747"/>
      <c r="D1848" s="747"/>
      <c r="E1848" s="747"/>
      <c r="F1848" s="748"/>
    </row>
    <row r="1849" spans="1:6" x14ac:dyDescent="0.2">
      <c r="A1849" s="64" t="s">
        <v>8</v>
      </c>
      <c r="B1849" s="64" t="s">
        <v>26</v>
      </c>
      <c r="C1849" s="64" t="s">
        <v>27</v>
      </c>
      <c r="D1849" s="64" t="s">
        <v>28</v>
      </c>
      <c r="E1849" s="64" t="s">
        <v>29</v>
      </c>
      <c r="F1849" s="64" t="s">
        <v>30</v>
      </c>
    </row>
    <row r="1850" spans="1:6" x14ac:dyDescent="0.2">
      <c r="A1850" s="624" t="s">
        <v>12045</v>
      </c>
      <c r="B1850" s="632" t="s">
        <v>12049</v>
      </c>
      <c r="C1850" s="633" t="s">
        <v>10884</v>
      </c>
      <c r="D1850" s="639">
        <v>1</v>
      </c>
      <c r="E1850" s="640">
        <v>637.76333333333332</v>
      </c>
      <c r="F1850" s="174">
        <f>D1850*E1850</f>
        <v>637.76333333333332</v>
      </c>
    </row>
    <row r="1851" spans="1:6" x14ac:dyDescent="0.2">
      <c r="A1851" s="624"/>
      <c r="B1851" s="628"/>
      <c r="C1851" s="683"/>
      <c r="D1851" s="684"/>
      <c r="E1851" s="681"/>
      <c r="F1851" s="174"/>
    </row>
    <row r="1852" spans="1:6" x14ac:dyDescent="0.2">
      <c r="A1852" s="624"/>
      <c r="B1852" s="629"/>
      <c r="C1852" s="683"/>
      <c r="D1852" s="684"/>
      <c r="E1852" s="681"/>
      <c r="F1852" s="174"/>
    </row>
    <row r="1853" spans="1:6" x14ac:dyDescent="0.2">
      <c r="A1853" s="79"/>
      <c r="B1853" s="76"/>
      <c r="C1853" s="73"/>
      <c r="D1853" s="80" t="s">
        <v>36</v>
      </c>
      <c r="E1853" s="81"/>
      <c r="F1853" s="101">
        <f>SUM(F1850:F1852)</f>
        <v>637.76333333333332</v>
      </c>
    </row>
    <row r="1854" spans="1:6" x14ac:dyDescent="0.2">
      <c r="A1854" s="79"/>
      <c r="B1854" s="76"/>
      <c r="C1854" s="73"/>
      <c r="D1854" s="83"/>
      <c r="E1854" s="84"/>
      <c r="F1854" s="85"/>
    </row>
    <row r="1855" spans="1:6" x14ac:dyDescent="0.2">
      <c r="A1855" s="746" t="s">
        <v>37</v>
      </c>
      <c r="B1855" s="747"/>
      <c r="C1855" s="747"/>
      <c r="D1855" s="747"/>
      <c r="E1855" s="747"/>
      <c r="F1855" s="748"/>
    </row>
    <row r="1856" spans="1:6" x14ac:dyDescent="0.2">
      <c r="A1856" s="64" t="s">
        <v>8</v>
      </c>
      <c r="B1856" s="64" t="s">
        <v>26</v>
      </c>
      <c r="C1856" s="64" t="s">
        <v>27</v>
      </c>
      <c r="D1856" s="64" t="s">
        <v>28</v>
      </c>
      <c r="E1856" s="64" t="s">
        <v>29</v>
      </c>
      <c r="F1856" s="64" t="s">
        <v>30</v>
      </c>
    </row>
    <row r="1857" spans="1:6" x14ac:dyDescent="0.2">
      <c r="A1857" s="65"/>
      <c r="B1857" s="66"/>
      <c r="C1857" s="88"/>
      <c r="D1857" s="89"/>
      <c r="E1857" s="173"/>
      <c r="F1857" s="174"/>
    </row>
    <row r="1858" spans="1:6" x14ac:dyDescent="0.2">
      <c r="A1858" s="92"/>
      <c r="B1858" s="87"/>
      <c r="C1858" s="88"/>
      <c r="D1858" s="103"/>
      <c r="E1858" s="94"/>
      <c r="F1858" s="100"/>
    </row>
    <row r="1859" spans="1:6" x14ac:dyDescent="0.2">
      <c r="A1859" s="95"/>
      <c r="B1859" s="96"/>
      <c r="C1859" s="97"/>
      <c r="D1859" s="98"/>
      <c r="E1859" s="99"/>
      <c r="F1859" s="104"/>
    </row>
    <row r="1860" spans="1:6" x14ac:dyDescent="0.2">
      <c r="A1860" s="79"/>
      <c r="B1860" s="76"/>
      <c r="C1860" s="73"/>
      <c r="D1860" s="80" t="s">
        <v>38</v>
      </c>
      <c r="E1860" s="81"/>
      <c r="F1860" s="101">
        <f>ROUND(SUM(F1857:F1857),2)</f>
        <v>0</v>
      </c>
    </row>
    <row r="1861" spans="1:6" x14ac:dyDescent="0.2">
      <c r="A1861" s="79"/>
      <c r="B1861" s="76"/>
      <c r="C1861" s="73"/>
      <c r="D1861" s="83"/>
      <c r="E1861" s="84"/>
      <c r="F1861" s="85"/>
    </row>
    <row r="1862" spans="1:6" x14ac:dyDescent="0.2">
      <c r="A1862" s="749" t="s">
        <v>39</v>
      </c>
      <c r="B1862" s="750"/>
      <c r="C1862" s="750"/>
      <c r="D1862" s="750"/>
      <c r="E1862" s="751"/>
      <c r="F1862" s="105">
        <f>ROUND(F1846+F1853+F1860,2)</f>
        <v>887</v>
      </c>
    </row>
    <row r="1863" spans="1:6" ht="15.75" x14ac:dyDescent="0.2">
      <c r="A1863" s="587" t="s">
        <v>8</v>
      </c>
      <c r="B1863" s="743" t="s">
        <v>23</v>
      </c>
      <c r="C1863" s="743"/>
      <c r="D1863" s="743"/>
      <c r="E1863" s="743"/>
      <c r="F1863" s="588" t="s">
        <v>24</v>
      </c>
    </row>
    <row r="1864" spans="1:6" ht="15" customHeight="1" x14ac:dyDescent="0.2">
      <c r="A1864" s="63" t="s">
        <v>13822</v>
      </c>
      <c r="B1864" s="744" t="str">
        <f>PO!D408</f>
        <v>Switch Poe 24 Portas - fornecimento e instalação. </v>
      </c>
      <c r="C1864" s="744"/>
      <c r="D1864" s="744"/>
      <c r="E1864" s="744"/>
      <c r="F1864" s="107" t="str">
        <f>PO!E408</f>
        <v>unid.</v>
      </c>
    </row>
    <row r="1865" spans="1:6" x14ac:dyDescent="0.2">
      <c r="A1865" s="745" t="s">
        <v>25</v>
      </c>
      <c r="B1865" s="745"/>
      <c r="C1865" s="745"/>
      <c r="D1865" s="745"/>
      <c r="E1865" s="745"/>
      <c r="F1865" s="745"/>
    </row>
    <row r="1866" spans="1:6" x14ac:dyDescent="0.2">
      <c r="A1866" s="64" t="s">
        <v>8</v>
      </c>
      <c r="B1866" s="64" t="s">
        <v>26</v>
      </c>
      <c r="C1866" s="64" t="s">
        <v>27</v>
      </c>
      <c r="D1866" s="64" t="s">
        <v>28</v>
      </c>
      <c r="E1866" s="64" t="s">
        <v>29</v>
      </c>
      <c r="F1866" s="64" t="s">
        <v>30</v>
      </c>
    </row>
    <row r="1867" spans="1:6" x14ac:dyDescent="0.2">
      <c r="A1867" s="65">
        <v>88247</v>
      </c>
      <c r="B1867" s="66" t="s">
        <v>11875</v>
      </c>
      <c r="C1867" s="67" t="s">
        <v>10945</v>
      </c>
      <c r="D1867" s="155">
        <v>1</v>
      </c>
      <c r="E1867" s="174">
        <v>16.25</v>
      </c>
      <c r="F1867" s="174">
        <f>D1867*E1867</f>
        <v>16.25</v>
      </c>
    </row>
    <row r="1868" spans="1:6" x14ac:dyDescent="0.2">
      <c r="A1868" s="65">
        <v>88264</v>
      </c>
      <c r="B1868" s="66" t="s">
        <v>10976</v>
      </c>
      <c r="C1868" s="67" t="s">
        <v>10945</v>
      </c>
      <c r="D1868" s="155">
        <v>1</v>
      </c>
      <c r="E1868" s="174">
        <v>21.08</v>
      </c>
      <c r="F1868" s="174">
        <f>D1868*E1868</f>
        <v>21.08</v>
      </c>
    </row>
    <row r="1869" spans="1:6" x14ac:dyDescent="0.2">
      <c r="A1869" s="65"/>
      <c r="B1869" s="66"/>
      <c r="C1869" s="67"/>
      <c r="D1869" s="155"/>
      <c r="E1869" s="99"/>
      <c r="F1869" s="100"/>
    </row>
    <row r="1870" spans="1:6" x14ac:dyDescent="0.2">
      <c r="A1870" s="71"/>
      <c r="B1870" s="62"/>
      <c r="C1870" s="72"/>
      <c r="D1870" s="73" t="s">
        <v>31</v>
      </c>
      <c r="E1870" s="74"/>
      <c r="F1870" s="75">
        <f>F1867+F1868+F1869</f>
        <v>37.33</v>
      </c>
    </row>
    <row r="1871" spans="1:6" x14ac:dyDescent="0.2">
      <c r="A1871" s="71"/>
      <c r="B1871" s="62"/>
      <c r="C1871" s="72"/>
      <c r="D1871" s="76" t="s">
        <v>32</v>
      </c>
      <c r="E1871" s="77"/>
      <c r="F1871" s="78">
        <f>F1870*E1871</f>
        <v>0</v>
      </c>
    </row>
    <row r="1872" spans="1:6" x14ac:dyDescent="0.2">
      <c r="A1872" s="71"/>
      <c r="B1872" s="62"/>
      <c r="C1872" s="72"/>
      <c r="D1872" s="73" t="s">
        <v>33</v>
      </c>
      <c r="E1872" s="74"/>
      <c r="F1872" s="78">
        <f>SUM(F1870:F1871)</f>
        <v>37.33</v>
      </c>
    </row>
    <row r="1873" spans="1:6" x14ac:dyDescent="0.2">
      <c r="A1873" s="79"/>
      <c r="B1873" s="76"/>
      <c r="C1873" s="73"/>
      <c r="D1873" s="80" t="s">
        <v>34</v>
      </c>
      <c r="E1873" s="81"/>
      <c r="F1873" s="82">
        <f>F1872</f>
        <v>37.33</v>
      </c>
    </row>
    <row r="1874" spans="1:6" x14ac:dyDescent="0.2">
      <c r="A1874" s="79"/>
      <c r="B1874" s="76"/>
      <c r="C1874" s="73"/>
      <c r="D1874" s="83"/>
      <c r="E1874" s="84"/>
      <c r="F1874" s="85"/>
    </row>
    <row r="1875" spans="1:6" x14ac:dyDescent="0.2">
      <c r="A1875" s="746" t="s">
        <v>35</v>
      </c>
      <c r="B1875" s="747"/>
      <c r="C1875" s="747"/>
      <c r="D1875" s="747"/>
      <c r="E1875" s="747"/>
      <c r="F1875" s="748"/>
    </row>
    <row r="1876" spans="1:6" x14ac:dyDescent="0.2">
      <c r="A1876" s="64" t="s">
        <v>8</v>
      </c>
      <c r="B1876" s="64" t="s">
        <v>26</v>
      </c>
      <c r="C1876" s="64" t="s">
        <v>27</v>
      </c>
      <c r="D1876" s="64" t="s">
        <v>28</v>
      </c>
      <c r="E1876" s="64" t="s">
        <v>29</v>
      </c>
      <c r="F1876" s="64" t="s">
        <v>30</v>
      </c>
    </row>
    <row r="1877" spans="1:6" x14ac:dyDescent="0.2">
      <c r="A1877" s="624" t="s">
        <v>12046</v>
      </c>
      <c r="B1877" s="632" t="s">
        <v>12050</v>
      </c>
      <c r="C1877" s="633" t="s">
        <v>10884</v>
      </c>
      <c r="D1877" s="639">
        <v>1</v>
      </c>
      <c r="E1877" s="640">
        <v>943.77</v>
      </c>
      <c r="F1877" s="174">
        <f>D1877*E1877</f>
        <v>943.77</v>
      </c>
    </row>
    <row r="1878" spans="1:6" x14ac:dyDescent="0.2">
      <c r="A1878" s="624"/>
      <c r="B1878" s="628"/>
      <c r="C1878" s="683"/>
      <c r="D1878" s="684"/>
      <c r="E1878" s="681"/>
      <c r="F1878" s="174"/>
    </row>
    <row r="1879" spans="1:6" x14ac:dyDescent="0.2">
      <c r="A1879" s="65"/>
      <c r="B1879" s="66"/>
      <c r="C1879" s="67"/>
      <c r="D1879" s="155"/>
      <c r="E1879" s="174"/>
      <c r="F1879" s="174"/>
    </row>
    <row r="1880" spans="1:6" x14ac:dyDescent="0.2">
      <c r="A1880" s="79"/>
      <c r="B1880" s="76"/>
      <c r="C1880" s="73"/>
      <c r="D1880" s="80" t="s">
        <v>36</v>
      </c>
      <c r="E1880" s="81"/>
      <c r="F1880" s="101">
        <f>SUM(F1877:F1879)</f>
        <v>943.77</v>
      </c>
    </row>
    <row r="1881" spans="1:6" x14ac:dyDescent="0.2">
      <c r="A1881" s="79"/>
      <c r="B1881" s="76"/>
      <c r="C1881" s="73"/>
      <c r="D1881" s="83"/>
      <c r="E1881" s="84"/>
      <c r="F1881" s="85"/>
    </row>
    <row r="1882" spans="1:6" x14ac:dyDescent="0.2">
      <c r="A1882" s="746" t="s">
        <v>37</v>
      </c>
      <c r="B1882" s="747"/>
      <c r="C1882" s="747"/>
      <c r="D1882" s="747"/>
      <c r="E1882" s="747"/>
      <c r="F1882" s="748"/>
    </row>
    <row r="1883" spans="1:6" x14ac:dyDescent="0.2">
      <c r="A1883" s="64" t="s">
        <v>8</v>
      </c>
      <c r="B1883" s="64" t="s">
        <v>26</v>
      </c>
      <c r="C1883" s="64" t="s">
        <v>27</v>
      </c>
      <c r="D1883" s="64" t="s">
        <v>28</v>
      </c>
      <c r="E1883" s="64" t="s">
        <v>29</v>
      </c>
      <c r="F1883" s="64" t="s">
        <v>30</v>
      </c>
    </row>
    <row r="1884" spans="1:6" x14ac:dyDescent="0.2">
      <c r="A1884" s="65"/>
      <c r="B1884" s="66"/>
      <c r="C1884" s="88"/>
      <c r="D1884" s="89"/>
      <c r="E1884" s="173"/>
      <c r="F1884" s="174"/>
    </row>
    <row r="1885" spans="1:6" x14ac:dyDescent="0.2">
      <c r="A1885" s="92"/>
      <c r="B1885" s="87"/>
      <c r="C1885" s="88"/>
      <c r="D1885" s="103"/>
      <c r="E1885" s="94"/>
      <c r="F1885" s="100"/>
    </row>
    <row r="1886" spans="1:6" x14ac:dyDescent="0.2">
      <c r="A1886" s="95"/>
      <c r="B1886" s="96"/>
      <c r="C1886" s="97"/>
      <c r="D1886" s="98"/>
      <c r="E1886" s="99"/>
      <c r="F1886" s="104"/>
    </row>
    <row r="1887" spans="1:6" x14ac:dyDescent="0.2">
      <c r="A1887" s="79"/>
      <c r="B1887" s="76"/>
      <c r="C1887" s="73"/>
      <c r="D1887" s="80" t="s">
        <v>38</v>
      </c>
      <c r="E1887" s="81"/>
      <c r="F1887" s="101">
        <f>ROUND(SUM(F1884:F1884),2)</f>
        <v>0</v>
      </c>
    </row>
    <row r="1888" spans="1:6" x14ac:dyDescent="0.2">
      <c r="A1888" s="79"/>
      <c r="B1888" s="76"/>
      <c r="C1888" s="73"/>
      <c r="D1888" s="83"/>
      <c r="E1888" s="84"/>
      <c r="F1888" s="85"/>
    </row>
    <row r="1889" spans="1:6" x14ac:dyDescent="0.2">
      <c r="A1889" s="749" t="s">
        <v>39</v>
      </c>
      <c r="B1889" s="750"/>
      <c r="C1889" s="750"/>
      <c r="D1889" s="750"/>
      <c r="E1889" s="751"/>
      <c r="F1889" s="105">
        <f>ROUND(F1873+F1880+F1887,2)</f>
        <v>981.1</v>
      </c>
    </row>
    <row r="1890" spans="1:6" ht="15.75" x14ac:dyDescent="0.2">
      <c r="A1890" s="587" t="s">
        <v>8</v>
      </c>
      <c r="B1890" s="743" t="s">
        <v>23</v>
      </c>
      <c r="C1890" s="743"/>
      <c r="D1890" s="743"/>
      <c r="E1890" s="743"/>
      <c r="F1890" s="588" t="s">
        <v>24</v>
      </c>
    </row>
    <row r="1891" spans="1:6" ht="15" customHeight="1" x14ac:dyDescent="0.2">
      <c r="A1891" s="63" t="s">
        <v>13823</v>
      </c>
      <c r="B1891" s="744" t="str">
        <f>PO!D410</f>
        <v>Régua para rack 19" - 9 tomadas - fornecimento e instalação.</v>
      </c>
      <c r="C1891" s="744"/>
      <c r="D1891" s="744"/>
      <c r="E1891" s="744"/>
      <c r="F1891" s="107" t="str">
        <f>PO!E410</f>
        <v>unid.</v>
      </c>
    </row>
    <row r="1892" spans="1:6" x14ac:dyDescent="0.2">
      <c r="A1892" s="745" t="s">
        <v>25</v>
      </c>
      <c r="B1892" s="745"/>
      <c r="C1892" s="745"/>
      <c r="D1892" s="745"/>
      <c r="E1892" s="745"/>
      <c r="F1892" s="745"/>
    </row>
    <row r="1893" spans="1:6" x14ac:dyDescent="0.2">
      <c r="A1893" s="64" t="s">
        <v>8</v>
      </c>
      <c r="B1893" s="64" t="s">
        <v>26</v>
      </c>
      <c r="C1893" s="64" t="s">
        <v>27</v>
      </c>
      <c r="D1893" s="64" t="s">
        <v>28</v>
      </c>
      <c r="E1893" s="64" t="s">
        <v>29</v>
      </c>
      <c r="F1893" s="64" t="s">
        <v>30</v>
      </c>
    </row>
    <row r="1894" spans="1:6" x14ac:dyDescent="0.2">
      <c r="A1894" s="65">
        <v>88247</v>
      </c>
      <c r="B1894" s="66" t="s">
        <v>11875</v>
      </c>
      <c r="C1894" s="67" t="s">
        <v>10945</v>
      </c>
      <c r="D1894" s="155">
        <v>0.3</v>
      </c>
      <c r="E1894" s="174">
        <v>16.25</v>
      </c>
      <c r="F1894" s="174">
        <f>D1894*E1894</f>
        <v>4.875</v>
      </c>
    </row>
    <row r="1895" spans="1:6" x14ac:dyDescent="0.2">
      <c r="A1895" s="65">
        <v>88264</v>
      </c>
      <c r="B1895" s="66" t="s">
        <v>10976</v>
      </c>
      <c r="C1895" s="67" t="s">
        <v>10945</v>
      </c>
      <c r="D1895" s="155">
        <v>0.7</v>
      </c>
      <c r="E1895" s="174">
        <v>21.08</v>
      </c>
      <c r="F1895" s="174">
        <f>D1895*E1895</f>
        <v>14.755999999999998</v>
      </c>
    </row>
    <row r="1896" spans="1:6" x14ac:dyDescent="0.2">
      <c r="A1896" s="65"/>
      <c r="B1896" s="66"/>
      <c r="C1896" s="67"/>
      <c r="D1896" s="155"/>
      <c r="E1896" s="99"/>
      <c r="F1896" s="100"/>
    </row>
    <row r="1897" spans="1:6" x14ac:dyDescent="0.2">
      <c r="A1897" s="71"/>
      <c r="B1897" s="62"/>
      <c r="C1897" s="72"/>
      <c r="D1897" s="73" t="s">
        <v>31</v>
      </c>
      <c r="E1897" s="74"/>
      <c r="F1897" s="75">
        <f>F1894+F1895+F1896</f>
        <v>19.631</v>
      </c>
    </row>
    <row r="1898" spans="1:6" x14ac:dyDescent="0.2">
      <c r="A1898" s="71"/>
      <c r="B1898" s="62"/>
      <c r="C1898" s="72"/>
      <c r="D1898" s="76" t="s">
        <v>32</v>
      </c>
      <c r="E1898" s="77"/>
      <c r="F1898" s="78">
        <f>F1897*E1898</f>
        <v>0</v>
      </c>
    </row>
    <row r="1899" spans="1:6" x14ac:dyDescent="0.2">
      <c r="A1899" s="71"/>
      <c r="B1899" s="62"/>
      <c r="C1899" s="72"/>
      <c r="D1899" s="73" t="s">
        <v>33</v>
      </c>
      <c r="E1899" s="74"/>
      <c r="F1899" s="78">
        <f>SUM(F1897:F1898)</f>
        <v>19.631</v>
      </c>
    </row>
    <row r="1900" spans="1:6" x14ac:dyDescent="0.2">
      <c r="A1900" s="79"/>
      <c r="B1900" s="76"/>
      <c r="C1900" s="73"/>
      <c r="D1900" s="80" t="s">
        <v>34</v>
      </c>
      <c r="E1900" s="81"/>
      <c r="F1900" s="82">
        <f>F1899</f>
        <v>19.631</v>
      </c>
    </row>
    <row r="1901" spans="1:6" x14ac:dyDescent="0.2">
      <c r="A1901" s="79"/>
      <c r="B1901" s="76"/>
      <c r="C1901" s="73"/>
      <c r="D1901" s="83"/>
      <c r="E1901" s="84"/>
      <c r="F1901" s="85"/>
    </row>
    <row r="1902" spans="1:6" x14ac:dyDescent="0.2">
      <c r="A1902" s="746" t="s">
        <v>35</v>
      </c>
      <c r="B1902" s="747"/>
      <c r="C1902" s="747"/>
      <c r="D1902" s="747"/>
      <c r="E1902" s="747"/>
      <c r="F1902" s="748"/>
    </row>
    <row r="1903" spans="1:6" x14ac:dyDescent="0.2">
      <c r="A1903" s="64" t="s">
        <v>8</v>
      </c>
      <c r="B1903" s="64" t="s">
        <v>26</v>
      </c>
      <c r="C1903" s="64" t="s">
        <v>27</v>
      </c>
      <c r="D1903" s="64" t="s">
        <v>28</v>
      </c>
      <c r="E1903" s="64" t="s">
        <v>29</v>
      </c>
      <c r="F1903" s="64" t="s">
        <v>30</v>
      </c>
    </row>
    <row r="1904" spans="1:6" x14ac:dyDescent="0.2">
      <c r="A1904" s="624" t="s">
        <v>12047</v>
      </c>
      <c r="B1904" s="632" t="s">
        <v>12034</v>
      </c>
      <c r="C1904" s="633" t="s">
        <v>10884</v>
      </c>
      <c r="D1904" s="639">
        <v>1</v>
      </c>
      <c r="E1904" s="640">
        <v>179.95666666666668</v>
      </c>
      <c r="F1904" s="174">
        <f>D1904*E1904</f>
        <v>179.95666666666668</v>
      </c>
    </row>
    <row r="1905" spans="1:6" x14ac:dyDescent="0.2">
      <c r="A1905" s="624"/>
      <c r="B1905" s="628"/>
      <c r="C1905" s="683"/>
      <c r="D1905" s="684"/>
      <c r="E1905" s="681"/>
      <c r="F1905" s="174"/>
    </row>
    <row r="1906" spans="1:6" x14ac:dyDescent="0.2">
      <c r="A1906" s="65"/>
      <c r="B1906" s="66"/>
      <c r="C1906" s="67"/>
      <c r="D1906" s="155"/>
      <c r="E1906" s="174"/>
      <c r="F1906" s="174"/>
    </row>
    <row r="1907" spans="1:6" x14ac:dyDescent="0.2">
      <c r="A1907" s="79"/>
      <c r="B1907" s="76"/>
      <c r="C1907" s="73"/>
      <c r="D1907" s="80" t="s">
        <v>36</v>
      </c>
      <c r="E1907" s="81"/>
      <c r="F1907" s="101">
        <f>SUM(F1904:F1906)</f>
        <v>179.95666666666668</v>
      </c>
    </row>
    <row r="1908" spans="1:6" x14ac:dyDescent="0.2">
      <c r="A1908" s="79"/>
      <c r="B1908" s="76"/>
      <c r="C1908" s="73"/>
      <c r="D1908" s="83"/>
      <c r="E1908" s="84"/>
      <c r="F1908" s="85"/>
    </row>
    <row r="1909" spans="1:6" x14ac:dyDescent="0.2">
      <c r="A1909" s="746" t="s">
        <v>37</v>
      </c>
      <c r="B1909" s="747"/>
      <c r="C1909" s="747"/>
      <c r="D1909" s="747"/>
      <c r="E1909" s="747"/>
      <c r="F1909" s="748"/>
    </row>
    <row r="1910" spans="1:6" x14ac:dyDescent="0.2">
      <c r="A1910" s="64" t="s">
        <v>8</v>
      </c>
      <c r="B1910" s="64" t="s">
        <v>26</v>
      </c>
      <c r="C1910" s="64" t="s">
        <v>27</v>
      </c>
      <c r="D1910" s="64" t="s">
        <v>28</v>
      </c>
      <c r="E1910" s="64" t="s">
        <v>29</v>
      </c>
      <c r="F1910" s="64" t="s">
        <v>30</v>
      </c>
    </row>
    <row r="1911" spans="1:6" x14ac:dyDescent="0.2">
      <c r="A1911" s="65"/>
      <c r="B1911" s="66"/>
      <c r="C1911" s="88"/>
      <c r="D1911" s="89"/>
      <c r="E1911" s="173"/>
      <c r="F1911" s="174"/>
    </row>
    <row r="1912" spans="1:6" x14ac:dyDescent="0.2">
      <c r="A1912" s="92"/>
      <c r="B1912" s="87"/>
      <c r="C1912" s="88"/>
      <c r="D1912" s="103"/>
      <c r="E1912" s="94"/>
      <c r="F1912" s="100"/>
    </row>
    <row r="1913" spans="1:6" x14ac:dyDescent="0.2">
      <c r="A1913" s="95"/>
      <c r="B1913" s="96"/>
      <c r="C1913" s="97"/>
      <c r="D1913" s="98"/>
      <c r="E1913" s="99"/>
      <c r="F1913" s="104"/>
    </row>
    <row r="1914" spans="1:6" x14ac:dyDescent="0.2">
      <c r="A1914" s="79"/>
      <c r="B1914" s="76"/>
      <c r="C1914" s="73"/>
      <c r="D1914" s="80" t="s">
        <v>38</v>
      </c>
      <c r="E1914" s="81"/>
      <c r="F1914" s="101">
        <f>ROUND(SUM(F1911:F1911),2)</f>
        <v>0</v>
      </c>
    </row>
    <row r="1915" spans="1:6" x14ac:dyDescent="0.2">
      <c r="A1915" s="79"/>
      <c r="B1915" s="76"/>
      <c r="C1915" s="73"/>
      <c r="D1915" s="83"/>
      <c r="E1915" s="84"/>
      <c r="F1915" s="85"/>
    </row>
    <row r="1916" spans="1:6" x14ac:dyDescent="0.2">
      <c r="A1916" s="749" t="s">
        <v>39</v>
      </c>
      <c r="B1916" s="750"/>
      <c r="C1916" s="750"/>
      <c r="D1916" s="750"/>
      <c r="E1916" s="751"/>
      <c r="F1916" s="105">
        <f>ROUND(F1900+F1907+F1914,2)</f>
        <v>199.59</v>
      </c>
    </row>
    <row r="1917" spans="1:6" ht="15.75" x14ac:dyDescent="0.2">
      <c r="A1917" s="587" t="s">
        <v>8</v>
      </c>
      <c r="B1917" s="743" t="s">
        <v>23</v>
      </c>
      <c r="C1917" s="743"/>
      <c r="D1917" s="743"/>
      <c r="E1917" s="743"/>
      <c r="F1917" s="588" t="s">
        <v>24</v>
      </c>
    </row>
    <row r="1918" spans="1:6" ht="15" customHeight="1" x14ac:dyDescent="0.2">
      <c r="A1918" s="63" t="s">
        <v>13824</v>
      </c>
      <c r="B1918" s="744" t="str">
        <f>PO!D411</f>
        <v>Guia organizadora p/ Rack 19"  - fornecimento e instalação.</v>
      </c>
      <c r="C1918" s="744"/>
      <c r="D1918" s="744"/>
      <c r="E1918" s="744"/>
      <c r="F1918" s="107" t="str">
        <f>PO!E411</f>
        <v>unid.</v>
      </c>
    </row>
    <row r="1919" spans="1:6" x14ac:dyDescent="0.2">
      <c r="A1919" s="745" t="s">
        <v>25</v>
      </c>
      <c r="B1919" s="745"/>
      <c r="C1919" s="745"/>
      <c r="D1919" s="745"/>
      <c r="E1919" s="745"/>
      <c r="F1919" s="745"/>
    </row>
    <row r="1920" spans="1:6" x14ac:dyDescent="0.2">
      <c r="A1920" s="64" t="s">
        <v>8</v>
      </c>
      <c r="B1920" s="64" t="s">
        <v>26</v>
      </c>
      <c r="C1920" s="64" t="s">
        <v>27</v>
      </c>
      <c r="D1920" s="64" t="s">
        <v>28</v>
      </c>
      <c r="E1920" s="64" t="s">
        <v>29</v>
      </c>
      <c r="F1920" s="64" t="s">
        <v>30</v>
      </c>
    </row>
    <row r="1921" spans="1:6" x14ac:dyDescent="0.2">
      <c r="A1921" s="65">
        <v>88247</v>
      </c>
      <c r="B1921" s="66" t="s">
        <v>11875</v>
      </c>
      <c r="C1921" s="67" t="s">
        <v>10945</v>
      </c>
      <c r="D1921" s="155">
        <v>0.25</v>
      </c>
      <c r="E1921" s="174">
        <v>16.25</v>
      </c>
      <c r="F1921" s="174">
        <f>D1921*E1921</f>
        <v>4.0625</v>
      </c>
    </row>
    <row r="1922" spans="1:6" x14ac:dyDescent="0.2">
      <c r="A1922" s="65">
        <v>88264</v>
      </c>
      <c r="B1922" s="66" t="s">
        <v>10976</v>
      </c>
      <c r="C1922" s="67" t="s">
        <v>10945</v>
      </c>
      <c r="D1922" s="155">
        <v>0.1</v>
      </c>
      <c r="E1922" s="174">
        <v>21.08</v>
      </c>
      <c r="F1922" s="174">
        <f>D1922*E1922</f>
        <v>2.1080000000000001</v>
      </c>
    </row>
    <row r="1923" spans="1:6" x14ac:dyDescent="0.2">
      <c r="A1923" s="65"/>
      <c r="B1923" s="66"/>
      <c r="C1923" s="67"/>
      <c r="D1923" s="155"/>
      <c r="E1923" s="99"/>
      <c r="F1923" s="100"/>
    </row>
    <row r="1924" spans="1:6" x14ac:dyDescent="0.2">
      <c r="A1924" s="71"/>
      <c r="B1924" s="62"/>
      <c r="C1924" s="72"/>
      <c r="D1924" s="73" t="s">
        <v>31</v>
      </c>
      <c r="E1924" s="74"/>
      <c r="F1924" s="75">
        <f>F1921+F1922+F1923</f>
        <v>6.1705000000000005</v>
      </c>
    </row>
    <row r="1925" spans="1:6" x14ac:dyDescent="0.2">
      <c r="A1925" s="71"/>
      <c r="B1925" s="62"/>
      <c r="C1925" s="72"/>
      <c r="D1925" s="76" t="s">
        <v>32</v>
      </c>
      <c r="E1925" s="77"/>
      <c r="F1925" s="78">
        <f>F1924*E1925</f>
        <v>0</v>
      </c>
    </row>
    <row r="1926" spans="1:6" x14ac:dyDescent="0.2">
      <c r="A1926" s="71"/>
      <c r="B1926" s="62"/>
      <c r="C1926" s="72"/>
      <c r="D1926" s="73" t="s">
        <v>33</v>
      </c>
      <c r="E1926" s="74"/>
      <c r="F1926" s="78">
        <f>SUM(F1924:F1925)</f>
        <v>6.1705000000000005</v>
      </c>
    </row>
    <row r="1927" spans="1:6" x14ac:dyDescent="0.2">
      <c r="A1927" s="79"/>
      <c r="B1927" s="76"/>
      <c r="C1927" s="73"/>
      <c r="D1927" s="80" t="s">
        <v>34</v>
      </c>
      <c r="E1927" s="81"/>
      <c r="F1927" s="82">
        <f>F1926</f>
        <v>6.1705000000000005</v>
      </c>
    </row>
    <row r="1928" spans="1:6" x14ac:dyDescent="0.2">
      <c r="A1928" s="79"/>
      <c r="B1928" s="76"/>
      <c r="C1928" s="73"/>
      <c r="D1928" s="83"/>
      <c r="E1928" s="84"/>
      <c r="F1928" s="85"/>
    </row>
    <row r="1929" spans="1:6" x14ac:dyDescent="0.2">
      <c r="A1929" s="746" t="s">
        <v>35</v>
      </c>
      <c r="B1929" s="747"/>
      <c r="C1929" s="747"/>
      <c r="D1929" s="747"/>
      <c r="E1929" s="747"/>
      <c r="F1929" s="748"/>
    </row>
    <row r="1930" spans="1:6" x14ac:dyDescent="0.2">
      <c r="A1930" s="64" t="s">
        <v>8</v>
      </c>
      <c r="B1930" s="64" t="s">
        <v>26</v>
      </c>
      <c r="C1930" s="64" t="s">
        <v>27</v>
      </c>
      <c r="D1930" s="64" t="s">
        <v>28</v>
      </c>
      <c r="E1930" s="64" t="s">
        <v>29</v>
      </c>
      <c r="F1930" s="64" t="s">
        <v>30</v>
      </c>
    </row>
    <row r="1931" spans="1:6" x14ac:dyDescent="0.2">
      <c r="A1931" s="624" t="s">
        <v>12048</v>
      </c>
      <c r="B1931" s="632" t="s">
        <v>12036</v>
      </c>
      <c r="C1931" s="633" t="s">
        <v>10884</v>
      </c>
      <c r="D1931" s="639">
        <v>1</v>
      </c>
      <c r="E1931" s="173">
        <v>19.796666666666667</v>
      </c>
      <c r="F1931" s="174">
        <f>D1931*E1931</f>
        <v>19.796666666666667</v>
      </c>
    </row>
    <row r="1932" spans="1:6" x14ac:dyDescent="0.2">
      <c r="A1932" s="624"/>
      <c r="B1932" s="628"/>
      <c r="C1932" s="683"/>
      <c r="D1932" s="684"/>
      <c r="E1932" s="174"/>
      <c r="F1932" s="174"/>
    </row>
    <row r="1933" spans="1:6" x14ac:dyDescent="0.2">
      <c r="A1933" s="65"/>
      <c r="B1933" s="66"/>
      <c r="C1933" s="67"/>
      <c r="D1933" s="155"/>
      <c r="E1933" s="174"/>
      <c r="F1933" s="174"/>
    </row>
    <row r="1934" spans="1:6" x14ac:dyDescent="0.2">
      <c r="A1934" s="79"/>
      <c r="B1934" s="76"/>
      <c r="C1934" s="73"/>
      <c r="D1934" s="80" t="s">
        <v>36</v>
      </c>
      <c r="E1934" s="81"/>
      <c r="F1934" s="101">
        <f>SUM(F1931:F1933)</f>
        <v>19.796666666666667</v>
      </c>
    </row>
    <row r="1935" spans="1:6" x14ac:dyDescent="0.2">
      <c r="A1935" s="79"/>
      <c r="B1935" s="76"/>
      <c r="C1935" s="73"/>
      <c r="D1935" s="83"/>
      <c r="E1935" s="84"/>
      <c r="F1935" s="85"/>
    </row>
    <row r="1936" spans="1:6" x14ac:dyDescent="0.2">
      <c r="A1936" s="746" t="s">
        <v>37</v>
      </c>
      <c r="B1936" s="747"/>
      <c r="C1936" s="747"/>
      <c r="D1936" s="747"/>
      <c r="E1936" s="747"/>
      <c r="F1936" s="748"/>
    </row>
    <row r="1937" spans="1:6" x14ac:dyDescent="0.2">
      <c r="A1937" s="64" t="s">
        <v>8</v>
      </c>
      <c r="B1937" s="64" t="s">
        <v>26</v>
      </c>
      <c r="C1937" s="64" t="s">
        <v>27</v>
      </c>
      <c r="D1937" s="64" t="s">
        <v>28</v>
      </c>
      <c r="E1937" s="64" t="s">
        <v>29</v>
      </c>
      <c r="F1937" s="64" t="s">
        <v>30</v>
      </c>
    </row>
    <row r="1938" spans="1:6" x14ac:dyDescent="0.2">
      <c r="A1938" s="65"/>
      <c r="B1938" s="66"/>
      <c r="C1938" s="88"/>
      <c r="D1938" s="89"/>
      <c r="E1938" s="173"/>
      <c r="F1938" s="174"/>
    </row>
    <row r="1939" spans="1:6" x14ac:dyDescent="0.2">
      <c r="A1939" s="92"/>
      <c r="B1939" s="87"/>
      <c r="C1939" s="88"/>
      <c r="D1939" s="103"/>
      <c r="E1939" s="94"/>
      <c r="F1939" s="100"/>
    </row>
    <row r="1940" spans="1:6" x14ac:dyDescent="0.2">
      <c r="A1940" s="95"/>
      <c r="B1940" s="96"/>
      <c r="C1940" s="97"/>
      <c r="D1940" s="98"/>
      <c r="E1940" s="99"/>
      <c r="F1940" s="104"/>
    </row>
    <row r="1941" spans="1:6" x14ac:dyDescent="0.2">
      <c r="A1941" s="79"/>
      <c r="B1941" s="76"/>
      <c r="C1941" s="73"/>
      <c r="D1941" s="80" t="s">
        <v>38</v>
      </c>
      <c r="E1941" s="81"/>
      <c r="F1941" s="101">
        <f>ROUND(SUM(F1938:F1938),2)</f>
        <v>0</v>
      </c>
    </row>
    <row r="1942" spans="1:6" x14ac:dyDescent="0.2">
      <c r="A1942" s="79"/>
      <c r="B1942" s="76"/>
      <c r="C1942" s="73"/>
      <c r="D1942" s="83"/>
      <c r="E1942" s="84"/>
      <c r="F1942" s="85"/>
    </row>
    <row r="1943" spans="1:6" x14ac:dyDescent="0.2">
      <c r="A1943" s="749" t="s">
        <v>39</v>
      </c>
      <c r="B1943" s="750"/>
      <c r="C1943" s="750"/>
      <c r="D1943" s="750"/>
      <c r="E1943" s="751"/>
      <c r="F1943" s="105">
        <f>ROUND(F1927+F1934+F1941,2)</f>
        <v>25.97</v>
      </c>
    </row>
    <row r="1944" spans="1:6" ht="15.75" x14ac:dyDescent="0.2">
      <c r="A1944" s="587" t="s">
        <v>8</v>
      </c>
      <c r="B1944" s="743" t="s">
        <v>23</v>
      </c>
      <c r="C1944" s="743"/>
      <c r="D1944" s="743"/>
      <c r="E1944" s="743"/>
      <c r="F1944" s="588" t="s">
        <v>24</v>
      </c>
    </row>
    <row r="1945" spans="1:6" ht="15" customHeight="1" x14ac:dyDescent="0.2">
      <c r="A1945" s="63" t="s">
        <v>13825</v>
      </c>
      <c r="B1945" s="744" t="str">
        <f>PO!D412</f>
        <v>Quadro de Telefonia 60x60 - embutir - fornecimento e instalação.</v>
      </c>
      <c r="C1945" s="744"/>
      <c r="D1945" s="744"/>
      <c r="E1945" s="744"/>
      <c r="F1945" s="107" t="str">
        <f>PO!E412</f>
        <v>unid.</v>
      </c>
    </row>
    <row r="1946" spans="1:6" x14ac:dyDescent="0.2">
      <c r="A1946" s="745" t="s">
        <v>25</v>
      </c>
      <c r="B1946" s="745"/>
      <c r="C1946" s="745"/>
      <c r="D1946" s="745"/>
      <c r="E1946" s="745"/>
      <c r="F1946" s="745"/>
    </row>
    <row r="1947" spans="1:6" x14ac:dyDescent="0.2">
      <c r="A1947" s="64" t="s">
        <v>8</v>
      </c>
      <c r="B1947" s="64" t="s">
        <v>26</v>
      </c>
      <c r="C1947" s="64" t="s">
        <v>27</v>
      </c>
      <c r="D1947" s="64" t="s">
        <v>28</v>
      </c>
      <c r="E1947" s="64" t="s">
        <v>29</v>
      </c>
      <c r="F1947" s="64" t="s">
        <v>30</v>
      </c>
    </row>
    <row r="1948" spans="1:6" x14ac:dyDescent="0.2">
      <c r="A1948" s="65">
        <v>88247</v>
      </c>
      <c r="B1948" s="66" t="s">
        <v>11875</v>
      </c>
      <c r="C1948" s="67" t="s">
        <v>10945</v>
      </c>
      <c r="D1948" s="155">
        <v>2</v>
      </c>
      <c r="E1948" s="615">
        <v>16.25</v>
      </c>
      <c r="F1948" s="622">
        <f>D1948*E1948</f>
        <v>32.5</v>
      </c>
    </row>
    <row r="1949" spans="1:6" x14ac:dyDescent="0.2">
      <c r="A1949" s="65">
        <v>88264</v>
      </c>
      <c r="B1949" s="66" t="s">
        <v>10976</v>
      </c>
      <c r="C1949" s="67" t="s">
        <v>10945</v>
      </c>
      <c r="D1949" s="155">
        <v>2</v>
      </c>
      <c r="E1949" s="615">
        <v>21.08</v>
      </c>
      <c r="F1949" s="616">
        <f>D1949*E1949</f>
        <v>42.16</v>
      </c>
    </row>
    <row r="1950" spans="1:6" x14ac:dyDescent="0.2">
      <c r="A1950" s="65">
        <v>88309</v>
      </c>
      <c r="B1950" s="66" t="s">
        <v>5390</v>
      </c>
      <c r="C1950" s="67" t="s">
        <v>43</v>
      </c>
      <c r="D1950" s="155">
        <v>0.5</v>
      </c>
      <c r="E1950" s="617">
        <v>20.43</v>
      </c>
      <c r="F1950" s="616">
        <f t="shared" ref="F1950:F1951" si="44">D1950*E1950</f>
        <v>10.215</v>
      </c>
    </row>
    <row r="1951" spans="1:6" x14ac:dyDescent="0.2">
      <c r="A1951" s="65">
        <v>88316</v>
      </c>
      <c r="B1951" s="66" t="s">
        <v>5397</v>
      </c>
      <c r="C1951" s="67" t="s">
        <v>43</v>
      </c>
      <c r="D1951" s="155">
        <v>0.5</v>
      </c>
      <c r="E1951" s="617">
        <v>16.940000000000001</v>
      </c>
      <c r="F1951" s="616">
        <f t="shared" si="44"/>
        <v>8.4700000000000006</v>
      </c>
    </row>
    <row r="1952" spans="1:6" x14ac:dyDescent="0.2">
      <c r="A1952" s="71"/>
      <c r="B1952" s="62"/>
      <c r="C1952" s="72"/>
      <c r="D1952" s="73" t="s">
        <v>31</v>
      </c>
      <c r="E1952" s="74"/>
      <c r="F1952" s="75">
        <f>F1948+F1949+F1951</f>
        <v>83.13</v>
      </c>
    </row>
    <row r="1953" spans="1:6" x14ac:dyDescent="0.2">
      <c r="A1953" s="71"/>
      <c r="B1953" s="62"/>
      <c r="C1953" s="72"/>
      <c r="D1953" s="76" t="s">
        <v>32</v>
      </c>
      <c r="E1953" s="77"/>
      <c r="F1953" s="78">
        <f>F1952*E1953</f>
        <v>0</v>
      </c>
    </row>
    <row r="1954" spans="1:6" x14ac:dyDescent="0.2">
      <c r="A1954" s="71"/>
      <c r="B1954" s="62"/>
      <c r="C1954" s="72"/>
      <c r="D1954" s="73" t="s">
        <v>33</v>
      </c>
      <c r="E1954" s="74"/>
      <c r="F1954" s="78">
        <f>SUM(F1952:F1953)</f>
        <v>83.13</v>
      </c>
    </row>
    <row r="1955" spans="1:6" x14ac:dyDescent="0.2">
      <c r="A1955" s="79"/>
      <c r="B1955" s="76"/>
      <c r="C1955" s="73"/>
      <c r="D1955" s="80" t="s">
        <v>34</v>
      </c>
      <c r="E1955" s="81"/>
      <c r="F1955" s="82">
        <f>F1954</f>
        <v>83.13</v>
      </c>
    </row>
    <row r="1956" spans="1:6" x14ac:dyDescent="0.2">
      <c r="A1956" s="79"/>
      <c r="B1956" s="76"/>
      <c r="C1956" s="73"/>
      <c r="D1956" s="83"/>
      <c r="E1956" s="84"/>
      <c r="F1956" s="85"/>
    </row>
    <row r="1957" spans="1:6" x14ac:dyDescent="0.2">
      <c r="A1957" s="746" t="s">
        <v>35</v>
      </c>
      <c r="B1957" s="747"/>
      <c r="C1957" s="747"/>
      <c r="D1957" s="747"/>
      <c r="E1957" s="747"/>
      <c r="F1957" s="748"/>
    </row>
    <row r="1958" spans="1:6" x14ac:dyDescent="0.2">
      <c r="A1958" s="64" t="s">
        <v>8</v>
      </c>
      <c r="B1958" s="64" t="s">
        <v>26</v>
      </c>
      <c r="C1958" s="64" t="s">
        <v>27</v>
      </c>
      <c r="D1958" s="64" t="s">
        <v>28</v>
      </c>
      <c r="E1958" s="64" t="s">
        <v>29</v>
      </c>
      <c r="F1958" s="64" t="s">
        <v>30</v>
      </c>
    </row>
    <row r="1959" spans="1:6" x14ac:dyDescent="0.2">
      <c r="A1959" s="624"/>
      <c r="B1959" s="632"/>
      <c r="C1959" s="633"/>
      <c r="D1959" s="639"/>
      <c r="E1959" s="640"/>
      <c r="F1959" s="174"/>
    </row>
    <row r="1960" spans="1:6" ht="33.75" x14ac:dyDescent="0.2">
      <c r="A1960" s="65">
        <v>11253</v>
      </c>
      <c r="B1960" s="216" t="s">
        <v>13826</v>
      </c>
      <c r="C1960" s="113" t="s">
        <v>11771</v>
      </c>
      <c r="D1960" s="265">
        <v>1</v>
      </c>
      <c r="E1960" s="615">
        <v>154.94</v>
      </c>
      <c r="F1960" s="174">
        <f>D1960*E1960</f>
        <v>154.94</v>
      </c>
    </row>
    <row r="1961" spans="1:6" x14ac:dyDescent="0.2">
      <c r="A1961" s="65"/>
      <c r="B1961" s="66"/>
      <c r="C1961" s="67"/>
      <c r="D1961" s="155"/>
      <c r="E1961" s="615"/>
      <c r="F1961" s="616"/>
    </row>
    <row r="1962" spans="1:6" x14ac:dyDescent="0.2">
      <c r="A1962" s="79"/>
      <c r="B1962" s="76"/>
      <c r="C1962" s="73"/>
      <c r="D1962" s="80" t="s">
        <v>36</v>
      </c>
      <c r="E1962" s="81"/>
      <c r="F1962" s="101">
        <f>SUM(F1959:F1961)</f>
        <v>154.94</v>
      </c>
    </row>
    <row r="1963" spans="1:6" x14ac:dyDescent="0.2">
      <c r="A1963" s="79"/>
      <c r="B1963" s="76"/>
      <c r="C1963" s="73"/>
      <c r="D1963" s="83"/>
      <c r="E1963" s="84"/>
      <c r="F1963" s="85"/>
    </row>
    <row r="1964" spans="1:6" x14ac:dyDescent="0.2">
      <c r="A1964" s="746" t="s">
        <v>37</v>
      </c>
      <c r="B1964" s="747"/>
      <c r="C1964" s="747"/>
      <c r="D1964" s="747"/>
      <c r="E1964" s="747"/>
      <c r="F1964" s="748"/>
    </row>
    <row r="1965" spans="1:6" x14ac:dyDescent="0.2">
      <c r="A1965" s="64" t="s">
        <v>8</v>
      </c>
      <c r="B1965" s="64" t="s">
        <v>26</v>
      </c>
      <c r="C1965" s="64" t="s">
        <v>27</v>
      </c>
      <c r="D1965" s="64" t="s">
        <v>28</v>
      </c>
      <c r="E1965" s="64" t="s">
        <v>29</v>
      </c>
      <c r="F1965" s="64" t="s">
        <v>30</v>
      </c>
    </row>
    <row r="1966" spans="1:6" x14ac:dyDescent="0.2">
      <c r="A1966" s="65"/>
      <c r="B1966" s="66"/>
      <c r="C1966" s="88"/>
      <c r="D1966" s="89"/>
      <c r="E1966" s="173"/>
      <c r="F1966" s="174"/>
    </row>
    <row r="1967" spans="1:6" ht="33.75" x14ac:dyDescent="0.2">
      <c r="A1967" s="65">
        <v>87367</v>
      </c>
      <c r="B1967" s="87" t="s">
        <v>11469</v>
      </c>
      <c r="C1967" s="88" t="s">
        <v>13808</v>
      </c>
      <c r="D1967" s="103">
        <v>4.0000000000000001E-3</v>
      </c>
      <c r="E1967" s="94">
        <v>556.30999999999995</v>
      </c>
      <c r="F1967" s="174">
        <f>D1967*E1967</f>
        <v>2.2252399999999999</v>
      </c>
    </row>
    <row r="1968" spans="1:6" x14ac:dyDescent="0.2">
      <c r="A1968" s="95"/>
      <c r="B1968" s="96"/>
      <c r="C1968" s="97"/>
      <c r="D1968" s="98"/>
      <c r="E1968" s="99"/>
      <c r="F1968" s="104"/>
    </row>
    <row r="1969" spans="1:6" x14ac:dyDescent="0.2">
      <c r="A1969" s="79"/>
      <c r="B1969" s="76"/>
      <c r="C1969" s="73"/>
      <c r="D1969" s="80" t="s">
        <v>38</v>
      </c>
      <c r="E1969" s="81"/>
      <c r="F1969" s="101">
        <f>ROUND(SUM(F1966:F1966),2)</f>
        <v>0</v>
      </c>
    </row>
    <row r="1970" spans="1:6" x14ac:dyDescent="0.2">
      <c r="A1970" s="79"/>
      <c r="B1970" s="76"/>
      <c r="C1970" s="73"/>
      <c r="D1970" s="83"/>
      <c r="E1970" s="84"/>
      <c r="F1970" s="85"/>
    </row>
    <row r="1971" spans="1:6" x14ac:dyDescent="0.2">
      <c r="A1971" s="749" t="s">
        <v>39</v>
      </c>
      <c r="B1971" s="750"/>
      <c r="C1971" s="750"/>
      <c r="D1971" s="750"/>
      <c r="E1971" s="751"/>
      <c r="F1971" s="105">
        <f>ROUND(F1955+F1962+F1969,2)</f>
        <v>238.07</v>
      </c>
    </row>
    <row r="1972" spans="1:6" ht="15.75" x14ac:dyDescent="0.2">
      <c r="A1972" s="587" t="s">
        <v>8</v>
      </c>
      <c r="B1972" s="743" t="s">
        <v>23</v>
      </c>
      <c r="C1972" s="743"/>
      <c r="D1972" s="743"/>
      <c r="E1972" s="743"/>
      <c r="F1972" s="588" t="s">
        <v>24</v>
      </c>
    </row>
    <row r="1973" spans="1:6" ht="15" customHeight="1" x14ac:dyDescent="0.2">
      <c r="A1973" s="63" t="s">
        <v>13827</v>
      </c>
      <c r="B1973" s="744" t="str">
        <f>PO!D413</f>
        <v>Bloco de conexão rápida - fornecimento e instalação.</v>
      </c>
      <c r="C1973" s="744"/>
      <c r="D1973" s="744"/>
      <c r="E1973" s="744"/>
      <c r="F1973" s="107" t="str">
        <f>PO!E413</f>
        <v>unid.</v>
      </c>
    </row>
    <row r="1974" spans="1:6" x14ac:dyDescent="0.2">
      <c r="A1974" s="745" t="s">
        <v>25</v>
      </c>
      <c r="B1974" s="745"/>
      <c r="C1974" s="745"/>
      <c r="D1974" s="745"/>
      <c r="E1974" s="745"/>
      <c r="F1974" s="745"/>
    </row>
    <row r="1975" spans="1:6" x14ac:dyDescent="0.2">
      <c r="A1975" s="64" t="s">
        <v>8</v>
      </c>
      <c r="B1975" s="64" t="s">
        <v>26</v>
      </c>
      <c r="C1975" s="64" t="s">
        <v>27</v>
      </c>
      <c r="D1975" s="64" t="s">
        <v>28</v>
      </c>
      <c r="E1975" s="64" t="s">
        <v>29</v>
      </c>
      <c r="F1975" s="64" t="s">
        <v>30</v>
      </c>
    </row>
    <row r="1976" spans="1:6" x14ac:dyDescent="0.2">
      <c r="A1976" s="65">
        <v>88247</v>
      </c>
      <c r="B1976" s="66" t="s">
        <v>11875</v>
      </c>
      <c r="C1976" s="67" t="s">
        <v>10945</v>
      </c>
      <c r="D1976" s="155">
        <v>1</v>
      </c>
      <c r="E1976" s="174">
        <v>16.25</v>
      </c>
      <c r="F1976" s="174">
        <f>D1976*E1976</f>
        <v>16.25</v>
      </c>
    </row>
    <row r="1977" spans="1:6" x14ac:dyDescent="0.2">
      <c r="A1977" s="65">
        <v>88264</v>
      </c>
      <c r="B1977" s="66" t="s">
        <v>10976</v>
      </c>
      <c r="C1977" s="67" t="s">
        <v>10945</v>
      </c>
      <c r="D1977" s="155">
        <v>1.3</v>
      </c>
      <c r="E1977" s="174">
        <v>21.08</v>
      </c>
      <c r="F1977" s="174">
        <f>D1977*E1977</f>
        <v>27.404</v>
      </c>
    </row>
    <row r="1978" spans="1:6" x14ac:dyDescent="0.2">
      <c r="A1978" s="65"/>
      <c r="B1978" s="66"/>
      <c r="C1978" s="67"/>
      <c r="D1978" s="155"/>
      <c r="E1978" s="99"/>
      <c r="F1978" s="100"/>
    </row>
    <row r="1979" spans="1:6" x14ac:dyDescent="0.2">
      <c r="A1979" s="71"/>
      <c r="B1979" s="62"/>
      <c r="C1979" s="72"/>
      <c r="D1979" s="73" t="s">
        <v>31</v>
      </c>
      <c r="E1979" s="74"/>
      <c r="F1979" s="75">
        <f>F1976+F1977+F1978</f>
        <v>43.653999999999996</v>
      </c>
    </row>
    <row r="1980" spans="1:6" x14ac:dyDescent="0.2">
      <c r="A1980" s="71"/>
      <c r="B1980" s="62"/>
      <c r="C1980" s="72"/>
      <c r="D1980" s="76" t="s">
        <v>32</v>
      </c>
      <c r="E1980" s="77"/>
      <c r="F1980" s="78">
        <f>F1979*E1980</f>
        <v>0</v>
      </c>
    </row>
    <row r="1981" spans="1:6" x14ac:dyDescent="0.2">
      <c r="A1981" s="71"/>
      <c r="B1981" s="62"/>
      <c r="C1981" s="72"/>
      <c r="D1981" s="73" t="s">
        <v>33</v>
      </c>
      <c r="E1981" s="74"/>
      <c r="F1981" s="78">
        <f>SUM(F1979:F1980)</f>
        <v>43.653999999999996</v>
      </c>
    </row>
    <row r="1982" spans="1:6" x14ac:dyDescent="0.2">
      <c r="A1982" s="79"/>
      <c r="B1982" s="76"/>
      <c r="C1982" s="73"/>
      <c r="D1982" s="80" t="s">
        <v>34</v>
      </c>
      <c r="E1982" s="81"/>
      <c r="F1982" s="82">
        <f>F1981</f>
        <v>43.653999999999996</v>
      </c>
    </row>
    <row r="1983" spans="1:6" x14ac:dyDescent="0.2">
      <c r="A1983" s="79"/>
      <c r="B1983" s="76"/>
      <c r="C1983" s="73"/>
      <c r="D1983" s="83"/>
      <c r="E1983" s="84"/>
      <c r="F1983" s="85"/>
    </row>
    <row r="1984" spans="1:6" x14ac:dyDescent="0.2">
      <c r="A1984" s="746" t="s">
        <v>35</v>
      </c>
      <c r="B1984" s="747"/>
      <c r="C1984" s="747"/>
      <c r="D1984" s="747"/>
      <c r="E1984" s="747"/>
      <c r="F1984" s="748"/>
    </row>
    <row r="1985" spans="1:6" x14ac:dyDescent="0.2">
      <c r="A1985" s="64" t="s">
        <v>8</v>
      </c>
      <c r="B1985" s="64" t="s">
        <v>26</v>
      </c>
      <c r="C1985" s="64" t="s">
        <v>27</v>
      </c>
      <c r="D1985" s="64" t="s">
        <v>28</v>
      </c>
      <c r="E1985" s="64" t="s">
        <v>29</v>
      </c>
      <c r="F1985" s="64" t="s">
        <v>30</v>
      </c>
    </row>
    <row r="1986" spans="1:6" x14ac:dyDescent="0.2">
      <c r="A1986" s="624" t="s">
        <v>12052</v>
      </c>
      <c r="B1986" s="632" t="s">
        <v>12051</v>
      </c>
      <c r="C1986" s="633" t="s">
        <v>10884</v>
      </c>
      <c r="D1986" s="639">
        <v>1</v>
      </c>
      <c r="E1986" s="640">
        <v>75.483333333333334</v>
      </c>
      <c r="F1986" s="174">
        <f>D1986*E1986</f>
        <v>75.483333333333334</v>
      </c>
    </row>
    <row r="1987" spans="1:6" x14ac:dyDescent="0.2">
      <c r="A1987" s="624"/>
      <c r="B1987" s="628"/>
      <c r="C1987" s="683"/>
      <c r="D1987" s="684"/>
      <c r="E1987" s="681"/>
      <c r="F1987" s="174"/>
    </row>
    <row r="1988" spans="1:6" x14ac:dyDescent="0.2">
      <c r="A1988" s="65"/>
      <c r="B1988" s="66"/>
      <c r="C1988" s="67"/>
      <c r="D1988" s="155"/>
      <c r="E1988" s="174"/>
      <c r="F1988" s="174"/>
    </row>
    <row r="1989" spans="1:6" x14ac:dyDescent="0.2">
      <c r="A1989" s="79"/>
      <c r="B1989" s="76"/>
      <c r="C1989" s="73"/>
      <c r="D1989" s="80" t="s">
        <v>36</v>
      </c>
      <c r="E1989" s="81"/>
      <c r="F1989" s="101">
        <f>SUM(F1986:F1988)</f>
        <v>75.483333333333334</v>
      </c>
    </row>
    <row r="1990" spans="1:6" x14ac:dyDescent="0.2">
      <c r="A1990" s="79"/>
      <c r="B1990" s="76"/>
      <c r="C1990" s="73"/>
      <c r="D1990" s="83"/>
      <c r="E1990" s="84"/>
      <c r="F1990" s="85"/>
    </row>
    <row r="1991" spans="1:6" x14ac:dyDescent="0.2">
      <c r="A1991" s="746" t="s">
        <v>37</v>
      </c>
      <c r="B1991" s="747"/>
      <c r="C1991" s="747"/>
      <c r="D1991" s="747"/>
      <c r="E1991" s="747"/>
      <c r="F1991" s="748"/>
    </row>
    <row r="1992" spans="1:6" x14ac:dyDescent="0.2">
      <c r="A1992" s="64" t="s">
        <v>8</v>
      </c>
      <c r="B1992" s="64" t="s">
        <v>26</v>
      </c>
      <c r="C1992" s="64" t="s">
        <v>27</v>
      </c>
      <c r="D1992" s="64" t="s">
        <v>28</v>
      </c>
      <c r="E1992" s="64" t="s">
        <v>29</v>
      </c>
      <c r="F1992" s="64" t="s">
        <v>30</v>
      </c>
    </row>
    <row r="1993" spans="1:6" x14ac:dyDescent="0.2">
      <c r="A1993" s="65"/>
      <c r="B1993" s="66"/>
      <c r="C1993" s="88"/>
      <c r="D1993" s="89"/>
      <c r="E1993" s="173"/>
      <c r="F1993" s="174"/>
    </row>
    <row r="1994" spans="1:6" x14ac:dyDescent="0.2">
      <c r="A1994" s="92"/>
      <c r="B1994" s="87"/>
      <c r="C1994" s="88"/>
      <c r="D1994" s="103"/>
      <c r="E1994" s="94"/>
      <c r="F1994" s="100"/>
    </row>
    <row r="1995" spans="1:6" x14ac:dyDescent="0.2">
      <c r="A1995" s="95"/>
      <c r="B1995" s="96"/>
      <c r="C1995" s="97"/>
      <c r="D1995" s="98"/>
      <c r="E1995" s="99"/>
      <c r="F1995" s="104"/>
    </row>
    <row r="1996" spans="1:6" x14ac:dyDescent="0.2">
      <c r="A1996" s="79"/>
      <c r="B1996" s="76"/>
      <c r="C1996" s="73"/>
      <c r="D1996" s="80" t="s">
        <v>38</v>
      </c>
      <c r="E1996" s="81"/>
      <c r="F1996" s="101">
        <f>ROUND(SUM(F1993:F1993),2)</f>
        <v>0</v>
      </c>
    </row>
    <row r="1997" spans="1:6" x14ac:dyDescent="0.2">
      <c r="A1997" s="79"/>
      <c r="B1997" s="76"/>
      <c r="C1997" s="73"/>
      <c r="D1997" s="83"/>
      <c r="E1997" s="84"/>
      <c r="F1997" s="85"/>
    </row>
    <row r="1998" spans="1:6" x14ac:dyDescent="0.2">
      <c r="A1998" s="749" t="s">
        <v>39</v>
      </c>
      <c r="B1998" s="750"/>
      <c r="C1998" s="750"/>
      <c r="D1998" s="750"/>
      <c r="E1998" s="751"/>
      <c r="F1998" s="105">
        <f>ROUND(F1982+F1989+F1996,2)</f>
        <v>119.14</v>
      </c>
    </row>
    <row r="1999" spans="1:6" ht="15.75" x14ac:dyDescent="0.2">
      <c r="A1999" s="587" t="s">
        <v>8</v>
      </c>
      <c r="B1999" s="743" t="s">
        <v>23</v>
      </c>
      <c r="C1999" s="743"/>
      <c r="D1999" s="743"/>
      <c r="E1999" s="743"/>
      <c r="F1999" s="588" t="s">
        <v>24</v>
      </c>
    </row>
    <row r="2000" spans="1:6" ht="15" x14ac:dyDescent="0.2">
      <c r="A2000" s="63" t="s">
        <v>13828</v>
      </c>
      <c r="B2000" s="744" t="str">
        <f>PO!D421</f>
        <v>Limpeza final da obra</v>
      </c>
      <c r="C2000" s="744"/>
      <c r="D2000" s="744"/>
      <c r="E2000" s="744"/>
      <c r="F2000" s="107" t="str">
        <f>PO!E421</f>
        <v>m²</v>
      </c>
    </row>
    <row r="2001" spans="1:6" x14ac:dyDescent="0.2">
      <c r="A2001" s="745" t="s">
        <v>25</v>
      </c>
      <c r="B2001" s="745"/>
      <c r="C2001" s="745"/>
      <c r="D2001" s="745"/>
      <c r="E2001" s="745"/>
      <c r="F2001" s="745"/>
    </row>
    <row r="2002" spans="1:6" x14ac:dyDescent="0.2">
      <c r="A2002" s="64" t="s">
        <v>8</v>
      </c>
      <c r="B2002" s="64" t="s">
        <v>26</v>
      </c>
      <c r="C2002" s="64" t="s">
        <v>27</v>
      </c>
      <c r="D2002" s="64" t="s">
        <v>28</v>
      </c>
      <c r="E2002" s="64" t="s">
        <v>29</v>
      </c>
      <c r="F2002" s="64" t="s">
        <v>30</v>
      </c>
    </row>
    <row r="2003" spans="1:6" x14ac:dyDescent="0.2">
      <c r="A2003" s="262">
        <v>88316</v>
      </c>
      <c r="B2003" s="507" t="s">
        <v>10944</v>
      </c>
      <c r="C2003" s="113" t="s">
        <v>10945</v>
      </c>
      <c r="D2003" s="265">
        <v>0.5</v>
      </c>
      <c r="E2003" s="174">
        <v>16.940000000000001</v>
      </c>
      <c r="F2003" s="174">
        <f>D2003*E2003</f>
        <v>8.4700000000000006</v>
      </c>
    </row>
    <row r="2004" spans="1:6" x14ac:dyDescent="0.2">
      <c r="A2004" s="65"/>
      <c r="B2004" s="66"/>
      <c r="C2004" s="67"/>
      <c r="D2004" s="155"/>
      <c r="E2004" s="174"/>
      <c r="F2004" s="174"/>
    </row>
    <row r="2005" spans="1:6" x14ac:dyDescent="0.2">
      <c r="A2005" s="65"/>
      <c r="B2005" s="66"/>
      <c r="C2005" s="67"/>
      <c r="D2005" s="155"/>
      <c r="E2005" s="99"/>
      <c r="F2005" s="100"/>
    </row>
    <row r="2006" spans="1:6" x14ac:dyDescent="0.2">
      <c r="A2006" s="71"/>
      <c r="B2006" s="62"/>
      <c r="C2006" s="72"/>
      <c r="D2006" s="73" t="s">
        <v>31</v>
      </c>
      <c r="E2006" s="74"/>
      <c r="F2006" s="75">
        <f>F2003+F2004+F2005</f>
        <v>8.4700000000000006</v>
      </c>
    </row>
    <row r="2007" spans="1:6" x14ac:dyDescent="0.2">
      <c r="A2007" s="71"/>
      <c r="B2007" s="62"/>
      <c r="C2007" s="72"/>
      <c r="D2007" s="76" t="s">
        <v>32</v>
      </c>
      <c r="E2007" s="77"/>
      <c r="F2007" s="78">
        <f>F2006*E2007</f>
        <v>0</v>
      </c>
    </row>
    <row r="2008" spans="1:6" x14ac:dyDescent="0.2">
      <c r="A2008" s="71"/>
      <c r="B2008" s="62"/>
      <c r="C2008" s="72"/>
      <c r="D2008" s="73" t="s">
        <v>33</v>
      </c>
      <c r="E2008" s="74"/>
      <c r="F2008" s="78">
        <f>SUM(F2006:F2007)</f>
        <v>8.4700000000000006</v>
      </c>
    </row>
    <row r="2009" spans="1:6" x14ac:dyDescent="0.2">
      <c r="A2009" s="79"/>
      <c r="B2009" s="76"/>
      <c r="C2009" s="73"/>
      <c r="D2009" s="80" t="s">
        <v>34</v>
      </c>
      <c r="E2009" s="81"/>
      <c r="F2009" s="82">
        <f>F2008</f>
        <v>8.4700000000000006</v>
      </c>
    </row>
    <row r="2010" spans="1:6" x14ac:dyDescent="0.2">
      <c r="A2010" s="79"/>
      <c r="B2010" s="76"/>
      <c r="C2010" s="73"/>
      <c r="D2010" s="83"/>
      <c r="E2010" s="84"/>
      <c r="F2010" s="85"/>
    </row>
    <row r="2011" spans="1:6" x14ac:dyDescent="0.2">
      <c r="A2011" s="746" t="s">
        <v>35</v>
      </c>
      <c r="B2011" s="747"/>
      <c r="C2011" s="747"/>
      <c r="D2011" s="747"/>
      <c r="E2011" s="747"/>
      <c r="F2011" s="748"/>
    </row>
    <row r="2012" spans="1:6" x14ac:dyDescent="0.2">
      <c r="A2012" s="64" t="s">
        <v>8</v>
      </c>
      <c r="B2012" s="64" t="s">
        <v>26</v>
      </c>
      <c r="C2012" s="64" t="s">
        <v>27</v>
      </c>
      <c r="D2012" s="64" t="s">
        <v>28</v>
      </c>
      <c r="E2012" s="64" t="s">
        <v>29</v>
      </c>
      <c r="F2012" s="64" t="s">
        <v>30</v>
      </c>
    </row>
    <row r="2013" spans="1:6" x14ac:dyDescent="0.2">
      <c r="A2013" s="262">
        <v>13</v>
      </c>
      <c r="B2013" s="507" t="s">
        <v>11690</v>
      </c>
      <c r="C2013" s="113" t="s">
        <v>11068</v>
      </c>
      <c r="D2013" s="265">
        <v>0.09</v>
      </c>
      <c r="E2013" s="174">
        <v>9.23</v>
      </c>
      <c r="F2013" s="174">
        <f>D2013*E2013</f>
        <v>0.83069999999999999</v>
      </c>
    </row>
    <row r="2014" spans="1:6" x14ac:dyDescent="0.2">
      <c r="A2014" s="262">
        <v>5318</v>
      </c>
      <c r="B2014" s="507" t="s">
        <v>11691</v>
      </c>
      <c r="C2014" s="113" t="s">
        <v>11692</v>
      </c>
      <c r="D2014" s="265">
        <v>1.4999999999999999E-2</v>
      </c>
      <c r="E2014" s="174">
        <v>12.5</v>
      </c>
      <c r="F2014" s="174">
        <f>D2014*E2014</f>
        <v>0.1875</v>
      </c>
    </row>
    <row r="2015" spans="1:6" x14ac:dyDescent="0.2">
      <c r="A2015" s="65"/>
      <c r="B2015" s="66"/>
      <c r="C2015" s="67"/>
      <c r="D2015" s="155"/>
      <c r="E2015" s="174"/>
      <c r="F2015" s="174"/>
    </row>
    <row r="2016" spans="1:6" x14ac:dyDescent="0.2">
      <c r="A2016" s="79"/>
      <c r="B2016" s="76"/>
      <c r="C2016" s="73"/>
      <c r="D2016" s="80" t="s">
        <v>36</v>
      </c>
      <c r="E2016" s="81"/>
      <c r="F2016" s="101">
        <f>SUM(F2013:F2015)</f>
        <v>1.0182</v>
      </c>
    </row>
    <row r="2017" spans="1:6" x14ac:dyDescent="0.2">
      <c r="A2017" s="79"/>
      <c r="B2017" s="76"/>
      <c r="C2017" s="73"/>
      <c r="D2017" s="83"/>
      <c r="E2017" s="84"/>
      <c r="F2017" s="85"/>
    </row>
    <row r="2018" spans="1:6" x14ac:dyDescent="0.2">
      <c r="A2018" s="746" t="s">
        <v>37</v>
      </c>
      <c r="B2018" s="747"/>
      <c r="C2018" s="747"/>
      <c r="D2018" s="747"/>
      <c r="E2018" s="747"/>
      <c r="F2018" s="748"/>
    </row>
    <row r="2019" spans="1:6" x14ac:dyDescent="0.2">
      <c r="A2019" s="64" t="s">
        <v>8</v>
      </c>
      <c r="B2019" s="64" t="s">
        <v>26</v>
      </c>
      <c r="C2019" s="64" t="s">
        <v>27</v>
      </c>
      <c r="D2019" s="64" t="s">
        <v>28</v>
      </c>
      <c r="E2019" s="64" t="s">
        <v>29</v>
      </c>
      <c r="F2019" s="64" t="s">
        <v>30</v>
      </c>
    </row>
    <row r="2020" spans="1:6" x14ac:dyDescent="0.2">
      <c r="A2020" s="65"/>
      <c r="B2020" s="66"/>
      <c r="C2020" s="88"/>
      <c r="D2020" s="89"/>
      <c r="E2020" s="173"/>
      <c r="F2020" s="174"/>
    </row>
    <row r="2021" spans="1:6" x14ac:dyDescent="0.2">
      <c r="A2021" s="92"/>
      <c r="B2021" s="87"/>
      <c r="C2021" s="88"/>
      <c r="D2021" s="103"/>
      <c r="E2021" s="94"/>
      <c r="F2021" s="100"/>
    </row>
    <row r="2022" spans="1:6" x14ac:dyDescent="0.2">
      <c r="A2022" s="95"/>
      <c r="B2022" s="96"/>
      <c r="C2022" s="97"/>
      <c r="D2022" s="98"/>
      <c r="E2022" s="99"/>
      <c r="F2022" s="104"/>
    </row>
    <row r="2023" spans="1:6" x14ac:dyDescent="0.2">
      <c r="A2023" s="79"/>
      <c r="B2023" s="76"/>
      <c r="C2023" s="73"/>
      <c r="D2023" s="80" t="s">
        <v>38</v>
      </c>
      <c r="E2023" s="81"/>
      <c r="F2023" s="101">
        <f>ROUND(SUM(F2020:F2020),2)</f>
        <v>0</v>
      </c>
    </row>
    <row r="2024" spans="1:6" x14ac:dyDescent="0.2">
      <c r="A2024" s="79"/>
      <c r="B2024" s="76"/>
      <c r="C2024" s="73"/>
      <c r="D2024" s="83"/>
      <c r="E2024" s="84"/>
      <c r="F2024" s="85"/>
    </row>
    <row r="2025" spans="1:6" x14ac:dyDescent="0.2">
      <c r="A2025" s="749" t="s">
        <v>39</v>
      </c>
      <c r="B2025" s="750"/>
      <c r="C2025" s="750"/>
      <c r="D2025" s="750"/>
      <c r="E2025" s="751"/>
      <c r="F2025" s="105">
        <f>ROUND(F2009+F2016+F2023,2)</f>
        <v>9.49</v>
      </c>
    </row>
    <row r="2026" spans="1:6" ht="15.75" x14ac:dyDescent="0.2">
      <c r="A2026" s="587" t="s">
        <v>8</v>
      </c>
      <c r="B2026" s="743" t="s">
        <v>23</v>
      </c>
      <c r="C2026" s="743"/>
      <c r="D2026" s="743"/>
      <c r="E2026" s="743"/>
      <c r="F2026" s="588" t="s">
        <v>24</v>
      </c>
    </row>
    <row r="2027" spans="1:6" ht="15" x14ac:dyDescent="0.2">
      <c r="A2027" s="63" t="s">
        <v>13875</v>
      </c>
      <c r="B2027" s="744" t="str">
        <f>PO!D97</f>
        <v>Placa base para ancoragem de pilares em aço A-36.</v>
      </c>
      <c r="C2027" s="744"/>
      <c r="D2027" s="744"/>
      <c r="E2027" s="744"/>
      <c r="F2027" s="107">
        <f>PO!E448</f>
        <v>0</v>
      </c>
    </row>
    <row r="2028" spans="1:6" x14ac:dyDescent="0.2">
      <c r="A2028" s="745" t="s">
        <v>25</v>
      </c>
      <c r="B2028" s="745"/>
      <c r="C2028" s="745"/>
      <c r="D2028" s="745"/>
      <c r="E2028" s="745"/>
      <c r="F2028" s="745"/>
    </row>
    <row r="2029" spans="1:6" x14ac:dyDescent="0.2">
      <c r="A2029" s="64" t="s">
        <v>8</v>
      </c>
      <c r="B2029" s="64" t="s">
        <v>26</v>
      </c>
      <c r="C2029" s="64" t="s">
        <v>27</v>
      </c>
      <c r="D2029" s="64" t="s">
        <v>28</v>
      </c>
      <c r="E2029" s="64" t="s">
        <v>29</v>
      </c>
      <c r="F2029" s="64" t="s">
        <v>30</v>
      </c>
    </row>
    <row r="2030" spans="1:6" x14ac:dyDescent="0.2">
      <c r="A2030" s="262">
        <v>88315</v>
      </c>
      <c r="B2030" s="507" t="s">
        <v>5396</v>
      </c>
      <c r="C2030" s="113" t="s">
        <v>43</v>
      </c>
      <c r="D2030" s="265">
        <v>0.12</v>
      </c>
      <c r="E2030" s="615">
        <v>20.329999999999998</v>
      </c>
      <c r="F2030" s="288">
        <f>D2030*E2030</f>
        <v>2.4395999999999995</v>
      </c>
    </row>
    <row r="2031" spans="1:6" x14ac:dyDescent="0.2">
      <c r="A2031" s="262">
        <v>88316</v>
      </c>
      <c r="B2031" s="507" t="s">
        <v>10944</v>
      </c>
      <c r="C2031" s="113" t="s">
        <v>10945</v>
      </c>
      <c r="D2031" s="265">
        <v>0.12</v>
      </c>
      <c r="E2031" s="174">
        <v>16.940000000000001</v>
      </c>
      <c r="F2031" s="288">
        <f t="shared" ref="F2031" si="45">D2031*E2031</f>
        <v>2.0327999999999999</v>
      </c>
    </row>
    <row r="2032" spans="1:6" x14ac:dyDescent="0.2">
      <c r="A2032" s="65"/>
      <c r="B2032" s="66"/>
      <c r="C2032" s="67"/>
      <c r="D2032" s="155"/>
      <c r="E2032" s="99"/>
      <c r="F2032" s="100"/>
    </row>
    <row r="2033" spans="1:8" x14ac:dyDescent="0.2">
      <c r="A2033" s="71"/>
      <c r="B2033" s="62"/>
      <c r="C2033" s="72"/>
      <c r="D2033" s="73" t="s">
        <v>31</v>
      </c>
      <c r="E2033" s="74"/>
      <c r="F2033" s="75">
        <f>F2030+F2031+F2032</f>
        <v>4.4723999999999995</v>
      </c>
    </row>
    <row r="2034" spans="1:8" x14ac:dyDescent="0.2">
      <c r="A2034" s="71"/>
      <c r="B2034" s="62"/>
      <c r="C2034" s="72"/>
      <c r="D2034" s="76" t="s">
        <v>32</v>
      </c>
      <c r="E2034" s="77"/>
      <c r="F2034" s="78">
        <f>F2033*E2034</f>
        <v>0</v>
      </c>
    </row>
    <row r="2035" spans="1:8" x14ac:dyDescent="0.2">
      <c r="A2035" s="71"/>
      <c r="B2035" s="62"/>
      <c r="C2035" s="72"/>
      <c r="D2035" s="73" t="s">
        <v>33</v>
      </c>
      <c r="E2035" s="74"/>
      <c r="F2035" s="78">
        <f>SUM(F2033:F2034)</f>
        <v>4.4723999999999995</v>
      </c>
    </row>
    <row r="2036" spans="1:8" x14ac:dyDescent="0.2">
      <c r="A2036" s="79"/>
      <c r="B2036" s="76"/>
      <c r="C2036" s="73"/>
      <c r="D2036" s="80" t="s">
        <v>34</v>
      </c>
      <c r="E2036" s="81"/>
      <c r="F2036" s="82">
        <f>F2035</f>
        <v>4.4723999999999995</v>
      </c>
    </row>
    <row r="2037" spans="1:8" x14ac:dyDescent="0.2">
      <c r="A2037" s="79"/>
      <c r="B2037" s="76"/>
      <c r="C2037" s="73"/>
      <c r="D2037" s="83"/>
      <c r="E2037" s="84"/>
      <c r="F2037" s="85"/>
    </row>
    <row r="2038" spans="1:8" x14ac:dyDescent="0.2">
      <c r="A2038" s="746" t="s">
        <v>35</v>
      </c>
      <c r="B2038" s="747"/>
      <c r="C2038" s="747"/>
      <c r="D2038" s="747"/>
      <c r="E2038" s="747"/>
      <c r="F2038" s="748"/>
    </row>
    <row r="2039" spans="1:8" x14ac:dyDescent="0.2">
      <c r="A2039" s="64" t="s">
        <v>8</v>
      </c>
      <c r="B2039" s="64" t="s">
        <v>26</v>
      </c>
      <c r="C2039" s="64" t="s">
        <v>27</v>
      </c>
      <c r="D2039" s="64" t="s">
        <v>28</v>
      </c>
      <c r="E2039" s="64" t="s">
        <v>29</v>
      </c>
      <c r="F2039" s="64" t="s">
        <v>30</v>
      </c>
    </row>
    <row r="2040" spans="1:8" x14ac:dyDescent="0.2">
      <c r="A2040" s="262">
        <v>1333</v>
      </c>
      <c r="B2040" s="507" t="s">
        <v>11690</v>
      </c>
      <c r="C2040" s="113" t="s">
        <v>11068</v>
      </c>
      <c r="D2040" s="265">
        <v>1.1000000000000001</v>
      </c>
      <c r="E2040" s="174">
        <v>6.48</v>
      </c>
      <c r="F2040" s="174">
        <f>D2040*E2040</f>
        <v>7.128000000000001</v>
      </c>
    </row>
    <row r="2041" spans="1:8" ht="22.5" x14ac:dyDescent="0.2">
      <c r="A2041" s="262">
        <v>4334</v>
      </c>
      <c r="B2041" s="507" t="s">
        <v>13881</v>
      </c>
      <c r="C2041" s="113" t="s">
        <v>18</v>
      </c>
      <c r="D2041" s="265">
        <v>0.31</v>
      </c>
      <c r="E2041" s="174">
        <v>11.61</v>
      </c>
      <c r="F2041" s="174">
        <f>D2041*E2041</f>
        <v>3.5991</v>
      </c>
      <c r="H2041" s="674"/>
    </row>
    <row r="2042" spans="1:8" x14ac:dyDescent="0.2">
      <c r="A2042" s="65"/>
      <c r="B2042" s="66"/>
      <c r="C2042" s="67"/>
      <c r="D2042" s="155"/>
      <c r="E2042" s="99"/>
      <c r="F2042" s="100"/>
    </row>
    <row r="2043" spans="1:8" x14ac:dyDescent="0.2">
      <c r="A2043" s="79"/>
      <c r="B2043" s="76"/>
      <c r="C2043" s="73"/>
      <c r="D2043" s="80" t="s">
        <v>36</v>
      </c>
      <c r="E2043" s="81"/>
      <c r="F2043" s="101">
        <f>SUM(F2040:F2042)</f>
        <v>10.7271</v>
      </c>
    </row>
    <row r="2044" spans="1:8" x14ac:dyDescent="0.2">
      <c r="A2044" s="79"/>
      <c r="B2044" s="76"/>
      <c r="C2044" s="73"/>
      <c r="D2044" s="83"/>
      <c r="E2044" s="84"/>
      <c r="F2044" s="85"/>
    </row>
    <row r="2045" spans="1:8" x14ac:dyDescent="0.2">
      <c r="A2045" s="746" t="s">
        <v>37</v>
      </c>
      <c r="B2045" s="747"/>
      <c r="C2045" s="747"/>
      <c r="D2045" s="747"/>
      <c r="E2045" s="747"/>
      <c r="F2045" s="748"/>
    </row>
    <row r="2046" spans="1:8" x14ac:dyDescent="0.2">
      <c r="A2046" s="64" t="s">
        <v>8</v>
      </c>
      <c r="B2046" s="64" t="s">
        <v>26</v>
      </c>
      <c r="C2046" s="64" t="s">
        <v>27</v>
      </c>
      <c r="D2046" s="64" t="s">
        <v>28</v>
      </c>
      <c r="E2046" s="64" t="s">
        <v>29</v>
      </c>
      <c r="F2046" s="64" t="s">
        <v>30</v>
      </c>
    </row>
    <row r="2047" spans="1:8" x14ac:dyDescent="0.2">
      <c r="A2047" s="65"/>
      <c r="B2047" s="66"/>
      <c r="C2047" s="88"/>
      <c r="D2047" s="89"/>
      <c r="E2047" s="173"/>
      <c r="F2047" s="174"/>
    </row>
    <row r="2048" spans="1:8" x14ac:dyDescent="0.2">
      <c r="A2048" s="92"/>
      <c r="B2048" s="87"/>
      <c r="C2048" s="88"/>
      <c r="D2048" s="103"/>
      <c r="E2048" s="94"/>
      <c r="F2048" s="100"/>
    </row>
    <row r="2049" spans="1:6" x14ac:dyDescent="0.2">
      <c r="A2049" s="95"/>
      <c r="B2049" s="96"/>
      <c r="C2049" s="97"/>
      <c r="D2049" s="98"/>
      <c r="E2049" s="99"/>
      <c r="F2049" s="104"/>
    </row>
    <row r="2050" spans="1:6" x14ac:dyDescent="0.2">
      <c r="A2050" s="79"/>
      <c r="B2050" s="76"/>
      <c r="C2050" s="73"/>
      <c r="D2050" s="80" t="s">
        <v>38</v>
      </c>
      <c r="E2050" s="81"/>
      <c r="F2050" s="101">
        <f>ROUND(SUM(F2047:F2047),2)</f>
        <v>0</v>
      </c>
    </row>
    <row r="2051" spans="1:6" x14ac:dyDescent="0.2">
      <c r="A2051" s="79"/>
      <c r="B2051" s="76"/>
      <c r="C2051" s="73"/>
      <c r="D2051" s="83"/>
      <c r="E2051" s="84"/>
      <c r="F2051" s="85"/>
    </row>
    <row r="2052" spans="1:6" x14ac:dyDescent="0.2">
      <c r="A2052" s="749" t="s">
        <v>39</v>
      </c>
      <c r="B2052" s="750"/>
      <c r="C2052" s="750"/>
      <c r="D2052" s="750"/>
      <c r="E2052" s="751"/>
      <c r="F2052" s="105">
        <f>ROUND(F2036+F2043+F2050,2)</f>
        <v>15.2</v>
      </c>
    </row>
    <row r="2053" spans="1:6" ht="15.75" x14ac:dyDescent="0.2">
      <c r="A2053" s="587" t="s">
        <v>8</v>
      </c>
      <c r="B2053" s="743" t="s">
        <v>23</v>
      </c>
      <c r="C2053" s="743"/>
      <c r="D2053" s="743"/>
      <c r="E2053" s="743"/>
      <c r="F2053" s="588" t="s">
        <v>24</v>
      </c>
    </row>
    <row r="2054" spans="1:6" ht="15" x14ac:dyDescent="0.2">
      <c r="A2054" s="63" t="s">
        <v>13894</v>
      </c>
      <c r="B2054" s="744" t="str">
        <f>PO!D118</f>
        <v xml:space="preserve">Cumeeira de alumínio termoacústica, perfil trapezoidal - Fornecimento e instalação </v>
      </c>
      <c r="C2054" s="744"/>
      <c r="D2054" s="744"/>
      <c r="E2054" s="744"/>
      <c r="F2054" s="107" t="str">
        <f>PO!E118</f>
        <v>m</v>
      </c>
    </row>
    <row r="2055" spans="1:6" x14ac:dyDescent="0.2">
      <c r="A2055" s="745" t="s">
        <v>25</v>
      </c>
      <c r="B2055" s="745"/>
      <c r="C2055" s="745"/>
      <c r="D2055" s="745"/>
      <c r="E2055" s="745"/>
      <c r="F2055" s="745"/>
    </row>
    <row r="2056" spans="1:6" x14ac:dyDescent="0.2">
      <c r="A2056" s="64" t="s">
        <v>8</v>
      </c>
      <c r="B2056" s="64" t="s">
        <v>26</v>
      </c>
      <c r="C2056" s="64" t="s">
        <v>27</v>
      </c>
      <c r="D2056" s="64" t="s">
        <v>28</v>
      </c>
      <c r="E2056" s="64" t="s">
        <v>29</v>
      </c>
      <c r="F2056" s="64" t="s">
        <v>30</v>
      </c>
    </row>
    <row r="2057" spans="1:6" x14ac:dyDescent="0.2">
      <c r="A2057" s="262"/>
      <c r="B2057" s="507"/>
      <c r="C2057" s="113"/>
      <c r="D2057" s="265"/>
      <c r="E2057" s="615"/>
      <c r="F2057" s="288"/>
    </row>
    <row r="2058" spans="1:6" x14ac:dyDescent="0.2">
      <c r="A2058" s="262">
        <v>88323</v>
      </c>
      <c r="B2058" s="507" t="s">
        <v>5403</v>
      </c>
      <c r="C2058" s="113" t="s">
        <v>10945</v>
      </c>
      <c r="D2058" s="265">
        <v>0.12</v>
      </c>
      <c r="E2058" s="620">
        <v>19.89</v>
      </c>
      <c r="F2058" s="623">
        <f t="shared" ref="F2058:F2059" si="46">D2058*E2058</f>
        <v>2.3868</v>
      </c>
    </row>
    <row r="2059" spans="1:6" x14ac:dyDescent="0.2">
      <c r="A2059" s="65">
        <v>88316</v>
      </c>
      <c r="B2059" s="66" t="s">
        <v>5397</v>
      </c>
      <c r="C2059" s="67" t="s">
        <v>10945</v>
      </c>
      <c r="D2059" s="155">
        <v>0.12</v>
      </c>
      <c r="E2059" s="620">
        <v>16.940000000000001</v>
      </c>
      <c r="F2059" s="623">
        <f t="shared" si="46"/>
        <v>2.0327999999999999</v>
      </c>
    </row>
    <row r="2060" spans="1:6" x14ac:dyDescent="0.2">
      <c r="A2060" s="71"/>
      <c r="B2060" s="62"/>
      <c r="C2060" s="72"/>
      <c r="D2060" s="73" t="s">
        <v>31</v>
      </c>
      <c r="E2060" s="74"/>
      <c r="F2060" s="75">
        <f>F2057+F2058+F2059</f>
        <v>4.4196</v>
      </c>
    </row>
    <row r="2061" spans="1:6" x14ac:dyDescent="0.2">
      <c r="A2061" s="71"/>
      <c r="B2061" s="62"/>
      <c r="C2061" s="72"/>
      <c r="D2061" s="76" t="s">
        <v>32</v>
      </c>
      <c r="E2061" s="77"/>
      <c r="F2061" s="78">
        <f>F2060*E2061</f>
        <v>0</v>
      </c>
    </row>
    <row r="2062" spans="1:6" x14ac:dyDescent="0.2">
      <c r="A2062" s="71"/>
      <c r="B2062" s="62"/>
      <c r="C2062" s="72"/>
      <c r="D2062" s="73" t="s">
        <v>33</v>
      </c>
      <c r="E2062" s="74"/>
      <c r="F2062" s="78">
        <f>SUM(F2060:F2061)</f>
        <v>4.4196</v>
      </c>
    </row>
    <row r="2063" spans="1:6" x14ac:dyDescent="0.2">
      <c r="A2063" s="79"/>
      <c r="B2063" s="76"/>
      <c r="C2063" s="73"/>
      <c r="D2063" s="80" t="s">
        <v>34</v>
      </c>
      <c r="E2063" s="81"/>
      <c r="F2063" s="82">
        <f>F2062</f>
        <v>4.4196</v>
      </c>
    </row>
    <row r="2064" spans="1:6" x14ac:dyDescent="0.2">
      <c r="A2064" s="79"/>
      <c r="B2064" s="76"/>
      <c r="C2064" s="73"/>
      <c r="D2064" s="83"/>
      <c r="E2064" s="84"/>
      <c r="F2064" s="85"/>
    </row>
    <row r="2065" spans="1:8" x14ac:dyDescent="0.2">
      <c r="A2065" s="746" t="s">
        <v>35</v>
      </c>
      <c r="B2065" s="747"/>
      <c r="C2065" s="747"/>
      <c r="D2065" s="747"/>
      <c r="E2065" s="747"/>
      <c r="F2065" s="748"/>
    </row>
    <row r="2066" spans="1:8" x14ac:dyDescent="0.2">
      <c r="A2066" s="64" t="s">
        <v>8</v>
      </c>
      <c r="B2066" s="64" t="s">
        <v>26</v>
      </c>
      <c r="C2066" s="64" t="s">
        <v>27</v>
      </c>
      <c r="D2066" s="64" t="s">
        <v>28</v>
      </c>
      <c r="E2066" s="64" t="s">
        <v>29</v>
      </c>
      <c r="F2066" s="64" t="s">
        <v>30</v>
      </c>
    </row>
    <row r="2067" spans="1:8" x14ac:dyDescent="0.2">
      <c r="A2067" s="262"/>
      <c r="B2067" s="507"/>
      <c r="C2067" s="113"/>
      <c r="D2067" s="265"/>
      <c r="E2067" s="688"/>
      <c r="F2067" s="174"/>
    </row>
    <row r="2068" spans="1:8" ht="22.5" x14ac:dyDescent="0.2">
      <c r="A2068" s="262" t="s">
        <v>13911</v>
      </c>
      <c r="B2068" s="507" t="s">
        <v>13910</v>
      </c>
      <c r="C2068" s="113" t="s">
        <v>11771</v>
      </c>
      <c r="D2068" s="265">
        <v>0.82499999999999996</v>
      </c>
      <c r="E2068" s="620">
        <v>44.84</v>
      </c>
      <c r="F2068" s="174">
        <f>D2068*E2068</f>
        <v>36.993000000000002</v>
      </c>
      <c r="H2068" s="674"/>
    </row>
    <row r="2069" spans="1:8" x14ac:dyDescent="0.2">
      <c r="A2069" s="65"/>
      <c r="B2069" s="66"/>
      <c r="C2069" s="67"/>
      <c r="D2069" s="155"/>
      <c r="E2069" s="99"/>
      <c r="F2069" s="100"/>
    </row>
    <row r="2070" spans="1:8" x14ac:dyDescent="0.2">
      <c r="A2070" s="79"/>
      <c r="B2070" s="76"/>
      <c r="C2070" s="73"/>
      <c r="D2070" s="80" t="s">
        <v>36</v>
      </c>
      <c r="E2070" s="81"/>
      <c r="F2070" s="101">
        <f>SUM(F2067:F2069)</f>
        <v>36.993000000000002</v>
      </c>
    </row>
    <row r="2071" spans="1:8" x14ac:dyDescent="0.2">
      <c r="A2071" s="79"/>
      <c r="B2071" s="76"/>
      <c r="C2071" s="73"/>
      <c r="D2071" s="83"/>
      <c r="E2071" s="84"/>
      <c r="F2071" s="85"/>
    </row>
    <row r="2072" spans="1:8" x14ac:dyDescent="0.2">
      <c r="A2072" s="746" t="s">
        <v>37</v>
      </c>
      <c r="B2072" s="747"/>
      <c r="C2072" s="747"/>
      <c r="D2072" s="747"/>
      <c r="E2072" s="747"/>
      <c r="F2072" s="748"/>
    </row>
    <row r="2073" spans="1:8" x14ac:dyDescent="0.2">
      <c r="A2073" s="64" t="s">
        <v>8</v>
      </c>
      <c r="B2073" s="64" t="s">
        <v>26</v>
      </c>
      <c r="C2073" s="64" t="s">
        <v>27</v>
      </c>
      <c r="D2073" s="64" t="s">
        <v>28</v>
      </c>
      <c r="E2073" s="64" t="s">
        <v>29</v>
      </c>
      <c r="F2073" s="64" t="s">
        <v>30</v>
      </c>
    </row>
    <row r="2074" spans="1:8" x14ac:dyDescent="0.2">
      <c r="A2074" s="65"/>
      <c r="B2074" s="66"/>
      <c r="C2074" s="88"/>
      <c r="D2074" s="89"/>
      <c r="E2074" s="173"/>
      <c r="F2074" s="174"/>
    </row>
    <row r="2075" spans="1:8" x14ac:dyDescent="0.2">
      <c r="A2075" s="92"/>
      <c r="B2075" s="87"/>
      <c r="C2075" s="88"/>
      <c r="D2075" s="103"/>
      <c r="E2075" s="94"/>
      <c r="F2075" s="100"/>
    </row>
    <row r="2076" spans="1:8" x14ac:dyDescent="0.2">
      <c r="A2076" s="95"/>
      <c r="B2076" s="96"/>
      <c r="C2076" s="97"/>
      <c r="D2076" s="98"/>
      <c r="E2076" s="99"/>
      <c r="F2076" s="104"/>
    </row>
    <row r="2077" spans="1:8" x14ac:dyDescent="0.2">
      <c r="A2077" s="79"/>
      <c r="B2077" s="76"/>
      <c r="C2077" s="73"/>
      <c r="D2077" s="80" t="s">
        <v>38</v>
      </c>
      <c r="E2077" s="81"/>
      <c r="F2077" s="101">
        <f>ROUND(SUM(F2074:F2074),2)</f>
        <v>0</v>
      </c>
    </row>
    <row r="2078" spans="1:8" x14ac:dyDescent="0.2">
      <c r="A2078" s="79"/>
      <c r="B2078" s="76"/>
      <c r="C2078" s="73"/>
      <c r="D2078" s="83"/>
      <c r="E2078" s="84"/>
      <c r="F2078" s="85"/>
    </row>
    <row r="2079" spans="1:8" x14ac:dyDescent="0.2">
      <c r="A2079" s="749" t="s">
        <v>39</v>
      </c>
      <c r="B2079" s="750"/>
      <c r="C2079" s="750"/>
      <c r="D2079" s="750"/>
      <c r="E2079" s="751"/>
      <c r="F2079" s="105">
        <f>ROUND(F2063+F2070+F2077,2)</f>
        <v>41.41</v>
      </c>
    </row>
    <row r="2080" spans="1:8" ht="15.75" x14ac:dyDescent="0.2">
      <c r="A2080" s="587" t="s">
        <v>8</v>
      </c>
      <c r="B2080" s="743" t="s">
        <v>23</v>
      </c>
      <c r="C2080" s="743"/>
      <c r="D2080" s="743"/>
      <c r="E2080" s="743"/>
      <c r="F2080" s="588" t="s">
        <v>24</v>
      </c>
    </row>
    <row r="2081" spans="1:8" ht="33.75" customHeight="1" x14ac:dyDescent="0.2">
      <c r="A2081" s="63" t="s">
        <v>13895</v>
      </c>
      <c r="B2081" s="744" t="str">
        <f>PO!D143</f>
        <v>Rodapé para piso industrial monolítico de alta resistência mecânica, fundido sobre base nivelada, acabamento desempenado, canto arredondado, altura 10 cm</v>
      </c>
      <c r="C2081" s="744"/>
      <c r="D2081" s="744"/>
      <c r="E2081" s="744"/>
      <c r="F2081" s="107" t="str">
        <f>PO!E143</f>
        <v>m</v>
      </c>
    </row>
    <row r="2082" spans="1:8" x14ac:dyDescent="0.2">
      <c r="A2082" s="745" t="s">
        <v>25</v>
      </c>
      <c r="B2082" s="745"/>
      <c r="C2082" s="745"/>
      <c r="D2082" s="745"/>
      <c r="E2082" s="745"/>
      <c r="F2082" s="745"/>
    </row>
    <row r="2083" spans="1:8" x14ac:dyDescent="0.2">
      <c r="A2083" s="64" t="s">
        <v>8</v>
      </c>
      <c r="B2083" s="64" t="s">
        <v>26</v>
      </c>
      <c r="C2083" s="64" t="s">
        <v>27</v>
      </c>
      <c r="D2083" s="64" t="s">
        <v>28</v>
      </c>
      <c r="E2083" s="64" t="s">
        <v>29</v>
      </c>
      <c r="F2083" s="64" t="s">
        <v>30</v>
      </c>
    </row>
    <row r="2084" spans="1:8" x14ac:dyDescent="0.2">
      <c r="A2084" s="262"/>
      <c r="B2084" s="507"/>
      <c r="C2084" s="113"/>
      <c r="D2084" s="265"/>
      <c r="E2084" s="615"/>
      <c r="F2084" s="288"/>
    </row>
    <row r="2085" spans="1:8" x14ac:dyDescent="0.2">
      <c r="A2085" s="262">
        <v>88309</v>
      </c>
      <c r="B2085" s="507" t="s">
        <v>5390</v>
      </c>
      <c r="C2085" s="113" t="s">
        <v>10945</v>
      </c>
      <c r="D2085" s="265">
        <v>0.5</v>
      </c>
      <c r="E2085" s="620">
        <v>20.43</v>
      </c>
      <c r="F2085" s="623">
        <f t="shared" ref="F2085:F2086" si="47">D2085*E2085</f>
        <v>10.215</v>
      </c>
    </row>
    <row r="2086" spans="1:8" x14ac:dyDescent="0.2">
      <c r="A2086" s="65">
        <v>88316</v>
      </c>
      <c r="B2086" s="66" t="s">
        <v>5397</v>
      </c>
      <c r="C2086" s="67" t="s">
        <v>10945</v>
      </c>
      <c r="D2086" s="155">
        <v>0.5</v>
      </c>
      <c r="E2086" s="620">
        <v>16.940000000000001</v>
      </c>
      <c r="F2086" s="623">
        <f t="shared" si="47"/>
        <v>8.4700000000000006</v>
      </c>
    </row>
    <row r="2087" spans="1:8" x14ac:dyDescent="0.2">
      <c r="A2087" s="71"/>
      <c r="B2087" s="62"/>
      <c r="C2087" s="72"/>
      <c r="D2087" s="73" t="s">
        <v>31</v>
      </c>
      <c r="E2087" s="74"/>
      <c r="F2087" s="75">
        <f>F2084+F2085+F2086</f>
        <v>18.685000000000002</v>
      </c>
    </row>
    <row r="2088" spans="1:8" x14ac:dyDescent="0.2">
      <c r="A2088" s="71"/>
      <c r="B2088" s="62"/>
      <c r="C2088" s="72"/>
      <c r="D2088" s="76" t="s">
        <v>32</v>
      </c>
      <c r="E2088" s="77"/>
      <c r="F2088" s="78">
        <f>F2087*E2088</f>
        <v>0</v>
      </c>
    </row>
    <row r="2089" spans="1:8" x14ac:dyDescent="0.2">
      <c r="A2089" s="71"/>
      <c r="B2089" s="62"/>
      <c r="C2089" s="72"/>
      <c r="D2089" s="73" t="s">
        <v>33</v>
      </c>
      <c r="E2089" s="74"/>
      <c r="F2089" s="78">
        <f>SUM(F2087:F2088)</f>
        <v>18.685000000000002</v>
      </c>
    </row>
    <row r="2090" spans="1:8" x14ac:dyDescent="0.2">
      <c r="A2090" s="79"/>
      <c r="B2090" s="76"/>
      <c r="C2090" s="73"/>
      <c r="D2090" s="80" t="s">
        <v>34</v>
      </c>
      <c r="E2090" s="81"/>
      <c r="F2090" s="82">
        <f>F2089</f>
        <v>18.685000000000002</v>
      </c>
    </row>
    <row r="2091" spans="1:8" x14ac:dyDescent="0.2">
      <c r="A2091" s="79"/>
      <c r="B2091" s="76"/>
      <c r="C2091" s="73"/>
      <c r="D2091" s="83"/>
      <c r="E2091" s="84"/>
      <c r="F2091" s="85"/>
    </row>
    <row r="2092" spans="1:8" x14ac:dyDescent="0.2">
      <c r="A2092" s="746" t="s">
        <v>35</v>
      </c>
      <c r="B2092" s="747"/>
      <c r="C2092" s="747"/>
      <c r="D2092" s="747"/>
      <c r="E2092" s="747"/>
      <c r="F2092" s="748"/>
    </row>
    <row r="2093" spans="1:8" x14ac:dyDescent="0.2">
      <c r="A2093" s="64" t="s">
        <v>8</v>
      </c>
      <c r="B2093" s="64" t="s">
        <v>26</v>
      </c>
      <c r="C2093" s="64" t="s">
        <v>27</v>
      </c>
      <c r="D2093" s="64" t="s">
        <v>28</v>
      </c>
      <c r="E2093" s="64" t="s">
        <v>29</v>
      </c>
      <c r="F2093" s="64" t="s">
        <v>30</v>
      </c>
    </row>
    <row r="2094" spans="1:8" x14ac:dyDescent="0.2">
      <c r="A2094" s="262"/>
      <c r="B2094" s="507"/>
      <c r="C2094" s="113"/>
      <c r="D2094" s="265"/>
      <c r="E2094" s="688"/>
      <c r="F2094" s="174"/>
    </row>
    <row r="2095" spans="1:8" x14ac:dyDescent="0.2">
      <c r="A2095" s="262">
        <v>1375</v>
      </c>
      <c r="B2095" s="507" t="s">
        <v>6837</v>
      </c>
      <c r="C2095" s="113" t="s">
        <v>11068</v>
      </c>
      <c r="D2095" s="265">
        <v>1.7</v>
      </c>
      <c r="E2095" s="620">
        <v>0.71</v>
      </c>
      <c r="F2095" s="174">
        <f>D2095*E2095</f>
        <v>1.2069999999999999</v>
      </c>
      <c r="H2095" s="674"/>
    </row>
    <row r="2096" spans="1:8" ht="22.5" x14ac:dyDescent="0.2">
      <c r="A2096" s="65">
        <v>4824</v>
      </c>
      <c r="B2096" s="216" t="s">
        <v>7991</v>
      </c>
      <c r="C2096" s="67" t="s">
        <v>11068</v>
      </c>
      <c r="D2096" s="155">
        <v>3.5</v>
      </c>
      <c r="E2096" s="691">
        <v>0.55000000000000004</v>
      </c>
      <c r="F2096" s="690">
        <f>D2096*E2096</f>
        <v>1.9250000000000003</v>
      </c>
    </row>
    <row r="2097" spans="1:6" x14ac:dyDescent="0.2">
      <c r="A2097" s="79"/>
      <c r="B2097" s="76"/>
      <c r="C2097" s="73"/>
      <c r="D2097" s="80" t="s">
        <v>36</v>
      </c>
      <c r="E2097" s="81"/>
      <c r="F2097" s="101">
        <f>SUM(F2094:F2096)</f>
        <v>3.1320000000000001</v>
      </c>
    </row>
    <row r="2098" spans="1:6" x14ac:dyDescent="0.2">
      <c r="A2098" s="79"/>
      <c r="B2098" s="76"/>
      <c r="C2098" s="73"/>
      <c r="D2098" s="83"/>
      <c r="E2098" s="84"/>
      <c r="F2098" s="85"/>
    </row>
    <row r="2099" spans="1:6" x14ac:dyDescent="0.2">
      <c r="A2099" s="746" t="s">
        <v>37</v>
      </c>
      <c r="B2099" s="747"/>
      <c r="C2099" s="747"/>
      <c r="D2099" s="747"/>
      <c r="E2099" s="747"/>
      <c r="F2099" s="748"/>
    </row>
    <row r="2100" spans="1:6" x14ac:dyDescent="0.2">
      <c r="A2100" s="64" t="s">
        <v>8</v>
      </c>
      <c r="B2100" s="64" t="s">
        <v>26</v>
      </c>
      <c r="C2100" s="64" t="s">
        <v>27</v>
      </c>
      <c r="D2100" s="64" t="s">
        <v>28</v>
      </c>
      <c r="E2100" s="64" t="s">
        <v>29</v>
      </c>
      <c r="F2100" s="64" t="s">
        <v>30</v>
      </c>
    </row>
    <row r="2101" spans="1:6" x14ac:dyDescent="0.2">
      <c r="A2101" s="65"/>
      <c r="B2101" s="66"/>
      <c r="C2101" s="88"/>
      <c r="D2101" s="89"/>
      <c r="E2101" s="173"/>
      <c r="F2101" s="174"/>
    </row>
    <row r="2102" spans="1:6" x14ac:dyDescent="0.2">
      <c r="A2102" s="92"/>
      <c r="B2102" s="87"/>
      <c r="C2102" s="88"/>
      <c r="D2102" s="103"/>
      <c r="E2102" s="94"/>
      <c r="F2102" s="100"/>
    </row>
    <row r="2103" spans="1:6" x14ac:dyDescent="0.2">
      <c r="A2103" s="95"/>
      <c r="B2103" s="96"/>
      <c r="C2103" s="97"/>
      <c r="D2103" s="98"/>
      <c r="E2103" s="99"/>
      <c r="F2103" s="104"/>
    </row>
    <row r="2104" spans="1:6" x14ac:dyDescent="0.2">
      <c r="A2104" s="79"/>
      <c r="B2104" s="76"/>
      <c r="C2104" s="73"/>
      <c r="D2104" s="80" t="s">
        <v>38</v>
      </c>
      <c r="E2104" s="81"/>
      <c r="F2104" s="101">
        <f>ROUND(SUM(F2101:F2101),2)</f>
        <v>0</v>
      </c>
    </row>
    <row r="2105" spans="1:6" x14ac:dyDescent="0.2">
      <c r="A2105" s="79"/>
      <c r="B2105" s="76"/>
      <c r="C2105" s="73"/>
      <c r="D2105" s="83"/>
      <c r="E2105" s="84"/>
      <c r="F2105" s="85"/>
    </row>
    <row r="2106" spans="1:6" x14ac:dyDescent="0.2">
      <c r="A2106" s="749" t="s">
        <v>39</v>
      </c>
      <c r="B2106" s="750"/>
      <c r="C2106" s="750"/>
      <c r="D2106" s="750"/>
      <c r="E2106" s="751"/>
      <c r="F2106" s="105">
        <f>ROUND(F2090+F2097+F2104,2)</f>
        <v>21.82</v>
      </c>
    </row>
    <row r="2107" spans="1:6" ht="15.75" x14ac:dyDescent="0.2">
      <c r="A2107" s="587" t="s">
        <v>8</v>
      </c>
      <c r="B2107" s="743" t="s">
        <v>23</v>
      </c>
      <c r="C2107" s="743"/>
      <c r="D2107" s="743"/>
      <c r="E2107" s="743"/>
      <c r="F2107" s="588" t="s">
        <v>24</v>
      </c>
    </row>
    <row r="2108" spans="1:6" ht="15" x14ac:dyDescent="0.2">
      <c r="A2108" s="63" t="s">
        <v>13896</v>
      </c>
      <c r="B2108" s="744" t="str">
        <f>PO!D226</f>
        <v>Joelho 90° PVCØ 40 mm com anel - Fornecido e instalado</v>
      </c>
      <c r="C2108" s="744"/>
      <c r="D2108" s="744"/>
      <c r="E2108" s="744"/>
      <c r="F2108" s="107" t="str">
        <f>PO!E226</f>
        <v>und</v>
      </c>
    </row>
    <row r="2109" spans="1:6" x14ac:dyDescent="0.2">
      <c r="A2109" s="745" t="s">
        <v>25</v>
      </c>
      <c r="B2109" s="745"/>
      <c r="C2109" s="745"/>
      <c r="D2109" s="745"/>
      <c r="E2109" s="745"/>
      <c r="F2109" s="745"/>
    </row>
    <row r="2110" spans="1:6" x14ac:dyDescent="0.2">
      <c r="A2110" s="64" t="s">
        <v>8</v>
      </c>
      <c r="B2110" s="64" t="s">
        <v>26</v>
      </c>
      <c r="C2110" s="64" t="s">
        <v>27</v>
      </c>
      <c r="D2110" s="64" t="s">
        <v>28</v>
      </c>
      <c r="E2110" s="64" t="s">
        <v>29</v>
      </c>
      <c r="F2110" s="64" t="s">
        <v>30</v>
      </c>
    </row>
    <row r="2111" spans="1:6" x14ac:dyDescent="0.2">
      <c r="A2111" s="262"/>
      <c r="B2111" s="507"/>
      <c r="C2111" s="113"/>
      <c r="D2111" s="265"/>
      <c r="E2111" s="615"/>
      <c r="F2111" s="288"/>
    </row>
    <row r="2112" spans="1:6" ht="22.5" x14ac:dyDescent="0.2">
      <c r="A2112" s="262">
        <v>88267</v>
      </c>
      <c r="B2112" s="507" t="s">
        <v>5355</v>
      </c>
      <c r="C2112" s="113" t="s">
        <v>10945</v>
      </c>
      <c r="D2112" s="155">
        <v>0.22</v>
      </c>
      <c r="E2112" s="691">
        <v>19.64</v>
      </c>
      <c r="F2112" s="623">
        <f t="shared" ref="F2112:F2113" si="48">D2112*E2112</f>
        <v>4.3208000000000002</v>
      </c>
    </row>
    <row r="2113" spans="1:8" ht="22.5" x14ac:dyDescent="0.2">
      <c r="A2113" s="65">
        <v>88248</v>
      </c>
      <c r="B2113" s="216" t="s">
        <v>5337</v>
      </c>
      <c r="C2113" s="67" t="s">
        <v>10945</v>
      </c>
      <c r="D2113" s="155">
        <v>0.22</v>
      </c>
      <c r="E2113" s="691">
        <v>15.2</v>
      </c>
      <c r="F2113" s="623">
        <f t="shared" si="48"/>
        <v>3.3439999999999999</v>
      </c>
    </row>
    <row r="2114" spans="1:8" x14ac:dyDescent="0.2">
      <c r="A2114" s="71"/>
      <c r="B2114" s="62"/>
      <c r="C2114" s="72"/>
      <c r="D2114" s="73" t="s">
        <v>31</v>
      </c>
      <c r="E2114" s="74"/>
      <c r="F2114" s="75">
        <f>F2111+F2112+F2113</f>
        <v>7.6647999999999996</v>
      </c>
    </row>
    <row r="2115" spans="1:8" x14ac:dyDescent="0.2">
      <c r="A2115" s="71"/>
      <c r="B2115" s="62"/>
      <c r="C2115" s="72"/>
      <c r="D2115" s="76" t="s">
        <v>32</v>
      </c>
      <c r="E2115" s="77"/>
      <c r="F2115" s="78">
        <f>F2114*E2115</f>
        <v>0</v>
      </c>
    </row>
    <row r="2116" spans="1:8" x14ac:dyDescent="0.2">
      <c r="A2116" s="71"/>
      <c r="B2116" s="62"/>
      <c r="C2116" s="72"/>
      <c r="D2116" s="73" t="s">
        <v>33</v>
      </c>
      <c r="E2116" s="74"/>
      <c r="F2116" s="78">
        <f>SUM(F2114:F2115)</f>
        <v>7.6647999999999996</v>
      </c>
    </row>
    <row r="2117" spans="1:8" x14ac:dyDescent="0.2">
      <c r="A2117" s="79"/>
      <c r="B2117" s="76"/>
      <c r="C2117" s="73"/>
      <c r="D2117" s="80" t="s">
        <v>34</v>
      </c>
      <c r="E2117" s="81"/>
      <c r="F2117" s="82">
        <f>F2116</f>
        <v>7.6647999999999996</v>
      </c>
    </row>
    <row r="2118" spans="1:8" x14ac:dyDescent="0.2">
      <c r="A2118" s="79"/>
      <c r="B2118" s="76"/>
      <c r="C2118" s="73"/>
      <c r="D2118" s="83"/>
      <c r="E2118" s="84"/>
      <c r="F2118" s="85"/>
    </row>
    <row r="2119" spans="1:8" x14ac:dyDescent="0.2">
      <c r="A2119" s="746" t="s">
        <v>35</v>
      </c>
      <c r="B2119" s="747"/>
      <c r="C2119" s="747"/>
      <c r="D2119" s="747"/>
      <c r="E2119" s="747"/>
      <c r="F2119" s="748"/>
    </row>
    <row r="2120" spans="1:8" x14ac:dyDescent="0.2">
      <c r="A2120" s="64" t="s">
        <v>8</v>
      </c>
      <c r="B2120" s="64" t="s">
        <v>26</v>
      </c>
      <c r="C2120" s="64" t="s">
        <v>27</v>
      </c>
      <c r="D2120" s="64" t="s">
        <v>28</v>
      </c>
      <c r="E2120" s="64" t="s">
        <v>29</v>
      </c>
      <c r="F2120" s="64" t="s">
        <v>30</v>
      </c>
    </row>
    <row r="2121" spans="1:8" x14ac:dyDescent="0.2">
      <c r="A2121" s="262"/>
      <c r="B2121" s="507"/>
      <c r="C2121" s="113"/>
      <c r="D2121" s="265"/>
      <c r="E2121" s="688"/>
      <c r="F2121" s="174"/>
    </row>
    <row r="2122" spans="1:8" ht="22.5" x14ac:dyDescent="0.2">
      <c r="A2122" s="262">
        <v>20078</v>
      </c>
      <c r="B2122" s="507" t="s">
        <v>9138</v>
      </c>
      <c r="C2122" s="113" t="s">
        <v>11068</v>
      </c>
      <c r="D2122" s="155">
        <v>0.04</v>
      </c>
      <c r="E2122" s="691">
        <v>19.84</v>
      </c>
      <c r="F2122" s="690">
        <f>D2122*E2122</f>
        <v>0.79359999999999997</v>
      </c>
      <c r="H2122" s="674"/>
    </row>
    <row r="2123" spans="1:8" x14ac:dyDescent="0.2">
      <c r="A2123" s="692" t="s">
        <v>13898</v>
      </c>
      <c r="B2123" s="507" t="s">
        <v>13897</v>
      </c>
      <c r="C2123" s="113" t="s">
        <v>18</v>
      </c>
      <c r="D2123" s="155">
        <v>1</v>
      </c>
      <c r="E2123" s="691">
        <v>1.07</v>
      </c>
      <c r="F2123" s="690">
        <f>D2123*E2123</f>
        <v>1.07</v>
      </c>
      <c r="H2123" s="674"/>
    </row>
    <row r="2124" spans="1:8" ht="22.5" x14ac:dyDescent="0.2">
      <c r="A2124" s="65">
        <v>3517</v>
      </c>
      <c r="B2124" s="216" t="s">
        <v>8205</v>
      </c>
      <c r="C2124" s="67" t="s">
        <v>10884</v>
      </c>
      <c r="D2124" s="155">
        <v>1.0149999999999999</v>
      </c>
      <c r="E2124" s="691">
        <v>2.29</v>
      </c>
      <c r="F2124" s="690">
        <f>D2124*E2124</f>
        <v>2.3243499999999999</v>
      </c>
    </row>
    <row r="2125" spans="1:8" x14ac:dyDescent="0.2">
      <c r="A2125" s="79"/>
      <c r="B2125" s="76"/>
      <c r="C2125" s="73"/>
      <c r="D2125" s="80" t="s">
        <v>36</v>
      </c>
      <c r="E2125" s="81"/>
      <c r="F2125" s="101">
        <f>SUM(F2121:F2124)</f>
        <v>4.1879499999999998</v>
      </c>
    </row>
    <row r="2126" spans="1:8" x14ac:dyDescent="0.2">
      <c r="A2126" s="79"/>
      <c r="B2126" s="76"/>
      <c r="C2126" s="73"/>
      <c r="D2126" s="83"/>
      <c r="E2126" s="84"/>
      <c r="F2126" s="85"/>
    </row>
    <row r="2127" spans="1:8" x14ac:dyDescent="0.2">
      <c r="A2127" s="746" t="s">
        <v>37</v>
      </c>
      <c r="B2127" s="747"/>
      <c r="C2127" s="747"/>
      <c r="D2127" s="747"/>
      <c r="E2127" s="747"/>
      <c r="F2127" s="748"/>
    </row>
    <row r="2128" spans="1:8" x14ac:dyDescent="0.2">
      <c r="A2128" s="64" t="s">
        <v>8</v>
      </c>
      <c r="B2128" s="64" t="s">
        <v>26</v>
      </c>
      <c r="C2128" s="64" t="s">
        <v>27</v>
      </c>
      <c r="D2128" s="64" t="s">
        <v>28</v>
      </c>
      <c r="E2128" s="64" t="s">
        <v>29</v>
      </c>
      <c r="F2128" s="64" t="s">
        <v>30</v>
      </c>
    </row>
    <row r="2129" spans="1:6" x14ac:dyDescent="0.2">
      <c r="A2129" s="65"/>
      <c r="B2129" s="66"/>
      <c r="C2129" s="88"/>
      <c r="D2129" s="89"/>
      <c r="E2129" s="173"/>
      <c r="F2129" s="174"/>
    </row>
    <row r="2130" spans="1:6" x14ac:dyDescent="0.2">
      <c r="A2130" s="92"/>
      <c r="B2130" s="87"/>
      <c r="C2130" s="88"/>
      <c r="D2130" s="103"/>
      <c r="E2130" s="94"/>
      <c r="F2130" s="100"/>
    </row>
    <row r="2131" spans="1:6" x14ac:dyDescent="0.2">
      <c r="A2131" s="95"/>
      <c r="B2131" s="96"/>
      <c r="C2131" s="97"/>
      <c r="D2131" s="98"/>
      <c r="E2131" s="99"/>
      <c r="F2131" s="104"/>
    </row>
    <row r="2132" spans="1:6" x14ac:dyDescent="0.2">
      <c r="A2132" s="79"/>
      <c r="B2132" s="76"/>
      <c r="C2132" s="73"/>
      <c r="D2132" s="80" t="s">
        <v>38</v>
      </c>
      <c r="E2132" s="81"/>
      <c r="F2132" s="101">
        <f>ROUND(SUM(F2129:F2129),2)</f>
        <v>0</v>
      </c>
    </row>
    <row r="2133" spans="1:6" x14ac:dyDescent="0.2">
      <c r="A2133" s="79"/>
      <c r="B2133" s="76"/>
      <c r="C2133" s="73"/>
      <c r="D2133" s="83"/>
      <c r="E2133" s="84"/>
      <c r="F2133" s="85"/>
    </row>
    <row r="2134" spans="1:6" x14ac:dyDescent="0.2">
      <c r="A2134" s="749" t="s">
        <v>39</v>
      </c>
      <c r="B2134" s="750"/>
      <c r="C2134" s="750"/>
      <c r="D2134" s="750"/>
      <c r="E2134" s="751"/>
      <c r="F2134" s="105">
        <f>ROUND(F2117+F2125+F2132,2)</f>
        <v>11.85</v>
      </c>
    </row>
    <row r="2135" spans="1:6" ht="15.75" x14ac:dyDescent="0.2">
      <c r="A2135" s="587" t="s">
        <v>8</v>
      </c>
      <c r="B2135" s="743" t="s">
        <v>23</v>
      </c>
      <c r="C2135" s="743"/>
      <c r="D2135" s="743"/>
      <c r="E2135" s="743"/>
      <c r="F2135" s="588" t="s">
        <v>24</v>
      </c>
    </row>
    <row r="2136" spans="1:6" ht="15" x14ac:dyDescent="0.2">
      <c r="A2136" s="63" t="s">
        <v>13899</v>
      </c>
      <c r="B2136" s="744" t="str">
        <f>PO!D233</f>
        <v>Registro de pressão com canopla Ø 25 mm - 1".</v>
      </c>
      <c r="C2136" s="744"/>
      <c r="D2136" s="744"/>
      <c r="E2136" s="744"/>
      <c r="F2136" s="107" t="str">
        <f>PO!E233</f>
        <v>und</v>
      </c>
    </row>
    <row r="2137" spans="1:6" x14ac:dyDescent="0.2">
      <c r="A2137" s="745" t="s">
        <v>25</v>
      </c>
      <c r="B2137" s="745"/>
      <c r="C2137" s="745"/>
      <c r="D2137" s="745"/>
      <c r="E2137" s="745"/>
      <c r="F2137" s="745"/>
    </row>
    <row r="2138" spans="1:6" x14ac:dyDescent="0.2">
      <c r="A2138" s="64" t="s">
        <v>8</v>
      </c>
      <c r="B2138" s="64" t="s">
        <v>26</v>
      </c>
      <c r="C2138" s="64" t="s">
        <v>27</v>
      </c>
      <c r="D2138" s="64" t="s">
        <v>28</v>
      </c>
      <c r="E2138" s="64" t="s">
        <v>29</v>
      </c>
      <c r="F2138" s="64" t="s">
        <v>30</v>
      </c>
    </row>
    <row r="2139" spans="1:6" x14ac:dyDescent="0.2">
      <c r="A2139" s="262"/>
      <c r="B2139" s="507"/>
      <c r="C2139" s="113"/>
      <c r="D2139" s="265"/>
      <c r="E2139" s="615"/>
      <c r="F2139" s="288"/>
    </row>
    <row r="2140" spans="1:6" ht="22.5" x14ac:dyDescent="0.2">
      <c r="A2140" s="262">
        <v>88267</v>
      </c>
      <c r="B2140" s="507" t="s">
        <v>5355</v>
      </c>
      <c r="C2140" s="113" t="s">
        <v>10945</v>
      </c>
      <c r="D2140" s="155">
        <v>0.61</v>
      </c>
      <c r="E2140" s="691">
        <v>19.64</v>
      </c>
      <c r="F2140" s="623">
        <f t="shared" ref="F2140:F2141" si="49">D2140*E2140</f>
        <v>11.980399999999999</v>
      </c>
    </row>
    <row r="2141" spans="1:6" ht="22.5" x14ac:dyDescent="0.2">
      <c r="A2141" s="65">
        <v>88248</v>
      </c>
      <c r="B2141" s="216" t="s">
        <v>5337</v>
      </c>
      <c r="C2141" s="67" t="s">
        <v>10945</v>
      </c>
      <c r="D2141" s="155">
        <v>0.61</v>
      </c>
      <c r="E2141" s="691">
        <v>15.2</v>
      </c>
      <c r="F2141" s="623">
        <f t="shared" si="49"/>
        <v>9.2720000000000002</v>
      </c>
    </row>
    <row r="2142" spans="1:6" x14ac:dyDescent="0.2">
      <c r="A2142" s="71"/>
      <c r="B2142" s="62"/>
      <c r="C2142" s="72"/>
      <c r="D2142" s="73" t="s">
        <v>31</v>
      </c>
      <c r="E2142" s="74"/>
      <c r="F2142" s="75">
        <f>F2139+F2140+F2141</f>
        <v>21.252400000000002</v>
      </c>
    </row>
    <row r="2143" spans="1:6" x14ac:dyDescent="0.2">
      <c r="A2143" s="71"/>
      <c r="B2143" s="62"/>
      <c r="C2143" s="72"/>
      <c r="D2143" s="76" t="s">
        <v>32</v>
      </c>
      <c r="E2143" s="77"/>
      <c r="F2143" s="78">
        <f>F2142*E2143</f>
        <v>0</v>
      </c>
    </row>
    <row r="2144" spans="1:6" x14ac:dyDescent="0.2">
      <c r="A2144" s="71"/>
      <c r="B2144" s="62"/>
      <c r="C2144" s="72"/>
      <c r="D2144" s="73" t="s">
        <v>33</v>
      </c>
      <c r="E2144" s="74"/>
      <c r="F2144" s="78">
        <f>SUM(F2142:F2143)</f>
        <v>21.252400000000002</v>
      </c>
    </row>
    <row r="2145" spans="1:8" x14ac:dyDescent="0.2">
      <c r="A2145" s="79"/>
      <c r="B2145" s="76"/>
      <c r="C2145" s="73"/>
      <c r="D2145" s="80" t="s">
        <v>34</v>
      </c>
      <c r="E2145" s="81"/>
      <c r="F2145" s="82">
        <f>F2144</f>
        <v>21.252400000000002</v>
      </c>
    </row>
    <row r="2146" spans="1:8" x14ac:dyDescent="0.2">
      <c r="A2146" s="79"/>
      <c r="B2146" s="76"/>
      <c r="C2146" s="73"/>
      <c r="D2146" s="83"/>
      <c r="E2146" s="84"/>
      <c r="F2146" s="85"/>
    </row>
    <row r="2147" spans="1:8" x14ac:dyDescent="0.2">
      <c r="A2147" s="746" t="s">
        <v>35</v>
      </c>
      <c r="B2147" s="747"/>
      <c r="C2147" s="747"/>
      <c r="D2147" s="747"/>
      <c r="E2147" s="747"/>
      <c r="F2147" s="748"/>
    </row>
    <row r="2148" spans="1:8" x14ac:dyDescent="0.2">
      <c r="A2148" s="64" t="s">
        <v>8</v>
      </c>
      <c r="B2148" s="64" t="s">
        <v>26</v>
      </c>
      <c r="C2148" s="64" t="s">
        <v>27</v>
      </c>
      <c r="D2148" s="64" t="s">
        <v>28</v>
      </c>
      <c r="E2148" s="64" t="s">
        <v>29</v>
      </c>
      <c r="F2148" s="64" t="s">
        <v>30</v>
      </c>
    </row>
    <row r="2149" spans="1:8" x14ac:dyDescent="0.2">
      <c r="A2149" s="262"/>
      <c r="B2149" s="507"/>
      <c r="C2149" s="113"/>
      <c r="D2149" s="265"/>
      <c r="E2149" s="688"/>
      <c r="F2149" s="174"/>
    </row>
    <row r="2150" spans="1:8" ht="22.5" x14ac:dyDescent="0.2">
      <c r="A2150" s="262">
        <v>6021</v>
      </c>
      <c r="B2150" s="507" t="s">
        <v>9633</v>
      </c>
      <c r="C2150" s="113" t="s">
        <v>10884</v>
      </c>
      <c r="D2150" s="155">
        <v>1.0149999999999999</v>
      </c>
      <c r="E2150" s="691">
        <v>43.79</v>
      </c>
      <c r="F2150" s="690">
        <f>D2150*E2150</f>
        <v>44.446849999999998</v>
      </c>
      <c r="H2150" s="674"/>
    </row>
    <row r="2151" spans="1:8" x14ac:dyDescent="0.2">
      <c r="A2151" s="692">
        <v>3148</v>
      </c>
      <c r="B2151" s="507" t="s">
        <v>7863</v>
      </c>
      <c r="C2151" s="113" t="s">
        <v>10884</v>
      </c>
      <c r="D2151" s="155">
        <v>1.2</v>
      </c>
      <c r="E2151" s="691">
        <v>12.54</v>
      </c>
      <c r="F2151" s="690">
        <f>D2151*E2151</f>
        <v>15.047999999999998</v>
      </c>
      <c r="H2151" s="674"/>
    </row>
    <row r="2152" spans="1:8" x14ac:dyDescent="0.2">
      <c r="A2152" s="65"/>
      <c r="B2152" s="216"/>
      <c r="C2152" s="67"/>
      <c r="D2152" s="155"/>
      <c r="E2152" s="691"/>
      <c r="F2152" s="690">
        <f>D2152*E2152</f>
        <v>0</v>
      </c>
    </row>
    <row r="2153" spans="1:8" x14ac:dyDescent="0.2">
      <c r="A2153" s="79"/>
      <c r="B2153" s="76"/>
      <c r="C2153" s="73"/>
      <c r="D2153" s="80" t="s">
        <v>36</v>
      </c>
      <c r="E2153" s="81"/>
      <c r="F2153" s="101">
        <f>SUM(F2149:F2152)</f>
        <v>59.49485</v>
      </c>
    </row>
    <row r="2154" spans="1:8" x14ac:dyDescent="0.2">
      <c r="A2154" s="79"/>
      <c r="B2154" s="76"/>
      <c r="C2154" s="73"/>
      <c r="D2154" s="83"/>
      <c r="E2154" s="84"/>
      <c r="F2154" s="85"/>
    </row>
    <row r="2155" spans="1:8" x14ac:dyDescent="0.2">
      <c r="A2155" s="746" t="s">
        <v>37</v>
      </c>
      <c r="B2155" s="747"/>
      <c r="C2155" s="747"/>
      <c r="D2155" s="747"/>
      <c r="E2155" s="747"/>
      <c r="F2155" s="748"/>
    </row>
    <row r="2156" spans="1:8" x14ac:dyDescent="0.2">
      <c r="A2156" s="64" t="s">
        <v>8</v>
      </c>
      <c r="B2156" s="64" t="s">
        <v>26</v>
      </c>
      <c r="C2156" s="64" t="s">
        <v>27</v>
      </c>
      <c r="D2156" s="64" t="s">
        <v>28</v>
      </c>
      <c r="E2156" s="64" t="s">
        <v>29</v>
      </c>
      <c r="F2156" s="64" t="s">
        <v>30</v>
      </c>
    </row>
    <row r="2157" spans="1:8" x14ac:dyDescent="0.2">
      <c r="A2157" s="65"/>
      <c r="B2157" s="66"/>
      <c r="C2157" s="88"/>
      <c r="D2157" s="89"/>
      <c r="E2157" s="173"/>
      <c r="F2157" s="174"/>
    </row>
    <row r="2158" spans="1:8" x14ac:dyDescent="0.2">
      <c r="A2158" s="92"/>
      <c r="B2158" s="87"/>
      <c r="C2158" s="88"/>
      <c r="D2158" s="103"/>
      <c r="E2158" s="94"/>
      <c r="F2158" s="100"/>
    </row>
    <row r="2159" spans="1:8" x14ac:dyDescent="0.2">
      <c r="A2159" s="95"/>
      <c r="B2159" s="96"/>
      <c r="C2159" s="97"/>
      <c r="D2159" s="98"/>
      <c r="E2159" s="99"/>
      <c r="F2159" s="104"/>
    </row>
    <row r="2160" spans="1:8" x14ac:dyDescent="0.2">
      <c r="A2160" s="79"/>
      <c r="B2160" s="76"/>
      <c r="C2160" s="73"/>
      <c r="D2160" s="80" t="s">
        <v>38</v>
      </c>
      <c r="E2160" s="81"/>
      <c r="F2160" s="101">
        <f>ROUND(SUM(F2157:F2157),2)</f>
        <v>0</v>
      </c>
    </row>
    <row r="2161" spans="1:6" x14ac:dyDescent="0.2">
      <c r="A2161" s="79"/>
      <c r="B2161" s="76"/>
      <c r="C2161" s="73"/>
      <c r="D2161" s="83"/>
      <c r="E2161" s="84"/>
      <c r="F2161" s="85"/>
    </row>
    <row r="2162" spans="1:6" x14ac:dyDescent="0.2">
      <c r="A2162" s="749" t="s">
        <v>39</v>
      </c>
      <c r="B2162" s="750"/>
      <c r="C2162" s="750"/>
      <c r="D2162" s="750"/>
      <c r="E2162" s="751"/>
      <c r="F2162" s="105">
        <f>ROUND(F2145+F2153+F2160,2)</f>
        <v>80.75</v>
      </c>
    </row>
    <row r="2163" spans="1:6" ht="15.75" x14ac:dyDescent="0.2">
      <c r="A2163" s="587" t="s">
        <v>8</v>
      </c>
      <c r="B2163" s="743" t="s">
        <v>23</v>
      </c>
      <c r="C2163" s="743"/>
      <c r="D2163" s="743"/>
      <c r="E2163" s="743"/>
      <c r="F2163" s="588" t="s">
        <v>24</v>
      </c>
    </row>
    <row r="2164" spans="1:6" ht="30" customHeight="1" x14ac:dyDescent="0.2">
      <c r="A2164" s="63" t="s">
        <v>13900</v>
      </c>
      <c r="B2164" s="744" t="str">
        <f>PO!D311</f>
        <v>Eletrocalha perfurada em chapa de aço galvanizado, com tampa largura 100 mm x altura 50 mm, instalação superior com bucha, inclusive conexões</v>
      </c>
      <c r="C2164" s="744"/>
      <c r="D2164" s="744"/>
      <c r="E2164" s="744"/>
      <c r="F2164" s="107" t="str">
        <f>PO!E311</f>
        <v>m</v>
      </c>
    </row>
    <row r="2165" spans="1:6" x14ac:dyDescent="0.2">
      <c r="A2165" s="745" t="s">
        <v>25</v>
      </c>
      <c r="B2165" s="745"/>
      <c r="C2165" s="745"/>
      <c r="D2165" s="745"/>
      <c r="E2165" s="745"/>
      <c r="F2165" s="745"/>
    </row>
    <row r="2166" spans="1:6" x14ac:dyDescent="0.2">
      <c r="A2166" s="64" t="s">
        <v>8</v>
      </c>
      <c r="B2166" s="64" t="s">
        <v>26</v>
      </c>
      <c r="C2166" s="64" t="s">
        <v>27</v>
      </c>
      <c r="D2166" s="64" t="s">
        <v>28</v>
      </c>
      <c r="E2166" s="64" t="s">
        <v>29</v>
      </c>
      <c r="F2166" s="64" t="s">
        <v>30</v>
      </c>
    </row>
    <row r="2167" spans="1:6" x14ac:dyDescent="0.2">
      <c r="A2167" s="262"/>
      <c r="B2167" s="507"/>
      <c r="C2167" s="113"/>
      <c r="D2167" s="265"/>
      <c r="E2167" s="615"/>
      <c r="F2167" s="288"/>
    </row>
    <row r="2168" spans="1:6" x14ac:dyDescent="0.2">
      <c r="A2168" s="262">
        <v>88264</v>
      </c>
      <c r="B2168" s="507" t="s">
        <v>5352</v>
      </c>
      <c r="C2168" s="113" t="s">
        <v>10945</v>
      </c>
      <c r="D2168" s="155">
        <v>0.72</v>
      </c>
      <c r="E2168" s="691">
        <v>21.08</v>
      </c>
      <c r="F2168" s="623">
        <f t="shared" ref="F2168:F2169" si="50">D2168*E2168</f>
        <v>15.177599999999998</v>
      </c>
    </row>
    <row r="2169" spans="1:6" x14ac:dyDescent="0.2">
      <c r="A2169" s="65">
        <v>88247</v>
      </c>
      <c r="B2169" s="216" t="s">
        <v>5336</v>
      </c>
      <c r="C2169" s="67" t="s">
        <v>10945</v>
      </c>
      <c r="D2169" s="155">
        <v>0.72</v>
      </c>
      <c r="E2169" s="691">
        <v>16.25</v>
      </c>
      <c r="F2169" s="623">
        <f t="shared" si="50"/>
        <v>11.7</v>
      </c>
    </row>
    <row r="2170" spans="1:6" x14ac:dyDescent="0.2">
      <c r="A2170" s="71"/>
      <c r="B2170" s="62"/>
      <c r="C2170" s="72"/>
      <c r="D2170" s="73" t="s">
        <v>31</v>
      </c>
      <c r="E2170" s="74"/>
      <c r="F2170" s="75">
        <f>F2167+F2168+F2169</f>
        <v>26.877599999999997</v>
      </c>
    </row>
    <row r="2171" spans="1:6" x14ac:dyDescent="0.2">
      <c r="A2171" s="71"/>
      <c r="B2171" s="62"/>
      <c r="C2171" s="72"/>
      <c r="D2171" s="76" t="s">
        <v>32</v>
      </c>
      <c r="E2171" s="77"/>
      <c r="F2171" s="78">
        <f>F2170*E2171</f>
        <v>0</v>
      </c>
    </row>
    <row r="2172" spans="1:6" x14ac:dyDescent="0.2">
      <c r="A2172" s="71"/>
      <c r="B2172" s="62"/>
      <c r="C2172" s="72"/>
      <c r="D2172" s="73" t="s">
        <v>33</v>
      </c>
      <c r="E2172" s="74"/>
      <c r="F2172" s="78">
        <f>SUM(F2170:F2171)</f>
        <v>26.877599999999997</v>
      </c>
    </row>
    <row r="2173" spans="1:6" x14ac:dyDescent="0.2">
      <c r="A2173" s="79"/>
      <c r="B2173" s="76"/>
      <c r="C2173" s="73"/>
      <c r="D2173" s="80" t="s">
        <v>34</v>
      </c>
      <c r="E2173" s="81"/>
      <c r="F2173" s="82">
        <f>F2172</f>
        <v>26.877599999999997</v>
      </c>
    </row>
    <row r="2174" spans="1:6" x14ac:dyDescent="0.2">
      <c r="A2174" s="79"/>
      <c r="B2174" s="76"/>
      <c r="C2174" s="73"/>
      <c r="D2174" s="83"/>
      <c r="E2174" s="84"/>
      <c r="F2174" s="85"/>
    </row>
    <row r="2175" spans="1:6" x14ac:dyDescent="0.2">
      <c r="A2175" s="746" t="s">
        <v>35</v>
      </c>
      <c r="B2175" s="747"/>
      <c r="C2175" s="747"/>
      <c r="D2175" s="747"/>
      <c r="E2175" s="747"/>
      <c r="F2175" s="748"/>
    </row>
    <row r="2176" spans="1:6" x14ac:dyDescent="0.2">
      <c r="A2176" s="64" t="s">
        <v>8</v>
      </c>
      <c r="B2176" s="64" t="s">
        <v>26</v>
      </c>
      <c r="C2176" s="64" t="s">
        <v>27</v>
      </c>
      <c r="D2176" s="64" t="s">
        <v>28</v>
      </c>
      <c r="E2176" s="64" t="s">
        <v>29</v>
      </c>
      <c r="F2176" s="64" t="s">
        <v>30</v>
      </c>
    </row>
    <row r="2177" spans="1:8" x14ac:dyDescent="0.2">
      <c r="A2177" s="262"/>
      <c r="B2177" s="507"/>
      <c r="C2177" s="113"/>
      <c r="D2177" s="265"/>
      <c r="E2177" s="688"/>
      <c r="F2177" s="174"/>
    </row>
    <row r="2178" spans="1:8" ht="22.5" x14ac:dyDescent="0.2">
      <c r="A2178" s="262">
        <v>13348</v>
      </c>
      <c r="B2178" s="507" t="s">
        <v>13901</v>
      </c>
      <c r="C2178" s="67" t="s">
        <v>10884</v>
      </c>
      <c r="D2178" s="155">
        <v>5.34</v>
      </c>
      <c r="E2178" s="691">
        <v>0.84</v>
      </c>
      <c r="F2178" s="690">
        <f>D2178*E2178</f>
        <v>4.4855999999999998</v>
      </c>
      <c r="H2178" s="674"/>
    </row>
    <row r="2179" spans="1:8" x14ac:dyDescent="0.2">
      <c r="A2179" s="692">
        <v>39997</v>
      </c>
      <c r="B2179" s="507" t="s">
        <v>9366</v>
      </c>
      <c r="C2179" s="67" t="s">
        <v>10884</v>
      </c>
      <c r="D2179" s="155">
        <v>5.33</v>
      </c>
      <c r="E2179" s="691">
        <v>0.18</v>
      </c>
      <c r="F2179" s="690">
        <f t="shared" ref="F2179:F2181" si="51">D2179*E2179</f>
        <v>0.95940000000000003</v>
      </c>
      <c r="H2179" s="674"/>
    </row>
    <row r="2180" spans="1:8" x14ac:dyDescent="0.2">
      <c r="A2180" s="692" t="s">
        <v>13903</v>
      </c>
      <c r="B2180" s="507" t="s">
        <v>13902</v>
      </c>
      <c r="C2180" s="67" t="s">
        <v>282</v>
      </c>
      <c r="D2180" s="155">
        <v>1.2</v>
      </c>
      <c r="E2180" s="691">
        <v>22.57</v>
      </c>
      <c r="F2180" s="690">
        <f t="shared" si="51"/>
        <v>27.084</v>
      </c>
      <c r="H2180" s="674"/>
    </row>
    <row r="2181" spans="1:8" x14ac:dyDescent="0.2">
      <c r="A2181" s="692" t="s">
        <v>13905</v>
      </c>
      <c r="B2181" s="507" t="s">
        <v>13904</v>
      </c>
      <c r="C2181" s="67" t="s">
        <v>282</v>
      </c>
      <c r="D2181" s="155">
        <v>1.2</v>
      </c>
      <c r="E2181" s="691">
        <v>6.02</v>
      </c>
      <c r="F2181" s="690">
        <f t="shared" si="51"/>
        <v>7.2239999999999993</v>
      </c>
      <c r="H2181" s="674"/>
    </row>
    <row r="2182" spans="1:8" x14ac:dyDescent="0.2">
      <c r="A2182" s="65"/>
      <c r="B2182" s="216"/>
      <c r="C2182" s="67"/>
      <c r="D2182" s="155"/>
      <c r="E2182" s="691"/>
      <c r="F2182" s="690">
        <f>D2182*E2182</f>
        <v>0</v>
      </c>
    </row>
    <row r="2183" spans="1:8" x14ac:dyDescent="0.2">
      <c r="A2183" s="79"/>
      <c r="B2183" s="76"/>
      <c r="C2183" s="73"/>
      <c r="D2183" s="80" t="s">
        <v>36</v>
      </c>
      <c r="E2183" s="81"/>
      <c r="F2183" s="101">
        <f>SUM(F2177:F2182)</f>
        <v>39.752999999999993</v>
      </c>
    </row>
    <row r="2184" spans="1:8" x14ac:dyDescent="0.2">
      <c r="A2184" s="79"/>
      <c r="B2184" s="76"/>
      <c r="C2184" s="73"/>
      <c r="D2184" s="83"/>
      <c r="E2184" s="84"/>
      <c r="F2184" s="85"/>
    </row>
    <row r="2185" spans="1:8" x14ac:dyDescent="0.2">
      <c r="A2185" s="746" t="s">
        <v>37</v>
      </c>
      <c r="B2185" s="747"/>
      <c r="C2185" s="747"/>
      <c r="D2185" s="747"/>
      <c r="E2185" s="747"/>
      <c r="F2185" s="748"/>
    </row>
    <row r="2186" spans="1:8" x14ac:dyDescent="0.2">
      <c r="A2186" s="64" t="s">
        <v>8</v>
      </c>
      <c r="B2186" s="64" t="s">
        <v>26</v>
      </c>
      <c r="C2186" s="64" t="s">
        <v>27</v>
      </c>
      <c r="D2186" s="64" t="s">
        <v>28</v>
      </c>
      <c r="E2186" s="64" t="s">
        <v>29</v>
      </c>
      <c r="F2186" s="64" t="s">
        <v>30</v>
      </c>
    </row>
    <row r="2187" spans="1:8" x14ac:dyDescent="0.2">
      <c r="A2187" s="65"/>
      <c r="B2187" s="66"/>
      <c r="C2187" s="88"/>
      <c r="D2187" s="89"/>
      <c r="E2187" s="173"/>
      <c r="F2187" s="174"/>
    </row>
    <row r="2188" spans="1:8" x14ac:dyDescent="0.2">
      <c r="A2188" s="92"/>
      <c r="B2188" s="87"/>
      <c r="C2188" s="88"/>
      <c r="D2188" s="103"/>
      <c r="E2188" s="94"/>
      <c r="F2188" s="100"/>
    </row>
    <row r="2189" spans="1:8" x14ac:dyDescent="0.2">
      <c r="A2189" s="95"/>
      <c r="B2189" s="96"/>
      <c r="C2189" s="97"/>
      <c r="D2189" s="98"/>
      <c r="E2189" s="99"/>
      <c r="F2189" s="104"/>
    </row>
    <row r="2190" spans="1:8" x14ac:dyDescent="0.2">
      <c r="A2190" s="79"/>
      <c r="B2190" s="76"/>
      <c r="C2190" s="73"/>
      <c r="D2190" s="80" t="s">
        <v>38</v>
      </c>
      <c r="E2190" s="81"/>
      <c r="F2190" s="101">
        <f>ROUND(SUM(F2187:F2187),2)</f>
        <v>0</v>
      </c>
    </row>
    <row r="2191" spans="1:8" x14ac:dyDescent="0.2">
      <c r="A2191" s="79"/>
      <c r="B2191" s="76"/>
      <c r="C2191" s="73"/>
      <c r="D2191" s="83"/>
      <c r="E2191" s="84"/>
      <c r="F2191" s="85"/>
    </row>
    <row r="2192" spans="1:8" x14ac:dyDescent="0.2">
      <c r="A2192" s="749" t="s">
        <v>39</v>
      </c>
      <c r="B2192" s="750"/>
      <c r="C2192" s="750"/>
      <c r="D2192" s="750"/>
      <c r="E2192" s="751"/>
      <c r="F2192" s="105">
        <f>ROUND(F2173+F2183+F2190,2)</f>
        <v>66.63</v>
      </c>
    </row>
    <row r="2193" spans="1:8" ht="15.75" x14ac:dyDescent="0.2">
      <c r="A2193" s="587" t="s">
        <v>8</v>
      </c>
      <c r="B2193" s="743" t="s">
        <v>23</v>
      </c>
      <c r="C2193" s="743"/>
      <c r="D2193" s="743"/>
      <c r="E2193" s="743"/>
      <c r="F2193" s="588" t="s">
        <v>24</v>
      </c>
    </row>
    <row r="2194" spans="1:8" ht="30" customHeight="1" x14ac:dyDescent="0.2">
      <c r="A2194" s="63" t="s">
        <v>13906</v>
      </c>
      <c r="B2194" s="744" t="str">
        <f>PO!D312</f>
        <v>Eletrocalha perfurada em chapa de aço galvanizado, com tampa largura 100 mm x altura 100 mm, instalação superior, inclusive conexões</v>
      </c>
      <c r="C2194" s="744"/>
      <c r="D2194" s="744"/>
      <c r="E2194" s="744"/>
      <c r="F2194" s="107" t="str">
        <f>PO!E312</f>
        <v>m</v>
      </c>
    </row>
    <row r="2195" spans="1:8" x14ac:dyDescent="0.2">
      <c r="A2195" s="745" t="s">
        <v>25</v>
      </c>
      <c r="B2195" s="745"/>
      <c r="C2195" s="745"/>
      <c r="D2195" s="745"/>
      <c r="E2195" s="745"/>
      <c r="F2195" s="745"/>
    </row>
    <row r="2196" spans="1:8" x14ac:dyDescent="0.2">
      <c r="A2196" s="64" t="s">
        <v>8</v>
      </c>
      <c r="B2196" s="64" t="s">
        <v>26</v>
      </c>
      <c r="C2196" s="64" t="s">
        <v>27</v>
      </c>
      <c r="D2196" s="64" t="s">
        <v>28</v>
      </c>
      <c r="E2196" s="64" t="s">
        <v>29</v>
      </c>
      <c r="F2196" s="64" t="s">
        <v>30</v>
      </c>
    </row>
    <row r="2197" spans="1:8" x14ac:dyDescent="0.2">
      <c r="A2197" s="262"/>
      <c r="B2197" s="507"/>
      <c r="C2197" s="113"/>
      <c r="D2197" s="265"/>
      <c r="E2197" s="615"/>
      <c r="F2197" s="288"/>
    </row>
    <row r="2198" spans="1:8" x14ac:dyDescent="0.2">
      <c r="A2198" s="262">
        <v>88264</v>
      </c>
      <c r="B2198" s="507" t="s">
        <v>5352</v>
      </c>
      <c r="C2198" s="113" t="s">
        <v>10945</v>
      </c>
      <c r="D2198" s="155">
        <v>0.72</v>
      </c>
      <c r="E2198" s="691">
        <v>21.08</v>
      </c>
      <c r="F2198" s="623">
        <f t="shared" ref="F2198:F2199" si="52">D2198*E2198</f>
        <v>15.177599999999998</v>
      </c>
    </row>
    <row r="2199" spans="1:8" x14ac:dyDescent="0.2">
      <c r="A2199" s="65">
        <v>88247</v>
      </c>
      <c r="B2199" s="216" t="s">
        <v>5336</v>
      </c>
      <c r="C2199" s="67" t="s">
        <v>10945</v>
      </c>
      <c r="D2199" s="155">
        <v>0.72</v>
      </c>
      <c r="E2199" s="691">
        <v>16.25</v>
      </c>
      <c r="F2199" s="623">
        <f t="shared" si="52"/>
        <v>11.7</v>
      </c>
    </row>
    <row r="2200" spans="1:8" x14ac:dyDescent="0.2">
      <c r="A2200" s="71"/>
      <c r="B2200" s="62"/>
      <c r="C2200" s="72"/>
      <c r="D2200" s="73" t="s">
        <v>31</v>
      </c>
      <c r="E2200" s="74"/>
      <c r="F2200" s="75">
        <f>F2197+F2198+F2199</f>
        <v>26.877599999999997</v>
      </c>
    </row>
    <row r="2201" spans="1:8" x14ac:dyDescent="0.2">
      <c r="A2201" s="71"/>
      <c r="B2201" s="62"/>
      <c r="C2201" s="72"/>
      <c r="D2201" s="76" t="s">
        <v>32</v>
      </c>
      <c r="E2201" s="77"/>
      <c r="F2201" s="78">
        <f>F2200*E2201</f>
        <v>0</v>
      </c>
    </row>
    <row r="2202" spans="1:8" x14ac:dyDescent="0.2">
      <c r="A2202" s="71"/>
      <c r="B2202" s="62"/>
      <c r="C2202" s="72"/>
      <c r="D2202" s="73" t="s">
        <v>33</v>
      </c>
      <c r="E2202" s="74"/>
      <c r="F2202" s="78">
        <f>SUM(F2200:F2201)</f>
        <v>26.877599999999997</v>
      </c>
    </row>
    <row r="2203" spans="1:8" x14ac:dyDescent="0.2">
      <c r="A2203" s="79"/>
      <c r="B2203" s="76"/>
      <c r="C2203" s="73"/>
      <c r="D2203" s="80" t="s">
        <v>34</v>
      </c>
      <c r="E2203" s="81"/>
      <c r="F2203" s="82">
        <f>F2202</f>
        <v>26.877599999999997</v>
      </c>
    </row>
    <row r="2204" spans="1:8" x14ac:dyDescent="0.2">
      <c r="A2204" s="79"/>
      <c r="B2204" s="76"/>
      <c r="C2204" s="73"/>
      <c r="D2204" s="83"/>
      <c r="E2204" s="84"/>
      <c r="F2204" s="85"/>
    </row>
    <row r="2205" spans="1:8" x14ac:dyDescent="0.2">
      <c r="A2205" s="746" t="s">
        <v>35</v>
      </c>
      <c r="B2205" s="747"/>
      <c r="C2205" s="747"/>
      <c r="D2205" s="747"/>
      <c r="E2205" s="747"/>
      <c r="F2205" s="748"/>
    </row>
    <row r="2206" spans="1:8" x14ac:dyDescent="0.2">
      <c r="A2206" s="64" t="s">
        <v>8</v>
      </c>
      <c r="B2206" s="64" t="s">
        <v>26</v>
      </c>
      <c r="C2206" s="64" t="s">
        <v>27</v>
      </c>
      <c r="D2206" s="64" t="s">
        <v>28</v>
      </c>
      <c r="E2206" s="64" t="s">
        <v>29</v>
      </c>
      <c r="F2206" s="64" t="s">
        <v>30</v>
      </c>
    </row>
    <row r="2207" spans="1:8" x14ac:dyDescent="0.2">
      <c r="A2207" s="262"/>
      <c r="B2207" s="507"/>
      <c r="C2207" s="113"/>
      <c r="D2207" s="265"/>
      <c r="E2207" s="688"/>
      <c r="F2207" s="174"/>
    </row>
    <row r="2208" spans="1:8" ht="22.5" x14ac:dyDescent="0.2">
      <c r="A2208" s="262">
        <v>13348</v>
      </c>
      <c r="B2208" s="507" t="s">
        <v>13901</v>
      </c>
      <c r="C2208" s="67" t="s">
        <v>10884</v>
      </c>
      <c r="D2208" s="155">
        <v>5.34</v>
      </c>
      <c r="E2208" s="691">
        <v>0.84</v>
      </c>
      <c r="F2208" s="690">
        <f>D2208*E2208</f>
        <v>4.4855999999999998</v>
      </c>
      <c r="H2208" s="674"/>
    </row>
    <row r="2209" spans="1:8" x14ac:dyDescent="0.2">
      <c r="A2209" s="692">
        <v>39997</v>
      </c>
      <c r="B2209" s="507" t="s">
        <v>9366</v>
      </c>
      <c r="C2209" s="67" t="s">
        <v>10884</v>
      </c>
      <c r="D2209" s="155">
        <v>5.33</v>
      </c>
      <c r="E2209" s="691">
        <v>0.18</v>
      </c>
      <c r="F2209" s="690">
        <f t="shared" ref="F2209:F2211" si="53">D2209*E2209</f>
        <v>0.95940000000000003</v>
      </c>
      <c r="H2209" s="674"/>
    </row>
    <row r="2210" spans="1:8" x14ac:dyDescent="0.2">
      <c r="A2210" s="692" t="s">
        <v>13908</v>
      </c>
      <c r="B2210" s="507" t="s">
        <v>13907</v>
      </c>
      <c r="C2210" s="67" t="s">
        <v>282</v>
      </c>
      <c r="D2210" s="155">
        <v>1.2</v>
      </c>
      <c r="E2210" s="691">
        <v>46.23</v>
      </c>
      <c r="F2210" s="690">
        <f t="shared" si="53"/>
        <v>55.475999999999992</v>
      </c>
      <c r="H2210" s="674"/>
    </row>
    <row r="2211" spans="1:8" x14ac:dyDescent="0.2">
      <c r="A2211" s="692" t="s">
        <v>13905</v>
      </c>
      <c r="B2211" s="507" t="s">
        <v>13904</v>
      </c>
      <c r="C2211" s="67" t="s">
        <v>282</v>
      </c>
      <c r="D2211" s="155">
        <v>1.2</v>
      </c>
      <c r="E2211" s="691">
        <v>6.02</v>
      </c>
      <c r="F2211" s="690">
        <f t="shared" si="53"/>
        <v>7.2239999999999993</v>
      </c>
      <c r="H2211" s="674"/>
    </row>
    <row r="2212" spans="1:8" x14ac:dyDescent="0.2">
      <c r="A2212" s="65"/>
      <c r="B2212" s="216"/>
      <c r="C2212" s="67"/>
      <c r="D2212" s="155"/>
      <c r="E2212" s="691"/>
      <c r="F2212" s="690">
        <f>D2212*E2212</f>
        <v>0</v>
      </c>
    </row>
    <row r="2213" spans="1:8" x14ac:dyDescent="0.2">
      <c r="A2213" s="79"/>
      <c r="B2213" s="76"/>
      <c r="C2213" s="73"/>
      <c r="D2213" s="80" t="s">
        <v>36</v>
      </c>
      <c r="E2213" s="81"/>
      <c r="F2213" s="101">
        <f>SUM(F2207:F2212)</f>
        <v>68.144999999999996</v>
      </c>
    </row>
    <row r="2214" spans="1:8" x14ac:dyDescent="0.2">
      <c r="A2214" s="79"/>
      <c r="B2214" s="76"/>
      <c r="C2214" s="73"/>
      <c r="D2214" s="83"/>
      <c r="E2214" s="84"/>
      <c r="F2214" s="85"/>
    </row>
    <row r="2215" spans="1:8" x14ac:dyDescent="0.2">
      <c r="A2215" s="746" t="s">
        <v>37</v>
      </c>
      <c r="B2215" s="747"/>
      <c r="C2215" s="747"/>
      <c r="D2215" s="747"/>
      <c r="E2215" s="747"/>
      <c r="F2215" s="748"/>
    </row>
    <row r="2216" spans="1:8" x14ac:dyDescent="0.2">
      <c r="A2216" s="64" t="s">
        <v>8</v>
      </c>
      <c r="B2216" s="64" t="s">
        <v>26</v>
      </c>
      <c r="C2216" s="64" t="s">
        <v>27</v>
      </c>
      <c r="D2216" s="64" t="s">
        <v>28</v>
      </c>
      <c r="E2216" s="64" t="s">
        <v>29</v>
      </c>
      <c r="F2216" s="64" t="s">
        <v>30</v>
      </c>
    </row>
    <row r="2217" spans="1:8" x14ac:dyDescent="0.2">
      <c r="A2217" s="65"/>
      <c r="B2217" s="66"/>
      <c r="C2217" s="88"/>
      <c r="D2217" s="89"/>
      <c r="E2217" s="173"/>
      <c r="F2217" s="174"/>
    </row>
    <row r="2218" spans="1:8" x14ac:dyDescent="0.2">
      <c r="A2218" s="92"/>
      <c r="B2218" s="87"/>
      <c r="C2218" s="88"/>
      <c r="D2218" s="103"/>
      <c r="E2218" s="94"/>
      <c r="F2218" s="100"/>
    </row>
    <row r="2219" spans="1:8" x14ac:dyDescent="0.2">
      <c r="A2219" s="95"/>
      <c r="B2219" s="96"/>
      <c r="C2219" s="97"/>
      <c r="D2219" s="98"/>
      <c r="E2219" s="99"/>
      <c r="F2219" s="104"/>
    </row>
    <row r="2220" spans="1:8" x14ac:dyDescent="0.2">
      <c r="A2220" s="79"/>
      <c r="B2220" s="76"/>
      <c r="C2220" s="73"/>
      <c r="D2220" s="80" t="s">
        <v>38</v>
      </c>
      <c r="E2220" s="81"/>
      <c r="F2220" s="101">
        <f>ROUND(SUM(F2217:F2217),2)</f>
        <v>0</v>
      </c>
    </row>
    <row r="2221" spans="1:8" x14ac:dyDescent="0.2">
      <c r="A2221" s="79"/>
      <c r="B2221" s="76"/>
      <c r="C2221" s="73"/>
      <c r="D2221" s="83"/>
      <c r="E2221" s="84"/>
      <c r="F2221" s="85"/>
    </row>
    <row r="2222" spans="1:8" x14ac:dyDescent="0.2">
      <c r="A2222" s="749" t="s">
        <v>39</v>
      </c>
      <c r="B2222" s="750"/>
      <c r="C2222" s="750"/>
      <c r="D2222" s="750"/>
      <c r="E2222" s="751"/>
      <c r="F2222" s="105">
        <f>ROUND(F2203+F2213+F2220,2)</f>
        <v>95.02</v>
      </c>
    </row>
    <row r="2223" spans="1:8" ht="15.75" x14ac:dyDescent="0.2">
      <c r="A2223" s="587" t="s">
        <v>8</v>
      </c>
      <c r="B2223" s="743" t="s">
        <v>23</v>
      </c>
      <c r="C2223" s="743"/>
      <c r="D2223" s="743"/>
      <c r="E2223" s="743"/>
      <c r="F2223" s="588" t="s">
        <v>24</v>
      </c>
    </row>
    <row r="2224" spans="1:8" ht="30" customHeight="1" x14ac:dyDescent="0.2">
      <c r="A2224" s="63" t="s">
        <v>13909</v>
      </c>
      <c r="B2224" s="744" t="str">
        <f>PO!D314</f>
        <v>Perfilado perfurado em chapa de aço galvanizado, largura 38 mm x altura 38 mm, com tampa, instalação superior.</v>
      </c>
      <c r="C2224" s="744"/>
      <c r="D2224" s="744"/>
      <c r="E2224" s="744"/>
      <c r="F2224" s="107" t="str">
        <f>PO!E314</f>
        <v>m</v>
      </c>
    </row>
    <row r="2225" spans="1:8" x14ac:dyDescent="0.2">
      <c r="A2225" s="745" t="s">
        <v>25</v>
      </c>
      <c r="B2225" s="745"/>
      <c r="C2225" s="745"/>
      <c r="D2225" s="745"/>
      <c r="E2225" s="745"/>
      <c r="F2225" s="745"/>
    </row>
    <row r="2226" spans="1:8" x14ac:dyDescent="0.2">
      <c r="A2226" s="64" t="s">
        <v>8</v>
      </c>
      <c r="B2226" s="64" t="s">
        <v>26</v>
      </c>
      <c r="C2226" s="64" t="s">
        <v>27</v>
      </c>
      <c r="D2226" s="64" t="s">
        <v>28</v>
      </c>
      <c r="E2226" s="64" t="s">
        <v>29</v>
      </c>
      <c r="F2226" s="64" t="s">
        <v>30</v>
      </c>
    </row>
    <row r="2227" spans="1:8" x14ac:dyDescent="0.2">
      <c r="A2227" s="262"/>
      <c r="B2227" s="507"/>
      <c r="C2227" s="113"/>
      <c r="D2227" s="265"/>
      <c r="E2227" s="615"/>
      <c r="F2227" s="288"/>
    </row>
    <row r="2228" spans="1:8" x14ac:dyDescent="0.2">
      <c r="A2228" s="262">
        <v>88264</v>
      </c>
      <c r="B2228" s="507" t="s">
        <v>5352</v>
      </c>
      <c r="C2228" s="113" t="s">
        <v>10945</v>
      </c>
      <c r="D2228" s="155">
        <v>0.72</v>
      </c>
      <c r="E2228" s="691">
        <v>21.08</v>
      </c>
      <c r="F2228" s="623">
        <f t="shared" ref="F2228:F2229" si="54">D2228*E2228</f>
        <v>15.177599999999998</v>
      </c>
    </row>
    <row r="2229" spans="1:8" x14ac:dyDescent="0.2">
      <c r="A2229" s="65">
        <v>88247</v>
      </c>
      <c r="B2229" s="216" t="s">
        <v>5336</v>
      </c>
      <c r="C2229" s="67" t="s">
        <v>10945</v>
      </c>
      <c r="D2229" s="155">
        <v>0.72</v>
      </c>
      <c r="E2229" s="691">
        <v>16.25</v>
      </c>
      <c r="F2229" s="623">
        <f t="shared" si="54"/>
        <v>11.7</v>
      </c>
    </row>
    <row r="2230" spans="1:8" x14ac:dyDescent="0.2">
      <c r="A2230" s="71"/>
      <c r="B2230" s="62"/>
      <c r="C2230" s="72"/>
      <c r="D2230" s="73" t="s">
        <v>31</v>
      </c>
      <c r="E2230" s="74"/>
      <c r="F2230" s="75">
        <f>F2227+F2228+F2229</f>
        <v>26.877599999999997</v>
      </c>
    </row>
    <row r="2231" spans="1:8" x14ac:dyDescent="0.2">
      <c r="A2231" s="71"/>
      <c r="B2231" s="62"/>
      <c r="C2231" s="72"/>
      <c r="D2231" s="76" t="s">
        <v>32</v>
      </c>
      <c r="E2231" s="77"/>
      <c r="F2231" s="78">
        <f>F2230*E2231</f>
        <v>0</v>
      </c>
    </row>
    <row r="2232" spans="1:8" x14ac:dyDescent="0.2">
      <c r="A2232" s="71"/>
      <c r="B2232" s="62"/>
      <c r="C2232" s="72"/>
      <c r="D2232" s="73" t="s">
        <v>33</v>
      </c>
      <c r="E2232" s="74"/>
      <c r="F2232" s="78">
        <f>SUM(F2230:F2231)</f>
        <v>26.877599999999997</v>
      </c>
    </row>
    <row r="2233" spans="1:8" x14ac:dyDescent="0.2">
      <c r="A2233" s="79"/>
      <c r="B2233" s="76"/>
      <c r="C2233" s="73"/>
      <c r="D2233" s="80" t="s">
        <v>34</v>
      </c>
      <c r="E2233" s="81"/>
      <c r="F2233" s="82">
        <f>F2232</f>
        <v>26.877599999999997</v>
      </c>
    </row>
    <row r="2234" spans="1:8" x14ac:dyDescent="0.2">
      <c r="A2234" s="79"/>
      <c r="B2234" s="76"/>
      <c r="C2234" s="73"/>
      <c r="D2234" s="83"/>
      <c r="E2234" s="84"/>
      <c r="F2234" s="85"/>
    </row>
    <row r="2235" spans="1:8" x14ac:dyDescent="0.2">
      <c r="A2235" s="746" t="s">
        <v>35</v>
      </c>
      <c r="B2235" s="747"/>
      <c r="C2235" s="747"/>
      <c r="D2235" s="747"/>
      <c r="E2235" s="747"/>
      <c r="F2235" s="748"/>
    </row>
    <row r="2236" spans="1:8" x14ac:dyDescent="0.2">
      <c r="A2236" s="64" t="s">
        <v>8</v>
      </c>
      <c r="B2236" s="64" t="s">
        <v>26</v>
      </c>
      <c r="C2236" s="64" t="s">
        <v>27</v>
      </c>
      <c r="D2236" s="64" t="s">
        <v>28</v>
      </c>
      <c r="E2236" s="64" t="s">
        <v>29</v>
      </c>
      <c r="F2236" s="64" t="s">
        <v>30</v>
      </c>
    </row>
    <row r="2237" spans="1:8" x14ac:dyDescent="0.2">
      <c r="A2237" s="262"/>
      <c r="B2237" s="507"/>
      <c r="C2237" s="113"/>
      <c r="D2237" s="265"/>
      <c r="E2237" s="688"/>
      <c r="F2237" s="174"/>
    </row>
    <row r="2238" spans="1:8" ht="22.5" x14ac:dyDescent="0.2">
      <c r="A2238" s="262">
        <v>13348</v>
      </c>
      <c r="B2238" s="507" t="s">
        <v>13901</v>
      </c>
      <c r="C2238" s="67" t="s">
        <v>10884</v>
      </c>
      <c r="D2238" s="155">
        <v>5.34</v>
      </c>
      <c r="E2238" s="691">
        <v>0.84</v>
      </c>
      <c r="F2238" s="690">
        <f>D2238*E2238</f>
        <v>4.4855999999999998</v>
      </c>
      <c r="H2238" s="674"/>
    </row>
    <row r="2239" spans="1:8" x14ac:dyDescent="0.2">
      <c r="A2239" s="692">
        <v>39997</v>
      </c>
      <c r="B2239" s="507" t="s">
        <v>9366</v>
      </c>
      <c r="C2239" s="67" t="s">
        <v>10884</v>
      </c>
      <c r="D2239" s="155">
        <v>5.33</v>
      </c>
      <c r="E2239" s="691">
        <v>0.18</v>
      </c>
      <c r="F2239" s="690">
        <f t="shared" ref="F2239:F2241" si="55">D2239*E2239</f>
        <v>0.95940000000000003</v>
      </c>
      <c r="H2239" s="674"/>
    </row>
    <row r="2240" spans="1:8" x14ac:dyDescent="0.2">
      <c r="A2240" s="692" t="s">
        <v>13908</v>
      </c>
      <c r="B2240" s="507" t="s">
        <v>13907</v>
      </c>
      <c r="C2240" s="67" t="s">
        <v>282</v>
      </c>
      <c r="D2240" s="155">
        <v>1.2</v>
      </c>
      <c r="E2240" s="691">
        <v>46.23</v>
      </c>
      <c r="F2240" s="690">
        <f t="shared" si="55"/>
        <v>55.475999999999992</v>
      </c>
      <c r="H2240" s="674"/>
    </row>
    <row r="2241" spans="1:8" x14ac:dyDescent="0.2">
      <c r="A2241" s="692" t="s">
        <v>13905</v>
      </c>
      <c r="B2241" s="507" t="s">
        <v>13904</v>
      </c>
      <c r="C2241" s="67" t="s">
        <v>282</v>
      </c>
      <c r="D2241" s="155">
        <v>1.2</v>
      </c>
      <c r="E2241" s="691">
        <v>6.02</v>
      </c>
      <c r="F2241" s="690">
        <f t="shared" si="55"/>
        <v>7.2239999999999993</v>
      </c>
      <c r="H2241" s="674"/>
    </row>
    <row r="2242" spans="1:8" x14ac:dyDescent="0.2">
      <c r="A2242" s="65"/>
      <c r="B2242" s="216"/>
      <c r="C2242" s="67"/>
      <c r="D2242" s="155"/>
      <c r="E2242" s="691"/>
      <c r="F2242" s="690">
        <f>D2242*E2242</f>
        <v>0</v>
      </c>
    </row>
    <row r="2243" spans="1:8" x14ac:dyDescent="0.2">
      <c r="A2243" s="79"/>
      <c r="B2243" s="76"/>
      <c r="C2243" s="73"/>
      <c r="D2243" s="80" t="s">
        <v>36</v>
      </c>
      <c r="E2243" s="81"/>
      <c r="F2243" s="101">
        <f>SUM(F2237:F2242)</f>
        <v>68.144999999999996</v>
      </c>
    </row>
    <row r="2244" spans="1:8" x14ac:dyDescent="0.2">
      <c r="A2244" s="79"/>
      <c r="B2244" s="76"/>
      <c r="C2244" s="73"/>
      <c r="D2244" s="83"/>
      <c r="E2244" s="84"/>
      <c r="F2244" s="85"/>
    </row>
    <row r="2245" spans="1:8" x14ac:dyDescent="0.2">
      <c r="A2245" s="746" t="s">
        <v>37</v>
      </c>
      <c r="B2245" s="747"/>
      <c r="C2245" s="747"/>
      <c r="D2245" s="747"/>
      <c r="E2245" s="747"/>
      <c r="F2245" s="748"/>
    </row>
    <row r="2246" spans="1:8" x14ac:dyDescent="0.2">
      <c r="A2246" s="64" t="s">
        <v>8</v>
      </c>
      <c r="B2246" s="64" t="s">
        <v>26</v>
      </c>
      <c r="C2246" s="64" t="s">
        <v>27</v>
      </c>
      <c r="D2246" s="64" t="s">
        <v>28</v>
      </c>
      <c r="E2246" s="64" t="s">
        <v>29</v>
      </c>
      <c r="F2246" s="64" t="s">
        <v>30</v>
      </c>
    </row>
    <row r="2247" spans="1:8" x14ac:dyDescent="0.2">
      <c r="A2247" s="65"/>
      <c r="B2247" s="66"/>
      <c r="C2247" s="88"/>
      <c r="D2247" s="89"/>
      <c r="E2247" s="173"/>
      <c r="F2247" s="174"/>
    </row>
    <row r="2248" spans="1:8" x14ac:dyDescent="0.2">
      <c r="A2248" s="92"/>
      <c r="B2248" s="87"/>
      <c r="C2248" s="88"/>
      <c r="D2248" s="103"/>
      <c r="E2248" s="94"/>
      <c r="F2248" s="100"/>
    </row>
    <row r="2249" spans="1:8" x14ac:dyDescent="0.2">
      <c r="A2249" s="95"/>
      <c r="B2249" s="96"/>
      <c r="C2249" s="97"/>
      <c r="D2249" s="98"/>
      <c r="E2249" s="99"/>
      <c r="F2249" s="104"/>
    </row>
    <row r="2250" spans="1:8" x14ac:dyDescent="0.2">
      <c r="A2250" s="79"/>
      <c r="B2250" s="76"/>
      <c r="C2250" s="73"/>
      <c r="D2250" s="80" t="s">
        <v>38</v>
      </c>
      <c r="E2250" s="81"/>
      <c r="F2250" s="101">
        <f>ROUND(SUM(F2247:F2247),2)</f>
        <v>0</v>
      </c>
    </row>
    <row r="2251" spans="1:8" x14ac:dyDescent="0.2">
      <c r="A2251" s="79"/>
      <c r="B2251" s="76"/>
      <c r="C2251" s="73"/>
      <c r="D2251" s="83"/>
      <c r="E2251" s="84"/>
      <c r="F2251" s="85"/>
    </row>
    <row r="2252" spans="1:8" x14ac:dyDescent="0.2">
      <c r="A2252" s="749" t="s">
        <v>39</v>
      </c>
      <c r="B2252" s="750"/>
      <c r="C2252" s="750"/>
      <c r="D2252" s="750"/>
      <c r="E2252" s="751"/>
      <c r="F2252" s="105">
        <f>ROUND(F2233+F2243+F2250,2)</f>
        <v>95.02</v>
      </c>
    </row>
  </sheetData>
  <sheetProtection selectLockedCells="1" selectUnlockedCells="1"/>
  <mergeCells count="482">
    <mergeCell ref="A2092:F2092"/>
    <mergeCell ref="A2099:F2099"/>
    <mergeCell ref="A2106:E2106"/>
    <mergeCell ref="B2107:E2107"/>
    <mergeCell ref="B2108:E2108"/>
    <mergeCell ref="A2109:F2109"/>
    <mergeCell ref="A2119:F2119"/>
    <mergeCell ref="A2127:F2127"/>
    <mergeCell ref="A2134:E2134"/>
    <mergeCell ref="B2053:E2053"/>
    <mergeCell ref="B2054:E2054"/>
    <mergeCell ref="A2055:F2055"/>
    <mergeCell ref="A2065:F2065"/>
    <mergeCell ref="A2072:F2072"/>
    <mergeCell ref="A2079:E2079"/>
    <mergeCell ref="B2080:E2080"/>
    <mergeCell ref="B2081:E2081"/>
    <mergeCell ref="A2082:F2082"/>
    <mergeCell ref="A667:E667"/>
    <mergeCell ref="B2026:E2026"/>
    <mergeCell ref="B2027:E2027"/>
    <mergeCell ref="A2028:F2028"/>
    <mergeCell ref="A2038:F2038"/>
    <mergeCell ref="A2045:F2045"/>
    <mergeCell ref="A2052:E2052"/>
    <mergeCell ref="A1875:F1875"/>
    <mergeCell ref="A1882:F1882"/>
    <mergeCell ref="A1889:E1889"/>
    <mergeCell ref="A1916:E1916"/>
    <mergeCell ref="B1917:E1917"/>
    <mergeCell ref="B1918:E1918"/>
    <mergeCell ref="A1919:F1919"/>
    <mergeCell ref="A1929:F1929"/>
    <mergeCell ref="A1936:F1936"/>
    <mergeCell ref="A1943:E1943"/>
    <mergeCell ref="B1944:E1944"/>
    <mergeCell ref="B1945:E1945"/>
    <mergeCell ref="A1946:F1946"/>
    <mergeCell ref="A1957:F1957"/>
    <mergeCell ref="A1964:F1964"/>
    <mergeCell ref="A1971:E1971"/>
    <mergeCell ref="B1999:E1999"/>
    <mergeCell ref="B2000:E2000"/>
    <mergeCell ref="B1836:E1836"/>
    <mergeCell ref="B1837:E1837"/>
    <mergeCell ref="A1838:F1838"/>
    <mergeCell ref="A1848:F1848"/>
    <mergeCell ref="B1890:E1890"/>
    <mergeCell ref="B1891:E1891"/>
    <mergeCell ref="A1892:F1892"/>
    <mergeCell ref="A1902:F1902"/>
    <mergeCell ref="A1909:F1909"/>
    <mergeCell ref="A1862:E1862"/>
    <mergeCell ref="B1863:E1863"/>
    <mergeCell ref="B1864:E1864"/>
    <mergeCell ref="A1865:F1865"/>
    <mergeCell ref="B1349:E1349"/>
    <mergeCell ref="B1350:E1350"/>
    <mergeCell ref="A1351:F1351"/>
    <mergeCell ref="B1648:E1648"/>
    <mergeCell ref="A1649:F1649"/>
    <mergeCell ref="A1659:F1659"/>
    <mergeCell ref="A1666:F1666"/>
    <mergeCell ref="A1673:E1673"/>
    <mergeCell ref="B1701:E1701"/>
    <mergeCell ref="A1510:E1510"/>
    <mergeCell ref="B1511:E1511"/>
    <mergeCell ref="B1512:E1512"/>
    <mergeCell ref="A1513:F1513"/>
    <mergeCell ref="A1361:F1361"/>
    <mergeCell ref="A1368:F1368"/>
    <mergeCell ref="A1375:E1375"/>
    <mergeCell ref="B1376:E1376"/>
    <mergeCell ref="B1377:E1377"/>
    <mergeCell ref="B1539:E1539"/>
    <mergeCell ref="A1540:F1540"/>
    <mergeCell ref="A1550:F1550"/>
    <mergeCell ref="A1558:F1558"/>
    <mergeCell ref="B1538:E1538"/>
    <mergeCell ref="A1523:F1523"/>
    <mergeCell ref="A985:F985"/>
    <mergeCell ref="A995:F995"/>
    <mergeCell ref="A1004:F1004"/>
    <mergeCell ref="B1148:E1148"/>
    <mergeCell ref="A1147:E1147"/>
    <mergeCell ref="A1059:F1059"/>
    <mergeCell ref="A1066:E1066"/>
    <mergeCell ref="B1068:E1068"/>
    <mergeCell ref="A1069:F1069"/>
    <mergeCell ref="A1079:F1079"/>
    <mergeCell ref="B1094:E1094"/>
    <mergeCell ref="B1095:E1095"/>
    <mergeCell ref="A1096:F1096"/>
    <mergeCell ref="A1106:F1106"/>
    <mergeCell ref="A1113:F1113"/>
    <mergeCell ref="A1120:E1120"/>
    <mergeCell ref="A1086:F1086"/>
    <mergeCell ref="B1121:E1121"/>
    <mergeCell ref="B1122:E1122"/>
    <mergeCell ref="A1038:E1038"/>
    <mergeCell ref="A1014:F1014"/>
    <mergeCell ref="B1012:E1012"/>
    <mergeCell ref="A1011:E1011"/>
    <mergeCell ref="A1024:F1024"/>
    <mergeCell ref="A946:F946"/>
    <mergeCell ref="A953:E953"/>
    <mergeCell ref="B983:E983"/>
    <mergeCell ref="B984:E984"/>
    <mergeCell ref="B954:E954"/>
    <mergeCell ref="B955:E955"/>
    <mergeCell ref="A956:F956"/>
    <mergeCell ref="A966:F966"/>
    <mergeCell ref="A975:F975"/>
    <mergeCell ref="A982:E982"/>
    <mergeCell ref="B897:E897"/>
    <mergeCell ref="A898:F898"/>
    <mergeCell ref="A908:F908"/>
    <mergeCell ref="A917:F917"/>
    <mergeCell ref="A924:E924"/>
    <mergeCell ref="B925:E925"/>
    <mergeCell ref="B926:E926"/>
    <mergeCell ref="A927:F927"/>
    <mergeCell ref="A937:F937"/>
    <mergeCell ref="A613:E613"/>
    <mergeCell ref="B722:E722"/>
    <mergeCell ref="B723:E723"/>
    <mergeCell ref="A724:F724"/>
    <mergeCell ref="A734:F734"/>
    <mergeCell ref="A743:F743"/>
    <mergeCell ref="A750:E750"/>
    <mergeCell ref="B751:E751"/>
    <mergeCell ref="B752:E752"/>
    <mergeCell ref="A633:F633"/>
    <mergeCell ref="A640:E640"/>
    <mergeCell ref="B614:E614"/>
    <mergeCell ref="A687:F687"/>
    <mergeCell ref="A694:E694"/>
    <mergeCell ref="A714:F714"/>
    <mergeCell ref="A721:E721"/>
    <mergeCell ref="B615:E615"/>
    <mergeCell ref="A616:F616"/>
    <mergeCell ref="A626:F626"/>
    <mergeCell ref="B641:E641"/>
    <mergeCell ref="B642:E642"/>
    <mergeCell ref="A643:F643"/>
    <mergeCell ref="A653:F653"/>
    <mergeCell ref="A660:F660"/>
    <mergeCell ref="A560:F560"/>
    <mergeCell ref="A570:F570"/>
    <mergeCell ref="A578:F578"/>
    <mergeCell ref="A585:E585"/>
    <mergeCell ref="B586:E586"/>
    <mergeCell ref="B587:E587"/>
    <mergeCell ref="A588:F588"/>
    <mergeCell ref="A598:F598"/>
    <mergeCell ref="A606:F606"/>
    <mergeCell ref="A485:F485"/>
    <mergeCell ref="A495:F495"/>
    <mergeCell ref="A502:E502"/>
    <mergeCell ref="B558:E558"/>
    <mergeCell ref="B559:E559"/>
    <mergeCell ref="B531:E531"/>
    <mergeCell ref="A532:F532"/>
    <mergeCell ref="A542:F542"/>
    <mergeCell ref="A550:F550"/>
    <mergeCell ref="A557:E557"/>
    <mergeCell ref="B530:E530"/>
    <mergeCell ref="A505:F505"/>
    <mergeCell ref="A515:F515"/>
    <mergeCell ref="A522:F522"/>
    <mergeCell ref="A529:E529"/>
    <mergeCell ref="B503:E503"/>
    <mergeCell ref="B504:E504"/>
    <mergeCell ref="B439:E439"/>
    <mergeCell ref="B440:E440"/>
    <mergeCell ref="A441:F441"/>
    <mergeCell ref="A453:F453"/>
    <mergeCell ref="A463:F463"/>
    <mergeCell ref="A470:E470"/>
    <mergeCell ref="B471:E471"/>
    <mergeCell ref="B472:E472"/>
    <mergeCell ref="A473:F473"/>
    <mergeCell ref="A389:F389"/>
    <mergeCell ref="A399:F399"/>
    <mergeCell ref="A406:E406"/>
    <mergeCell ref="B407:E407"/>
    <mergeCell ref="B408:E408"/>
    <mergeCell ref="A409:F409"/>
    <mergeCell ref="A421:F421"/>
    <mergeCell ref="A431:F431"/>
    <mergeCell ref="A438:E438"/>
    <mergeCell ref="B1179:E1179"/>
    <mergeCell ref="B1180:E1180"/>
    <mergeCell ref="A1181:F1181"/>
    <mergeCell ref="A1093:E1093"/>
    <mergeCell ref="A763:F763"/>
    <mergeCell ref="A1222:F1222"/>
    <mergeCell ref="A1233:F1233"/>
    <mergeCell ref="A1123:F1123"/>
    <mergeCell ref="A1133:F1133"/>
    <mergeCell ref="A1140:F1140"/>
    <mergeCell ref="B1149:E1149"/>
    <mergeCell ref="A1150:F1150"/>
    <mergeCell ref="A1160:F1160"/>
    <mergeCell ref="B1067:E1067"/>
    <mergeCell ref="B1039:E1039"/>
    <mergeCell ref="B1040:E1040"/>
    <mergeCell ref="A1041:F1041"/>
    <mergeCell ref="A1051:F1051"/>
    <mergeCell ref="A840:F840"/>
    <mergeCell ref="A850:F850"/>
    <mergeCell ref="A859:F859"/>
    <mergeCell ref="A888:F888"/>
    <mergeCell ref="A895:E895"/>
    <mergeCell ref="B896:E896"/>
    <mergeCell ref="A1171:F1171"/>
    <mergeCell ref="A1178:E1178"/>
    <mergeCell ref="A772:F772"/>
    <mergeCell ref="A779:E779"/>
    <mergeCell ref="B780:E780"/>
    <mergeCell ref="B781:E781"/>
    <mergeCell ref="A782:F782"/>
    <mergeCell ref="A792:F792"/>
    <mergeCell ref="A801:F801"/>
    <mergeCell ref="A808:E808"/>
    <mergeCell ref="B809:E809"/>
    <mergeCell ref="B810:E810"/>
    <mergeCell ref="A811:F811"/>
    <mergeCell ref="A821:F821"/>
    <mergeCell ref="A830:F830"/>
    <mergeCell ref="A837:E837"/>
    <mergeCell ref="B838:E838"/>
    <mergeCell ref="B839:E839"/>
    <mergeCell ref="A1031:F1031"/>
    <mergeCell ref="A866:E866"/>
    <mergeCell ref="B867:E867"/>
    <mergeCell ref="B868:E868"/>
    <mergeCell ref="A869:F869"/>
    <mergeCell ref="A879:F879"/>
    <mergeCell ref="B1323:E1323"/>
    <mergeCell ref="A1191:F1191"/>
    <mergeCell ref="A1202:F1202"/>
    <mergeCell ref="A1209:E1209"/>
    <mergeCell ref="B1210:E1210"/>
    <mergeCell ref="B1211:E1211"/>
    <mergeCell ref="A1212:F1212"/>
    <mergeCell ref="B1295:E1295"/>
    <mergeCell ref="B1269:E1269"/>
    <mergeCell ref="A1270:F1270"/>
    <mergeCell ref="A1280:F1280"/>
    <mergeCell ref="A1297:F1297"/>
    <mergeCell ref="A1307:F1307"/>
    <mergeCell ref="A1314:F1314"/>
    <mergeCell ref="A1321:E1321"/>
    <mergeCell ref="B1296:E1296"/>
    <mergeCell ref="A1287:F1287"/>
    <mergeCell ref="A1240:E1240"/>
    <mergeCell ref="B169:E169"/>
    <mergeCell ref="B170:E170"/>
    <mergeCell ref="A171:F171"/>
    <mergeCell ref="A181:F181"/>
    <mergeCell ref="A188:F188"/>
    <mergeCell ref="A195:E195"/>
    <mergeCell ref="A198:F198"/>
    <mergeCell ref="A208:F208"/>
    <mergeCell ref="A215:F215"/>
    <mergeCell ref="B196:E196"/>
    <mergeCell ref="A284:F284"/>
    <mergeCell ref="B316:E316"/>
    <mergeCell ref="A298:F298"/>
    <mergeCell ref="A308:F308"/>
    <mergeCell ref="A315:E315"/>
    <mergeCell ref="B255:E255"/>
    <mergeCell ref="B256:E256"/>
    <mergeCell ref="A257:F257"/>
    <mergeCell ref="A274:F274"/>
    <mergeCell ref="B223:E223"/>
    <mergeCell ref="B224:E224"/>
    <mergeCell ref="A225:F225"/>
    <mergeCell ref="A237:F237"/>
    <mergeCell ref="A247:F247"/>
    <mergeCell ref="A254:E254"/>
    <mergeCell ref="B282:E282"/>
    <mergeCell ref="B283:E283"/>
    <mergeCell ref="B197:E197"/>
    <mergeCell ref="A267:F267"/>
    <mergeCell ref="A222:E222"/>
    <mergeCell ref="A281:E281"/>
    <mergeCell ref="B2:F2"/>
    <mergeCell ref="B7:E7"/>
    <mergeCell ref="B8:E8"/>
    <mergeCell ref="A9:F9"/>
    <mergeCell ref="A17:F17"/>
    <mergeCell ref="A6:F6"/>
    <mergeCell ref="A26:F26"/>
    <mergeCell ref="A33:E33"/>
    <mergeCell ref="A168:E168"/>
    <mergeCell ref="B142:E142"/>
    <mergeCell ref="B143:E143"/>
    <mergeCell ref="A144:F144"/>
    <mergeCell ref="A154:F154"/>
    <mergeCell ref="A161:F161"/>
    <mergeCell ref="A87:E87"/>
    <mergeCell ref="B61:E61"/>
    <mergeCell ref="A63:F63"/>
    <mergeCell ref="A73:F73"/>
    <mergeCell ref="A80:F80"/>
    <mergeCell ref="B34:E34"/>
    <mergeCell ref="B35:E35"/>
    <mergeCell ref="A36:F36"/>
    <mergeCell ref="A46:F46"/>
    <mergeCell ref="A100:F100"/>
    <mergeCell ref="A53:F53"/>
    <mergeCell ref="A60:E60"/>
    <mergeCell ref="B88:E88"/>
    <mergeCell ref="B89:E89"/>
    <mergeCell ref="B62:E62"/>
    <mergeCell ref="A90:F90"/>
    <mergeCell ref="A127:F127"/>
    <mergeCell ref="A134:F134"/>
    <mergeCell ref="A141:E141"/>
    <mergeCell ref="A107:F107"/>
    <mergeCell ref="A114:E114"/>
    <mergeCell ref="B115:E115"/>
    <mergeCell ref="B116:E116"/>
    <mergeCell ref="A117:F117"/>
    <mergeCell ref="B317:E317"/>
    <mergeCell ref="A318:F318"/>
    <mergeCell ref="A328:F328"/>
    <mergeCell ref="A335:F335"/>
    <mergeCell ref="A342:E342"/>
    <mergeCell ref="B668:E668"/>
    <mergeCell ref="B1013:E1013"/>
    <mergeCell ref="B669:E669"/>
    <mergeCell ref="A670:F670"/>
    <mergeCell ref="A680:F680"/>
    <mergeCell ref="A753:F753"/>
    <mergeCell ref="B343:E343"/>
    <mergeCell ref="B344:E344"/>
    <mergeCell ref="A345:F345"/>
    <mergeCell ref="A357:F357"/>
    <mergeCell ref="A367:F367"/>
    <mergeCell ref="A374:E374"/>
    <mergeCell ref="B375:E375"/>
    <mergeCell ref="B376:E376"/>
    <mergeCell ref="A377:F377"/>
    <mergeCell ref="B695:E695"/>
    <mergeCell ref="B696:E696"/>
    <mergeCell ref="A697:F697"/>
    <mergeCell ref="A707:F707"/>
    <mergeCell ref="B1728:E1728"/>
    <mergeCell ref="B1241:E1241"/>
    <mergeCell ref="B1242:E1242"/>
    <mergeCell ref="A1243:F1243"/>
    <mergeCell ref="A1253:F1253"/>
    <mergeCell ref="A1260:F1260"/>
    <mergeCell ref="A1267:E1267"/>
    <mergeCell ref="B1268:E1268"/>
    <mergeCell ref="A1294:E1294"/>
    <mergeCell ref="A1324:F1324"/>
    <mergeCell ref="B1431:E1431"/>
    <mergeCell ref="A1432:F1432"/>
    <mergeCell ref="A1442:F1442"/>
    <mergeCell ref="B1404:E1404"/>
    <mergeCell ref="A1405:F1405"/>
    <mergeCell ref="A1334:F1334"/>
    <mergeCell ref="A1341:F1341"/>
    <mergeCell ref="A1565:E1565"/>
    <mergeCell ref="B1674:E1674"/>
    <mergeCell ref="B1566:E1566"/>
    <mergeCell ref="B1567:E1567"/>
    <mergeCell ref="A1568:F1568"/>
    <mergeCell ref="A1456:E1456"/>
    <mergeCell ref="B1322:E1322"/>
    <mergeCell ref="A1578:F1578"/>
    <mergeCell ref="A1585:F1585"/>
    <mergeCell ref="A1592:E1592"/>
    <mergeCell ref="B1593:E1593"/>
    <mergeCell ref="B1702:E1702"/>
    <mergeCell ref="A1703:F1703"/>
    <mergeCell ref="A1713:F1713"/>
    <mergeCell ref="A1720:F1720"/>
    <mergeCell ref="A1727:E1727"/>
    <mergeCell ref="A1639:F1639"/>
    <mergeCell ref="A1646:E1646"/>
    <mergeCell ref="B1647:E1647"/>
    <mergeCell ref="B1457:E1457"/>
    <mergeCell ref="B1458:E1458"/>
    <mergeCell ref="A1537:E1537"/>
    <mergeCell ref="A1348:E1348"/>
    <mergeCell ref="A1378:F1378"/>
    <mergeCell ref="A1388:F1388"/>
    <mergeCell ref="A1395:F1395"/>
    <mergeCell ref="A1402:E1402"/>
    <mergeCell ref="B1430:E1430"/>
    <mergeCell ref="B1484:E1484"/>
    <mergeCell ref="B1485:E1485"/>
    <mergeCell ref="A1486:F1486"/>
    <mergeCell ref="A1496:F1496"/>
    <mergeCell ref="A1503:F1503"/>
    <mergeCell ref="A1449:F1449"/>
    <mergeCell ref="A1459:F1459"/>
    <mergeCell ref="A1469:F1469"/>
    <mergeCell ref="A1476:F1476"/>
    <mergeCell ref="A1483:E1483"/>
    <mergeCell ref="B1403:E1403"/>
    <mergeCell ref="A1415:F1415"/>
    <mergeCell ref="A1422:F1422"/>
    <mergeCell ref="A1429:E1429"/>
    <mergeCell ref="A1530:F1530"/>
    <mergeCell ref="A2001:F2001"/>
    <mergeCell ref="B1594:E1594"/>
    <mergeCell ref="A1595:F1595"/>
    <mergeCell ref="A1605:F1605"/>
    <mergeCell ref="A1612:F1612"/>
    <mergeCell ref="A1619:E1619"/>
    <mergeCell ref="B1620:E1620"/>
    <mergeCell ref="B1621:E1621"/>
    <mergeCell ref="A1622:F1622"/>
    <mergeCell ref="A1632:F1632"/>
    <mergeCell ref="B1729:E1729"/>
    <mergeCell ref="A1730:F1730"/>
    <mergeCell ref="A1740:F1740"/>
    <mergeCell ref="A1747:F1747"/>
    <mergeCell ref="A1835:E1835"/>
    <mergeCell ref="B1809:E1809"/>
    <mergeCell ref="B1972:E1972"/>
    <mergeCell ref="B1973:E1973"/>
    <mergeCell ref="A1974:F1974"/>
    <mergeCell ref="A1984:F1984"/>
    <mergeCell ref="A1991:F1991"/>
    <mergeCell ref="A1998:E1998"/>
    <mergeCell ref="A1801:F1801"/>
    <mergeCell ref="A1808:E1808"/>
    <mergeCell ref="A2011:F2011"/>
    <mergeCell ref="A2018:F2018"/>
    <mergeCell ref="A2025:E2025"/>
    <mergeCell ref="B1675:E1675"/>
    <mergeCell ref="A1676:F1676"/>
    <mergeCell ref="A1686:F1686"/>
    <mergeCell ref="A1693:F1693"/>
    <mergeCell ref="A1700:E1700"/>
    <mergeCell ref="B1782:E1782"/>
    <mergeCell ref="B1783:E1783"/>
    <mergeCell ref="A1784:F1784"/>
    <mergeCell ref="A1794:F1794"/>
    <mergeCell ref="A1754:E1754"/>
    <mergeCell ref="B1755:E1755"/>
    <mergeCell ref="B1756:E1756"/>
    <mergeCell ref="A1757:F1757"/>
    <mergeCell ref="A1767:F1767"/>
    <mergeCell ref="A1774:F1774"/>
    <mergeCell ref="A1781:E1781"/>
    <mergeCell ref="A1821:F1821"/>
    <mergeCell ref="A1828:F1828"/>
    <mergeCell ref="B1810:E1810"/>
    <mergeCell ref="A1811:F1811"/>
    <mergeCell ref="A1855:F1855"/>
    <mergeCell ref="B2135:E2135"/>
    <mergeCell ref="B2136:E2136"/>
    <mergeCell ref="A2137:F2137"/>
    <mergeCell ref="A2147:F2147"/>
    <mergeCell ref="A2155:F2155"/>
    <mergeCell ref="A2162:E2162"/>
    <mergeCell ref="B2163:E2163"/>
    <mergeCell ref="B2164:E2164"/>
    <mergeCell ref="A2165:F2165"/>
    <mergeCell ref="B2223:E2223"/>
    <mergeCell ref="B2224:E2224"/>
    <mergeCell ref="A2225:F2225"/>
    <mergeCell ref="A2235:F2235"/>
    <mergeCell ref="A2245:F2245"/>
    <mergeCell ref="A2252:E2252"/>
    <mergeCell ref="A2175:F2175"/>
    <mergeCell ref="A2185:F2185"/>
    <mergeCell ref="A2192:E2192"/>
    <mergeCell ref="B2193:E2193"/>
    <mergeCell ref="B2194:E2194"/>
    <mergeCell ref="A2195:F2195"/>
    <mergeCell ref="A2205:F2205"/>
    <mergeCell ref="A2215:F2215"/>
    <mergeCell ref="A2222:E2222"/>
  </mergeCells>
  <hyperlinks>
    <hyperlink ref="A619" r:id="rId1" display="javascript:WebForm_DoPostBackWithOptions(new WebForm_PostBackOptions(%22ctl00$MainContent$gvComposicao$ctl06$lnkBtnCodigo2%22, %22%22, true, %22GrupoCalculo%22, %22%22, false, true))" xr:uid="{00000000-0004-0000-0200-000000000000}"/>
    <hyperlink ref="A672" r:id="rId2" display="javascript:WebForm_DoPostBackWithOptions(new WebForm_PostBackOptions(%22ctl00$MainContent$gvComposicao$ctl05$lnkBtnCodigo2%22, %22%22, true, %22GrupoCalculo%22, %22%22, false, true))" xr:uid="{00000000-0004-0000-0200-000001000000}"/>
    <hyperlink ref="A673" r:id="rId3" display="javascript:WebForm_DoPostBackWithOptions(new WebForm_PostBackOptions(%22ctl00$MainContent$gvComposicao$ctl06$lnkBtnCodigo2%22, %22%22, true, %22GrupoCalculo%22, %22%22, false, true))" xr:uid="{00000000-0004-0000-0200-000002000000}"/>
  </hyperlinks>
  <printOptions horizontalCentered="1"/>
  <pageMargins left="0.39370078740157483" right="0.39370078740157483" top="0.9055118110236221" bottom="0.78740157480314965" header="0.15748031496062992" footer="3.937007874015748E-2"/>
  <pageSetup paperSize="9" scale="80" fitToHeight="100" orientation="portrait" r:id="rId4"/>
  <headerFooter alignWithMargins="0">
    <oddHeader>&amp;L
CNPJ: 27.651.907/0001-77&amp;C&amp;G&amp;R
IE: 00000004780094</oddHeader>
    <oddFooter>&amp;CAv. Abunã, 2914 – Sala D – Liberdade – Porto Velho – Rondônia – Brasil – CEP 76.803-888
+55 69 99283 9999  +55 69 4141 6641
proj.nova@outlook.com&amp;RPágina &amp;P de &amp;N</oddFooter>
  </headerFooter>
  <rowBreaks count="49" manualBreakCount="49">
    <brk id="60" max="5" man="1"/>
    <brk id="114" max="5" man="1"/>
    <brk id="168" max="5" man="1"/>
    <brk id="222" max="5" man="1"/>
    <brk id="254" max="5" man="1"/>
    <brk id="281" max="5" man="1"/>
    <brk id="315" max="5" man="1"/>
    <brk id="374" max="5" man="1"/>
    <brk id="406" max="5" man="1"/>
    <brk id="438" max="5" man="1"/>
    <brk id="470" max="5" man="1"/>
    <brk id="502" max="5" man="1"/>
    <brk id="529" max="5" man="1"/>
    <brk id="585" max="5" man="1"/>
    <brk id="613" max="5" man="1"/>
    <brk id="667" max="5" man="1"/>
    <brk id="694" max="5" man="1"/>
    <brk id="721" max="5" man="1"/>
    <brk id="779" max="5" man="1"/>
    <brk id="808" max="5" man="1"/>
    <brk id="837" max="5" man="1"/>
    <brk id="866" max="5" man="1"/>
    <brk id="895" max="5" man="1"/>
    <brk id="953" max="5" man="1"/>
    <brk id="1011" max="5" man="1"/>
    <brk id="1038" max="5" man="1"/>
    <brk id="1093" max="5" man="1"/>
    <brk id="1147" max="5" man="1"/>
    <brk id="1178" max="5" man="1"/>
    <brk id="1209" max="5" man="1"/>
    <brk id="1267" max="5" man="1"/>
    <brk id="1321" max="5" man="1"/>
    <brk id="1375" max="5" man="1"/>
    <brk id="1429" max="5" man="1"/>
    <brk id="1483" max="5" man="1"/>
    <brk id="1537" max="5" man="1"/>
    <brk id="1592" max="5" man="1"/>
    <brk id="1646" max="5" man="1"/>
    <brk id="1673" max="5" man="1"/>
    <brk id="1727" max="5" man="1"/>
    <brk id="1781" max="5" man="1"/>
    <brk id="1835" max="5" man="1"/>
    <brk id="1862" max="5" man="1"/>
    <brk id="1916" max="5" man="1"/>
    <brk id="1971" max="5" man="1"/>
    <brk id="1998" max="5" man="1"/>
    <brk id="2052" max="5" man="1"/>
    <brk id="2106" max="5" man="1"/>
    <brk id="2162" max="5" man="1"/>
  </rowBreaks>
  <drawing r:id="rId5"/>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9"/>
  <sheetViews>
    <sheetView showGridLines="0" view="pageBreakPreview" topLeftCell="A7" zoomScale="85" zoomScaleNormal="85" zoomScaleSheetLayoutView="85" workbookViewId="0">
      <selection activeCell="F21" sqref="F21"/>
    </sheetView>
  </sheetViews>
  <sheetFormatPr defaultRowHeight="15" x14ac:dyDescent="0.2"/>
  <cols>
    <col min="1" max="1" width="13.7109375" style="177" bestFit="1" customWidth="1"/>
    <col min="2" max="2" width="13.42578125" style="177" bestFit="1" customWidth="1"/>
    <col min="3" max="3" width="9.28515625" style="177" customWidth="1"/>
    <col min="4" max="5" width="9.140625" style="177"/>
    <col min="6" max="6" width="9.42578125" style="177" customWidth="1"/>
    <col min="7" max="8" width="9.140625" style="177"/>
    <col min="9" max="9" width="10.28515625" style="177" customWidth="1"/>
    <col min="10" max="10" width="9.140625" style="177"/>
    <col min="11" max="11" width="38.5703125" style="177" customWidth="1"/>
    <col min="12" max="13" width="9.140625" style="177"/>
    <col min="14" max="14" width="11.140625" style="177" customWidth="1"/>
    <col min="15" max="15" width="13.28515625" style="177" customWidth="1"/>
    <col min="16" max="256" width="9.140625" style="177"/>
    <col min="257" max="257" width="13.7109375" style="177" bestFit="1" customWidth="1"/>
    <col min="258" max="258" width="13.42578125" style="177" bestFit="1" customWidth="1"/>
    <col min="259" max="259" width="9.28515625" style="177" customWidth="1"/>
    <col min="260" max="261" width="9.140625" style="177"/>
    <col min="262" max="262" width="9.42578125" style="177" customWidth="1"/>
    <col min="263" max="264" width="9.140625" style="177"/>
    <col min="265" max="265" width="10.28515625" style="177" customWidth="1"/>
    <col min="266" max="266" width="9.140625" style="177"/>
    <col min="267" max="267" width="38.5703125" style="177" customWidth="1"/>
    <col min="268" max="269" width="9.140625" style="177"/>
    <col min="270" max="270" width="11.140625" style="177" customWidth="1"/>
    <col min="271" max="512" width="9.140625" style="177"/>
    <col min="513" max="513" width="13.7109375" style="177" bestFit="1" customWidth="1"/>
    <col min="514" max="514" width="13.42578125" style="177" bestFit="1" customWidth="1"/>
    <col min="515" max="515" width="9.28515625" style="177" customWidth="1"/>
    <col min="516" max="517" width="9.140625" style="177"/>
    <col min="518" max="518" width="9.42578125" style="177" customWidth="1"/>
    <col min="519" max="520" width="9.140625" style="177"/>
    <col min="521" max="521" width="10.28515625" style="177" customWidth="1"/>
    <col min="522" max="522" width="9.140625" style="177"/>
    <col min="523" max="523" width="38.5703125" style="177" customWidth="1"/>
    <col min="524" max="525" width="9.140625" style="177"/>
    <col min="526" max="526" width="11.140625" style="177" customWidth="1"/>
    <col min="527" max="768" width="9.140625" style="177"/>
    <col min="769" max="769" width="13.7109375" style="177" bestFit="1" customWidth="1"/>
    <col min="770" max="770" width="13.42578125" style="177" bestFit="1" customWidth="1"/>
    <col min="771" max="771" width="9.28515625" style="177" customWidth="1"/>
    <col min="772" max="773" width="9.140625" style="177"/>
    <col min="774" max="774" width="9.42578125" style="177" customWidth="1"/>
    <col min="775" max="776" width="9.140625" style="177"/>
    <col min="777" max="777" width="10.28515625" style="177" customWidth="1"/>
    <col min="778" max="778" width="9.140625" style="177"/>
    <col min="779" max="779" width="38.5703125" style="177" customWidth="1"/>
    <col min="780" max="781" width="9.140625" style="177"/>
    <col min="782" max="782" width="11.140625" style="177" customWidth="1"/>
    <col min="783" max="1024" width="9.140625" style="177"/>
    <col min="1025" max="1025" width="13.7109375" style="177" bestFit="1" customWidth="1"/>
    <col min="1026" max="1026" width="13.42578125" style="177" bestFit="1" customWidth="1"/>
    <col min="1027" max="1027" width="9.28515625" style="177" customWidth="1"/>
    <col min="1028" max="1029" width="9.140625" style="177"/>
    <col min="1030" max="1030" width="9.42578125" style="177" customWidth="1"/>
    <col min="1031" max="1032" width="9.140625" style="177"/>
    <col min="1033" max="1033" width="10.28515625" style="177" customWidth="1"/>
    <col min="1034" max="1034" width="9.140625" style="177"/>
    <col min="1035" max="1035" width="38.5703125" style="177" customWidth="1"/>
    <col min="1036" max="1037" width="9.140625" style="177"/>
    <col min="1038" max="1038" width="11.140625" style="177" customWidth="1"/>
    <col min="1039" max="1280" width="9.140625" style="177"/>
    <col min="1281" max="1281" width="13.7109375" style="177" bestFit="1" customWidth="1"/>
    <col min="1282" max="1282" width="13.42578125" style="177" bestFit="1" customWidth="1"/>
    <col min="1283" max="1283" width="9.28515625" style="177" customWidth="1"/>
    <col min="1284" max="1285" width="9.140625" style="177"/>
    <col min="1286" max="1286" width="9.42578125" style="177" customWidth="1"/>
    <col min="1287" max="1288" width="9.140625" style="177"/>
    <col min="1289" max="1289" width="10.28515625" style="177" customWidth="1"/>
    <col min="1290" max="1290" width="9.140625" style="177"/>
    <col min="1291" max="1291" width="38.5703125" style="177" customWidth="1"/>
    <col min="1292" max="1293" width="9.140625" style="177"/>
    <col min="1294" max="1294" width="11.140625" style="177" customWidth="1"/>
    <col min="1295" max="1536" width="9.140625" style="177"/>
    <col min="1537" max="1537" width="13.7109375" style="177" bestFit="1" customWidth="1"/>
    <col min="1538" max="1538" width="13.42578125" style="177" bestFit="1" customWidth="1"/>
    <col min="1539" max="1539" width="9.28515625" style="177" customWidth="1"/>
    <col min="1540" max="1541" width="9.140625" style="177"/>
    <col min="1542" max="1542" width="9.42578125" style="177" customWidth="1"/>
    <col min="1543" max="1544" width="9.140625" style="177"/>
    <col min="1545" max="1545" width="10.28515625" style="177" customWidth="1"/>
    <col min="1546" max="1546" width="9.140625" style="177"/>
    <col min="1547" max="1547" width="38.5703125" style="177" customWidth="1"/>
    <col min="1548" max="1549" width="9.140625" style="177"/>
    <col min="1550" max="1550" width="11.140625" style="177" customWidth="1"/>
    <col min="1551" max="1792" width="9.140625" style="177"/>
    <col min="1793" max="1793" width="13.7109375" style="177" bestFit="1" customWidth="1"/>
    <col min="1794" max="1794" width="13.42578125" style="177" bestFit="1" customWidth="1"/>
    <col min="1795" max="1795" width="9.28515625" style="177" customWidth="1"/>
    <col min="1796" max="1797" width="9.140625" style="177"/>
    <col min="1798" max="1798" width="9.42578125" style="177" customWidth="1"/>
    <col min="1799" max="1800" width="9.140625" style="177"/>
    <col min="1801" max="1801" width="10.28515625" style="177" customWidth="1"/>
    <col min="1802" max="1802" width="9.140625" style="177"/>
    <col min="1803" max="1803" width="38.5703125" style="177" customWidth="1"/>
    <col min="1804" max="1805" width="9.140625" style="177"/>
    <col min="1806" max="1806" width="11.140625" style="177" customWidth="1"/>
    <col min="1807" max="2048" width="9.140625" style="177"/>
    <col min="2049" max="2049" width="13.7109375" style="177" bestFit="1" customWidth="1"/>
    <col min="2050" max="2050" width="13.42578125" style="177" bestFit="1" customWidth="1"/>
    <col min="2051" max="2051" width="9.28515625" style="177" customWidth="1"/>
    <col min="2052" max="2053" width="9.140625" style="177"/>
    <col min="2054" max="2054" width="9.42578125" style="177" customWidth="1"/>
    <col min="2055" max="2056" width="9.140625" style="177"/>
    <col min="2057" max="2057" width="10.28515625" style="177" customWidth="1"/>
    <col min="2058" max="2058" width="9.140625" style="177"/>
    <col min="2059" max="2059" width="38.5703125" style="177" customWidth="1"/>
    <col min="2060" max="2061" width="9.140625" style="177"/>
    <col min="2062" max="2062" width="11.140625" style="177" customWidth="1"/>
    <col min="2063" max="2304" width="9.140625" style="177"/>
    <col min="2305" max="2305" width="13.7109375" style="177" bestFit="1" customWidth="1"/>
    <col min="2306" max="2306" width="13.42578125" style="177" bestFit="1" customWidth="1"/>
    <col min="2307" max="2307" width="9.28515625" style="177" customWidth="1"/>
    <col min="2308" max="2309" width="9.140625" style="177"/>
    <col min="2310" max="2310" width="9.42578125" style="177" customWidth="1"/>
    <col min="2311" max="2312" width="9.140625" style="177"/>
    <col min="2313" max="2313" width="10.28515625" style="177" customWidth="1"/>
    <col min="2314" max="2314" width="9.140625" style="177"/>
    <col min="2315" max="2315" width="38.5703125" style="177" customWidth="1"/>
    <col min="2316" max="2317" width="9.140625" style="177"/>
    <col min="2318" max="2318" width="11.140625" style="177" customWidth="1"/>
    <col min="2319" max="2560" width="9.140625" style="177"/>
    <col min="2561" max="2561" width="13.7109375" style="177" bestFit="1" customWidth="1"/>
    <col min="2562" max="2562" width="13.42578125" style="177" bestFit="1" customWidth="1"/>
    <col min="2563" max="2563" width="9.28515625" style="177" customWidth="1"/>
    <col min="2564" max="2565" width="9.140625" style="177"/>
    <col min="2566" max="2566" width="9.42578125" style="177" customWidth="1"/>
    <col min="2567" max="2568" width="9.140625" style="177"/>
    <col min="2569" max="2569" width="10.28515625" style="177" customWidth="1"/>
    <col min="2570" max="2570" width="9.140625" style="177"/>
    <col min="2571" max="2571" width="38.5703125" style="177" customWidth="1"/>
    <col min="2572" max="2573" width="9.140625" style="177"/>
    <col min="2574" max="2574" width="11.140625" style="177" customWidth="1"/>
    <col min="2575" max="2816" width="9.140625" style="177"/>
    <col min="2817" max="2817" width="13.7109375" style="177" bestFit="1" customWidth="1"/>
    <col min="2818" max="2818" width="13.42578125" style="177" bestFit="1" customWidth="1"/>
    <col min="2819" max="2819" width="9.28515625" style="177" customWidth="1"/>
    <col min="2820" max="2821" width="9.140625" style="177"/>
    <col min="2822" max="2822" width="9.42578125" style="177" customWidth="1"/>
    <col min="2823" max="2824" width="9.140625" style="177"/>
    <col min="2825" max="2825" width="10.28515625" style="177" customWidth="1"/>
    <col min="2826" max="2826" width="9.140625" style="177"/>
    <col min="2827" max="2827" width="38.5703125" style="177" customWidth="1"/>
    <col min="2828" max="2829" width="9.140625" style="177"/>
    <col min="2830" max="2830" width="11.140625" style="177" customWidth="1"/>
    <col min="2831" max="3072" width="9.140625" style="177"/>
    <col min="3073" max="3073" width="13.7109375" style="177" bestFit="1" customWidth="1"/>
    <col min="3074" max="3074" width="13.42578125" style="177" bestFit="1" customWidth="1"/>
    <col min="3075" max="3075" width="9.28515625" style="177" customWidth="1"/>
    <col min="3076" max="3077" width="9.140625" style="177"/>
    <col min="3078" max="3078" width="9.42578125" style="177" customWidth="1"/>
    <col min="3079" max="3080" width="9.140625" style="177"/>
    <col min="3081" max="3081" width="10.28515625" style="177" customWidth="1"/>
    <col min="3082" max="3082" width="9.140625" style="177"/>
    <col min="3083" max="3083" width="38.5703125" style="177" customWidth="1"/>
    <col min="3084" max="3085" width="9.140625" style="177"/>
    <col min="3086" max="3086" width="11.140625" style="177" customWidth="1"/>
    <col min="3087" max="3328" width="9.140625" style="177"/>
    <col min="3329" max="3329" width="13.7109375" style="177" bestFit="1" customWidth="1"/>
    <col min="3330" max="3330" width="13.42578125" style="177" bestFit="1" customWidth="1"/>
    <col min="3331" max="3331" width="9.28515625" style="177" customWidth="1"/>
    <col min="3332" max="3333" width="9.140625" style="177"/>
    <col min="3334" max="3334" width="9.42578125" style="177" customWidth="1"/>
    <col min="3335" max="3336" width="9.140625" style="177"/>
    <col min="3337" max="3337" width="10.28515625" style="177" customWidth="1"/>
    <col min="3338" max="3338" width="9.140625" style="177"/>
    <col min="3339" max="3339" width="38.5703125" style="177" customWidth="1"/>
    <col min="3340" max="3341" width="9.140625" style="177"/>
    <col min="3342" max="3342" width="11.140625" style="177" customWidth="1"/>
    <col min="3343" max="3584" width="9.140625" style="177"/>
    <col min="3585" max="3585" width="13.7109375" style="177" bestFit="1" customWidth="1"/>
    <col min="3586" max="3586" width="13.42578125" style="177" bestFit="1" customWidth="1"/>
    <col min="3587" max="3587" width="9.28515625" style="177" customWidth="1"/>
    <col min="3588" max="3589" width="9.140625" style="177"/>
    <col min="3590" max="3590" width="9.42578125" style="177" customWidth="1"/>
    <col min="3591" max="3592" width="9.140625" style="177"/>
    <col min="3593" max="3593" width="10.28515625" style="177" customWidth="1"/>
    <col min="3594" max="3594" width="9.140625" style="177"/>
    <col min="3595" max="3595" width="38.5703125" style="177" customWidth="1"/>
    <col min="3596" max="3597" width="9.140625" style="177"/>
    <col min="3598" max="3598" width="11.140625" style="177" customWidth="1"/>
    <col min="3599" max="3840" width="9.140625" style="177"/>
    <col min="3841" max="3841" width="13.7109375" style="177" bestFit="1" customWidth="1"/>
    <col min="3842" max="3842" width="13.42578125" style="177" bestFit="1" customWidth="1"/>
    <col min="3843" max="3843" width="9.28515625" style="177" customWidth="1"/>
    <col min="3844" max="3845" width="9.140625" style="177"/>
    <col min="3846" max="3846" width="9.42578125" style="177" customWidth="1"/>
    <col min="3847" max="3848" width="9.140625" style="177"/>
    <col min="3849" max="3849" width="10.28515625" style="177" customWidth="1"/>
    <col min="3850" max="3850" width="9.140625" style="177"/>
    <col min="3851" max="3851" width="38.5703125" style="177" customWidth="1"/>
    <col min="3852" max="3853" width="9.140625" style="177"/>
    <col min="3854" max="3854" width="11.140625" style="177" customWidth="1"/>
    <col min="3855" max="4096" width="9.140625" style="177"/>
    <col min="4097" max="4097" width="13.7109375" style="177" bestFit="1" customWidth="1"/>
    <col min="4098" max="4098" width="13.42578125" style="177" bestFit="1" customWidth="1"/>
    <col min="4099" max="4099" width="9.28515625" style="177" customWidth="1"/>
    <col min="4100" max="4101" width="9.140625" style="177"/>
    <col min="4102" max="4102" width="9.42578125" style="177" customWidth="1"/>
    <col min="4103" max="4104" width="9.140625" style="177"/>
    <col min="4105" max="4105" width="10.28515625" style="177" customWidth="1"/>
    <col min="4106" max="4106" width="9.140625" style="177"/>
    <col min="4107" max="4107" width="38.5703125" style="177" customWidth="1"/>
    <col min="4108" max="4109" width="9.140625" style="177"/>
    <col min="4110" max="4110" width="11.140625" style="177" customWidth="1"/>
    <col min="4111" max="4352" width="9.140625" style="177"/>
    <col min="4353" max="4353" width="13.7109375" style="177" bestFit="1" customWidth="1"/>
    <col min="4354" max="4354" width="13.42578125" style="177" bestFit="1" customWidth="1"/>
    <col min="4355" max="4355" width="9.28515625" style="177" customWidth="1"/>
    <col min="4356" max="4357" width="9.140625" style="177"/>
    <col min="4358" max="4358" width="9.42578125" style="177" customWidth="1"/>
    <col min="4359" max="4360" width="9.140625" style="177"/>
    <col min="4361" max="4361" width="10.28515625" style="177" customWidth="1"/>
    <col min="4362" max="4362" width="9.140625" style="177"/>
    <col min="4363" max="4363" width="38.5703125" style="177" customWidth="1"/>
    <col min="4364" max="4365" width="9.140625" style="177"/>
    <col min="4366" max="4366" width="11.140625" style="177" customWidth="1"/>
    <col min="4367" max="4608" width="9.140625" style="177"/>
    <col min="4609" max="4609" width="13.7109375" style="177" bestFit="1" customWidth="1"/>
    <col min="4610" max="4610" width="13.42578125" style="177" bestFit="1" customWidth="1"/>
    <col min="4611" max="4611" width="9.28515625" style="177" customWidth="1"/>
    <col min="4612" max="4613" width="9.140625" style="177"/>
    <col min="4614" max="4614" width="9.42578125" style="177" customWidth="1"/>
    <col min="4615" max="4616" width="9.140625" style="177"/>
    <col min="4617" max="4617" width="10.28515625" style="177" customWidth="1"/>
    <col min="4618" max="4618" width="9.140625" style="177"/>
    <col min="4619" max="4619" width="38.5703125" style="177" customWidth="1"/>
    <col min="4620" max="4621" width="9.140625" style="177"/>
    <col min="4622" max="4622" width="11.140625" style="177" customWidth="1"/>
    <col min="4623" max="4864" width="9.140625" style="177"/>
    <col min="4865" max="4865" width="13.7109375" style="177" bestFit="1" customWidth="1"/>
    <col min="4866" max="4866" width="13.42578125" style="177" bestFit="1" customWidth="1"/>
    <col min="4867" max="4867" width="9.28515625" style="177" customWidth="1"/>
    <col min="4868" max="4869" width="9.140625" style="177"/>
    <col min="4870" max="4870" width="9.42578125" style="177" customWidth="1"/>
    <col min="4871" max="4872" width="9.140625" style="177"/>
    <col min="4873" max="4873" width="10.28515625" style="177" customWidth="1"/>
    <col min="4874" max="4874" width="9.140625" style="177"/>
    <col min="4875" max="4875" width="38.5703125" style="177" customWidth="1"/>
    <col min="4876" max="4877" width="9.140625" style="177"/>
    <col min="4878" max="4878" width="11.140625" style="177" customWidth="1"/>
    <col min="4879" max="5120" width="9.140625" style="177"/>
    <col min="5121" max="5121" width="13.7109375" style="177" bestFit="1" customWidth="1"/>
    <col min="5122" max="5122" width="13.42578125" style="177" bestFit="1" customWidth="1"/>
    <col min="5123" max="5123" width="9.28515625" style="177" customWidth="1"/>
    <col min="5124" max="5125" width="9.140625" style="177"/>
    <col min="5126" max="5126" width="9.42578125" style="177" customWidth="1"/>
    <col min="5127" max="5128" width="9.140625" style="177"/>
    <col min="5129" max="5129" width="10.28515625" style="177" customWidth="1"/>
    <col min="5130" max="5130" width="9.140625" style="177"/>
    <col min="5131" max="5131" width="38.5703125" style="177" customWidth="1"/>
    <col min="5132" max="5133" width="9.140625" style="177"/>
    <col min="5134" max="5134" width="11.140625" style="177" customWidth="1"/>
    <col min="5135" max="5376" width="9.140625" style="177"/>
    <col min="5377" max="5377" width="13.7109375" style="177" bestFit="1" customWidth="1"/>
    <col min="5378" max="5378" width="13.42578125" style="177" bestFit="1" customWidth="1"/>
    <col min="5379" max="5379" width="9.28515625" style="177" customWidth="1"/>
    <col min="5380" max="5381" width="9.140625" style="177"/>
    <col min="5382" max="5382" width="9.42578125" style="177" customWidth="1"/>
    <col min="5383" max="5384" width="9.140625" style="177"/>
    <col min="5385" max="5385" width="10.28515625" style="177" customWidth="1"/>
    <col min="5386" max="5386" width="9.140625" style="177"/>
    <col min="5387" max="5387" width="38.5703125" style="177" customWidth="1"/>
    <col min="5388" max="5389" width="9.140625" style="177"/>
    <col min="5390" max="5390" width="11.140625" style="177" customWidth="1"/>
    <col min="5391" max="5632" width="9.140625" style="177"/>
    <col min="5633" max="5633" width="13.7109375" style="177" bestFit="1" customWidth="1"/>
    <col min="5634" max="5634" width="13.42578125" style="177" bestFit="1" customWidth="1"/>
    <col min="5635" max="5635" width="9.28515625" style="177" customWidth="1"/>
    <col min="5636" max="5637" width="9.140625" style="177"/>
    <col min="5638" max="5638" width="9.42578125" style="177" customWidth="1"/>
    <col min="5639" max="5640" width="9.140625" style="177"/>
    <col min="5641" max="5641" width="10.28515625" style="177" customWidth="1"/>
    <col min="5642" max="5642" width="9.140625" style="177"/>
    <col min="5643" max="5643" width="38.5703125" style="177" customWidth="1"/>
    <col min="5644" max="5645" width="9.140625" style="177"/>
    <col min="5646" max="5646" width="11.140625" style="177" customWidth="1"/>
    <col min="5647" max="5888" width="9.140625" style="177"/>
    <col min="5889" max="5889" width="13.7109375" style="177" bestFit="1" customWidth="1"/>
    <col min="5890" max="5890" width="13.42578125" style="177" bestFit="1" customWidth="1"/>
    <col min="5891" max="5891" width="9.28515625" style="177" customWidth="1"/>
    <col min="5892" max="5893" width="9.140625" style="177"/>
    <col min="5894" max="5894" width="9.42578125" style="177" customWidth="1"/>
    <col min="5895" max="5896" width="9.140625" style="177"/>
    <col min="5897" max="5897" width="10.28515625" style="177" customWidth="1"/>
    <col min="5898" max="5898" width="9.140625" style="177"/>
    <col min="5899" max="5899" width="38.5703125" style="177" customWidth="1"/>
    <col min="5900" max="5901" width="9.140625" style="177"/>
    <col min="5902" max="5902" width="11.140625" style="177" customWidth="1"/>
    <col min="5903" max="6144" width="9.140625" style="177"/>
    <col min="6145" max="6145" width="13.7109375" style="177" bestFit="1" customWidth="1"/>
    <col min="6146" max="6146" width="13.42578125" style="177" bestFit="1" customWidth="1"/>
    <col min="6147" max="6147" width="9.28515625" style="177" customWidth="1"/>
    <col min="6148" max="6149" width="9.140625" style="177"/>
    <col min="6150" max="6150" width="9.42578125" style="177" customWidth="1"/>
    <col min="6151" max="6152" width="9.140625" style="177"/>
    <col min="6153" max="6153" width="10.28515625" style="177" customWidth="1"/>
    <col min="6154" max="6154" width="9.140625" style="177"/>
    <col min="6155" max="6155" width="38.5703125" style="177" customWidth="1"/>
    <col min="6156" max="6157" width="9.140625" style="177"/>
    <col min="6158" max="6158" width="11.140625" style="177" customWidth="1"/>
    <col min="6159" max="6400" width="9.140625" style="177"/>
    <col min="6401" max="6401" width="13.7109375" style="177" bestFit="1" customWidth="1"/>
    <col min="6402" max="6402" width="13.42578125" style="177" bestFit="1" customWidth="1"/>
    <col min="6403" max="6403" width="9.28515625" style="177" customWidth="1"/>
    <col min="6404" max="6405" width="9.140625" style="177"/>
    <col min="6406" max="6406" width="9.42578125" style="177" customWidth="1"/>
    <col min="6407" max="6408" width="9.140625" style="177"/>
    <col min="6409" max="6409" width="10.28515625" style="177" customWidth="1"/>
    <col min="6410" max="6410" width="9.140625" style="177"/>
    <col min="6411" max="6411" width="38.5703125" style="177" customWidth="1"/>
    <col min="6412" max="6413" width="9.140625" style="177"/>
    <col min="6414" max="6414" width="11.140625" style="177" customWidth="1"/>
    <col min="6415" max="6656" width="9.140625" style="177"/>
    <col min="6657" max="6657" width="13.7109375" style="177" bestFit="1" customWidth="1"/>
    <col min="6658" max="6658" width="13.42578125" style="177" bestFit="1" customWidth="1"/>
    <col min="6659" max="6659" width="9.28515625" style="177" customWidth="1"/>
    <col min="6660" max="6661" width="9.140625" style="177"/>
    <col min="6662" max="6662" width="9.42578125" style="177" customWidth="1"/>
    <col min="6663" max="6664" width="9.140625" style="177"/>
    <col min="6665" max="6665" width="10.28515625" style="177" customWidth="1"/>
    <col min="6666" max="6666" width="9.140625" style="177"/>
    <col min="6667" max="6667" width="38.5703125" style="177" customWidth="1"/>
    <col min="6668" max="6669" width="9.140625" style="177"/>
    <col min="6670" max="6670" width="11.140625" style="177" customWidth="1"/>
    <col min="6671" max="6912" width="9.140625" style="177"/>
    <col min="6913" max="6913" width="13.7109375" style="177" bestFit="1" customWidth="1"/>
    <col min="6914" max="6914" width="13.42578125" style="177" bestFit="1" customWidth="1"/>
    <col min="6915" max="6915" width="9.28515625" style="177" customWidth="1"/>
    <col min="6916" max="6917" width="9.140625" style="177"/>
    <col min="6918" max="6918" width="9.42578125" style="177" customWidth="1"/>
    <col min="6919" max="6920" width="9.140625" style="177"/>
    <col min="6921" max="6921" width="10.28515625" style="177" customWidth="1"/>
    <col min="6922" max="6922" width="9.140625" style="177"/>
    <col min="6923" max="6923" width="38.5703125" style="177" customWidth="1"/>
    <col min="6924" max="6925" width="9.140625" style="177"/>
    <col min="6926" max="6926" width="11.140625" style="177" customWidth="1"/>
    <col min="6927" max="7168" width="9.140625" style="177"/>
    <col min="7169" max="7169" width="13.7109375" style="177" bestFit="1" customWidth="1"/>
    <col min="7170" max="7170" width="13.42578125" style="177" bestFit="1" customWidth="1"/>
    <col min="7171" max="7171" width="9.28515625" style="177" customWidth="1"/>
    <col min="7172" max="7173" width="9.140625" style="177"/>
    <col min="7174" max="7174" width="9.42578125" style="177" customWidth="1"/>
    <col min="7175" max="7176" width="9.140625" style="177"/>
    <col min="7177" max="7177" width="10.28515625" style="177" customWidth="1"/>
    <col min="7178" max="7178" width="9.140625" style="177"/>
    <col min="7179" max="7179" width="38.5703125" style="177" customWidth="1"/>
    <col min="7180" max="7181" width="9.140625" style="177"/>
    <col min="7182" max="7182" width="11.140625" style="177" customWidth="1"/>
    <col min="7183" max="7424" width="9.140625" style="177"/>
    <col min="7425" max="7425" width="13.7109375" style="177" bestFit="1" customWidth="1"/>
    <col min="7426" max="7426" width="13.42578125" style="177" bestFit="1" customWidth="1"/>
    <col min="7427" max="7427" width="9.28515625" style="177" customWidth="1"/>
    <col min="7428" max="7429" width="9.140625" style="177"/>
    <col min="7430" max="7430" width="9.42578125" style="177" customWidth="1"/>
    <col min="7431" max="7432" width="9.140625" style="177"/>
    <col min="7433" max="7433" width="10.28515625" style="177" customWidth="1"/>
    <col min="7434" max="7434" width="9.140625" style="177"/>
    <col min="7435" max="7435" width="38.5703125" style="177" customWidth="1"/>
    <col min="7436" max="7437" width="9.140625" style="177"/>
    <col min="7438" max="7438" width="11.140625" style="177" customWidth="1"/>
    <col min="7439" max="7680" width="9.140625" style="177"/>
    <col min="7681" max="7681" width="13.7109375" style="177" bestFit="1" customWidth="1"/>
    <col min="7682" max="7682" width="13.42578125" style="177" bestFit="1" customWidth="1"/>
    <col min="7683" max="7683" width="9.28515625" style="177" customWidth="1"/>
    <col min="7684" max="7685" width="9.140625" style="177"/>
    <col min="7686" max="7686" width="9.42578125" style="177" customWidth="1"/>
    <col min="7687" max="7688" width="9.140625" style="177"/>
    <col min="7689" max="7689" width="10.28515625" style="177" customWidth="1"/>
    <col min="7690" max="7690" width="9.140625" style="177"/>
    <col min="7691" max="7691" width="38.5703125" style="177" customWidth="1"/>
    <col min="7692" max="7693" width="9.140625" style="177"/>
    <col min="7694" max="7694" width="11.140625" style="177" customWidth="1"/>
    <col min="7695" max="7936" width="9.140625" style="177"/>
    <col min="7937" max="7937" width="13.7109375" style="177" bestFit="1" customWidth="1"/>
    <col min="7938" max="7938" width="13.42578125" style="177" bestFit="1" customWidth="1"/>
    <col min="7939" max="7939" width="9.28515625" style="177" customWidth="1"/>
    <col min="7940" max="7941" width="9.140625" style="177"/>
    <col min="7942" max="7942" width="9.42578125" style="177" customWidth="1"/>
    <col min="7943" max="7944" width="9.140625" style="177"/>
    <col min="7945" max="7945" width="10.28515625" style="177" customWidth="1"/>
    <col min="7946" max="7946" width="9.140625" style="177"/>
    <col min="7947" max="7947" width="38.5703125" style="177" customWidth="1"/>
    <col min="7948" max="7949" width="9.140625" style="177"/>
    <col min="7950" max="7950" width="11.140625" style="177" customWidth="1"/>
    <col min="7951" max="8192" width="9.140625" style="177"/>
    <col min="8193" max="8193" width="13.7109375" style="177" bestFit="1" customWidth="1"/>
    <col min="8194" max="8194" width="13.42578125" style="177" bestFit="1" customWidth="1"/>
    <col min="8195" max="8195" width="9.28515625" style="177" customWidth="1"/>
    <col min="8196" max="8197" width="9.140625" style="177"/>
    <col min="8198" max="8198" width="9.42578125" style="177" customWidth="1"/>
    <col min="8199" max="8200" width="9.140625" style="177"/>
    <col min="8201" max="8201" width="10.28515625" style="177" customWidth="1"/>
    <col min="8202" max="8202" width="9.140625" style="177"/>
    <col min="8203" max="8203" width="38.5703125" style="177" customWidth="1"/>
    <col min="8204" max="8205" width="9.140625" style="177"/>
    <col min="8206" max="8206" width="11.140625" style="177" customWidth="1"/>
    <col min="8207" max="8448" width="9.140625" style="177"/>
    <col min="8449" max="8449" width="13.7109375" style="177" bestFit="1" customWidth="1"/>
    <col min="8450" max="8450" width="13.42578125" style="177" bestFit="1" customWidth="1"/>
    <col min="8451" max="8451" width="9.28515625" style="177" customWidth="1"/>
    <col min="8452" max="8453" width="9.140625" style="177"/>
    <col min="8454" max="8454" width="9.42578125" style="177" customWidth="1"/>
    <col min="8455" max="8456" width="9.140625" style="177"/>
    <col min="8457" max="8457" width="10.28515625" style="177" customWidth="1"/>
    <col min="8458" max="8458" width="9.140625" style="177"/>
    <col min="8459" max="8459" width="38.5703125" style="177" customWidth="1"/>
    <col min="8460" max="8461" width="9.140625" style="177"/>
    <col min="8462" max="8462" width="11.140625" style="177" customWidth="1"/>
    <col min="8463" max="8704" width="9.140625" style="177"/>
    <col min="8705" max="8705" width="13.7109375" style="177" bestFit="1" customWidth="1"/>
    <col min="8706" max="8706" width="13.42578125" style="177" bestFit="1" customWidth="1"/>
    <col min="8707" max="8707" width="9.28515625" style="177" customWidth="1"/>
    <col min="8708" max="8709" width="9.140625" style="177"/>
    <col min="8710" max="8710" width="9.42578125" style="177" customWidth="1"/>
    <col min="8711" max="8712" width="9.140625" style="177"/>
    <col min="8713" max="8713" width="10.28515625" style="177" customWidth="1"/>
    <col min="8714" max="8714" width="9.140625" style="177"/>
    <col min="8715" max="8715" width="38.5703125" style="177" customWidth="1"/>
    <col min="8716" max="8717" width="9.140625" style="177"/>
    <col min="8718" max="8718" width="11.140625" style="177" customWidth="1"/>
    <col min="8719" max="8960" width="9.140625" style="177"/>
    <col min="8961" max="8961" width="13.7109375" style="177" bestFit="1" customWidth="1"/>
    <col min="8962" max="8962" width="13.42578125" style="177" bestFit="1" customWidth="1"/>
    <col min="8963" max="8963" width="9.28515625" style="177" customWidth="1"/>
    <col min="8964" max="8965" width="9.140625" style="177"/>
    <col min="8966" max="8966" width="9.42578125" style="177" customWidth="1"/>
    <col min="8967" max="8968" width="9.140625" style="177"/>
    <col min="8969" max="8969" width="10.28515625" style="177" customWidth="1"/>
    <col min="8970" max="8970" width="9.140625" style="177"/>
    <col min="8971" max="8971" width="38.5703125" style="177" customWidth="1"/>
    <col min="8972" max="8973" width="9.140625" style="177"/>
    <col min="8974" max="8974" width="11.140625" style="177" customWidth="1"/>
    <col min="8975" max="9216" width="9.140625" style="177"/>
    <col min="9217" max="9217" width="13.7109375" style="177" bestFit="1" customWidth="1"/>
    <col min="9218" max="9218" width="13.42578125" style="177" bestFit="1" customWidth="1"/>
    <col min="9219" max="9219" width="9.28515625" style="177" customWidth="1"/>
    <col min="9220" max="9221" width="9.140625" style="177"/>
    <col min="9222" max="9222" width="9.42578125" style="177" customWidth="1"/>
    <col min="9223" max="9224" width="9.140625" style="177"/>
    <col min="9225" max="9225" width="10.28515625" style="177" customWidth="1"/>
    <col min="9226" max="9226" width="9.140625" style="177"/>
    <col min="9227" max="9227" width="38.5703125" style="177" customWidth="1"/>
    <col min="9228" max="9229" width="9.140625" style="177"/>
    <col min="9230" max="9230" width="11.140625" style="177" customWidth="1"/>
    <col min="9231" max="9472" width="9.140625" style="177"/>
    <col min="9473" max="9473" width="13.7109375" style="177" bestFit="1" customWidth="1"/>
    <col min="9474" max="9474" width="13.42578125" style="177" bestFit="1" customWidth="1"/>
    <col min="9475" max="9475" width="9.28515625" style="177" customWidth="1"/>
    <col min="9476" max="9477" width="9.140625" style="177"/>
    <col min="9478" max="9478" width="9.42578125" style="177" customWidth="1"/>
    <col min="9479" max="9480" width="9.140625" style="177"/>
    <col min="9481" max="9481" width="10.28515625" style="177" customWidth="1"/>
    <col min="9482" max="9482" width="9.140625" style="177"/>
    <col min="9483" max="9483" width="38.5703125" style="177" customWidth="1"/>
    <col min="9484" max="9485" width="9.140625" style="177"/>
    <col min="9486" max="9486" width="11.140625" style="177" customWidth="1"/>
    <col min="9487" max="9728" width="9.140625" style="177"/>
    <col min="9729" max="9729" width="13.7109375" style="177" bestFit="1" customWidth="1"/>
    <col min="9730" max="9730" width="13.42578125" style="177" bestFit="1" customWidth="1"/>
    <col min="9731" max="9731" width="9.28515625" style="177" customWidth="1"/>
    <col min="9732" max="9733" width="9.140625" style="177"/>
    <col min="9734" max="9734" width="9.42578125" style="177" customWidth="1"/>
    <col min="9735" max="9736" width="9.140625" style="177"/>
    <col min="9737" max="9737" width="10.28515625" style="177" customWidth="1"/>
    <col min="9738" max="9738" width="9.140625" style="177"/>
    <col min="9739" max="9739" width="38.5703125" style="177" customWidth="1"/>
    <col min="9740" max="9741" width="9.140625" style="177"/>
    <col min="9742" max="9742" width="11.140625" style="177" customWidth="1"/>
    <col min="9743" max="9984" width="9.140625" style="177"/>
    <col min="9985" max="9985" width="13.7109375" style="177" bestFit="1" customWidth="1"/>
    <col min="9986" max="9986" width="13.42578125" style="177" bestFit="1" customWidth="1"/>
    <col min="9987" max="9987" width="9.28515625" style="177" customWidth="1"/>
    <col min="9988" max="9989" width="9.140625" style="177"/>
    <col min="9990" max="9990" width="9.42578125" style="177" customWidth="1"/>
    <col min="9991" max="9992" width="9.140625" style="177"/>
    <col min="9993" max="9993" width="10.28515625" style="177" customWidth="1"/>
    <col min="9994" max="9994" width="9.140625" style="177"/>
    <col min="9995" max="9995" width="38.5703125" style="177" customWidth="1"/>
    <col min="9996" max="9997" width="9.140625" style="177"/>
    <col min="9998" max="9998" width="11.140625" style="177" customWidth="1"/>
    <col min="9999" max="10240" width="9.140625" style="177"/>
    <col min="10241" max="10241" width="13.7109375" style="177" bestFit="1" customWidth="1"/>
    <col min="10242" max="10242" width="13.42578125" style="177" bestFit="1" customWidth="1"/>
    <col min="10243" max="10243" width="9.28515625" style="177" customWidth="1"/>
    <col min="10244" max="10245" width="9.140625" style="177"/>
    <col min="10246" max="10246" width="9.42578125" style="177" customWidth="1"/>
    <col min="10247" max="10248" width="9.140625" style="177"/>
    <col min="10249" max="10249" width="10.28515625" style="177" customWidth="1"/>
    <col min="10250" max="10250" width="9.140625" style="177"/>
    <col min="10251" max="10251" width="38.5703125" style="177" customWidth="1"/>
    <col min="10252" max="10253" width="9.140625" style="177"/>
    <col min="10254" max="10254" width="11.140625" style="177" customWidth="1"/>
    <col min="10255" max="10496" width="9.140625" style="177"/>
    <col min="10497" max="10497" width="13.7109375" style="177" bestFit="1" customWidth="1"/>
    <col min="10498" max="10498" width="13.42578125" style="177" bestFit="1" customWidth="1"/>
    <col min="10499" max="10499" width="9.28515625" style="177" customWidth="1"/>
    <col min="10500" max="10501" width="9.140625" style="177"/>
    <col min="10502" max="10502" width="9.42578125" style="177" customWidth="1"/>
    <col min="10503" max="10504" width="9.140625" style="177"/>
    <col min="10505" max="10505" width="10.28515625" style="177" customWidth="1"/>
    <col min="10506" max="10506" width="9.140625" style="177"/>
    <col min="10507" max="10507" width="38.5703125" style="177" customWidth="1"/>
    <col min="10508" max="10509" width="9.140625" style="177"/>
    <col min="10510" max="10510" width="11.140625" style="177" customWidth="1"/>
    <col min="10511" max="10752" width="9.140625" style="177"/>
    <col min="10753" max="10753" width="13.7109375" style="177" bestFit="1" customWidth="1"/>
    <col min="10754" max="10754" width="13.42578125" style="177" bestFit="1" customWidth="1"/>
    <col min="10755" max="10755" width="9.28515625" style="177" customWidth="1"/>
    <col min="10756" max="10757" width="9.140625" style="177"/>
    <col min="10758" max="10758" width="9.42578125" style="177" customWidth="1"/>
    <col min="10759" max="10760" width="9.140625" style="177"/>
    <col min="10761" max="10761" width="10.28515625" style="177" customWidth="1"/>
    <col min="10762" max="10762" width="9.140625" style="177"/>
    <col min="10763" max="10763" width="38.5703125" style="177" customWidth="1"/>
    <col min="10764" max="10765" width="9.140625" style="177"/>
    <col min="10766" max="10766" width="11.140625" style="177" customWidth="1"/>
    <col min="10767" max="11008" width="9.140625" style="177"/>
    <col min="11009" max="11009" width="13.7109375" style="177" bestFit="1" customWidth="1"/>
    <col min="11010" max="11010" width="13.42578125" style="177" bestFit="1" customWidth="1"/>
    <col min="11011" max="11011" width="9.28515625" style="177" customWidth="1"/>
    <col min="11012" max="11013" width="9.140625" style="177"/>
    <col min="11014" max="11014" width="9.42578125" style="177" customWidth="1"/>
    <col min="11015" max="11016" width="9.140625" style="177"/>
    <col min="11017" max="11017" width="10.28515625" style="177" customWidth="1"/>
    <col min="11018" max="11018" width="9.140625" style="177"/>
    <col min="11019" max="11019" width="38.5703125" style="177" customWidth="1"/>
    <col min="11020" max="11021" width="9.140625" style="177"/>
    <col min="11022" max="11022" width="11.140625" style="177" customWidth="1"/>
    <col min="11023" max="11264" width="9.140625" style="177"/>
    <col min="11265" max="11265" width="13.7109375" style="177" bestFit="1" customWidth="1"/>
    <col min="11266" max="11266" width="13.42578125" style="177" bestFit="1" customWidth="1"/>
    <col min="11267" max="11267" width="9.28515625" style="177" customWidth="1"/>
    <col min="11268" max="11269" width="9.140625" style="177"/>
    <col min="11270" max="11270" width="9.42578125" style="177" customWidth="1"/>
    <col min="11271" max="11272" width="9.140625" style="177"/>
    <col min="11273" max="11273" width="10.28515625" style="177" customWidth="1"/>
    <col min="11274" max="11274" width="9.140625" style="177"/>
    <col min="11275" max="11275" width="38.5703125" style="177" customWidth="1"/>
    <col min="11276" max="11277" width="9.140625" style="177"/>
    <col min="11278" max="11278" width="11.140625" style="177" customWidth="1"/>
    <col min="11279" max="11520" width="9.140625" style="177"/>
    <col min="11521" max="11521" width="13.7109375" style="177" bestFit="1" customWidth="1"/>
    <col min="11522" max="11522" width="13.42578125" style="177" bestFit="1" customWidth="1"/>
    <col min="11523" max="11523" width="9.28515625" style="177" customWidth="1"/>
    <col min="11524" max="11525" width="9.140625" style="177"/>
    <col min="11526" max="11526" width="9.42578125" style="177" customWidth="1"/>
    <col min="11527" max="11528" width="9.140625" style="177"/>
    <col min="11529" max="11529" width="10.28515625" style="177" customWidth="1"/>
    <col min="11530" max="11530" width="9.140625" style="177"/>
    <col min="11531" max="11531" width="38.5703125" style="177" customWidth="1"/>
    <col min="11532" max="11533" width="9.140625" style="177"/>
    <col min="11534" max="11534" width="11.140625" style="177" customWidth="1"/>
    <col min="11535" max="11776" width="9.140625" style="177"/>
    <col min="11777" max="11777" width="13.7109375" style="177" bestFit="1" customWidth="1"/>
    <col min="11778" max="11778" width="13.42578125" style="177" bestFit="1" customWidth="1"/>
    <col min="11779" max="11779" width="9.28515625" style="177" customWidth="1"/>
    <col min="11780" max="11781" width="9.140625" style="177"/>
    <col min="11782" max="11782" width="9.42578125" style="177" customWidth="1"/>
    <col min="11783" max="11784" width="9.140625" style="177"/>
    <col min="11785" max="11785" width="10.28515625" style="177" customWidth="1"/>
    <col min="11786" max="11786" width="9.140625" style="177"/>
    <col min="11787" max="11787" width="38.5703125" style="177" customWidth="1"/>
    <col min="11788" max="11789" width="9.140625" style="177"/>
    <col min="11790" max="11790" width="11.140625" style="177" customWidth="1"/>
    <col min="11791" max="12032" width="9.140625" style="177"/>
    <col min="12033" max="12033" width="13.7109375" style="177" bestFit="1" customWidth="1"/>
    <col min="12034" max="12034" width="13.42578125" style="177" bestFit="1" customWidth="1"/>
    <col min="12035" max="12035" width="9.28515625" style="177" customWidth="1"/>
    <col min="12036" max="12037" width="9.140625" style="177"/>
    <col min="12038" max="12038" width="9.42578125" style="177" customWidth="1"/>
    <col min="12039" max="12040" width="9.140625" style="177"/>
    <col min="12041" max="12041" width="10.28515625" style="177" customWidth="1"/>
    <col min="12042" max="12042" width="9.140625" style="177"/>
    <col min="12043" max="12043" width="38.5703125" style="177" customWidth="1"/>
    <col min="12044" max="12045" width="9.140625" style="177"/>
    <col min="12046" max="12046" width="11.140625" style="177" customWidth="1"/>
    <col min="12047" max="12288" width="9.140625" style="177"/>
    <col min="12289" max="12289" width="13.7109375" style="177" bestFit="1" customWidth="1"/>
    <col min="12290" max="12290" width="13.42578125" style="177" bestFit="1" customWidth="1"/>
    <col min="12291" max="12291" width="9.28515625" style="177" customWidth="1"/>
    <col min="12292" max="12293" width="9.140625" style="177"/>
    <col min="12294" max="12294" width="9.42578125" style="177" customWidth="1"/>
    <col min="12295" max="12296" width="9.140625" style="177"/>
    <col min="12297" max="12297" width="10.28515625" style="177" customWidth="1"/>
    <col min="12298" max="12298" width="9.140625" style="177"/>
    <col min="12299" max="12299" width="38.5703125" style="177" customWidth="1"/>
    <col min="12300" max="12301" width="9.140625" style="177"/>
    <col min="12302" max="12302" width="11.140625" style="177" customWidth="1"/>
    <col min="12303" max="12544" width="9.140625" style="177"/>
    <col min="12545" max="12545" width="13.7109375" style="177" bestFit="1" customWidth="1"/>
    <col min="12546" max="12546" width="13.42578125" style="177" bestFit="1" customWidth="1"/>
    <col min="12547" max="12547" width="9.28515625" style="177" customWidth="1"/>
    <col min="12548" max="12549" width="9.140625" style="177"/>
    <col min="12550" max="12550" width="9.42578125" style="177" customWidth="1"/>
    <col min="12551" max="12552" width="9.140625" style="177"/>
    <col min="12553" max="12553" width="10.28515625" style="177" customWidth="1"/>
    <col min="12554" max="12554" width="9.140625" style="177"/>
    <col min="12555" max="12555" width="38.5703125" style="177" customWidth="1"/>
    <col min="12556" max="12557" width="9.140625" style="177"/>
    <col min="12558" max="12558" width="11.140625" style="177" customWidth="1"/>
    <col min="12559" max="12800" width="9.140625" style="177"/>
    <col min="12801" max="12801" width="13.7109375" style="177" bestFit="1" customWidth="1"/>
    <col min="12802" max="12802" width="13.42578125" style="177" bestFit="1" customWidth="1"/>
    <col min="12803" max="12803" width="9.28515625" style="177" customWidth="1"/>
    <col min="12804" max="12805" width="9.140625" style="177"/>
    <col min="12806" max="12806" width="9.42578125" style="177" customWidth="1"/>
    <col min="12807" max="12808" width="9.140625" style="177"/>
    <col min="12809" max="12809" width="10.28515625" style="177" customWidth="1"/>
    <col min="12810" max="12810" width="9.140625" style="177"/>
    <col min="12811" max="12811" width="38.5703125" style="177" customWidth="1"/>
    <col min="12812" max="12813" width="9.140625" style="177"/>
    <col min="12814" max="12814" width="11.140625" style="177" customWidth="1"/>
    <col min="12815" max="13056" width="9.140625" style="177"/>
    <col min="13057" max="13057" width="13.7109375" style="177" bestFit="1" customWidth="1"/>
    <col min="13058" max="13058" width="13.42578125" style="177" bestFit="1" customWidth="1"/>
    <col min="13059" max="13059" width="9.28515625" style="177" customWidth="1"/>
    <col min="13060" max="13061" width="9.140625" style="177"/>
    <col min="13062" max="13062" width="9.42578125" style="177" customWidth="1"/>
    <col min="13063" max="13064" width="9.140625" style="177"/>
    <col min="13065" max="13065" width="10.28515625" style="177" customWidth="1"/>
    <col min="13066" max="13066" width="9.140625" style="177"/>
    <col min="13067" max="13067" width="38.5703125" style="177" customWidth="1"/>
    <col min="13068" max="13069" width="9.140625" style="177"/>
    <col min="13070" max="13070" width="11.140625" style="177" customWidth="1"/>
    <col min="13071" max="13312" width="9.140625" style="177"/>
    <col min="13313" max="13313" width="13.7109375" style="177" bestFit="1" customWidth="1"/>
    <col min="13314" max="13314" width="13.42578125" style="177" bestFit="1" customWidth="1"/>
    <col min="13315" max="13315" width="9.28515625" style="177" customWidth="1"/>
    <col min="13316" max="13317" width="9.140625" style="177"/>
    <col min="13318" max="13318" width="9.42578125" style="177" customWidth="1"/>
    <col min="13319" max="13320" width="9.140625" style="177"/>
    <col min="13321" max="13321" width="10.28515625" style="177" customWidth="1"/>
    <col min="13322" max="13322" width="9.140625" style="177"/>
    <col min="13323" max="13323" width="38.5703125" style="177" customWidth="1"/>
    <col min="13324" max="13325" width="9.140625" style="177"/>
    <col min="13326" max="13326" width="11.140625" style="177" customWidth="1"/>
    <col min="13327" max="13568" width="9.140625" style="177"/>
    <col min="13569" max="13569" width="13.7109375" style="177" bestFit="1" customWidth="1"/>
    <col min="13570" max="13570" width="13.42578125" style="177" bestFit="1" customWidth="1"/>
    <col min="13571" max="13571" width="9.28515625" style="177" customWidth="1"/>
    <col min="13572" max="13573" width="9.140625" style="177"/>
    <col min="13574" max="13574" width="9.42578125" style="177" customWidth="1"/>
    <col min="13575" max="13576" width="9.140625" style="177"/>
    <col min="13577" max="13577" width="10.28515625" style="177" customWidth="1"/>
    <col min="13578" max="13578" width="9.140625" style="177"/>
    <col min="13579" max="13579" width="38.5703125" style="177" customWidth="1"/>
    <col min="13580" max="13581" width="9.140625" style="177"/>
    <col min="13582" max="13582" width="11.140625" style="177" customWidth="1"/>
    <col min="13583" max="13824" width="9.140625" style="177"/>
    <col min="13825" max="13825" width="13.7109375" style="177" bestFit="1" customWidth="1"/>
    <col min="13826" max="13826" width="13.42578125" style="177" bestFit="1" customWidth="1"/>
    <col min="13827" max="13827" width="9.28515625" style="177" customWidth="1"/>
    <col min="13828" max="13829" width="9.140625" style="177"/>
    <col min="13830" max="13830" width="9.42578125" style="177" customWidth="1"/>
    <col min="13831" max="13832" width="9.140625" style="177"/>
    <col min="13833" max="13833" width="10.28515625" style="177" customWidth="1"/>
    <col min="13834" max="13834" width="9.140625" style="177"/>
    <col min="13835" max="13835" width="38.5703125" style="177" customWidth="1"/>
    <col min="13836" max="13837" width="9.140625" style="177"/>
    <col min="13838" max="13838" width="11.140625" style="177" customWidth="1"/>
    <col min="13839" max="14080" width="9.140625" style="177"/>
    <col min="14081" max="14081" width="13.7109375" style="177" bestFit="1" customWidth="1"/>
    <col min="14082" max="14082" width="13.42578125" style="177" bestFit="1" customWidth="1"/>
    <col min="14083" max="14083" width="9.28515625" style="177" customWidth="1"/>
    <col min="14084" max="14085" width="9.140625" style="177"/>
    <col min="14086" max="14086" width="9.42578125" style="177" customWidth="1"/>
    <col min="14087" max="14088" width="9.140625" style="177"/>
    <col min="14089" max="14089" width="10.28515625" style="177" customWidth="1"/>
    <col min="14090" max="14090" width="9.140625" style="177"/>
    <col min="14091" max="14091" width="38.5703125" style="177" customWidth="1"/>
    <col min="14092" max="14093" width="9.140625" style="177"/>
    <col min="14094" max="14094" width="11.140625" style="177" customWidth="1"/>
    <col min="14095" max="14336" width="9.140625" style="177"/>
    <col min="14337" max="14337" width="13.7109375" style="177" bestFit="1" customWidth="1"/>
    <col min="14338" max="14338" width="13.42578125" style="177" bestFit="1" customWidth="1"/>
    <col min="14339" max="14339" width="9.28515625" style="177" customWidth="1"/>
    <col min="14340" max="14341" width="9.140625" style="177"/>
    <col min="14342" max="14342" width="9.42578125" style="177" customWidth="1"/>
    <col min="14343" max="14344" width="9.140625" style="177"/>
    <col min="14345" max="14345" width="10.28515625" style="177" customWidth="1"/>
    <col min="14346" max="14346" width="9.140625" style="177"/>
    <col min="14347" max="14347" width="38.5703125" style="177" customWidth="1"/>
    <col min="14348" max="14349" width="9.140625" style="177"/>
    <col min="14350" max="14350" width="11.140625" style="177" customWidth="1"/>
    <col min="14351" max="14592" width="9.140625" style="177"/>
    <col min="14593" max="14593" width="13.7109375" style="177" bestFit="1" customWidth="1"/>
    <col min="14594" max="14594" width="13.42578125" style="177" bestFit="1" customWidth="1"/>
    <col min="14595" max="14595" width="9.28515625" style="177" customWidth="1"/>
    <col min="14596" max="14597" width="9.140625" style="177"/>
    <col min="14598" max="14598" width="9.42578125" style="177" customWidth="1"/>
    <col min="14599" max="14600" width="9.140625" style="177"/>
    <col min="14601" max="14601" width="10.28515625" style="177" customWidth="1"/>
    <col min="14602" max="14602" width="9.140625" style="177"/>
    <col min="14603" max="14603" width="38.5703125" style="177" customWidth="1"/>
    <col min="14604" max="14605" width="9.140625" style="177"/>
    <col min="14606" max="14606" width="11.140625" style="177" customWidth="1"/>
    <col min="14607" max="14848" width="9.140625" style="177"/>
    <col min="14849" max="14849" width="13.7109375" style="177" bestFit="1" customWidth="1"/>
    <col min="14850" max="14850" width="13.42578125" style="177" bestFit="1" customWidth="1"/>
    <col min="14851" max="14851" width="9.28515625" style="177" customWidth="1"/>
    <col min="14852" max="14853" width="9.140625" style="177"/>
    <col min="14854" max="14854" width="9.42578125" style="177" customWidth="1"/>
    <col min="14855" max="14856" width="9.140625" style="177"/>
    <col min="14857" max="14857" width="10.28515625" style="177" customWidth="1"/>
    <col min="14858" max="14858" width="9.140625" style="177"/>
    <col min="14859" max="14859" width="38.5703125" style="177" customWidth="1"/>
    <col min="14860" max="14861" width="9.140625" style="177"/>
    <col min="14862" max="14862" width="11.140625" style="177" customWidth="1"/>
    <col min="14863" max="15104" width="9.140625" style="177"/>
    <col min="15105" max="15105" width="13.7109375" style="177" bestFit="1" customWidth="1"/>
    <col min="15106" max="15106" width="13.42578125" style="177" bestFit="1" customWidth="1"/>
    <col min="15107" max="15107" width="9.28515625" style="177" customWidth="1"/>
    <col min="15108" max="15109" width="9.140625" style="177"/>
    <col min="15110" max="15110" width="9.42578125" style="177" customWidth="1"/>
    <col min="15111" max="15112" width="9.140625" style="177"/>
    <col min="15113" max="15113" width="10.28515625" style="177" customWidth="1"/>
    <col min="15114" max="15114" width="9.140625" style="177"/>
    <col min="15115" max="15115" width="38.5703125" style="177" customWidth="1"/>
    <col min="15116" max="15117" width="9.140625" style="177"/>
    <col min="15118" max="15118" width="11.140625" style="177" customWidth="1"/>
    <col min="15119" max="15360" width="9.140625" style="177"/>
    <col min="15361" max="15361" width="13.7109375" style="177" bestFit="1" customWidth="1"/>
    <col min="15362" max="15362" width="13.42578125" style="177" bestFit="1" customWidth="1"/>
    <col min="15363" max="15363" width="9.28515625" style="177" customWidth="1"/>
    <col min="15364" max="15365" width="9.140625" style="177"/>
    <col min="15366" max="15366" width="9.42578125" style="177" customWidth="1"/>
    <col min="15367" max="15368" width="9.140625" style="177"/>
    <col min="15369" max="15369" width="10.28515625" style="177" customWidth="1"/>
    <col min="15370" max="15370" width="9.140625" style="177"/>
    <col min="15371" max="15371" width="38.5703125" style="177" customWidth="1"/>
    <col min="15372" max="15373" width="9.140625" style="177"/>
    <col min="15374" max="15374" width="11.140625" style="177" customWidth="1"/>
    <col min="15375" max="15616" width="9.140625" style="177"/>
    <col min="15617" max="15617" width="13.7109375" style="177" bestFit="1" customWidth="1"/>
    <col min="15618" max="15618" width="13.42578125" style="177" bestFit="1" customWidth="1"/>
    <col min="15619" max="15619" width="9.28515625" style="177" customWidth="1"/>
    <col min="15620" max="15621" width="9.140625" style="177"/>
    <col min="15622" max="15622" width="9.42578125" style="177" customWidth="1"/>
    <col min="15623" max="15624" width="9.140625" style="177"/>
    <col min="15625" max="15625" width="10.28515625" style="177" customWidth="1"/>
    <col min="15626" max="15626" width="9.140625" style="177"/>
    <col min="15627" max="15627" width="38.5703125" style="177" customWidth="1"/>
    <col min="15628" max="15629" width="9.140625" style="177"/>
    <col min="15630" max="15630" width="11.140625" style="177" customWidth="1"/>
    <col min="15631" max="15872" width="9.140625" style="177"/>
    <col min="15873" max="15873" width="13.7109375" style="177" bestFit="1" customWidth="1"/>
    <col min="15874" max="15874" width="13.42578125" style="177" bestFit="1" customWidth="1"/>
    <col min="15875" max="15875" width="9.28515625" style="177" customWidth="1"/>
    <col min="15876" max="15877" width="9.140625" style="177"/>
    <col min="15878" max="15878" width="9.42578125" style="177" customWidth="1"/>
    <col min="15879" max="15880" width="9.140625" style="177"/>
    <col min="15881" max="15881" width="10.28515625" style="177" customWidth="1"/>
    <col min="15882" max="15882" width="9.140625" style="177"/>
    <col min="15883" max="15883" width="38.5703125" style="177" customWidth="1"/>
    <col min="15884" max="15885" width="9.140625" style="177"/>
    <col min="15886" max="15886" width="11.140625" style="177" customWidth="1"/>
    <col min="15887" max="16128" width="9.140625" style="177"/>
    <col min="16129" max="16129" width="13.7109375" style="177" bestFit="1" customWidth="1"/>
    <col min="16130" max="16130" width="13.42578125" style="177" bestFit="1" customWidth="1"/>
    <col min="16131" max="16131" width="9.28515625" style="177" customWidth="1"/>
    <col min="16132" max="16133" width="9.140625" style="177"/>
    <col min="16134" max="16134" width="9.42578125" style="177" customWidth="1"/>
    <col min="16135" max="16136" width="9.140625" style="177"/>
    <col min="16137" max="16137" width="10.28515625" style="177" customWidth="1"/>
    <col min="16138" max="16138" width="9.140625" style="177"/>
    <col min="16139" max="16139" width="38.5703125" style="177" customWidth="1"/>
    <col min="16140" max="16141" width="9.140625" style="177"/>
    <col min="16142" max="16142" width="11.140625" style="177" customWidth="1"/>
    <col min="16143" max="16384" width="9.140625" style="177"/>
  </cols>
  <sheetData>
    <row r="1" spans="1:15" x14ac:dyDescent="0.2">
      <c r="A1" s="179"/>
      <c r="B1" s="179"/>
      <c r="C1" s="179"/>
      <c r="D1" s="179"/>
      <c r="E1" s="179"/>
      <c r="F1" s="179"/>
      <c r="G1" s="179"/>
      <c r="H1" s="179"/>
      <c r="I1" s="179"/>
      <c r="J1" s="179"/>
      <c r="K1" s="179"/>
      <c r="L1" s="179"/>
      <c r="M1" s="179"/>
      <c r="N1" s="179"/>
      <c r="O1" s="179"/>
    </row>
    <row r="2" spans="1:15" ht="15.75" x14ac:dyDescent="0.25">
      <c r="A2" s="754" t="s">
        <v>50</v>
      </c>
      <c r="B2" s="754"/>
      <c r="C2" s="754"/>
      <c r="D2" s="754"/>
      <c r="E2" s="754"/>
      <c r="F2" s="754"/>
      <c r="G2" s="754"/>
      <c r="H2" s="754"/>
      <c r="I2" s="754"/>
      <c r="J2" s="754"/>
      <c r="K2" s="754"/>
      <c r="L2" s="754"/>
      <c r="M2" s="754"/>
      <c r="N2" s="754"/>
      <c r="O2" s="754"/>
    </row>
    <row r="3" spans="1:15" ht="15.75" x14ac:dyDescent="0.25">
      <c r="A3" s="180"/>
      <c r="B3" s="180"/>
      <c r="C3" s="180"/>
      <c r="D3" s="180"/>
      <c r="E3" s="180"/>
      <c r="F3" s="180"/>
      <c r="G3" s="180"/>
      <c r="H3" s="180"/>
      <c r="I3" s="180"/>
      <c r="J3" s="180"/>
      <c r="K3" s="180"/>
      <c r="L3" s="180"/>
      <c r="M3" s="180"/>
      <c r="N3" s="180"/>
      <c r="O3" s="180"/>
    </row>
    <row r="4" spans="1:15" ht="15.75" x14ac:dyDescent="0.25">
      <c r="A4" s="181" t="s">
        <v>0</v>
      </c>
      <c r="B4" s="182" t="str">
        <f>PO!C2</f>
        <v>Reforma e Ampliação do Almoxarifado da Farmácia</v>
      </c>
      <c r="L4" s="307"/>
      <c r="M4" s="308" t="s">
        <v>51</v>
      </c>
      <c r="N4" s="309" t="s">
        <v>12250</v>
      </c>
    </row>
    <row r="5" spans="1:15" ht="15.75" x14ac:dyDescent="0.25">
      <c r="A5" s="181" t="s">
        <v>1</v>
      </c>
      <c r="B5" s="182" t="str">
        <f>PO!C4</f>
        <v>Porto Velho/RO</v>
      </c>
      <c r="L5" s="307"/>
      <c r="M5" s="308" t="s">
        <v>52</v>
      </c>
      <c r="N5" s="311">
        <v>43739</v>
      </c>
    </row>
    <row r="6" spans="1:15" ht="24" customHeight="1" x14ac:dyDescent="0.25">
      <c r="A6" s="181" t="s">
        <v>167</v>
      </c>
      <c r="B6" s="542" t="str">
        <f>PO!C5</f>
        <v>07/2020</v>
      </c>
      <c r="J6" s="307"/>
      <c r="K6" s="312"/>
      <c r="L6" s="312"/>
      <c r="M6" s="313" t="s">
        <v>11664</v>
      </c>
      <c r="N6" s="755">
        <f>PO!K5</f>
        <v>0</v>
      </c>
      <c r="O6" s="755"/>
    </row>
    <row r="7" spans="1:15" ht="15.75" customHeight="1" x14ac:dyDescent="0.25">
      <c r="A7" s="181"/>
      <c r="J7" s="756"/>
      <c r="K7" s="756"/>
      <c r="L7" s="756"/>
      <c r="M7" s="756"/>
      <c r="N7" s="271"/>
      <c r="O7" s="310"/>
    </row>
    <row r="8" spans="1:15" x14ac:dyDescent="0.2">
      <c r="A8" s="543"/>
      <c r="B8" s="543"/>
      <c r="C8" s="543"/>
      <c r="D8" s="543"/>
      <c r="E8" s="543"/>
      <c r="F8" s="543"/>
      <c r="G8" s="543"/>
      <c r="H8" s="543"/>
      <c r="I8" s="543"/>
      <c r="J8" s="543"/>
      <c r="K8" s="543"/>
      <c r="L8" s="543"/>
      <c r="M8" s="543"/>
      <c r="N8" s="543"/>
      <c r="O8" s="543"/>
    </row>
    <row r="10" spans="1:15" x14ac:dyDescent="0.2">
      <c r="A10" s="177">
        <v>1</v>
      </c>
      <c r="B10" s="177" t="s">
        <v>54</v>
      </c>
      <c r="F10" s="544">
        <v>0.04</v>
      </c>
      <c r="I10" s="183"/>
    </row>
    <row r="11" spans="1:15" x14ac:dyDescent="0.2">
      <c r="A11" s="177">
        <v>2</v>
      </c>
      <c r="B11" s="177" t="s">
        <v>55</v>
      </c>
      <c r="F11" s="544">
        <v>8.0000000000000002E-3</v>
      </c>
    </row>
    <row r="12" spans="1:15" x14ac:dyDescent="0.2">
      <c r="A12" s="177">
        <v>3</v>
      </c>
      <c r="B12" s="177" t="s">
        <v>56</v>
      </c>
      <c r="F12" s="544">
        <v>9.7000000000000003E-3</v>
      </c>
    </row>
    <row r="13" spans="1:15" x14ac:dyDescent="0.2">
      <c r="A13" s="177">
        <v>4</v>
      </c>
      <c r="B13" s="177" t="s">
        <v>57</v>
      </c>
      <c r="F13" s="544">
        <v>5.8999999999999999E-3</v>
      </c>
    </row>
    <row r="14" spans="1:15" x14ac:dyDescent="0.2">
      <c r="A14" s="177">
        <v>5</v>
      </c>
      <c r="B14" s="177" t="s">
        <v>58</v>
      </c>
      <c r="F14" s="544">
        <v>7.0000000000000007E-2</v>
      </c>
    </row>
    <row r="15" spans="1:15" x14ac:dyDescent="0.2">
      <c r="A15" s="177">
        <v>6</v>
      </c>
      <c r="B15" s="182" t="s">
        <v>59</v>
      </c>
      <c r="F15" s="545">
        <f>SUM(F16:F18)</f>
        <v>6.1499999999999999E-2</v>
      </c>
      <c r="K15" s="184"/>
      <c r="L15" s="184"/>
      <c r="M15" s="184"/>
    </row>
    <row r="16" spans="1:15" x14ac:dyDescent="0.2">
      <c r="A16" s="185" t="s">
        <v>60</v>
      </c>
      <c r="B16" s="177" t="s">
        <v>61</v>
      </c>
      <c r="F16" s="544">
        <v>0.03</v>
      </c>
      <c r="K16" s="184"/>
      <c r="L16" s="184"/>
      <c r="M16" s="184"/>
    </row>
    <row r="17" spans="1:13" x14ac:dyDescent="0.2">
      <c r="A17" s="185" t="s">
        <v>62</v>
      </c>
      <c r="B17" s="177" t="s">
        <v>63</v>
      </c>
      <c r="E17" s="546"/>
      <c r="F17" s="544">
        <v>6.4999999999999997E-3</v>
      </c>
      <c r="J17" s="184"/>
      <c r="K17" s="184"/>
      <c r="L17" s="184"/>
      <c r="M17" s="184"/>
    </row>
    <row r="18" spans="1:13" x14ac:dyDescent="0.2">
      <c r="A18" s="185" t="s">
        <v>64</v>
      </c>
      <c r="B18" s="177" t="s">
        <v>65</v>
      </c>
      <c r="F18" s="544">
        <v>2.5000000000000001E-2</v>
      </c>
      <c r="J18" s="184"/>
      <c r="K18" s="184"/>
      <c r="L18" s="184"/>
      <c r="M18" s="184"/>
    </row>
    <row r="19" spans="1:13" x14ac:dyDescent="0.2">
      <c r="A19" s="185"/>
      <c r="C19" s="544"/>
      <c r="F19" s="544"/>
      <c r="J19" s="184"/>
      <c r="K19" s="184"/>
      <c r="L19" s="184"/>
      <c r="M19" s="184"/>
    </row>
    <row r="20" spans="1:13" x14ac:dyDescent="0.2">
      <c r="A20" s="185"/>
      <c r="F20" s="546"/>
      <c r="J20" s="184"/>
      <c r="K20" s="184"/>
      <c r="L20" s="184"/>
      <c r="M20" s="184"/>
    </row>
    <row r="21" spans="1:13" ht="15.75" x14ac:dyDescent="0.25">
      <c r="B21" s="186" t="s">
        <v>66</v>
      </c>
      <c r="F21" s="547">
        <v>0.21299999999999999</v>
      </c>
      <c r="J21" s="184"/>
      <c r="K21" s="184"/>
      <c r="L21" s="184"/>
      <c r="M21" s="184"/>
    </row>
    <row r="22" spans="1:13" x14ac:dyDescent="0.2">
      <c r="F22" s="546"/>
      <c r="J22" s="184"/>
      <c r="K22" s="184"/>
      <c r="L22" s="184"/>
      <c r="M22" s="184"/>
    </row>
    <row r="23" spans="1:13" ht="15.75" x14ac:dyDescent="0.25">
      <c r="B23" s="186" t="s">
        <v>67</v>
      </c>
      <c r="F23" s="546"/>
      <c r="J23" s="184"/>
      <c r="K23" s="184"/>
      <c r="L23" s="184"/>
    </row>
    <row r="24" spans="1:13" x14ac:dyDescent="0.2">
      <c r="B24" s="177" t="s">
        <v>68</v>
      </c>
      <c r="F24" s="546"/>
      <c r="J24" s="184"/>
      <c r="K24" s="184"/>
      <c r="L24" s="184"/>
    </row>
    <row r="25" spans="1:13" x14ac:dyDescent="0.2">
      <c r="B25" s="177" t="s">
        <v>69</v>
      </c>
    </row>
    <row r="26" spans="1:13" x14ac:dyDescent="0.2">
      <c r="B26" s="177" t="s">
        <v>70</v>
      </c>
    </row>
    <row r="27" spans="1:13" x14ac:dyDescent="0.2">
      <c r="B27" s="177" t="s">
        <v>71</v>
      </c>
    </row>
    <row r="28" spans="1:13" x14ac:dyDescent="0.2">
      <c r="B28" s="177" t="s">
        <v>72</v>
      </c>
      <c r="C28" s="184"/>
      <c r="D28" s="184"/>
      <c r="E28" s="184"/>
      <c r="F28" s="184"/>
      <c r="G28" s="184"/>
      <c r="H28" s="184"/>
      <c r="I28" s="184"/>
      <c r="J28" s="184"/>
    </row>
    <row r="29" spans="1:13" x14ac:dyDescent="0.2">
      <c r="B29" s="177" t="s">
        <v>73</v>
      </c>
    </row>
  </sheetData>
  <sheetProtection selectLockedCells="1" selectUnlockedCells="1"/>
  <mergeCells count="3">
    <mergeCell ref="A2:O2"/>
    <mergeCell ref="N6:O6"/>
    <mergeCell ref="J7:M7"/>
  </mergeCells>
  <printOptions horizontalCentered="1" verticalCentered="1"/>
  <pageMargins left="0.78740157480314965" right="0.78740157480314965" top="0.98425196850393704" bottom="0.98425196850393704" header="0.51181102362204722" footer="0.51181102362204722"/>
  <pageSetup paperSize="9" scale="70" firstPageNumber="0" orientation="landscape" horizontalDpi="300" verticalDpi="300" r:id="rId1"/>
  <headerFooter alignWithMargins="0">
    <oddHeader>&amp;LCNPJ: 27.651.907/0001-77&amp;C&amp;G&amp;RIE: 00000004780094</oddHeader>
    <oddFooter>&amp;CAv. Abunã, 2914 – Sala D – Liberdade – Porto Velho – Rondônia – Brasil – CEP 76.803-888
+55 69 99283 9999  +55 69 4141 6641
proj.nova@outlook.com &amp;RPágina &amp;P de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9"/>
  <sheetViews>
    <sheetView showGridLines="0" view="pageBreakPreview" zoomScale="70" zoomScaleNormal="85" zoomScaleSheetLayoutView="70" workbookViewId="0">
      <selection activeCell="F18" sqref="F18"/>
    </sheetView>
  </sheetViews>
  <sheetFormatPr defaultRowHeight="15" x14ac:dyDescent="0.2"/>
  <cols>
    <col min="1" max="1" width="13.7109375" style="177" bestFit="1" customWidth="1"/>
    <col min="2" max="2" width="13.42578125" style="177" bestFit="1" customWidth="1"/>
    <col min="3" max="3" width="9.28515625" style="177" customWidth="1"/>
    <col min="4" max="5" width="9.140625" style="177"/>
    <col min="6" max="6" width="9.42578125" style="177" customWidth="1"/>
    <col min="7" max="8" width="9.140625" style="177"/>
    <col min="9" max="9" width="10.28515625" style="177" customWidth="1"/>
    <col min="10" max="10" width="9.140625" style="177"/>
    <col min="11" max="11" width="38.5703125" style="177" customWidth="1"/>
    <col min="12" max="13" width="9.140625" style="177"/>
    <col min="14" max="14" width="11.140625" style="177" customWidth="1"/>
    <col min="15" max="15" width="13.28515625" style="177" customWidth="1"/>
    <col min="16" max="256" width="9.140625" style="177"/>
    <col min="257" max="257" width="13.7109375" style="177" bestFit="1" customWidth="1"/>
    <col min="258" max="258" width="13.42578125" style="177" bestFit="1" customWidth="1"/>
    <col min="259" max="259" width="9.28515625" style="177" customWidth="1"/>
    <col min="260" max="261" width="9.140625" style="177"/>
    <col min="262" max="262" width="9.42578125" style="177" customWidth="1"/>
    <col min="263" max="264" width="9.140625" style="177"/>
    <col min="265" max="265" width="10.28515625" style="177" customWidth="1"/>
    <col min="266" max="266" width="9.140625" style="177"/>
    <col min="267" max="267" width="38.5703125" style="177" customWidth="1"/>
    <col min="268" max="269" width="9.140625" style="177"/>
    <col min="270" max="270" width="11.140625" style="177" customWidth="1"/>
    <col min="271" max="512" width="9.140625" style="177"/>
    <col min="513" max="513" width="13.7109375" style="177" bestFit="1" customWidth="1"/>
    <col min="514" max="514" width="13.42578125" style="177" bestFit="1" customWidth="1"/>
    <col min="515" max="515" width="9.28515625" style="177" customWidth="1"/>
    <col min="516" max="517" width="9.140625" style="177"/>
    <col min="518" max="518" width="9.42578125" style="177" customWidth="1"/>
    <col min="519" max="520" width="9.140625" style="177"/>
    <col min="521" max="521" width="10.28515625" style="177" customWidth="1"/>
    <col min="522" max="522" width="9.140625" style="177"/>
    <col min="523" max="523" width="38.5703125" style="177" customWidth="1"/>
    <col min="524" max="525" width="9.140625" style="177"/>
    <col min="526" max="526" width="11.140625" style="177" customWidth="1"/>
    <col min="527" max="768" width="9.140625" style="177"/>
    <col min="769" max="769" width="13.7109375" style="177" bestFit="1" customWidth="1"/>
    <col min="770" max="770" width="13.42578125" style="177" bestFit="1" customWidth="1"/>
    <col min="771" max="771" width="9.28515625" style="177" customWidth="1"/>
    <col min="772" max="773" width="9.140625" style="177"/>
    <col min="774" max="774" width="9.42578125" style="177" customWidth="1"/>
    <col min="775" max="776" width="9.140625" style="177"/>
    <col min="777" max="777" width="10.28515625" style="177" customWidth="1"/>
    <col min="778" max="778" width="9.140625" style="177"/>
    <col min="779" max="779" width="38.5703125" style="177" customWidth="1"/>
    <col min="780" max="781" width="9.140625" style="177"/>
    <col min="782" max="782" width="11.140625" style="177" customWidth="1"/>
    <col min="783" max="1024" width="9.140625" style="177"/>
    <col min="1025" max="1025" width="13.7109375" style="177" bestFit="1" customWidth="1"/>
    <col min="1026" max="1026" width="13.42578125" style="177" bestFit="1" customWidth="1"/>
    <col min="1027" max="1027" width="9.28515625" style="177" customWidth="1"/>
    <col min="1028" max="1029" width="9.140625" style="177"/>
    <col min="1030" max="1030" width="9.42578125" style="177" customWidth="1"/>
    <col min="1031" max="1032" width="9.140625" style="177"/>
    <col min="1033" max="1033" width="10.28515625" style="177" customWidth="1"/>
    <col min="1034" max="1034" width="9.140625" style="177"/>
    <col min="1035" max="1035" width="38.5703125" style="177" customWidth="1"/>
    <col min="1036" max="1037" width="9.140625" style="177"/>
    <col min="1038" max="1038" width="11.140625" style="177" customWidth="1"/>
    <col min="1039" max="1280" width="9.140625" style="177"/>
    <col min="1281" max="1281" width="13.7109375" style="177" bestFit="1" customWidth="1"/>
    <col min="1282" max="1282" width="13.42578125" style="177" bestFit="1" customWidth="1"/>
    <col min="1283" max="1283" width="9.28515625" style="177" customWidth="1"/>
    <col min="1284" max="1285" width="9.140625" style="177"/>
    <col min="1286" max="1286" width="9.42578125" style="177" customWidth="1"/>
    <col min="1287" max="1288" width="9.140625" style="177"/>
    <col min="1289" max="1289" width="10.28515625" style="177" customWidth="1"/>
    <col min="1290" max="1290" width="9.140625" style="177"/>
    <col min="1291" max="1291" width="38.5703125" style="177" customWidth="1"/>
    <col min="1292" max="1293" width="9.140625" style="177"/>
    <col min="1294" max="1294" width="11.140625" style="177" customWidth="1"/>
    <col min="1295" max="1536" width="9.140625" style="177"/>
    <col min="1537" max="1537" width="13.7109375" style="177" bestFit="1" customWidth="1"/>
    <col min="1538" max="1538" width="13.42578125" style="177" bestFit="1" customWidth="1"/>
    <col min="1539" max="1539" width="9.28515625" style="177" customWidth="1"/>
    <col min="1540" max="1541" width="9.140625" style="177"/>
    <col min="1542" max="1542" width="9.42578125" style="177" customWidth="1"/>
    <col min="1543" max="1544" width="9.140625" style="177"/>
    <col min="1545" max="1545" width="10.28515625" style="177" customWidth="1"/>
    <col min="1546" max="1546" width="9.140625" style="177"/>
    <col min="1547" max="1547" width="38.5703125" style="177" customWidth="1"/>
    <col min="1548" max="1549" width="9.140625" style="177"/>
    <col min="1550" max="1550" width="11.140625" style="177" customWidth="1"/>
    <col min="1551" max="1792" width="9.140625" style="177"/>
    <col min="1793" max="1793" width="13.7109375" style="177" bestFit="1" customWidth="1"/>
    <col min="1794" max="1794" width="13.42578125" style="177" bestFit="1" customWidth="1"/>
    <col min="1795" max="1795" width="9.28515625" style="177" customWidth="1"/>
    <col min="1796" max="1797" width="9.140625" style="177"/>
    <col min="1798" max="1798" width="9.42578125" style="177" customWidth="1"/>
    <col min="1799" max="1800" width="9.140625" style="177"/>
    <col min="1801" max="1801" width="10.28515625" style="177" customWidth="1"/>
    <col min="1802" max="1802" width="9.140625" style="177"/>
    <col min="1803" max="1803" width="38.5703125" style="177" customWidth="1"/>
    <col min="1804" max="1805" width="9.140625" style="177"/>
    <col min="1806" max="1806" width="11.140625" style="177" customWidth="1"/>
    <col min="1807" max="2048" width="9.140625" style="177"/>
    <col min="2049" max="2049" width="13.7109375" style="177" bestFit="1" customWidth="1"/>
    <col min="2050" max="2050" width="13.42578125" style="177" bestFit="1" customWidth="1"/>
    <col min="2051" max="2051" width="9.28515625" style="177" customWidth="1"/>
    <col min="2052" max="2053" width="9.140625" style="177"/>
    <col min="2054" max="2054" width="9.42578125" style="177" customWidth="1"/>
    <col min="2055" max="2056" width="9.140625" style="177"/>
    <col min="2057" max="2057" width="10.28515625" style="177" customWidth="1"/>
    <col min="2058" max="2058" width="9.140625" style="177"/>
    <col min="2059" max="2059" width="38.5703125" style="177" customWidth="1"/>
    <col min="2060" max="2061" width="9.140625" style="177"/>
    <col min="2062" max="2062" width="11.140625" style="177" customWidth="1"/>
    <col min="2063" max="2304" width="9.140625" style="177"/>
    <col min="2305" max="2305" width="13.7109375" style="177" bestFit="1" customWidth="1"/>
    <col min="2306" max="2306" width="13.42578125" style="177" bestFit="1" customWidth="1"/>
    <col min="2307" max="2307" width="9.28515625" style="177" customWidth="1"/>
    <col min="2308" max="2309" width="9.140625" style="177"/>
    <col min="2310" max="2310" width="9.42578125" style="177" customWidth="1"/>
    <col min="2311" max="2312" width="9.140625" style="177"/>
    <col min="2313" max="2313" width="10.28515625" style="177" customWidth="1"/>
    <col min="2314" max="2314" width="9.140625" style="177"/>
    <col min="2315" max="2315" width="38.5703125" style="177" customWidth="1"/>
    <col min="2316" max="2317" width="9.140625" style="177"/>
    <col min="2318" max="2318" width="11.140625" style="177" customWidth="1"/>
    <col min="2319" max="2560" width="9.140625" style="177"/>
    <col min="2561" max="2561" width="13.7109375" style="177" bestFit="1" customWidth="1"/>
    <col min="2562" max="2562" width="13.42578125" style="177" bestFit="1" customWidth="1"/>
    <col min="2563" max="2563" width="9.28515625" style="177" customWidth="1"/>
    <col min="2564" max="2565" width="9.140625" style="177"/>
    <col min="2566" max="2566" width="9.42578125" style="177" customWidth="1"/>
    <col min="2567" max="2568" width="9.140625" style="177"/>
    <col min="2569" max="2569" width="10.28515625" style="177" customWidth="1"/>
    <col min="2570" max="2570" width="9.140625" style="177"/>
    <col min="2571" max="2571" width="38.5703125" style="177" customWidth="1"/>
    <col min="2572" max="2573" width="9.140625" style="177"/>
    <col min="2574" max="2574" width="11.140625" style="177" customWidth="1"/>
    <col min="2575" max="2816" width="9.140625" style="177"/>
    <col min="2817" max="2817" width="13.7109375" style="177" bestFit="1" customWidth="1"/>
    <col min="2818" max="2818" width="13.42578125" style="177" bestFit="1" customWidth="1"/>
    <col min="2819" max="2819" width="9.28515625" style="177" customWidth="1"/>
    <col min="2820" max="2821" width="9.140625" style="177"/>
    <col min="2822" max="2822" width="9.42578125" style="177" customWidth="1"/>
    <col min="2823" max="2824" width="9.140625" style="177"/>
    <col min="2825" max="2825" width="10.28515625" style="177" customWidth="1"/>
    <col min="2826" max="2826" width="9.140625" style="177"/>
    <col min="2827" max="2827" width="38.5703125" style="177" customWidth="1"/>
    <col min="2828" max="2829" width="9.140625" style="177"/>
    <col min="2830" max="2830" width="11.140625" style="177" customWidth="1"/>
    <col min="2831" max="3072" width="9.140625" style="177"/>
    <col min="3073" max="3073" width="13.7109375" style="177" bestFit="1" customWidth="1"/>
    <col min="3074" max="3074" width="13.42578125" style="177" bestFit="1" customWidth="1"/>
    <col min="3075" max="3075" width="9.28515625" style="177" customWidth="1"/>
    <col min="3076" max="3077" width="9.140625" style="177"/>
    <col min="3078" max="3078" width="9.42578125" style="177" customWidth="1"/>
    <col min="3079" max="3080" width="9.140625" style="177"/>
    <col min="3081" max="3081" width="10.28515625" style="177" customWidth="1"/>
    <col min="3082" max="3082" width="9.140625" style="177"/>
    <col min="3083" max="3083" width="38.5703125" style="177" customWidth="1"/>
    <col min="3084" max="3085" width="9.140625" style="177"/>
    <col min="3086" max="3086" width="11.140625" style="177" customWidth="1"/>
    <col min="3087" max="3328" width="9.140625" style="177"/>
    <col min="3329" max="3329" width="13.7109375" style="177" bestFit="1" customWidth="1"/>
    <col min="3330" max="3330" width="13.42578125" style="177" bestFit="1" customWidth="1"/>
    <col min="3331" max="3331" width="9.28515625" style="177" customWidth="1"/>
    <col min="3332" max="3333" width="9.140625" style="177"/>
    <col min="3334" max="3334" width="9.42578125" style="177" customWidth="1"/>
    <col min="3335" max="3336" width="9.140625" style="177"/>
    <col min="3337" max="3337" width="10.28515625" style="177" customWidth="1"/>
    <col min="3338" max="3338" width="9.140625" style="177"/>
    <col min="3339" max="3339" width="38.5703125" style="177" customWidth="1"/>
    <col min="3340" max="3341" width="9.140625" style="177"/>
    <col min="3342" max="3342" width="11.140625" style="177" customWidth="1"/>
    <col min="3343" max="3584" width="9.140625" style="177"/>
    <col min="3585" max="3585" width="13.7109375" style="177" bestFit="1" customWidth="1"/>
    <col min="3586" max="3586" width="13.42578125" style="177" bestFit="1" customWidth="1"/>
    <col min="3587" max="3587" width="9.28515625" style="177" customWidth="1"/>
    <col min="3588" max="3589" width="9.140625" style="177"/>
    <col min="3590" max="3590" width="9.42578125" style="177" customWidth="1"/>
    <col min="3591" max="3592" width="9.140625" style="177"/>
    <col min="3593" max="3593" width="10.28515625" style="177" customWidth="1"/>
    <col min="3594" max="3594" width="9.140625" style="177"/>
    <col min="3595" max="3595" width="38.5703125" style="177" customWidth="1"/>
    <col min="3596" max="3597" width="9.140625" style="177"/>
    <col min="3598" max="3598" width="11.140625" style="177" customWidth="1"/>
    <col min="3599" max="3840" width="9.140625" style="177"/>
    <col min="3841" max="3841" width="13.7109375" style="177" bestFit="1" customWidth="1"/>
    <col min="3842" max="3842" width="13.42578125" style="177" bestFit="1" customWidth="1"/>
    <col min="3843" max="3843" width="9.28515625" style="177" customWidth="1"/>
    <col min="3844" max="3845" width="9.140625" style="177"/>
    <col min="3846" max="3846" width="9.42578125" style="177" customWidth="1"/>
    <col min="3847" max="3848" width="9.140625" style="177"/>
    <col min="3849" max="3849" width="10.28515625" style="177" customWidth="1"/>
    <col min="3850" max="3850" width="9.140625" style="177"/>
    <col min="3851" max="3851" width="38.5703125" style="177" customWidth="1"/>
    <col min="3852" max="3853" width="9.140625" style="177"/>
    <col min="3854" max="3854" width="11.140625" style="177" customWidth="1"/>
    <col min="3855" max="4096" width="9.140625" style="177"/>
    <col min="4097" max="4097" width="13.7109375" style="177" bestFit="1" customWidth="1"/>
    <col min="4098" max="4098" width="13.42578125" style="177" bestFit="1" customWidth="1"/>
    <col min="4099" max="4099" width="9.28515625" style="177" customWidth="1"/>
    <col min="4100" max="4101" width="9.140625" style="177"/>
    <col min="4102" max="4102" width="9.42578125" style="177" customWidth="1"/>
    <col min="4103" max="4104" width="9.140625" style="177"/>
    <col min="4105" max="4105" width="10.28515625" style="177" customWidth="1"/>
    <col min="4106" max="4106" width="9.140625" style="177"/>
    <col min="4107" max="4107" width="38.5703125" style="177" customWidth="1"/>
    <col min="4108" max="4109" width="9.140625" style="177"/>
    <col min="4110" max="4110" width="11.140625" style="177" customWidth="1"/>
    <col min="4111" max="4352" width="9.140625" style="177"/>
    <col min="4353" max="4353" width="13.7109375" style="177" bestFit="1" customWidth="1"/>
    <col min="4354" max="4354" width="13.42578125" style="177" bestFit="1" customWidth="1"/>
    <col min="4355" max="4355" width="9.28515625" style="177" customWidth="1"/>
    <col min="4356" max="4357" width="9.140625" style="177"/>
    <col min="4358" max="4358" width="9.42578125" style="177" customWidth="1"/>
    <col min="4359" max="4360" width="9.140625" style="177"/>
    <col min="4361" max="4361" width="10.28515625" style="177" customWidth="1"/>
    <col min="4362" max="4362" width="9.140625" style="177"/>
    <col min="4363" max="4363" width="38.5703125" style="177" customWidth="1"/>
    <col min="4364" max="4365" width="9.140625" style="177"/>
    <col min="4366" max="4366" width="11.140625" style="177" customWidth="1"/>
    <col min="4367" max="4608" width="9.140625" style="177"/>
    <col min="4609" max="4609" width="13.7109375" style="177" bestFit="1" customWidth="1"/>
    <col min="4610" max="4610" width="13.42578125" style="177" bestFit="1" customWidth="1"/>
    <col min="4611" max="4611" width="9.28515625" style="177" customWidth="1"/>
    <col min="4612" max="4613" width="9.140625" style="177"/>
    <col min="4614" max="4614" width="9.42578125" style="177" customWidth="1"/>
    <col min="4615" max="4616" width="9.140625" style="177"/>
    <col min="4617" max="4617" width="10.28515625" style="177" customWidth="1"/>
    <col min="4618" max="4618" width="9.140625" style="177"/>
    <col min="4619" max="4619" width="38.5703125" style="177" customWidth="1"/>
    <col min="4620" max="4621" width="9.140625" style="177"/>
    <col min="4622" max="4622" width="11.140625" style="177" customWidth="1"/>
    <col min="4623" max="4864" width="9.140625" style="177"/>
    <col min="4865" max="4865" width="13.7109375" style="177" bestFit="1" customWidth="1"/>
    <col min="4866" max="4866" width="13.42578125" style="177" bestFit="1" customWidth="1"/>
    <col min="4867" max="4867" width="9.28515625" style="177" customWidth="1"/>
    <col min="4868" max="4869" width="9.140625" style="177"/>
    <col min="4870" max="4870" width="9.42578125" style="177" customWidth="1"/>
    <col min="4871" max="4872" width="9.140625" style="177"/>
    <col min="4873" max="4873" width="10.28515625" style="177" customWidth="1"/>
    <col min="4874" max="4874" width="9.140625" style="177"/>
    <col min="4875" max="4875" width="38.5703125" style="177" customWidth="1"/>
    <col min="4876" max="4877" width="9.140625" style="177"/>
    <col min="4878" max="4878" width="11.140625" style="177" customWidth="1"/>
    <col min="4879" max="5120" width="9.140625" style="177"/>
    <col min="5121" max="5121" width="13.7109375" style="177" bestFit="1" customWidth="1"/>
    <col min="5122" max="5122" width="13.42578125" style="177" bestFit="1" customWidth="1"/>
    <col min="5123" max="5123" width="9.28515625" style="177" customWidth="1"/>
    <col min="5124" max="5125" width="9.140625" style="177"/>
    <col min="5126" max="5126" width="9.42578125" style="177" customWidth="1"/>
    <col min="5127" max="5128" width="9.140625" style="177"/>
    <col min="5129" max="5129" width="10.28515625" style="177" customWidth="1"/>
    <col min="5130" max="5130" width="9.140625" style="177"/>
    <col min="5131" max="5131" width="38.5703125" style="177" customWidth="1"/>
    <col min="5132" max="5133" width="9.140625" style="177"/>
    <col min="5134" max="5134" width="11.140625" style="177" customWidth="1"/>
    <col min="5135" max="5376" width="9.140625" style="177"/>
    <col min="5377" max="5377" width="13.7109375" style="177" bestFit="1" customWidth="1"/>
    <col min="5378" max="5378" width="13.42578125" style="177" bestFit="1" customWidth="1"/>
    <col min="5379" max="5379" width="9.28515625" style="177" customWidth="1"/>
    <col min="5380" max="5381" width="9.140625" style="177"/>
    <col min="5382" max="5382" width="9.42578125" style="177" customWidth="1"/>
    <col min="5383" max="5384" width="9.140625" style="177"/>
    <col min="5385" max="5385" width="10.28515625" style="177" customWidth="1"/>
    <col min="5386" max="5386" width="9.140625" style="177"/>
    <col min="5387" max="5387" width="38.5703125" style="177" customWidth="1"/>
    <col min="5388" max="5389" width="9.140625" style="177"/>
    <col min="5390" max="5390" width="11.140625" style="177" customWidth="1"/>
    <col min="5391" max="5632" width="9.140625" style="177"/>
    <col min="5633" max="5633" width="13.7109375" style="177" bestFit="1" customWidth="1"/>
    <col min="5634" max="5634" width="13.42578125" style="177" bestFit="1" customWidth="1"/>
    <col min="5635" max="5635" width="9.28515625" style="177" customWidth="1"/>
    <col min="5636" max="5637" width="9.140625" style="177"/>
    <col min="5638" max="5638" width="9.42578125" style="177" customWidth="1"/>
    <col min="5639" max="5640" width="9.140625" style="177"/>
    <col min="5641" max="5641" width="10.28515625" style="177" customWidth="1"/>
    <col min="5642" max="5642" width="9.140625" style="177"/>
    <col min="5643" max="5643" width="38.5703125" style="177" customWidth="1"/>
    <col min="5644" max="5645" width="9.140625" style="177"/>
    <col min="5646" max="5646" width="11.140625" style="177" customWidth="1"/>
    <col min="5647" max="5888" width="9.140625" style="177"/>
    <col min="5889" max="5889" width="13.7109375" style="177" bestFit="1" customWidth="1"/>
    <col min="5890" max="5890" width="13.42578125" style="177" bestFit="1" customWidth="1"/>
    <col min="5891" max="5891" width="9.28515625" style="177" customWidth="1"/>
    <col min="5892" max="5893" width="9.140625" style="177"/>
    <col min="5894" max="5894" width="9.42578125" style="177" customWidth="1"/>
    <col min="5895" max="5896" width="9.140625" style="177"/>
    <col min="5897" max="5897" width="10.28515625" style="177" customWidth="1"/>
    <col min="5898" max="5898" width="9.140625" style="177"/>
    <col min="5899" max="5899" width="38.5703125" style="177" customWidth="1"/>
    <col min="5900" max="5901" width="9.140625" style="177"/>
    <col min="5902" max="5902" width="11.140625" style="177" customWidth="1"/>
    <col min="5903" max="6144" width="9.140625" style="177"/>
    <col min="6145" max="6145" width="13.7109375" style="177" bestFit="1" customWidth="1"/>
    <col min="6146" max="6146" width="13.42578125" style="177" bestFit="1" customWidth="1"/>
    <col min="6147" max="6147" width="9.28515625" style="177" customWidth="1"/>
    <col min="6148" max="6149" width="9.140625" style="177"/>
    <col min="6150" max="6150" width="9.42578125" style="177" customWidth="1"/>
    <col min="6151" max="6152" width="9.140625" style="177"/>
    <col min="6153" max="6153" width="10.28515625" style="177" customWidth="1"/>
    <col min="6154" max="6154" width="9.140625" style="177"/>
    <col min="6155" max="6155" width="38.5703125" style="177" customWidth="1"/>
    <col min="6156" max="6157" width="9.140625" style="177"/>
    <col min="6158" max="6158" width="11.140625" style="177" customWidth="1"/>
    <col min="6159" max="6400" width="9.140625" style="177"/>
    <col min="6401" max="6401" width="13.7109375" style="177" bestFit="1" customWidth="1"/>
    <col min="6402" max="6402" width="13.42578125" style="177" bestFit="1" customWidth="1"/>
    <col min="6403" max="6403" width="9.28515625" style="177" customWidth="1"/>
    <col min="6404" max="6405" width="9.140625" style="177"/>
    <col min="6406" max="6406" width="9.42578125" style="177" customWidth="1"/>
    <col min="6407" max="6408" width="9.140625" style="177"/>
    <col min="6409" max="6409" width="10.28515625" style="177" customWidth="1"/>
    <col min="6410" max="6410" width="9.140625" style="177"/>
    <col min="6411" max="6411" width="38.5703125" style="177" customWidth="1"/>
    <col min="6412" max="6413" width="9.140625" style="177"/>
    <col min="6414" max="6414" width="11.140625" style="177" customWidth="1"/>
    <col min="6415" max="6656" width="9.140625" style="177"/>
    <col min="6657" max="6657" width="13.7109375" style="177" bestFit="1" customWidth="1"/>
    <col min="6658" max="6658" width="13.42578125" style="177" bestFit="1" customWidth="1"/>
    <col min="6659" max="6659" width="9.28515625" style="177" customWidth="1"/>
    <col min="6660" max="6661" width="9.140625" style="177"/>
    <col min="6662" max="6662" width="9.42578125" style="177" customWidth="1"/>
    <col min="6663" max="6664" width="9.140625" style="177"/>
    <col min="6665" max="6665" width="10.28515625" style="177" customWidth="1"/>
    <col min="6666" max="6666" width="9.140625" style="177"/>
    <col min="6667" max="6667" width="38.5703125" style="177" customWidth="1"/>
    <col min="6668" max="6669" width="9.140625" style="177"/>
    <col min="6670" max="6670" width="11.140625" style="177" customWidth="1"/>
    <col min="6671" max="6912" width="9.140625" style="177"/>
    <col min="6913" max="6913" width="13.7109375" style="177" bestFit="1" customWidth="1"/>
    <col min="6914" max="6914" width="13.42578125" style="177" bestFit="1" customWidth="1"/>
    <col min="6915" max="6915" width="9.28515625" style="177" customWidth="1"/>
    <col min="6916" max="6917" width="9.140625" style="177"/>
    <col min="6918" max="6918" width="9.42578125" style="177" customWidth="1"/>
    <col min="6919" max="6920" width="9.140625" style="177"/>
    <col min="6921" max="6921" width="10.28515625" style="177" customWidth="1"/>
    <col min="6922" max="6922" width="9.140625" style="177"/>
    <col min="6923" max="6923" width="38.5703125" style="177" customWidth="1"/>
    <col min="6924" max="6925" width="9.140625" style="177"/>
    <col min="6926" max="6926" width="11.140625" style="177" customWidth="1"/>
    <col min="6927" max="7168" width="9.140625" style="177"/>
    <col min="7169" max="7169" width="13.7109375" style="177" bestFit="1" customWidth="1"/>
    <col min="7170" max="7170" width="13.42578125" style="177" bestFit="1" customWidth="1"/>
    <col min="7171" max="7171" width="9.28515625" style="177" customWidth="1"/>
    <col min="7172" max="7173" width="9.140625" style="177"/>
    <col min="7174" max="7174" width="9.42578125" style="177" customWidth="1"/>
    <col min="7175" max="7176" width="9.140625" style="177"/>
    <col min="7177" max="7177" width="10.28515625" style="177" customWidth="1"/>
    <col min="7178" max="7178" width="9.140625" style="177"/>
    <col min="7179" max="7179" width="38.5703125" style="177" customWidth="1"/>
    <col min="7180" max="7181" width="9.140625" style="177"/>
    <col min="7182" max="7182" width="11.140625" style="177" customWidth="1"/>
    <col min="7183" max="7424" width="9.140625" style="177"/>
    <col min="7425" max="7425" width="13.7109375" style="177" bestFit="1" customWidth="1"/>
    <col min="7426" max="7426" width="13.42578125" style="177" bestFit="1" customWidth="1"/>
    <col min="7427" max="7427" width="9.28515625" style="177" customWidth="1"/>
    <col min="7428" max="7429" width="9.140625" style="177"/>
    <col min="7430" max="7430" width="9.42578125" style="177" customWidth="1"/>
    <col min="7431" max="7432" width="9.140625" style="177"/>
    <col min="7433" max="7433" width="10.28515625" style="177" customWidth="1"/>
    <col min="7434" max="7434" width="9.140625" style="177"/>
    <col min="7435" max="7435" width="38.5703125" style="177" customWidth="1"/>
    <col min="7436" max="7437" width="9.140625" style="177"/>
    <col min="7438" max="7438" width="11.140625" style="177" customWidth="1"/>
    <col min="7439" max="7680" width="9.140625" style="177"/>
    <col min="7681" max="7681" width="13.7109375" style="177" bestFit="1" customWidth="1"/>
    <col min="7682" max="7682" width="13.42578125" style="177" bestFit="1" customWidth="1"/>
    <col min="7683" max="7683" width="9.28515625" style="177" customWidth="1"/>
    <col min="7684" max="7685" width="9.140625" style="177"/>
    <col min="7686" max="7686" width="9.42578125" style="177" customWidth="1"/>
    <col min="7687" max="7688" width="9.140625" style="177"/>
    <col min="7689" max="7689" width="10.28515625" style="177" customWidth="1"/>
    <col min="7690" max="7690" width="9.140625" style="177"/>
    <col min="7691" max="7691" width="38.5703125" style="177" customWidth="1"/>
    <col min="7692" max="7693" width="9.140625" style="177"/>
    <col min="7694" max="7694" width="11.140625" style="177" customWidth="1"/>
    <col min="7695" max="7936" width="9.140625" style="177"/>
    <col min="7937" max="7937" width="13.7109375" style="177" bestFit="1" customWidth="1"/>
    <col min="7938" max="7938" width="13.42578125" style="177" bestFit="1" customWidth="1"/>
    <col min="7939" max="7939" width="9.28515625" style="177" customWidth="1"/>
    <col min="7940" max="7941" width="9.140625" style="177"/>
    <col min="7942" max="7942" width="9.42578125" style="177" customWidth="1"/>
    <col min="7943" max="7944" width="9.140625" style="177"/>
    <col min="7945" max="7945" width="10.28515625" style="177" customWidth="1"/>
    <col min="7946" max="7946" width="9.140625" style="177"/>
    <col min="7947" max="7947" width="38.5703125" style="177" customWidth="1"/>
    <col min="7948" max="7949" width="9.140625" style="177"/>
    <col min="7950" max="7950" width="11.140625" style="177" customWidth="1"/>
    <col min="7951" max="8192" width="9.140625" style="177"/>
    <col min="8193" max="8193" width="13.7109375" style="177" bestFit="1" customWidth="1"/>
    <col min="8194" max="8194" width="13.42578125" style="177" bestFit="1" customWidth="1"/>
    <col min="8195" max="8195" width="9.28515625" style="177" customWidth="1"/>
    <col min="8196" max="8197" width="9.140625" style="177"/>
    <col min="8198" max="8198" width="9.42578125" style="177" customWidth="1"/>
    <col min="8199" max="8200" width="9.140625" style="177"/>
    <col min="8201" max="8201" width="10.28515625" style="177" customWidth="1"/>
    <col min="8202" max="8202" width="9.140625" style="177"/>
    <col min="8203" max="8203" width="38.5703125" style="177" customWidth="1"/>
    <col min="8204" max="8205" width="9.140625" style="177"/>
    <col min="8206" max="8206" width="11.140625" style="177" customWidth="1"/>
    <col min="8207" max="8448" width="9.140625" style="177"/>
    <col min="8449" max="8449" width="13.7109375" style="177" bestFit="1" customWidth="1"/>
    <col min="8450" max="8450" width="13.42578125" style="177" bestFit="1" customWidth="1"/>
    <col min="8451" max="8451" width="9.28515625" style="177" customWidth="1"/>
    <col min="8452" max="8453" width="9.140625" style="177"/>
    <col min="8454" max="8454" width="9.42578125" style="177" customWidth="1"/>
    <col min="8455" max="8456" width="9.140625" style="177"/>
    <col min="8457" max="8457" width="10.28515625" style="177" customWidth="1"/>
    <col min="8458" max="8458" width="9.140625" style="177"/>
    <col min="8459" max="8459" width="38.5703125" style="177" customWidth="1"/>
    <col min="8460" max="8461" width="9.140625" style="177"/>
    <col min="8462" max="8462" width="11.140625" style="177" customWidth="1"/>
    <col min="8463" max="8704" width="9.140625" style="177"/>
    <col min="8705" max="8705" width="13.7109375" style="177" bestFit="1" customWidth="1"/>
    <col min="8706" max="8706" width="13.42578125" style="177" bestFit="1" customWidth="1"/>
    <col min="8707" max="8707" width="9.28515625" style="177" customWidth="1"/>
    <col min="8708" max="8709" width="9.140625" style="177"/>
    <col min="8710" max="8710" width="9.42578125" style="177" customWidth="1"/>
    <col min="8711" max="8712" width="9.140625" style="177"/>
    <col min="8713" max="8713" width="10.28515625" style="177" customWidth="1"/>
    <col min="8714" max="8714" width="9.140625" style="177"/>
    <col min="8715" max="8715" width="38.5703125" style="177" customWidth="1"/>
    <col min="8716" max="8717" width="9.140625" style="177"/>
    <col min="8718" max="8718" width="11.140625" style="177" customWidth="1"/>
    <col min="8719" max="8960" width="9.140625" style="177"/>
    <col min="8961" max="8961" width="13.7109375" style="177" bestFit="1" customWidth="1"/>
    <col min="8962" max="8962" width="13.42578125" style="177" bestFit="1" customWidth="1"/>
    <col min="8963" max="8963" width="9.28515625" style="177" customWidth="1"/>
    <col min="8964" max="8965" width="9.140625" style="177"/>
    <col min="8966" max="8966" width="9.42578125" style="177" customWidth="1"/>
    <col min="8967" max="8968" width="9.140625" style="177"/>
    <col min="8969" max="8969" width="10.28515625" style="177" customWidth="1"/>
    <col min="8970" max="8970" width="9.140625" style="177"/>
    <col min="8971" max="8971" width="38.5703125" style="177" customWidth="1"/>
    <col min="8972" max="8973" width="9.140625" style="177"/>
    <col min="8974" max="8974" width="11.140625" style="177" customWidth="1"/>
    <col min="8975" max="9216" width="9.140625" style="177"/>
    <col min="9217" max="9217" width="13.7109375" style="177" bestFit="1" customWidth="1"/>
    <col min="9218" max="9218" width="13.42578125" style="177" bestFit="1" customWidth="1"/>
    <col min="9219" max="9219" width="9.28515625" style="177" customWidth="1"/>
    <col min="9220" max="9221" width="9.140625" style="177"/>
    <col min="9222" max="9222" width="9.42578125" style="177" customWidth="1"/>
    <col min="9223" max="9224" width="9.140625" style="177"/>
    <col min="9225" max="9225" width="10.28515625" style="177" customWidth="1"/>
    <col min="9226" max="9226" width="9.140625" style="177"/>
    <col min="9227" max="9227" width="38.5703125" style="177" customWidth="1"/>
    <col min="9228" max="9229" width="9.140625" style="177"/>
    <col min="9230" max="9230" width="11.140625" style="177" customWidth="1"/>
    <col min="9231" max="9472" width="9.140625" style="177"/>
    <col min="9473" max="9473" width="13.7109375" style="177" bestFit="1" customWidth="1"/>
    <col min="9474" max="9474" width="13.42578125" style="177" bestFit="1" customWidth="1"/>
    <col min="9475" max="9475" width="9.28515625" style="177" customWidth="1"/>
    <col min="9476" max="9477" width="9.140625" style="177"/>
    <col min="9478" max="9478" width="9.42578125" style="177" customWidth="1"/>
    <col min="9479" max="9480" width="9.140625" style="177"/>
    <col min="9481" max="9481" width="10.28515625" style="177" customWidth="1"/>
    <col min="9482" max="9482" width="9.140625" style="177"/>
    <col min="9483" max="9483" width="38.5703125" style="177" customWidth="1"/>
    <col min="9484" max="9485" width="9.140625" style="177"/>
    <col min="9486" max="9486" width="11.140625" style="177" customWidth="1"/>
    <col min="9487" max="9728" width="9.140625" style="177"/>
    <col min="9729" max="9729" width="13.7109375" style="177" bestFit="1" customWidth="1"/>
    <col min="9730" max="9730" width="13.42578125" style="177" bestFit="1" customWidth="1"/>
    <col min="9731" max="9731" width="9.28515625" style="177" customWidth="1"/>
    <col min="9732" max="9733" width="9.140625" style="177"/>
    <col min="9734" max="9734" width="9.42578125" style="177" customWidth="1"/>
    <col min="9735" max="9736" width="9.140625" style="177"/>
    <col min="9737" max="9737" width="10.28515625" style="177" customWidth="1"/>
    <col min="9738" max="9738" width="9.140625" style="177"/>
    <col min="9739" max="9739" width="38.5703125" style="177" customWidth="1"/>
    <col min="9740" max="9741" width="9.140625" style="177"/>
    <col min="9742" max="9742" width="11.140625" style="177" customWidth="1"/>
    <col min="9743" max="9984" width="9.140625" style="177"/>
    <col min="9985" max="9985" width="13.7109375" style="177" bestFit="1" customWidth="1"/>
    <col min="9986" max="9986" width="13.42578125" style="177" bestFit="1" customWidth="1"/>
    <col min="9987" max="9987" width="9.28515625" style="177" customWidth="1"/>
    <col min="9988" max="9989" width="9.140625" style="177"/>
    <col min="9990" max="9990" width="9.42578125" style="177" customWidth="1"/>
    <col min="9991" max="9992" width="9.140625" style="177"/>
    <col min="9993" max="9993" width="10.28515625" style="177" customWidth="1"/>
    <col min="9994" max="9994" width="9.140625" style="177"/>
    <col min="9995" max="9995" width="38.5703125" style="177" customWidth="1"/>
    <col min="9996" max="9997" width="9.140625" style="177"/>
    <col min="9998" max="9998" width="11.140625" style="177" customWidth="1"/>
    <col min="9999" max="10240" width="9.140625" style="177"/>
    <col min="10241" max="10241" width="13.7109375" style="177" bestFit="1" customWidth="1"/>
    <col min="10242" max="10242" width="13.42578125" style="177" bestFit="1" customWidth="1"/>
    <col min="10243" max="10243" width="9.28515625" style="177" customWidth="1"/>
    <col min="10244" max="10245" width="9.140625" style="177"/>
    <col min="10246" max="10246" width="9.42578125" style="177" customWidth="1"/>
    <col min="10247" max="10248" width="9.140625" style="177"/>
    <col min="10249" max="10249" width="10.28515625" style="177" customWidth="1"/>
    <col min="10250" max="10250" width="9.140625" style="177"/>
    <col min="10251" max="10251" width="38.5703125" style="177" customWidth="1"/>
    <col min="10252" max="10253" width="9.140625" style="177"/>
    <col min="10254" max="10254" width="11.140625" style="177" customWidth="1"/>
    <col min="10255" max="10496" width="9.140625" style="177"/>
    <col min="10497" max="10497" width="13.7109375" style="177" bestFit="1" customWidth="1"/>
    <col min="10498" max="10498" width="13.42578125" style="177" bestFit="1" customWidth="1"/>
    <col min="10499" max="10499" width="9.28515625" style="177" customWidth="1"/>
    <col min="10500" max="10501" width="9.140625" style="177"/>
    <col min="10502" max="10502" width="9.42578125" style="177" customWidth="1"/>
    <col min="10503" max="10504" width="9.140625" style="177"/>
    <col min="10505" max="10505" width="10.28515625" style="177" customWidth="1"/>
    <col min="10506" max="10506" width="9.140625" style="177"/>
    <col min="10507" max="10507" width="38.5703125" style="177" customWidth="1"/>
    <col min="10508" max="10509" width="9.140625" style="177"/>
    <col min="10510" max="10510" width="11.140625" style="177" customWidth="1"/>
    <col min="10511" max="10752" width="9.140625" style="177"/>
    <col min="10753" max="10753" width="13.7109375" style="177" bestFit="1" customWidth="1"/>
    <col min="10754" max="10754" width="13.42578125" style="177" bestFit="1" customWidth="1"/>
    <col min="10755" max="10755" width="9.28515625" style="177" customWidth="1"/>
    <col min="10756" max="10757" width="9.140625" style="177"/>
    <col min="10758" max="10758" width="9.42578125" style="177" customWidth="1"/>
    <col min="10759" max="10760" width="9.140625" style="177"/>
    <col min="10761" max="10761" width="10.28515625" style="177" customWidth="1"/>
    <col min="10762" max="10762" width="9.140625" style="177"/>
    <col min="10763" max="10763" width="38.5703125" style="177" customWidth="1"/>
    <col min="10764" max="10765" width="9.140625" style="177"/>
    <col min="10766" max="10766" width="11.140625" style="177" customWidth="1"/>
    <col min="10767" max="11008" width="9.140625" style="177"/>
    <col min="11009" max="11009" width="13.7109375" style="177" bestFit="1" customWidth="1"/>
    <col min="11010" max="11010" width="13.42578125" style="177" bestFit="1" customWidth="1"/>
    <col min="11011" max="11011" width="9.28515625" style="177" customWidth="1"/>
    <col min="11012" max="11013" width="9.140625" style="177"/>
    <col min="11014" max="11014" width="9.42578125" style="177" customWidth="1"/>
    <col min="11015" max="11016" width="9.140625" style="177"/>
    <col min="11017" max="11017" width="10.28515625" style="177" customWidth="1"/>
    <col min="11018" max="11018" width="9.140625" style="177"/>
    <col min="11019" max="11019" width="38.5703125" style="177" customWidth="1"/>
    <col min="11020" max="11021" width="9.140625" style="177"/>
    <col min="11022" max="11022" width="11.140625" style="177" customWidth="1"/>
    <col min="11023" max="11264" width="9.140625" style="177"/>
    <col min="11265" max="11265" width="13.7109375" style="177" bestFit="1" customWidth="1"/>
    <col min="11266" max="11266" width="13.42578125" style="177" bestFit="1" customWidth="1"/>
    <col min="11267" max="11267" width="9.28515625" style="177" customWidth="1"/>
    <col min="11268" max="11269" width="9.140625" style="177"/>
    <col min="11270" max="11270" width="9.42578125" style="177" customWidth="1"/>
    <col min="11271" max="11272" width="9.140625" style="177"/>
    <col min="11273" max="11273" width="10.28515625" style="177" customWidth="1"/>
    <col min="11274" max="11274" width="9.140625" style="177"/>
    <col min="11275" max="11275" width="38.5703125" style="177" customWidth="1"/>
    <col min="11276" max="11277" width="9.140625" style="177"/>
    <col min="11278" max="11278" width="11.140625" style="177" customWidth="1"/>
    <col min="11279" max="11520" width="9.140625" style="177"/>
    <col min="11521" max="11521" width="13.7109375" style="177" bestFit="1" customWidth="1"/>
    <col min="11522" max="11522" width="13.42578125" style="177" bestFit="1" customWidth="1"/>
    <col min="11523" max="11523" width="9.28515625" style="177" customWidth="1"/>
    <col min="11524" max="11525" width="9.140625" style="177"/>
    <col min="11526" max="11526" width="9.42578125" style="177" customWidth="1"/>
    <col min="11527" max="11528" width="9.140625" style="177"/>
    <col min="11529" max="11529" width="10.28515625" style="177" customWidth="1"/>
    <col min="11530" max="11530" width="9.140625" style="177"/>
    <col min="11531" max="11531" width="38.5703125" style="177" customWidth="1"/>
    <col min="11532" max="11533" width="9.140625" style="177"/>
    <col min="11534" max="11534" width="11.140625" style="177" customWidth="1"/>
    <col min="11535" max="11776" width="9.140625" style="177"/>
    <col min="11777" max="11777" width="13.7109375" style="177" bestFit="1" customWidth="1"/>
    <col min="11778" max="11778" width="13.42578125" style="177" bestFit="1" customWidth="1"/>
    <col min="11779" max="11779" width="9.28515625" style="177" customWidth="1"/>
    <col min="11780" max="11781" width="9.140625" style="177"/>
    <col min="11782" max="11782" width="9.42578125" style="177" customWidth="1"/>
    <col min="11783" max="11784" width="9.140625" style="177"/>
    <col min="11785" max="11785" width="10.28515625" style="177" customWidth="1"/>
    <col min="11786" max="11786" width="9.140625" style="177"/>
    <col min="11787" max="11787" width="38.5703125" style="177" customWidth="1"/>
    <col min="11788" max="11789" width="9.140625" style="177"/>
    <col min="11790" max="11790" width="11.140625" style="177" customWidth="1"/>
    <col min="11791" max="12032" width="9.140625" style="177"/>
    <col min="12033" max="12033" width="13.7109375" style="177" bestFit="1" customWidth="1"/>
    <col min="12034" max="12034" width="13.42578125" style="177" bestFit="1" customWidth="1"/>
    <col min="12035" max="12035" width="9.28515625" style="177" customWidth="1"/>
    <col min="12036" max="12037" width="9.140625" style="177"/>
    <col min="12038" max="12038" width="9.42578125" style="177" customWidth="1"/>
    <col min="12039" max="12040" width="9.140625" style="177"/>
    <col min="12041" max="12041" width="10.28515625" style="177" customWidth="1"/>
    <col min="12042" max="12042" width="9.140625" style="177"/>
    <col min="12043" max="12043" width="38.5703125" style="177" customWidth="1"/>
    <col min="12044" max="12045" width="9.140625" style="177"/>
    <col min="12046" max="12046" width="11.140625" style="177" customWidth="1"/>
    <col min="12047" max="12288" width="9.140625" style="177"/>
    <col min="12289" max="12289" width="13.7109375" style="177" bestFit="1" customWidth="1"/>
    <col min="12290" max="12290" width="13.42578125" style="177" bestFit="1" customWidth="1"/>
    <col min="12291" max="12291" width="9.28515625" style="177" customWidth="1"/>
    <col min="12292" max="12293" width="9.140625" style="177"/>
    <col min="12294" max="12294" width="9.42578125" style="177" customWidth="1"/>
    <col min="12295" max="12296" width="9.140625" style="177"/>
    <col min="12297" max="12297" width="10.28515625" style="177" customWidth="1"/>
    <col min="12298" max="12298" width="9.140625" style="177"/>
    <col min="12299" max="12299" width="38.5703125" style="177" customWidth="1"/>
    <col min="12300" max="12301" width="9.140625" style="177"/>
    <col min="12302" max="12302" width="11.140625" style="177" customWidth="1"/>
    <col min="12303" max="12544" width="9.140625" style="177"/>
    <col min="12545" max="12545" width="13.7109375" style="177" bestFit="1" customWidth="1"/>
    <col min="12546" max="12546" width="13.42578125" style="177" bestFit="1" customWidth="1"/>
    <col min="12547" max="12547" width="9.28515625" style="177" customWidth="1"/>
    <col min="12548" max="12549" width="9.140625" style="177"/>
    <col min="12550" max="12550" width="9.42578125" style="177" customWidth="1"/>
    <col min="12551" max="12552" width="9.140625" style="177"/>
    <col min="12553" max="12553" width="10.28515625" style="177" customWidth="1"/>
    <col min="12554" max="12554" width="9.140625" style="177"/>
    <col min="12555" max="12555" width="38.5703125" style="177" customWidth="1"/>
    <col min="12556" max="12557" width="9.140625" style="177"/>
    <col min="12558" max="12558" width="11.140625" style="177" customWidth="1"/>
    <col min="12559" max="12800" width="9.140625" style="177"/>
    <col min="12801" max="12801" width="13.7109375" style="177" bestFit="1" customWidth="1"/>
    <col min="12802" max="12802" width="13.42578125" style="177" bestFit="1" customWidth="1"/>
    <col min="12803" max="12803" width="9.28515625" style="177" customWidth="1"/>
    <col min="12804" max="12805" width="9.140625" style="177"/>
    <col min="12806" max="12806" width="9.42578125" style="177" customWidth="1"/>
    <col min="12807" max="12808" width="9.140625" style="177"/>
    <col min="12809" max="12809" width="10.28515625" style="177" customWidth="1"/>
    <col min="12810" max="12810" width="9.140625" style="177"/>
    <col min="12811" max="12811" width="38.5703125" style="177" customWidth="1"/>
    <col min="12812" max="12813" width="9.140625" style="177"/>
    <col min="12814" max="12814" width="11.140625" style="177" customWidth="1"/>
    <col min="12815" max="13056" width="9.140625" style="177"/>
    <col min="13057" max="13057" width="13.7109375" style="177" bestFit="1" customWidth="1"/>
    <col min="13058" max="13058" width="13.42578125" style="177" bestFit="1" customWidth="1"/>
    <col min="13059" max="13059" width="9.28515625" style="177" customWidth="1"/>
    <col min="13060" max="13061" width="9.140625" style="177"/>
    <col min="13062" max="13062" width="9.42578125" style="177" customWidth="1"/>
    <col min="13063" max="13064" width="9.140625" style="177"/>
    <col min="13065" max="13065" width="10.28515625" style="177" customWidth="1"/>
    <col min="13066" max="13066" width="9.140625" style="177"/>
    <col min="13067" max="13067" width="38.5703125" style="177" customWidth="1"/>
    <col min="13068" max="13069" width="9.140625" style="177"/>
    <col min="13070" max="13070" width="11.140625" style="177" customWidth="1"/>
    <col min="13071" max="13312" width="9.140625" style="177"/>
    <col min="13313" max="13313" width="13.7109375" style="177" bestFit="1" customWidth="1"/>
    <col min="13314" max="13314" width="13.42578125" style="177" bestFit="1" customWidth="1"/>
    <col min="13315" max="13315" width="9.28515625" style="177" customWidth="1"/>
    <col min="13316" max="13317" width="9.140625" style="177"/>
    <col min="13318" max="13318" width="9.42578125" style="177" customWidth="1"/>
    <col min="13319" max="13320" width="9.140625" style="177"/>
    <col min="13321" max="13321" width="10.28515625" style="177" customWidth="1"/>
    <col min="13322" max="13322" width="9.140625" style="177"/>
    <col min="13323" max="13323" width="38.5703125" style="177" customWidth="1"/>
    <col min="13324" max="13325" width="9.140625" style="177"/>
    <col min="13326" max="13326" width="11.140625" style="177" customWidth="1"/>
    <col min="13327" max="13568" width="9.140625" style="177"/>
    <col min="13569" max="13569" width="13.7109375" style="177" bestFit="1" customWidth="1"/>
    <col min="13570" max="13570" width="13.42578125" style="177" bestFit="1" customWidth="1"/>
    <col min="13571" max="13571" width="9.28515625" style="177" customWidth="1"/>
    <col min="13572" max="13573" width="9.140625" style="177"/>
    <col min="13574" max="13574" width="9.42578125" style="177" customWidth="1"/>
    <col min="13575" max="13576" width="9.140625" style="177"/>
    <col min="13577" max="13577" width="10.28515625" style="177" customWidth="1"/>
    <col min="13578" max="13578" width="9.140625" style="177"/>
    <col min="13579" max="13579" width="38.5703125" style="177" customWidth="1"/>
    <col min="13580" max="13581" width="9.140625" style="177"/>
    <col min="13582" max="13582" width="11.140625" style="177" customWidth="1"/>
    <col min="13583" max="13824" width="9.140625" style="177"/>
    <col min="13825" max="13825" width="13.7109375" style="177" bestFit="1" customWidth="1"/>
    <col min="13826" max="13826" width="13.42578125" style="177" bestFit="1" customWidth="1"/>
    <col min="13827" max="13827" width="9.28515625" style="177" customWidth="1"/>
    <col min="13828" max="13829" width="9.140625" style="177"/>
    <col min="13830" max="13830" width="9.42578125" style="177" customWidth="1"/>
    <col min="13831" max="13832" width="9.140625" style="177"/>
    <col min="13833" max="13833" width="10.28515625" style="177" customWidth="1"/>
    <col min="13834" max="13834" width="9.140625" style="177"/>
    <col min="13835" max="13835" width="38.5703125" style="177" customWidth="1"/>
    <col min="13836" max="13837" width="9.140625" style="177"/>
    <col min="13838" max="13838" width="11.140625" style="177" customWidth="1"/>
    <col min="13839" max="14080" width="9.140625" style="177"/>
    <col min="14081" max="14081" width="13.7109375" style="177" bestFit="1" customWidth="1"/>
    <col min="14082" max="14082" width="13.42578125" style="177" bestFit="1" customWidth="1"/>
    <col min="14083" max="14083" width="9.28515625" style="177" customWidth="1"/>
    <col min="14084" max="14085" width="9.140625" style="177"/>
    <col min="14086" max="14086" width="9.42578125" style="177" customWidth="1"/>
    <col min="14087" max="14088" width="9.140625" style="177"/>
    <col min="14089" max="14089" width="10.28515625" style="177" customWidth="1"/>
    <col min="14090" max="14090" width="9.140625" style="177"/>
    <col min="14091" max="14091" width="38.5703125" style="177" customWidth="1"/>
    <col min="14092" max="14093" width="9.140625" style="177"/>
    <col min="14094" max="14094" width="11.140625" style="177" customWidth="1"/>
    <col min="14095" max="14336" width="9.140625" style="177"/>
    <col min="14337" max="14337" width="13.7109375" style="177" bestFit="1" customWidth="1"/>
    <col min="14338" max="14338" width="13.42578125" style="177" bestFit="1" customWidth="1"/>
    <col min="14339" max="14339" width="9.28515625" style="177" customWidth="1"/>
    <col min="14340" max="14341" width="9.140625" style="177"/>
    <col min="14342" max="14342" width="9.42578125" style="177" customWidth="1"/>
    <col min="14343" max="14344" width="9.140625" style="177"/>
    <col min="14345" max="14345" width="10.28515625" style="177" customWidth="1"/>
    <col min="14346" max="14346" width="9.140625" style="177"/>
    <col min="14347" max="14347" width="38.5703125" style="177" customWidth="1"/>
    <col min="14348" max="14349" width="9.140625" style="177"/>
    <col min="14350" max="14350" width="11.140625" style="177" customWidth="1"/>
    <col min="14351" max="14592" width="9.140625" style="177"/>
    <col min="14593" max="14593" width="13.7109375" style="177" bestFit="1" customWidth="1"/>
    <col min="14594" max="14594" width="13.42578125" style="177" bestFit="1" customWidth="1"/>
    <col min="14595" max="14595" width="9.28515625" style="177" customWidth="1"/>
    <col min="14596" max="14597" width="9.140625" style="177"/>
    <col min="14598" max="14598" width="9.42578125" style="177" customWidth="1"/>
    <col min="14599" max="14600" width="9.140625" style="177"/>
    <col min="14601" max="14601" width="10.28515625" style="177" customWidth="1"/>
    <col min="14602" max="14602" width="9.140625" style="177"/>
    <col min="14603" max="14603" width="38.5703125" style="177" customWidth="1"/>
    <col min="14604" max="14605" width="9.140625" style="177"/>
    <col min="14606" max="14606" width="11.140625" style="177" customWidth="1"/>
    <col min="14607" max="14848" width="9.140625" style="177"/>
    <col min="14849" max="14849" width="13.7109375" style="177" bestFit="1" customWidth="1"/>
    <col min="14850" max="14850" width="13.42578125" style="177" bestFit="1" customWidth="1"/>
    <col min="14851" max="14851" width="9.28515625" style="177" customWidth="1"/>
    <col min="14852" max="14853" width="9.140625" style="177"/>
    <col min="14854" max="14854" width="9.42578125" style="177" customWidth="1"/>
    <col min="14855" max="14856" width="9.140625" style="177"/>
    <col min="14857" max="14857" width="10.28515625" style="177" customWidth="1"/>
    <col min="14858" max="14858" width="9.140625" style="177"/>
    <col min="14859" max="14859" width="38.5703125" style="177" customWidth="1"/>
    <col min="14860" max="14861" width="9.140625" style="177"/>
    <col min="14862" max="14862" width="11.140625" style="177" customWidth="1"/>
    <col min="14863" max="15104" width="9.140625" style="177"/>
    <col min="15105" max="15105" width="13.7109375" style="177" bestFit="1" customWidth="1"/>
    <col min="15106" max="15106" width="13.42578125" style="177" bestFit="1" customWidth="1"/>
    <col min="15107" max="15107" width="9.28515625" style="177" customWidth="1"/>
    <col min="15108" max="15109" width="9.140625" style="177"/>
    <col min="15110" max="15110" width="9.42578125" style="177" customWidth="1"/>
    <col min="15111" max="15112" width="9.140625" style="177"/>
    <col min="15113" max="15113" width="10.28515625" style="177" customWidth="1"/>
    <col min="15114" max="15114" width="9.140625" style="177"/>
    <col min="15115" max="15115" width="38.5703125" style="177" customWidth="1"/>
    <col min="15116" max="15117" width="9.140625" style="177"/>
    <col min="15118" max="15118" width="11.140625" style="177" customWidth="1"/>
    <col min="15119" max="15360" width="9.140625" style="177"/>
    <col min="15361" max="15361" width="13.7109375" style="177" bestFit="1" customWidth="1"/>
    <col min="15362" max="15362" width="13.42578125" style="177" bestFit="1" customWidth="1"/>
    <col min="15363" max="15363" width="9.28515625" style="177" customWidth="1"/>
    <col min="15364" max="15365" width="9.140625" style="177"/>
    <col min="15366" max="15366" width="9.42578125" style="177" customWidth="1"/>
    <col min="15367" max="15368" width="9.140625" style="177"/>
    <col min="15369" max="15369" width="10.28515625" style="177" customWidth="1"/>
    <col min="15370" max="15370" width="9.140625" style="177"/>
    <col min="15371" max="15371" width="38.5703125" style="177" customWidth="1"/>
    <col min="15372" max="15373" width="9.140625" style="177"/>
    <col min="15374" max="15374" width="11.140625" style="177" customWidth="1"/>
    <col min="15375" max="15616" width="9.140625" style="177"/>
    <col min="15617" max="15617" width="13.7109375" style="177" bestFit="1" customWidth="1"/>
    <col min="15618" max="15618" width="13.42578125" style="177" bestFit="1" customWidth="1"/>
    <col min="15619" max="15619" width="9.28515625" style="177" customWidth="1"/>
    <col min="15620" max="15621" width="9.140625" style="177"/>
    <col min="15622" max="15622" width="9.42578125" style="177" customWidth="1"/>
    <col min="15623" max="15624" width="9.140625" style="177"/>
    <col min="15625" max="15625" width="10.28515625" style="177" customWidth="1"/>
    <col min="15626" max="15626" width="9.140625" style="177"/>
    <col min="15627" max="15627" width="38.5703125" style="177" customWidth="1"/>
    <col min="15628" max="15629" width="9.140625" style="177"/>
    <col min="15630" max="15630" width="11.140625" style="177" customWidth="1"/>
    <col min="15631" max="15872" width="9.140625" style="177"/>
    <col min="15873" max="15873" width="13.7109375" style="177" bestFit="1" customWidth="1"/>
    <col min="15874" max="15874" width="13.42578125" style="177" bestFit="1" customWidth="1"/>
    <col min="15875" max="15875" width="9.28515625" style="177" customWidth="1"/>
    <col min="15876" max="15877" width="9.140625" style="177"/>
    <col min="15878" max="15878" width="9.42578125" style="177" customWidth="1"/>
    <col min="15879" max="15880" width="9.140625" style="177"/>
    <col min="15881" max="15881" width="10.28515625" style="177" customWidth="1"/>
    <col min="15882" max="15882" width="9.140625" style="177"/>
    <col min="15883" max="15883" width="38.5703125" style="177" customWidth="1"/>
    <col min="15884" max="15885" width="9.140625" style="177"/>
    <col min="15886" max="15886" width="11.140625" style="177" customWidth="1"/>
    <col min="15887" max="16128" width="9.140625" style="177"/>
    <col min="16129" max="16129" width="13.7109375" style="177" bestFit="1" customWidth="1"/>
    <col min="16130" max="16130" width="13.42578125" style="177" bestFit="1" customWidth="1"/>
    <col min="16131" max="16131" width="9.28515625" style="177" customWidth="1"/>
    <col min="16132" max="16133" width="9.140625" style="177"/>
    <col min="16134" max="16134" width="9.42578125" style="177" customWidth="1"/>
    <col min="16135" max="16136" width="9.140625" style="177"/>
    <col min="16137" max="16137" width="10.28515625" style="177" customWidth="1"/>
    <col min="16138" max="16138" width="9.140625" style="177"/>
    <col min="16139" max="16139" width="38.5703125" style="177" customWidth="1"/>
    <col min="16140" max="16141" width="9.140625" style="177"/>
    <col min="16142" max="16142" width="11.140625" style="177" customWidth="1"/>
    <col min="16143" max="16384" width="9.140625" style="177"/>
  </cols>
  <sheetData>
    <row r="1" spans="1:15" x14ac:dyDescent="0.2">
      <c r="A1" s="179"/>
      <c r="B1" s="179"/>
      <c r="C1" s="179"/>
      <c r="D1" s="179"/>
      <c r="E1" s="179"/>
      <c r="F1" s="179"/>
      <c r="G1" s="179"/>
      <c r="H1" s="179"/>
      <c r="I1" s="179"/>
      <c r="J1" s="179"/>
      <c r="K1" s="179"/>
      <c r="L1" s="179"/>
      <c r="M1" s="179"/>
      <c r="N1" s="179"/>
      <c r="O1" s="179"/>
    </row>
    <row r="2" spans="1:15" ht="15.75" x14ac:dyDescent="0.25">
      <c r="A2" s="754" t="s">
        <v>50</v>
      </c>
      <c r="B2" s="754"/>
      <c r="C2" s="754"/>
      <c r="D2" s="754"/>
      <c r="E2" s="754"/>
      <c r="F2" s="754"/>
      <c r="G2" s="754"/>
      <c r="H2" s="754"/>
      <c r="I2" s="754"/>
      <c r="J2" s="754"/>
      <c r="K2" s="754"/>
      <c r="L2" s="754"/>
      <c r="M2" s="754"/>
      <c r="N2" s="754"/>
      <c r="O2" s="754"/>
    </row>
    <row r="3" spans="1:15" ht="15.75" x14ac:dyDescent="0.25">
      <c r="A3" s="180"/>
      <c r="B3" s="180"/>
      <c r="C3" s="180"/>
      <c r="D3" s="180"/>
      <c r="E3" s="180"/>
      <c r="F3" s="180"/>
      <c r="G3" s="180"/>
      <c r="H3" s="180"/>
      <c r="I3" s="180"/>
      <c r="J3" s="180"/>
      <c r="K3" s="180"/>
      <c r="L3" s="180"/>
      <c r="M3" s="180"/>
      <c r="N3" s="180"/>
      <c r="O3" s="180"/>
    </row>
    <row r="4" spans="1:15" ht="15.75" x14ac:dyDescent="0.25">
      <c r="A4" s="181" t="s">
        <v>0</v>
      </c>
      <c r="B4" s="182" t="str">
        <f>PO!C2</f>
        <v>Reforma e Ampliação do Almoxarifado da Farmácia</v>
      </c>
      <c r="L4" s="307"/>
      <c r="M4" s="308" t="s">
        <v>51</v>
      </c>
      <c r="N4" s="309" t="s">
        <v>12250</v>
      </c>
    </row>
    <row r="5" spans="1:15" ht="15.75" x14ac:dyDescent="0.25">
      <c r="A5" s="181" t="s">
        <v>1</v>
      </c>
      <c r="B5" s="182" t="str">
        <f>PO!C4</f>
        <v>Porto Velho/RO</v>
      </c>
      <c r="L5" s="307"/>
      <c r="M5" s="308" t="s">
        <v>52</v>
      </c>
      <c r="N5" s="311">
        <v>43739</v>
      </c>
    </row>
    <row r="6" spans="1:15" ht="24" customHeight="1" x14ac:dyDescent="0.25">
      <c r="A6" s="181" t="s">
        <v>167</v>
      </c>
      <c r="B6" s="542" t="str">
        <f>PO!C5</f>
        <v>07/2020</v>
      </c>
      <c r="J6" s="307"/>
      <c r="K6" s="312"/>
      <c r="L6" s="312"/>
      <c r="M6" s="313" t="s">
        <v>11664</v>
      </c>
      <c r="N6" s="755">
        <f>PO!K5</f>
        <v>0</v>
      </c>
      <c r="O6" s="755"/>
    </row>
    <row r="7" spans="1:15" ht="15.75" customHeight="1" x14ac:dyDescent="0.25">
      <c r="A7" s="181"/>
      <c r="J7" s="756"/>
      <c r="K7" s="756"/>
      <c r="L7" s="756"/>
      <c r="M7" s="756"/>
      <c r="N7" s="271"/>
      <c r="O7" s="310"/>
    </row>
    <row r="8" spans="1:15" x14ac:dyDescent="0.2">
      <c r="A8" s="543"/>
      <c r="B8" s="543"/>
      <c r="C8" s="543"/>
      <c r="D8" s="543"/>
      <c r="E8" s="543"/>
      <c r="F8" s="543"/>
      <c r="G8" s="543"/>
      <c r="H8" s="543"/>
      <c r="I8" s="543"/>
      <c r="J8" s="543"/>
      <c r="K8" s="543"/>
      <c r="L8" s="543"/>
      <c r="M8" s="543"/>
      <c r="N8" s="543"/>
      <c r="O8" s="543"/>
    </row>
    <row r="10" spans="1:15" x14ac:dyDescent="0.2">
      <c r="A10" s="177">
        <v>1</v>
      </c>
      <c r="B10" s="177" t="s">
        <v>54</v>
      </c>
      <c r="F10" s="544">
        <v>1.4999999999999999E-2</v>
      </c>
      <c r="I10" s="183"/>
    </row>
    <row r="11" spans="1:15" x14ac:dyDescent="0.2">
      <c r="A11" s="177">
        <v>2</v>
      </c>
      <c r="B11" s="177" t="s">
        <v>55</v>
      </c>
      <c r="F11" s="544">
        <v>3.0000000000000001E-3</v>
      </c>
    </row>
    <row r="12" spans="1:15" x14ac:dyDescent="0.2">
      <c r="A12" s="177">
        <v>3</v>
      </c>
      <c r="B12" s="177" t="s">
        <v>56</v>
      </c>
      <c r="F12" s="544">
        <v>5.5999999999999999E-3</v>
      </c>
    </row>
    <row r="13" spans="1:15" x14ac:dyDescent="0.2">
      <c r="A13" s="177">
        <v>4</v>
      </c>
      <c r="B13" s="177" t="s">
        <v>57</v>
      </c>
      <c r="F13" s="544">
        <v>8.5000000000000006E-3</v>
      </c>
    </row>
    <row r="14" spans="1:15" x14ac:dyDescent="0.2">
      <c r="A14" s="177">
        <v>5</v>
      </c>
      <c r="B14" s="177" t="s">
        <v>58</v>
      </c>
      <c r="F14" s="544">
        <v>3.5000000000000003E-2</v>
      </c>
    </row>
    <row r="15" spans="1:15" x14ac:dyDescent="0.2">
      <c r="A15" s="177">
        <v>6</v>
      </c>
      <c r="B15" s="182" t="s">
        <v>59</v>
      </c>
      <c r="F15" s="545">
        <f>SUM(F16:F18)</f>
        <v>6.1499999999999999E-2</v>
      </c>
      <c r="K15" s="184"/>
      <c r="L15" s="184"/>
      <c r="M15" s="184"/>
    </row>
    <row r="16" spans="1:15" x14ac:dyDescent="0.2">
      <c r="A16" s="185" t="s">
        <v>60</v>
      </c>
      <c r="B16" s="177" t="s">
        <v>61</v>
      </c>
      <c r="F16" s="544">
        <v>0.03</v>
      </c>
      <c r="K16" s="184"/>
      <c r="L16" s="184"/>
      <c r="M16" s="184"/>
    </row>
    <row r="17" spans="1:13" x14ac:dyDescent="0.2">
      <c r="A17" s="185" t="s">
        <v>62</v>
      </c>
      <c r="B17" s="177" t="s">
        <v>63</v>
      </c>
      <c r="E17" s="546"/>
      <c r="F17" s="544">
        <v>6.4999999999999997E-3</v>
      </c>
      <c r="J17" s="184"/>
      <c r="K17" s="184"/>
      <c r="L17" s="184"/>
      <c r="M17" s="184"/>
    </row>
    <row r="18" spans="1:13" x14ac:dyDescent="0.2">
      <c r="A18" s="185" t="s">
        <v>64</v>
      </c>
      <c r="B18" s="177" t="s">
        <v>65</v>
      </c>
      <c r="F18" s="544">
        <v>2.5000000000000001E-2</v>
      </c>
      <c r="J18" s="184"/>
      <c r="K18" s="184"/>
      <c r="L18" s="184"/>
      <c r="M18" s="184"/>
    </row>
    <row r="19" spans="1:13" x14ac:dyDescent="0.2">
      <c r="A19" s="185"/>
      <c r="C19" s="544"/>
      <c r="F19" s="544"/>
      <c r="J19" s="184"/>
      <c r="K19" s="184"/>
      <c r="L19" s="184"/>
      <c r="M19" s="184"/>
    </row>
    <row r="20" spans="1:13" x14ac:dyDescent="0.2">
      <c r="A20" s="185"/>
      <c r="F20" s="546"/>
      <c r="J20" s="184"/>
      <c r="K20" s="184"/>
      <c r="L20" s="184"/>
      <c r="M20" s="184"/>
    </row>
    <row r="21" spans="1:13" ht="15.75" x14ac:dyDescent="0.25">
      <c r="B21" s="186" t="s">
        <v>66</v>
      </c>
      <c r="F21" s="547">
        <f>((((1+F10+F11+F12+0)*(1+F13)*(1+F14))/(1-F15)))-1</f>
        <v>0.13844552051145409</v>
      </c>
      <c r="J21" s="184"/>
      <c r="K21" s="184"/>
      <c r="L21" s="184"/>
      <c r="M21" s="184"/>
    </row>
    <row r="22" spans="1:13" x14ac:dyDescent="0.2">
      <c r="F22" s="546"/>
      <c r="J22" s="184"/>
      <c r="K22" s="184"/>
      <c r="L22" s="184"/>
      <c r="M22" s="184"/>
    </row>
    <row r="23" spans="1:13" ht="15.75" x14ac:dyDescent="0.25">
      <c r="B23" s="186" t="s">
        <v>67</v>
      </c>
      <c r="F23" s="546"/>
      <c r="J23" s="184"/>
      <c r="K23" s="184"/>
      <c r="L23" s="184"/>
    </row>
    <row r="24" spans="1:13" x14ac:dyDescent="0.2">
      <c r="B24" s="177" t="s">
        <v>68</v>
      </c>
      <c r="F24" s="546"/>
      <c r="J24" s="184"/>
      <c r="K24" s="184"/>
      <c r="L24" s="184"/>
    </row>
    <row r="25" spans="1:13" x14ac:dyDescent="0.2">
      <c r="B25" s="177" t="s">
        <v>69</v>
      </c>
    </row>
    <row r="26" spans="1:13" x14ac:dyDescent="0.2">
      <c r="B26" s="177" t="s">
        <v>70</v>
      </c>
    </row>
    <row r="27" spans="1:13" x14ac:dyDescent="0.2">
      <c r="B27" s="177" t="s">
        <v>71</v>
      </c>
    </row>
    <row r="28" spans="1:13" x14ac:dyDescent="0.2">
      <c r="B28" s="177" t="s">
        <v>72</v>
      </c>
      <c r="C28" s="184"/>
      <c r="D28" s="184"/>
      <c r="E28" s="184"/>
      <c r="F28" s="184"/>
      <c r="G28" s="184"/>
      <c r="H28" s="184"/>
      <c r="I28" s="184"/>
      <c r="J28" s="184"/>
    </row>
    <row r="29" spans="1:13" x14ac:dyDescent="0.2">
      <c r="B29" s="177" t="s">
        <v>73</v>
      </c>
    </row>
  </sheetData>
  <sheetProtection selectLockedCells="1" selectUnlockedCells="1"/>
  <mergeCells count="3">
    <mergeCell ref="A2:O2"/>
    <mergeCell ref="N6:O6"/>
    <mergeCell ref="J7:M7"/>
  </mergeCells>
  <printOptions horizontalCentered="1" verticalCentered="1"/>
  <pageMargins left="0.78740157480314965" right="0.78740157480314965" top="0.98425196850393704" bottom="0.98425196850393704" header="0.51181102362204722" footer="0.51181102362204722"/>
  <pageSetup paperSize="9" scale="70" firstPageNumber="0" orientation="landscape" horizontalDpi="300" verticalDpi="300" r:id="rId1"/>
  <headerFooter alignWithMargins="0">
    <oddHeader>&amp;LCNPJ: 27.651.907/0001-77&amp;C&amp;G&amp;RIE: 00000004780094</oddHeader>
    <oddFooter>&amp;CAv. Abunã, 2914 – Sala D – Liberdade – Porto Velho – Rondônia – Brasil – CEP 76.803-888
+55 69 99283 9999  +55 69 4141 6641
proj.nova@outlook.com &amp;RPágina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X44"/>
  <sheetViews>
    <sheetView view="pageBreakPreview" zoomScale="70" zoomScaleNormal="70" zoomScaleSheetLayoutView="70" zoomScalePageLayoutView="55" workbookViewId="0">
      <selection activeCell="H4" sqref="H4"/>
    </sheetView>
  </sheetViews>
  <sheetFormatPr defaultRowHeight="15.75" x14ac:dyDescent="0.25"/>
  <cols>
    <col min="1" max="1" width="14.5703125" style="184" bestFit="1" customWidth="1"/>
    <col min="2" max="2" width="73.7109375" style="184" customWidth="1"/>
    <col min="3" max="3" width="15" style="184" bestFit="1" customWidth="1"/>
    <col min="4" max="4" width="14.7109375" style="184" customWidth="1"/>
    <col min="5" max="5" width="15.85546875" style="184" bestFit="1" customWidth="1"/>
    <col min="6" max="6" width="16" style="184" bestFit="1" customWidth="1"/>
    <col min="7" max="7" width="16" style="184" customWidth="1"/>
    <col min="8" max="8" width="28.42578125" style="184" bestFit="1" customWidth="1"/>
    <col min="9" max="9" width="16.7109375" style="184" customWidth="1"/>
    <col min="10" max="10" width="12.7109375" style="184" customWidth="1"/>
    <col min="11" max="11" width="14.28515625" style="187" customWidth="1"/>
    <col min="12" max="12" width="16.140625" style="187" customWidth="1"/>
    <col min="13" max="24" width="8.85546875" style="184" customWidth="1"/>
    <col min="25" max="256" width="9.140625" style="184"/>
    <col min="257" max="257" width="14.5703125" style="184" bestFit="1" customWidth="1"/>
    <col min="258" max="258" width="73.7109375" style="184" customWidth="1"/>
    <col min="259" max="263" width="12.7109375" style="184" customWidth="1"/>
    <col min="264" max="264" width="13.140625" style="184" customWidth="1"/>
    <col min="265" max="265" width="12.42578125" style="184" customWidth="1"/>
    <col min="266" max="266" width="12.7109375" style="184" customWidth="1"/>
    <col min="267" max="267" width="14.28515625" style="184" customWidth="1"/>
    <col min="268" max="268" width="16.140625" style="184" customWidth="1"/>
    <col min="269" max="280" width="8.85546875" style="184" customWidth="1"/>
    <col min="281" max="512" width="9.140625" style="184"/>
    <col min="513" max="513" width="14.5703125" style="184" bestFit="1" customWidth="1"/>
    <col min="514" max="514" width="73.7109375" style="184" customWidth="1"/>
    <col min="515" max="519" width="12.7109375" style="184" customWidth="1"/>
    <col min="520" max="520" width="13.140625" style="184" customWidth="1"/>
    <col min="521" max="521" width="12.42578125" style="184" customWidth="1"/>
    <col min="522" max="522" width="12.7109375" style="184" customWidth="1"/>
    <col min="523" max="523" width="14.28515625" style="184" customWidth="1"/>
    <col min="524" max="524" width="16.140625" style="184" customWidth="1"/>
    <col min="525" max="536" width="8.85546875" style="184" customWidth="1"/>
    <col min="537" max="768" width="9.140625" style="184"/>
    <col min="769" max="769" width="14.5703125" style="184" bestFit="1" customWidth="1"/>
    <col min="770" max="770" width="73.7109375" style="184" customWidth="1"/>
    <col min="771" max="775" width="12.7109375" style="184" customWidth="1"/>
    <col min="776" max="776" width="13.140625" style="184" customWidth="1"/>
    <col min="777" max="777" width="12.42578125" style="184" customWidth="1"/>
    <col min="778" max="778" width="12.7109375" style="184" customWidth="1"/>
    <col min="779" max="779" width="14.28515625" style="184" customWidth="1"/>
    <col min="780" max="780" width="16.140625" style="184" customWidth="1"/>
    <col min="781" max="792" width="8.85546875" style="184" customWidth="1"/>
    <col min="793" max="1024" width="9.140625" style="184"/>
    <col min="1025" max="1025" width="14.5703125" style="184" bestFit="1" customWidth="1"/>
    <col min="1026" max="1026" width="73.7109375" style="184" customWidth="1"/>
    <col min="1027" max="1031" width="12.7109375" style="184" customWidth="1"/>
    <col min="1032" max="1032" width="13.140625" style="184" customWidth="1"/>
    <col min="1033" max="1033" width="12.42578125" style="184" customWidth="1"/>
    <col min="1034" max="1034" width="12.7109375" style="184" customWidth="1"/>
    <col min="1035" max="1035" width="14.28515625" style="184" customWidth="1"/>
    <col min="1036" max="1036" width="16.140625" style="184" customWidth="1"/>
    <col min="1037" max="1048" width="8.85546875" style="184" customWidth="1"/>
    <col min="1049" max="1280" width="9.140625" style="184"/>
    <col min="1281" max="1281" width="14.5703125" style="184" bestFit="1" customWidth="1"/>
    <col min="1282" max="1282" width="73.7109375" style="184" customWidth="1"/>
    <col min="1283" max="1287" width="12.7109375" style="184" customWidth="1"/>
    <col min="1288" max="1288" width="13.140625" style="184" customWidth="1"/>
    <col min="1289" max="1289" width="12.42578125" style="184" customWidth="1"/>
    <col min="1290" max="1290" width="12.7109375" style="184" customWidth="1"/>
    <col min="1291" max="1291" width="14.28515625" style="184" customWidth="1"/>
    <col min="1292" max="1292" width="16.140625" style="184" customWidth="1"/>
    <col min="1293" max="1304" width="8.85546875" style="184" customWidth="1"/>
    <col min="1305" max="1536" width="9.140625" style="184"/>
    <col min="1537" max="1537" width="14.5703125" style="184" bestFit="1" customWidth="1"/>
    <col min="1538" max="1538" width="73.7109375" style="184" customWidth="1"/>
    <col min="1539" max="1543" width="12.7109375" style="184" customWidth="1"/>
    <col min="1544" max="1544" width="13.140625" style="184" customWidth="1"/>
    <col min="1545" max="1545" width="12.42578125" style="184" customWidth="1"/>
    <col min="1546" max="1546" width="12.7109375" style="184" customWidth="1"/>
    <col min="1547" max="1547" width="14.28515625" style="184" customWidth="1"/>
    <col min="1548" max="1548" width="16.140625" style="184" customWidth="1"/>
    <col min="1549" max="1560" width="8.85546875" style="184" customWidth="1"/>
    <col min="1561" max="1792" width="9.140625" style="184"/>
    <col min="1793" max="1793" width="14.5703125" style="184" bestFit="1" customWidth="1"/>
    <col min="1794" max="1794" width="73.7109375" style="184" customWidth="1"/>
    <col min="1795" max="1799" width="12.7109375" style="184" customWidth="1"/>
    <col min="1800" max="1800" width="13.140625" style="184" customWidth="1"/>
    <col min="1801" max="1801" width="12.42578125" style="184" customWidth="1"/>
    <col min="1802" max="1802" width="12.7109375" style="184" customWidth="1"/>
    <col min="1803" max="1803" width="14.28515625" style="184" customWidth="1"/>
    <col min="1804" max="1804" width="16.140625" style="184" customWidth="1"/>
    <col min="1805" max="1816" width="8.85546875" style="184" customWidth="1"/>
    <col min="1817" max="2048" width="9.140625" style="184"/>
    <col min="2049" max="2049" width="14.5703125" style="184" bestFit="1" customWidth="1"/>
    <col min="2050" max="2050" width="73.7109375" style="184" customWidth="1"/>
    <col min="2051" max="2055" width="12.7109375" style="184" customWidth="1"/>
    <col min="2056" max="2056" width="13.140625" style="184" customWidth="1"/>
    <col min="2057" max="2057" width="12.42578125" style="184" customWidth="1"/>
    <col min="2058" max="2058" width="12.7109375" style="184" customWidth="1"/>
    <col min="2059" max="2059" width="14.28515625" style="184" customWidth="1"/>
    <col min="2060" max="2060" width="16.140625" style="184" customWidth="1"/>
    <col min="2061" max="2072" width="8.85546875" style="184" customWidth="1"/>
    <col min="2073" max="2304" width="9.140625" style="184"/>
    <col min="2305" max="2305" width="14.5703125" style="184" bestFit="1" customWidth="1"/>
    <col min="2306" max="2306" width="73.7109375" style="184" customWidth="1"/>
    <col min="2307" max="2311" width="12.7109375" style="184" customWidth="1"/>
    <col min="2312" max="2312" width="13.140625" style="184" customWidth="1"/>
    <col min="2313" max="2313" width="12.42578125" style="184" customWidth="1"/>
    <col min="2314" max="2314" width="12.7109375" style="184" customWidth="1"/>
    <col min="2315" max="2315" width="14.28515625" style="184" customWidth="1"/>
    <col min="2316" max="2316" width="16.140625" style="184" customWidth="1"/>
    <col min="2317" max="2328" width="8.85546875" style="184" customWidth="1"/>
    <col min="2329" max="2560" width="9.140625" style="184"/>
    <col min="2561" max="2561" width="14.5703125" style="184" bestFit="1" customWidth="1"/>
    <col min="2562" max="2562" width="73.7109375" style="184" customWidth="1"/>
    <col min="2563" max="2567" width="12.7109375" style="184" customWidth="1"/>
    <col min="2568" max="2568" width="13.140625" style="184" customWidth="1"/>
    <col min="2569" max="2569" width="12.42578125" style="184" customWidth="1"/>
    <col min="2570" max="2570" width="12.7109375" style="184" customWidth="1"/>
    <col min="2571" max="2571" width="14.28515625" style="184" customWidth="1"/>
    <col min="2572" max="2572" width="16.140625" style="184" customWidth="1"/>
    <col min="2573" max="2584" width="8.85546875" style="184" customWidth="1"/>
    <col min="2585" max="2816" width="9.140625" style="184"/>
    <col min="2817" max="2817" width="14.5703125" style="184" bestFit="1" customWidth="1"/>
    <col min="2818" max="2818" width="73.7109375" style="184" customWidth="1"/>
    <col min="2819" max="2823" width="12.7109375" style="184" customWidth="1"/>
    <col min="2824" max="2824" width="13.140625" style="184" customWidth="1"/>
    <col min="2825" max="2825" width="12.42578125" style="184" customWidth="1"/>
    <col min="2826" max="2826" width="12.7109375" style="184" customWidth="1"/>
    <col min="2827" max="2827" width="14.28515625" style="184" customWidth="1"/>
    <col min="2828" max="2828" width="16.140625" style="184" customWidth="1"/>
    <col min="2829" max="2840" width="8.85546875" style="184" customWidth="1"/>
    <col min="2841" max="3072" width="9.140625" style="184"/>
    <col min="3073" max="3073" width="14.5703125" style="184" bestFit="1" customWidth="1"/>
    <col min="3074" max="3074" width="73.7109375" style="184" customWidth="1"/>
    <col min="3075" max="3079" width="12.7109375" style="184" customWidth="1"/>
    <col min="3080" max="3080" width="13.140625" style="184" customWidth="1"/>
    <col min="3081" max="3081" width="12.42578125" style="184" customWidth="1"/>
    <col min="3082" max="3082" width="12.7109375" style="184" customWidth="1"/>
    <col min="3083" max="3083" width="14.28515625" style="184" customWidth="1"/>
    <col min="3084" max="3084" width="16.140625" style="184" customWidth="1"/>
    <col min="3085" max="3096" width="8.85546875" style="184" customWidth="1"/>
    <col min="3097" max="3328" width="9.140625" style="184"/>
    <col min="3329" max="3329" width="14.5703125" style="184" bestFit="1" customWidth="1"/>
    <col min="3330" max="3330" width="73.7109375" style="184" customWidth="1"/>
    <col min="3331" max="3335" width="12.7109375" style="184" customWidth="1"/>
    <col min="3336" max="3336" width="13.140625" style="184" customWidth="1"/>
    <col min="3337" max="3337" width="12.42578125" style="184" customWidth="1"/>
    <col min="3338" max="3338" width="12.7109375" style="184" customWidth="1"/>
    <col min="3339" max="3339" width="14.28515625" style="184" customWidth="1"/>
    <col min="3340" max="3340" width="16.140625" style="184" customWidth="1"/>
    <col min="3341" max="3352" width="8.85546875" style="184" customWidth="1"/>
    <col min="3353" max="3584" width="9.140625" style="184"/>
    <col min="3585" max="3585" width="14.5703125" style="184" bestFit="1" customWidth="1"/>
    <col min="3586" max="3586" width="73.7109375" style="184" customWidth="1"/>
    <col min="3587" max="3591" width="12.7109375" style="184" customWidth="1"/>
    <col min="3592" max="3592" width="13.140625" style="184" customWidth="1"/>
    <col min="3593" max="3593" width="12.42578125" style="184" customWidth="1"/>
    <col min="3594" max="3594" width="12.7109375" style="184" customWidth="1"/>
    <col min="3595" max="3595" width="14.28515625" style="184" customWidth="1"/>
    <col min="3596" max="3596" width="16.140625" style="184" customWidth="1"/>
    <col min="3597" max="3608" width="8.85546875" style="184" customWidth="1"/>
    <col min="3609" max="3840" width="9.140625" style="184"/>
    <col min="3841" max="3841" width="14.5703125" style="184" bestFit="1" customWidth="1"/>
    <col min="3842" max="3842" width="73.7109375" style="184" customWidth="1"/>
    <col min="3843" max="3847" width="12.7109375" style="184" customWidth="1"/>
    <col min="3848" max="3848" width="13.140625" style="184" customWidth="1"/>
    <col min="3849" max="3849" width="12.42578125" style="184" customWidth="1"/>
    <col min="3850" max="3850" width="12.7109375" style="184" customWidth="1"/>
    <col min="3851" max="3851" width="14.28515625" style="184" customWidth="1"/>
    <col min="3852" max="3852" width="16.140625" style="184" customWidth="1"/>
    <col min="3853" max="3864" width="8.85546875" style="184" customWidth="1"/>
    <col min="3865" max="4096" width="9.140625" style="184"/>
    <col min="4097" max="4097" width="14.5703125" style="184" bestFit="1" customWidth="1"/>
    <col min="4098" max="4098" width="73.7109375" style="184" customWidth="1"/>
    <col min="4099" max="4103" width="12.7109375" style="184" customWidth="1"/>
    <col min="4104" max="4104" width="13.140625" style="184" customWidth="1"/>
    <col min="4105" max="4105" width="12.42578125" style="184" customWidth="1"/>
    <col min="4106" max="4106" width="12.7109375" style="184" customWidth="1"/>
    <col min="4107" max="4107" width="14.28515625" style="184" customWidth="1"/>
    <col min="4108" max="4108" width="16.140625" style="184" customWidth="1"/>
    <col min="4109" max="4120" width="8.85546875" style="184" customWidth="1"/>
    <col min="4121" max="4352" width="9.140625" style="184"/>
    <col min="4353" max="4353" width="14.5703125" style="184" bestFit="1" customWidth="1"/>
    <col min="4354" max="4354" width="73.7109375" style="184" customWidth="1"/>
    <col min="4355" max="4359" width="12.7109375" style="184" customWidth="1"/>
    <col min="4360" max="4360" width="13.140625" style="184" customWidth="1"/>
    <col min="4361" max="4361" width="12.42578125" style="184" customWidth="1"/>
    <col min="4362" max="4362" width="12.7109375" style="184" customWidth="1"/>
    <col min="4363" max="4363" width="14.28515625" style="184" customWidth="1"/>
    <col min="4364" max="4364" width="16.140625" style="184" customWidth="1"/>
    <col min="4365" max="4376" width="8.85546875" style="184" customWidth="1"/>
    <col min="4377" max="4608" width="9.140625" style="184"/>
    <col min="4609" max="4609" width="14.5703125" style="184" bestFit="1" customWidth="1"/>
    <col min="4610" max="4610" width="73.7109375" style="184" customWidth="1"/>
    <col min="4611" max="4615" width="12.7109375" style="184" customWidth="1"/>
    <col min="4616" max="4616" width="13.140625" style="184" customWidth="1"/>
    <col min="4617" max="4617" width="12.42578125" style="184" customWidth="1"/>
    <col min="4618" max="4618" width="12.7109375" style="184" customWidth="1"/>
    <col min="4619" max="4619" width="14.28515625" style="184" customWidth="1"/>
    <col min="4620" max="4620" width="16.140625" style="184" customWidth="1"/>
    <col min="4621" max="4632" width="8.85546875" style="184" customWidth="1"/>
    <col min="4633" max="4864" width="9.140625" style="184"/>
    <col min="4865" max="4865" width="14.5703125" style="184" bestFit="1" customWidth="1"/>
    <col min="4866" max="4866" width="73.7109375" style="184" customWidth="1"/>
    <col min="4867" max="4871" width="12.7109375" style="184" customWidth="1"/>
    <col min="4872" max="4872" width="13.140625" style="184" customWidth="1"/>
    <col min="4873" max="4873" width="12.42578125" style="184" customWidth="1"/>
    <col min="4874" max="4874" width="12.7109375" style="184" customWidth="1"/>
    <col min="4875" max="4875" width="14.28515625" style="184" customWidth="1"/>
    <col min="4876" max="4876" width="16.140625" style="184" customWidth="1"/>
    <col min="4877" max="4888" width="8.85546875" style="184" customWidth="1"/>
    <col min="4889" max="5120" width="9.140625" style="184"/>
    <col min="5121" max="5121" width="14.5703125" style="184" bestFit="1" customWidth="1"/>
    <col min="5122" max="5122" width="73.7109375" style="184" customWidth="1"/>
    <col min="5123" max="5127" width="12.7109375" style="184" customWidth="1"/>
    <col min="5128" max="5128" width="13.140625" style="184" customWidth="1"/>
    <col min="5129" max="5129" width="12.42578125" style="184" customWidth="1"/>
    <col min="5130" max="5130" width="12.7109375" style="184" customWidth="1"/>
    <col min="5131" max="5131" width="14.28515625" style="184" customWidth="1"/>
    <col min="5132" max="5132" width="16.140625" style="184" customWidth="1"/>
    <col min="5133" max="5144" width="8.85546875" style="184" customWidth="1"/>
    <col min="5145" max="5376" width="9.140625" style="184"/>
    <col min="5377" max="5377" width="14.5703125" style="184" bestFit="1" customWidth="1"/>
    <col min="5378" max="5378" width="73.7109375" style="184" customWidth="1"/>
    <col min="5379" max="5383" width="12.7109375" style="184" customWidth="1"/>
    <col min="5384" max="5384" width="13.140625" style="184" customWidth="1"/>
    <col min="5385" max="5385" width="12.42578125" style="184" customWidth="1"/>
    <col min="5386" max="5386" width="12.7109375" style="184" customWidth="1"/>
    <col min="5387" max="5387" width="14.28515625" style="184" customWidth="1"/>
    <col min="5388" max="5388" width="16.140625" style="184" customWidth="1"/>
    <col min="5389" max="5400" width="8.85546875" style="184" customWidth="1"/>
    <col min="5401" max="5632" width="9.140625" style="184"/>
    <col min="5633" max="5633" width="14.5703125" style="184" bestFit="1" customWidth="1"/>
    <col min="5634" max="5634" width="73.7109375" style="184" customWidth="1"/>
    <col min="5635" max="5639" width="12.7109375" style="184" customWidth="1"/>
    <col min="5640" max="5640" width="13.140625" style="184" customWidth="1"/>
    <col min="5641" max="5641" width="12.42578125" style="184" customWidth="1"/>
    <col min="5642" max="5642" width="12.7109375" style="184" customWidth="1"/>
    <col min="5643" max="5643" width="14.28515625" style="184" customWidth="1"/>
    <col min="5644" max="5644" width="16.140625" style="184" customWidth="1"/>
    <col min="5645" max="5656" width="8.85546875" style="184" customWidth="1"/>
    <col min="5657" max="5888" width="9.140625" style="184"/>
    <col min="5889" max="5889" width="14.5703125" style="184" bestFit="1" customWidth="1"/>
    <col min="5890" max="5890" width="73.7109375" style="184" customWidth="1"/>
    <col min="5891" max="5895" width="12.7109375" style="184" customWidth="1"/>
    <col min="5896" max="5896" width="13.140625" style="184" customWidth="1"/>
    <col min="5897" max="5897" width="12.42578125" style="184" customWidth="1"/>
    <col min="5898" max="5898" width="12.7109375" style="184" customWidth="1"/>
    <col min="5899" max="5899" width="14.28515625" style="184" customWidth="1"/>
    <col min="5900" max="5900" width="16.140625" style="184" customWidth="1"/>
    <col min="5901" max="5912" width="8.85546875" style="184" customWidth="1"/>
    <col min="5913" max="6144" width="9.140625" style="184"/>
    <col min="6145" max="6145" width="14.5703125" style="184" bestFit="1" customWidth="1"/>
    <col min="6146" max="6146" width="73.7109375" style="184" customWidth="1"/>
    <col min="6147" max="6151" width="12.7109375" style="184" customWidth="1"/>
    <col min="6152" max="6152" width="13.140625" style="184" customWidth="1"/>
    <col min="6153" max="6153" width="12.42578125" style="184" customWidth="1"/>
    <col min="6154" max="6154" width="12.7109375" style="184" customWidth="1"/>
    <col min="6155" max="6155" width="14.28515625" style="184" customWidth="1"/>
    <col min="6156" max="6156" width="16.140625" style="184" customWidth="1"/>
    <col min="6157" max="6168" width="8.85546875" style="184" customWidth="1"/>
    <col min="6169" max="6400" width="9.140625" style="184"/>
    <col min="6401" max="6401" width="14.5703125" style="184" bestFit="1" customWidth="1"/>
    <col min="6402" max="6402" width="73.7109375" style="184" customWidth="1"/>
    <col min="6403" max="6407" width="12.7109375" style="184" customWidth="1"/>
    <col min="6408" max="6408" width="13.140625" style="184" customWidth="1"/>
    <col min="6409" max="6409" width="12.42578125" style="184" customWidth="1"/>
    <col min="6410" max="6410" width="12.7109375" style="184" customWidth="1"/>
    <col min="6411" max="6411" width="14.28515625" style="184" customWidth="1"/>
    <col min="6412" max="6412" width="16.140625" style="184" customWidth="1"/>
    <col min="6413" max="6424" width="8.85546875" style="184" customWidth="1"/>
    <col min="6425" max="6656" width="9.140625" style="184"/>
    <col min="6657" max="6657" width="14.5703125" style="184" bestFit="1" customWidth="1"/>
    <col min="6658" max="6658" width="73.7109375" style="184" customWidth="1"/>
    <col min="6659" max="6663" width="12.7109375" style="184" customWidth="1"/>
    <col min="6664" max="6664" width="13.140625" style="184" customWidth="1"/>
    <col min="6665" max="6665" width="12.42578125" style="184" customWidth="1"/>
    <col min="6666" max="6666" width="12.7109375" style="184" customWidth="1"/>
    <col min="6667" max="6667" width="14.28515625" style="184" customWidth="1"/>
    <col min="6668" max="6668" width="16.140625" style="184" customWidth="1"/>
    <col min="6669" max="6680" width="8.85546875" style="184" customWidth="1"/>
    <col min="6681" max="6912" width="9.140625" style="184"/>
    <col min="6913" max="6913" width="14.5703125" style="184" bestFit="1" customWidth="1"/>
    <col min="6914" max="6914" width="73.7109375" style="184" customWidth="1"/>
    <col min="6915" max="6919" width="12.7109375" style="184" customWidth="1"/>
    <col min="6920" max="6920" width="13.140625" style="184" customWidth="1"/>
    <col min="6921" max="6921" width="12.42578125" style="184" customWidth="1"/>
    <col min="6922" max="6922" width="12.7109375" style="184" customWidth="1"/>
    <col min="6923" max="6923" width="14.28515625" style="184" customWidth="1"/>
    <col min="6924" max="6924" width="16.140625" style="184" customWidth="1"/>
    <col min="6925" max="6936" width="8.85546875" style="184" customWidth="1"/>
    <col min="6937" max="7168" width="9.140625" style="184"/>
    <col min="7169" max="7169" width="14.5703125" style="184" bestFit="1" customWidth="1"/>
    <col min="7170" max="7170" width="73.7109375" style="184" customWidth="1"/>
    <col min="7171" max="7175" width="12.7109375" style="184" customWidth="1"/>
    <col min="7176" max="7176" width="13.140625" style="184" customWidth="1"/>
    <col min="7177" max="7177" width="12.42578125" style="184" customWidth="1"/>
    <col min="7178" max="7178" width="12.7109375" style="184" customWidth="1"/>
    <col min="7179" max="7179" width="14.28515625" style="184" customWidth="1"/>
    <col min="7180" max="7180" width="16.140625" style="184" customWidth="1"/>
    <col min="7181" max="7192" width="8.85546875" style="184" customWidth="1"/>
    <col min="7193" max="7424" width="9.140625" style="184"/>
    <col min="7425" max="7425" width="14.5703125" style="184" bestFit="1" customWidth="1"/>
    <col min="7426" max="7426" width="73.7109375" style="184" customWidth="1"/>
    <col min="7427" max="7431" width="12.7109375" style="184" customWidth="1"/>
    <col min="7432" max="7432" width="13.140625" style="184" customWidth="1"/>
    <col min="7433" max="7433" width="12.42578125" style="184" customWidth="1"/>
    <col min="7434" max="7434" width="12.7109375" style="184" customWidth="1"/>
    <col min="7435" max="7435" width="14.28515625" style="184" customWidth="1"/>
    <col min="7436" max="7436" width="16.140625" style="184" customWidth="1"/>
    <col min="7437" max="7448" width="8.85546875" style="184" customWidth="1"/>
    <col min="7449" max="7680" width="9.140625" style="184"/>
    <col min="7681" max="7681" width="14.5703125" style="184" bestFit="1" customWidth="1"/>
    <col min="7682" max="7682" width="73.7109375" style="184" customWidth="1"/>
    <col min="7683" max="7687" width="12.7109375" style="184" customWidth="1"/>
    <col min="7688" max="7688" width="13.140625" style="184" customWidth="1"/>
    <col min="7689" max="7689" width="12.42578125" style="184" customWidth="1"/>
    <col min="7690" max="7690" width="12.7109375" style="184" customWidth="1"/>
    <col min="7691" max="7691" width="14.28515625" style="184" customWidth="1"/>
    <col min="7692" max="7692" width="16.140625" style="184" customWidth="1"/>
    <col min="7693" max="7704" width="8.85546875" style="184" customWidth="1"/>
    <col min="7705" max="7936" width="9.140625" style="184"/>
    <col min="7937" max="7937" width="14.5703125" style="184" bestFit="1" customWidth="1"/>
    <col min="7938" max="7938" width="73.7109375" style="184" customWidth="1"/>
    <col min="7939" max="7943" width="12.7109375" style="184" customWidth="1"/>
    <col min="7944" max="7944" width="13.140625" style="184" customWidth="1"/>
    <col min="7945" max="7945" width="12.42578125" style="184" customWidth="1"/>
    <col min="7946" max="7946" width="12.7109375" style="184" customWidth="1"/>
    <col min="7947" max="7947" width="14.28515625" style="184" customWidth="1"/>
    <col min="7948" max="7948" width="16.140625" style="184" customWidth="1"/>
    <col min="7949" max="7960" width="8.85546875" style="184" customWidth="1"/>
    <col min="7961" max="8192" width="9.140625" style="184"/>
    <col min="8193" max="8193" width="14.5703125" style="184" bestFit="1" customWidth="1"/>
    <col min="8194" max="8194" width="73.7109375" style="184" customWidth="1"/>
    <col min="8195" max="8199" width="12.7109375" style="184" customWidth="1"/>
    <col min="8200" max="8200" width="13.140625" style="184" customWidth="1"/>
    <col min="8201" max="8201" width="12.42578125" style="184" customWidth="1"/>
    <col min="8202" max="8202" width="12.7109375" style="184" customWidth="1"/>
    <col min="8203" max="8203" width="14.28515625" style="184" customWidth="1"/>
    <col min="8204" max="8204" width="16.140625" style="184" customWidth="1"/>
    <col min="8205" max="8216" width="8.85546875" style="184" customWidth="1"/>
    <col min="8217" max="8448" width="9.140625" style="184"/>
    <col min="8449" max="8449" width="14.5703125" style="184" bestFit="1" customWidth="1"/>
    <col min="8450" max="8450" width="73.7109375" style="184" customWidth="1"/>
    <col min="8451" max="8455" width="12.7109375" style="184" customWidth="1"/>
    <col min="8456" max="8456" width="13.140625" style="184" customWidth="1"/>
    <col min="8457" max="8457" width="12.42578125" style="184" customWidth="1"/>
    <col min="8458" max="8458" width="12.7109375" style="184" customWidth="1"/>
    <col min="8459" max="8459" width="14.28515625" style="184" customWidth="1"/>
    <col min="8460" max="8460" width="16.140625" style="184" customWidth="1"/>
    <col min="8461" max="8472" width="8.85546875" style="184" customWidth="1"/>
    <col min="8473" max="8704" width="9.140625" style="184"/>
    <col min="8705" max="8705" width="14.5703125" style="184" bestFit="1" customWidth="1"/>
    <col min="8706" max="8706" width="73.7109375" style="184" customWidth="1"/>
    <col min="8707" max="8711" width="12.7109375" style="184" customWidth="1"/>
    <col min="8712" max="8712" width="13.140625" style="184" customWidth="1"/>
    <col min="8713" max="8713" width="12.42578125" style="184" customWidth="1"/>
    <col min="8714" max="8714" width="12.7109375" style="184" customWidth="1"/>
    <col min="8715" max="8715" width="14.28515625" style="184" customWidth="1"/>
    <col min="8716" max="8716" width="16.140625" style="184" customWidth="1"/>
    <col min="8717" max="8728" width="8.85546875" style="184" customWidth="1"/>
    <col min="8729" max="8960" width="9.140625" style="184"/>
    <col min="8961" max="8961" width="14.5703125" style="184" bestFit="1" customWidth="1"/>
    <col min="8962" max="8962" width="73.7109375" style="184" customWidth="1"/>
    <col min="8963" max="8967" width="12.7109375" style="184" customWidth="1"/>
    <col min="8968" max="8968" width="13.140625" style="184" customWidth="1"/>
    <col min="8969" max="8969" width="12.42578125" style="184" customWidth="1"/>
    <col min="8970" max="8970" width="12.7109375" style="184" customWidth="1"/>
    <col min="8971" max="8971" width="14.28515625" style="184" customWidth="1"/>
    <col min="8972" max="8972" width="16.140625" style="184" customWidth="1"/>
    <col min="8973" max="8984" width="8.85546875" style="184" customWidth="1"/>
    <col min="8985" max="9216" width="9.140625" style="184"/>
    <col min="9217" max="9217" width="14.5703125" style="184" bestFit="1" customWidth="1"/>
    <col min="9218" max="9218" width="73.7109375" style="184" customWidth="1"/>
    <col min="9219" max="9223" width="12.7109375" style="184" customWidth="1"/>
    <col min="9224" max="9224" width="13.140625" style="184" customWidth="1"/>
    <col min="9225" max="9225" width="12.42578125" style="184" customWidth="1"/>
    <col min="9226" max="9226" width="12.7109375" style="184" customWidth="1"/>
    <col min="9227" max="9227" width="14.28515625" style="184" customWidth="1"/>
    <col min="9228" max="9228" width="16.140625" style="184" customWidth="1"/>
    <col min="9229" max="9240" width="8.85546875" style="184" customWidth="1"/>
    <col min="9241" max="9472" width="9.140625" style="184"/>
    <col min="9473" max="9473" width="14.5703125" style="184" bestFit="1" customWidth="1"/>
    <col min="9474" max="9474" width="73.7109375" style="184" customWidth="1"/>
    <col min="9475" max="9479" width="12.7109375" style="184" customWidth="1"/>
    <col min="9480" max="9480" width="13.140625" style="184" customWidth="1"/>
    <col min="9481" max="9481" width="12.42578125" style="184" customWidth="1"/>
    <col min="9482" max="9482" width="12.7109375" style="184" customWidth="1"/>
    <col min="9483" max="9483" width="14.28515625" style="184" customWidth="1"/>
    <col min="9484" max="9484" width="16.140625" style="184" customWidth="1"/>
    <col min="9485" max="9496" width="8.85546875" style="184" customWidth="1"/>
    <col min="9497" max="9728" width="9.140625" style="184"/>
    <col min="9729" max="9729" width="14.5703125" style="184" bestFit="1" customWidth="1"/>
    <col min="9730" max="9730" width="73.7109375" style="184" customWidth="1"/>
    <col min="9731" max="9735" width="12.7109375" style="184" customWidth="1"/>
    <col min="9736" max="9736" width="13.140625" style="184" customWidth="1"/>
    <col min="9737" max="9737" width="12.42578125" style="184" customWidth="1"/>
    <col min="9738" max="9738" width="12.7109375" style="184" customWidth="1"/>
    <col min="9739" max="9739" width="14.28515625" style="184" customWidth="1"/>
    <col min="9740" max="9740" width="16.140625" style="184" customWidth="1"/>
    <col min="9741" max="9752" width="8.85546875" style="184" customWidth="1"/>
    <col min="9753" max="9984" width="9.140625" style="184"/>
    <col min="9985" max="9985" width="14.5703125" style="184" bestFit="1" customWidth="1"/>
    <col min="9986" max="9986" width="73.7109375" style="184" customWidth="1"/>
    <col min="9987" max="9991" width="12.7109375" style="184" customWidth="1"/>
    <col min="9992" max="9992" width="13.140625" style="184" customWidth="1"/>
    <col min="9993" max="9993" width="12.42578125" style="184" customWidth="1"/>
    <col min="9994" max="9994" width="12.7109375" style="184" customWidth="1"/>
    <col min="9995" max="9995" width="14.28515625" style="184" customWidth="1"/>
    <col min="9996" max="9996" width="16.140625" style="184" customWidth="1"/>
    <col min="9997" max="10008" width="8.85546875" style="184" customWidth="1"/>
    <col min="10009" max="10240" width="9.140625" style="184"/>
    <col min="10241" max="10241" width="14.5703125" style="184" bestFit="1" customWidth="1"/>
    <col min="10242" max="10242" width="73.7109375" style="184" customWidth="1"/>
    <col min="10243" max="10247" width="12.7109375" style="184" customWidth="1"/>
    <col min="10248" max="10248" width="13.140625" style="184" customWidth="1"/>
    <col min="10249" max="10249" width="12.42578125" style="184" customWidth="1"/>
    <col min="10250" max="10250" width="12.7109375" style="184" customWidth="1"/>
    <col min="10251" max="10251" width="14.28515625" style="184" customWidth="1"/>
    <col min="10252" max="10252" width="16.140625" style="184" customWidth="1"/>
    <col min="10253" max="10264" width="8.85546875" style="184" customWidth="1"/>
    <col min="10265" max="10496" width="9.140625" style="184"/>
    <col min="10497" max="10497" width="14.5703125" style="184" bestFit="1" customWidth="1"/>
    <col min="10498" max="10498" width="73.7109375" style="184" customWidth="1"/>
    <col min="10499" max="10503" width="12.7109375" style="184" customWidth="1"/>
    <col min="10504" max="10504" width="13.140625" style="184" customWidth="1"/>
    <col min="10505" max="10505" width="12.42578125" style="184" customWidth="1"/>
    <col min="10506" max="10506" width="12.7109375" style="184" customWidth="1"/>
    <col min="10507" max="10507" width="14.28515625" style="184" customWidth="1"/>
    <col min="10508" max="10508" width="16.140625" style="184" customWidth="1"/>
    <col min="10509" max="10520" width="8.85546875" style="184" customWidth="1"/>
    <col min="10521" max="10752" width="9.140625" style="184"/>
    <col min="10753" max="10753" width="14.5703125" style="184" bestFit="1" customWidth="1"/>
    <col min="10754" max="10754" width="73.7109375" style="184" customWidth="1"/>
    <col min="10755" max="10759" width="12.7109375" style="184" customWidth="1"/>
    <col min="10760" max="10760" width="13.140625" style="184" customWidth="1"/>
    <col min="10761" max="10761" width="12.42578125" style="184" customWidth="1"/>
    <col min="10762" max="10762" width="12.7109375" style="184" customWidth="1"/>
    <col min="10763" max="10763" width="14.28515625" style="184" customWidth="1"/>
    <col min="10764" max="10764" width="16.140625" style="184" customWidth="1"/>
    <col min="10765" max="10776" width="8.85546875" style="184" customWidth="1"/>
    <col min="10777" max="11008" width="9.140625" style="184"/>
    <col min="11009" max="11009" width="14.5703125" style="184" bestFit="1" customWidth="1"/>
    <col min="11010" max="11010" width="73.7109375" style="184" customWidth="1"/>
    <col min="11011" max="11015" width="12.7109375" style="184" customWidth="1"/>
    <col min="11016" max="11016" width="13.140625" style="184" customWidth="1"/>
    <col min="11017" max="11017" width="12.42578125" style="184" customWidth="1"/>
    <col min="11018" max="11018" width="12.7109375" style="184" customWidth="1"/>
    <col min="11019" max="11019" width="14.28515625" style="184" customWidth="1"/>
    <col min="11020" max="11020" width="16.140625" style="184" customWidth="1"/>
    <col min="11021" max="11032" width="8.85546875" style="184" customWidth="1"/>
    <col min="11033" max="11264" width="9.140625" style="184"/>
    <col min="11265" max="11265" width="14.5703125" style="184" bestFit="1" customWidth="1"/>
    <col min="11266" max="11266" width="73.7109375" style="184" customWidth="1"/>
    <col min="11267" max="11271" width="12.7109375" style="184" customWidth="1"/>
    <col min="11272" max="11272" width="13.140625" style="184" customWidth="1"/>
    <col min="11273" max="11273" width="12.42578125" style="184" customWidth="1"/>
    <col min="11274" max="11274" width="12.7109375" style="184" customWidth="1"/>
    <col min="11275" max="11275" width="14.28515625" style="184" customWidth="1"/>
    <col min="11276" max="11276" width="16.140625" style="184" customWidth="1"/>
    <col min="11277" max="11288" width="8.85546875" style="184" customWidth="1"/>
    <col min="11289" max="11520" width="9.140625" style="184"/>
    <col min="11521" max="11521" width="14.5703125" style="184" bestFit="1" customWidth="1"/>
    <col min="11522" max="11522" width="73.7109375" style="184" customWidth="1"/>
    <col min="11523" max="11527" width="12.7109375" style="184" customWidth="1"/>
    <col min="11528" max="11528" width="13.140625" style="184" customWidth="1"/>
    <col min="11529" max="11529" width="12.42578125" style="184" customWidth="1"/>
    <col min="11530" max="11530" width="12.7109375" style="184" customWidth="1"/>
    <col min="11531" max="11531" width="14.28515625" style="184" customWidth="1"/>
    <col min="11532" max="11532" width="16.140625" style="184" customWidth="1"/>
    <col min="11533" max="11544" width="8.85546875" style="184" customWidth="1"/>
    <col min="11545" max="11776" width="9.140625" style="184"/>
    <col min="11777" max="11777" width="14.5703125" style="184" bestFit="1" customWidth="1"/>
    <col min="11778" max="11778" width="73.7109375" style="184" customWidth="1"/>
    <col min="11779" max="11783" width="12.7109375" style="184" customWidth="1"/>
    <col min="11784" max="11784" width="13.140625" style="184" customWidth="1"/>
    <col min="11785" max="11785" width="12.42578125" style="184" customWidth="1"/>
    <col min="11786" max="11786" width="12.7109375" style="184" customWidth="1"/>
    <col min="11787" max="11787" width="14.28515625" style="184" customWidth="1"/>
    <col min="11788" max="11788" width="16.140625" style="184" customWidth="1"/>
    <col min="11789" max="11800" width="8.85546875" style="184" customWidth="1"/>
    <col min="11801" max="12032" width="9.140625" style="184"/>
    <col min="12033" max="12033" width="14.5703125" style="184" bestFit="1" customWidth="1"/>
    <col min="12034" max="12034" width="73.7109375" style="184" customWidth="1"/>
    <col min="12035" max="12039" width="12.7109375" style="184" customWidth="1"/>
    <col min="12040" max="12040" width="13.140625" style="184" customWidth="1"/>
    <col min="12041" max="12041" width="12.42578125" style="184" customWidth="1"/>
    <col min="12042" max="12042" width="12.7109375" style="184" customWidth="1"/>
    <col min="12043" max="12043" width="14.28515625" style="184" customWidth="1"/>
    <col min="12044" max="12044" width="16.140625" style="184" customWidth="1"/>
    <col min="12045" max="12056" width="8.85546875" style="184" customWidth="1"/>
    <col min="12057" max="12288" width="9.140625" style="184"/>
    <col min="12289" max="12289" width="14.5703125" style="184" bestFit="1" customWidth="1"/>
    <col min="12290" max="12290" width="73.7109375" style="184" customWidth="1"/>
    <col min="12291" max="12295" width="12.7109375" style="184" customWidth="1"/>
    <col min="12296" max="12296" width="13.140625" style="184" customWidth="1"/>
    <col min="12297" max="12297" width="12.42578125" style="184" customWidth="1"/>
    <col min="12298" max="12298" width="12.7109375" style="184" customWidth="1"/>
    <col min="12299" max="12299" width="14.28515625" style="184" customWidth="1"/>
    <col min="12300" max="12300" width="16.140625" style="184" customWidth="1"/>
    <col min="12301" max="12312" width="8.85546875" style="184" customWidth="1"/>
    <col min="12313" max="12544" width="9.140625" style="184"/>
    <col min="12545" max="12545" width="14.5703125" style="184" bestFit="1" customWidth="1"/>
    <col min="12546" max="12546" width="73.7109375" style="184" customWidth="1"/>
    <col min="12547" max="12551" width="12.7109375" style="184" customWidth="1"/>
    <col min="12552" max="12552" width="13.140625" style="184" customWidth="1"/>
    <col min="12553" max="12553" width="12.42578125" style="184" customWidth="1"/>
    <col min="12554" max="12554" width="12.7109375" style="184" customWidth="1"/>
    <col min="12555" max="12555" width="14.28515625" style="184" customWidth="1"/>
    <col min="12556" max="12556" width="16.140625" style="184" customWidth="1"/>
    <col min="12557" max="12568" width="8.85546875" style="184" customWidth="1"/>
    <col min="12569" max="12800" width="9.140625" style="184"/>
    <col min="12801" max="12801" width="14.5703125" style="184" bestFit="1" customWidth="1"/>
    <col min="12802" max="12802" width="73.7109375" style="184" customWidth="1"/>
    <col min="12803" max="12807" width="12.7109375" style="184" customWidth="1"/>
    <col min="12808" max="12808" width="13.140625" style="184" customWidth="1"/>
    <col min="12809" max="12809" width="12.42578125" style="184" customWidth="1"/>
    <col min="12810" max="12810" width="12.7109375" style="184" customWidth="1"/>
    <col min="12811" max="12811" width="14.28515625" style="184" customWidth="1"/>
    <col min="12812" max="12812" width="16.140625" style="184" customWidth="1"/>
    <col min="12813" max="12824" width="8.85546875" style="184" customWidth="1"/>
    <col min="12825" max="13056" width="9.140625" style="184"/>
    <col min="13057" max="13057" width="14.5703125" style="184" bestFit="1" customWidth="1"/>
    <col min="13058" max="13058" width="73.7109375" style="184" customWidth="1"/>
    <col min="13059" max="13063" width="12.7109375" style="184" customWidth="1"/>
    <col min="13064" max="13064" width="13.140625" style="184" customWidth="1"/>
    <col min="13065" max="13065" width="12.42578125" style="184" customWidth="1"/>
    <col min="13066" max="13066" width="12.7109375" style="184" customWidth="1"/>
    <col min="13067" max="13067" width="14.28515625" style="184" customWidth="1"/>
    <col min="13068" max="13068" width="16.140625" style="184" customWidth="1"/>
    <col min="13069" max="13080" width="8.85546875" style="184" customWidth="1"/>
    <col min="13081" max="13312" width="9.140625" style="184"/>
    <col min="13313" max="13313" width="14.5703125" style="184" bestFit="1" customWidth="1"/>
    <col min="13314" max="13314" width="73.7109375" style="184" customWidth="1"/>
    <col min="13315" max="13319" width="12.7109375" style="184" customWidth="1"/>
    <col min="13320" max="13320" width="13.140625" style="184" customWidth="1"/>
    <col min="13321" max="13321" width="12.42578125" style="184" customWidth="1"/>
    <col min="13322" max="13322" width="12.7109375" style="184" customWidth="1"/>
    <col min="13323" max="13323" width="14.28515625" style="184" customWidth="1"/>
    <col min="13324" max="13324" width="16.140625" style="184" customWidth="1"/>
    <col min="13325" max="13336" width="8.85546875" style="184" customWidth="1"/>
    <col min="13337" max="13568" width="9.140625" style="184"/>
    <col min="13569" max="13569" width="14.5703125" style="184" bestFit="1" customWidth="1"/>
    <col min="13570" max="13570" width="73.7109375" style="184" customWidth="1"/>
    <col min="13571" max="13575" width="12.7109375" style="184" customWidth="1"/>
    <col min="13576" max="13576" width="13.140625" style="184" customWidth="1"/>
    <col min="13577" max="13577" width="12.42578125" style="184" customWidth="1"/>
    <col min="13578" max="13578" width="12.7109375" style="184" customWidth="1"/>
    <col min="13579" max="13579" width="14.28515625" style="184" customWidth="1"/>
    <col min="13580" max="13580" width="16.140625" style="184" customWidth="1"/>
    <col min="13581" max="13592" width="8.85546875" style="184" customWidth="1"/>
    <col min="13593" max="13824" width="9.140625" style="184"/>
    <col min="13825" max="13825" width="14.5703125" style="184" bestFit="1" customWidth="1"/>
    <col min="13826" max="13826" width="73.7109375" style="184" customWidth="1"/>
    <col min="13827" max="13831" width="12.7109375" style="184" customWidth="1"/>
    <col min="13832" max="13832" width="13.140625" style="184" customWidth="1"/>
    <col min="13833" max="13833" width="12.42578125" style="184" customWidth="1"/>
    <col min="13834" max="13834" width="12.7109375" style="184" customWidth="1"/>
    <col min="13835" max="13835" width="14.28515625" style="184" customWidth="1"/>
    <col min="13836" max="13836" width="16.140625" style="184" customWidth="1"/>
    <col min="13837" max="13848" width="8.85546875" style="184" customWidth="1"/>
    <col min="13849" max="14080" width="9.140625" style="184"/>
    <col min="14081" max="14081" width="14.5703125" style="184" bestFit="1" customWidth="1"/>
    <col min="14082" max="14082" width="73.7109375" style="184" customWidth="1"/>
    <col min="14083" max="14087" width="12.7109375" style="184" customWidth="1"/>
    <col min="14088" max="14088" width="13.140625" style="184" customWidth="1"/>
    <col min="14089" max="14089" width="12.42578125" style="184" customWidth="1"/>
    <col min="14090" max="14090" width="12.7109375" style="184" customWidth="1"/>
    <col min="14091" max="14091" width="14.28515625" style="184" customWidth="1"/>
    <col min="14092" max="14092" width="16.140625" style="184" customWidth="1"/>
    <col min="14093" max="14104" width="8.85546875" style="184" customWidth="1"/>
    <col min="14105" max="14336" width="9.140625" style="184"/>
    <col min="14337" max="14337" width="14.5703125" style="184" bestFit="1" customWidth="1"/>
    <col min="14338" max="14338" width="73.7109375" style="184" customWidth="1"/>
    <col min="14339" max="14343" width="12.7109375" style="184" customWidth="1"/>
    <col min="14344" max="14344" width="13.140625" style="184" customWidth="1"/>
    <col min="14345" max="14345" width="12.42578125" style="184" customWidth="1"/>
    <col min="14346" max="14346" width="12.7109375" style="184" customWidth="1"/>
    <col min="14347" max="14347" width="14.28515625" style="184" customWidth="1"/>
    <col min="14348" max="14348" width="16.140625" style="184" customWidth="1"/>
    <col min="14349" max="14360" width="8.85546875" style="184" customWidth="1"/>
    <col min="14361" max="14592" width="9.140625" style="184"/>
    <col min="14593" max="14593" width="14.5703125" style="184" bestFit="1" customWidth="1"/>
    <col min="14594" max="14594" width="73.7109375" style="184" customWidth="1"/>
    <col min="14595" max="14599" width="12.7109375" style="184" customWidth="1"/>
    <col min="14600" max="14600" width="13.140625" style="184" customWidth="1"/>
    <col min="14601" max="14601" width="12.42578125" style="184" customWidth="1"/>
    <col min="14602" max="14602" width="12.7109375" style="184" customWidth="1"/>
    <col min="14603" max="14603" width="14.28515625" style="184" customWidth="1"/>
    <col min="14604" max="14604" width="16.140625" style="184" customWidth="1"/>
    <col min="14605" max="14616" width="8.85546875" style="184" customWidth="1"/>
    <col min="14617" max="14848" width="9.140625" style="184"/>
    <col min="14849" max="14849" width="14.5703125" style="184" bestFit="1" customWidth="1"/>
    <col min="14850" max="14850" width="73.7109375" style="184" customWidth="1"/>
    <col min="14851" max="14855" width="12.7109375" style="184" customWidth="1"/>
    <col min="14856" max="14856" width="13.140625" style="184" customWidth="1"/>
    <col min="14857" max="14857" width="12.42578125" style="184" customWidth="1"/>
    <col min="14858" max="14858" width="12.7109375" style="184" customWidth="1"/>
    <col min="14859" max="14859" width="14.28515625" style="184" customWidth="1"/>
    <col min="14860" max="14860" width="16.140625" style="184" customWidth="1"/>
    <col min="14861" max="14872" width="8.85546875" style="184" customWidth="1"/>
    <col min="14873" max="15104" width="9.140625" style="184"/>
    <col min="15105" max="15105" width="14.5703125" style="184" bestFit="1" customWidth="1"/>
    <col min="15106" max="15106" width="73.7109375" style="184" customWidth="1"/>
    <col min="15107" max="15111" width="12.7109375" style="184" customWidth="1"/>
    <col min="15112" max="15112" width="13.140625" style="184" customWidth="1"/>
    <col min="15113" max="15113" width="12.42578125" style="184" customWidth="1"/>
    <col min="15114" max="15114" width="12.7109375" style="184" customWidth="1"/>
    <col min="15115" max="15115" width="14.28515625" style="184" customWidth="1"/>
    <col min="15116" max="15116" width="16.140625" style="184" customWidth="1"/>
    <col min="15117" max="15128" width="8.85546875" style="184" customWidth="1"/>
    <col min="15129" max="15360" width="9.140625" style="184"/>
    <col min="15361" max="15361" width="14.5703125" style="184" bestFit="1" customWidth="1"/>
    <col min="15362" max="15362" width="73.7109375" style="184" customWidth="1"/>
    <col min="15363" max="15367" width="12.7109375" style="184" customWidth="1"/>
    <col min="15368" max="15368" width="13.140625" style="184" customWidth="1"/>
    <col min="15369" max="15369" width="12.42578125" style="184" customWidth="1"/>
    <col min="15370" max="15370" width="12.7109375" style="184" customWidth="1"/>
    <col min="15371" max="15371" width="14.28515625" style="184" customWidth="1"/>
    <col min="15372" max="15372" width="16.140625" style="184" customWidth="1"/>
    <col min="15373" max="15384" width="8.85546875" style="184" customWidth="1"/>
    <col min="15385" max="15616" width="9.140625" style="184"/>
    <col min="15617" max="15617" width="14.5703125" style="184" bestFit="1" customWidth="1"/>
    <col min="15618" max="15618" width="73.7109375" style="184" customWidth="1"/>
    <col min="15619" max="15623" width="12.7109375" style="184" customWidth="1"/>
    <col min="15624" max="15624" width="13.140625" style="184" customWidth="1"/>
    <col min="15625" max="15625" width="12.42578125" style="184" customWidth="1"/>
    <col min="15626" max="15626" width="12.7109375" style="184" customWidth="1"/>
    <col min="15627" max="15627" width="14.28515625" style="184" customWidth="1"/>
    <col min="15628" max="15628" width="16.140625" style="184" customWidth="1"/>
    <col min="15629" max="15640" width="8.85546875" style="184" customWidth="1"/>
    <col min="15641" max="15872" width="9.140625" style="184"/>
    <col min="15873" max="15873" width="14.5703125" style="184" bestFit="1" customWidth="1"/>
    <col min="15874" max="15874" width="73.7109375" style="184" customWidth="1"/>
    <col min="15875" max="15879" width="12.7109375" style="184" customWidth="1"/>
    <col min="15880" max="15880" width="13.140625" style="184" customWidth="1"/>
    <col min="15881" max="15881" width="12.42578125" style="184" customWidth="1"/>
    <col min="15882" max="15882" width="12.7109375" style="184" customWidth="1"/>
    <col min="15883" max="15883" width="14.28515625" style="184" customWidth="1"/>
    <col min="15884" max="15884" width="16.140625" style="184" customWidth="1"/>
    <col min="15885" max="15896" width="8.85546875" style="184" customWidth="1"/>
    <col min="15897" max="16128" width="9.140625" style="184"/>
    <col min="16129" max="16129" width="14.5703125" style="184" bestFit="1" customWidth="1"/>
    <col min="16130" max="16130" width="73.7109375" style="184" customWidth="1"/>
    <col min="16131" max="16135" width="12.7109375" style="184" customWidth="1"/>
    <col min="16136" max="16136" width="13.140625" style="184" customWidth="1"/>
    <col min="16137" max="16137" width="12.42578125" style="184" customWidth="1"/>
    <col min="16138" max="16138" width="12.7109375" style="184" customWidth="1"/>
    <col min="16139" max="16139" width="14.28515625" style="184" customWidth="1"/>
    <col min="16140" max="16140" width="16.140625" style="184" customWidth="1"/>
    <col min="16141" max="16152" width="8.85546875" style="184" customWidth="1"/>
    <col min="16153" max="16384" width="9.140625" style="184"/>
  </cols>
  <sheetData>
    <row r="1" spans="1:24" x14ac:dyDescent="0.25">
      <c r="A1" s="777" t="s">
        <v>74</v>
      </c>
      <c r="B1" s="777"/>
      <c r="C1" s="777"/>
      <c r="D1" s="777"/>
      <c r="E1" s="777"/>
      <c r="F1" s="777"/>
      <c r="G1" s="777"/>
      <c r="H1" s="777"/>
      <c r="I1" s="777"/>
    </row>
    <row r="2" spans="1:24" x14ac:dyDescent="0.25">
      <c r="A2" s="188" t="s">
        <v>0</v>
      </c>
      <c r="B2" s="189" t="str">
        <f>PO!C2</f>
        <v>Reforma e Ampliação do Almoxarifado da Farmácia</v>
      </c>
      <c r="C2" s="178"/>
      <c r="D2" s="178"/>
      <c r="E2" s="178"/>
      <c r="F2" s="272"/>
      <c r="G2" s="273" t="s">
        <v>51</v>
      </c>
      <c r="H2" s="333" t="str">
        <f>PO!K2</f>
        <v>Tabela SINAPI NÃO DESONERADO</v>
      </c>
      <c r="I2" s="178"/>
    </row>
    <row r="3" spans="1:24" x14ac:dyDescent="0.25">
      <c r="A3" s="188" t="s">
        <v>1</v>
      </c>
      <c r="B3" s="189" t="str">
        <f>PO!C3</f>
        <v>BR - 364 - km 17 - Hospital Santa Marcelina</v>
      </c>
      <c r="C3" s="178"/>
      <c r="D3" s="178"/>
      <c r="E3" s="178"/>
      <c r="F3" s="272"/>
      <c r="G3" s="273" t="s">
        <v>52</v>
      </c>
      <c r="H3" s="334" t="s">
        <v>13914</v>
      </c>
      <c r="I3" s="178"/>
    </row>
    <row r="4" spans="1:24" x14ac:dyDescent="0.25">
      <c r="A4" s="188" t="s">
        <v>167</v>
      </c>
      <c r="B4" s="529" t="str">
        <f>PO!C5</f>
        <v>07/2020</v>
      </c>
      <c r="C4" s="178"/>
      <c r="D4" s="178"/>
      <c r="E4" s="178"/>
      <c r="F4" s="272"/>
      <c r="G4" s="273" t="s">
        <v>53</v>
      </c>
      <c r="H4" s="274" t="str">
        <f>PO!K3</f>
        <v>07/2020</v>
      </c>
      <c r="I4" s="178"/>
    </row>
    <row r="5" spans="1:24" x14ac:dyDescent="0.25">
      <c r="A5" s="188"/>
      <c r="B5" s="189"/>
      <c r="C5" s="178"/>
      <c r="D5" s="178"/>
      <c r="E5" s="178"/>
      <c r="F5" s="272"/>
      <c r="G5" s="273"/>
      <c r="H5" s="335"/>
      <c r="I5" s="178"/>
    </row>
    <row r="6" spans="1:24" ht="16.5" thickBot="1" x14ac:dyDescent="0.3">
      <c r="A6" s="188"/>
      <c r="B6" s="189"/>
      <c r="C6" s="178"/>
      <c r="D6" s="178"/>
      <c r="E6" s="178"/>
      <c r="F6" s="272"/>
      <c r="G6" s="273"/>
      <c r="H6" s="274"/>
      <c r="I6" s="178"/>
    </row>
    <row r="7" spans="1:24" s="190" customFormat="1" x14ac:dyDescent="0.25">
      <c r="A7" s="783" t="s">
        <v>75</v>
      </c>
      <c r="B7" s="783" t="s">
        <v>76</v>
      </c>
      <c r="C7" s="778" t="s">
        <v>77</v>
      </c>
      <c r="D7" s="779"/>
      <c r="E7" s="779"/>
      <c r="F7" s="779"/>
      <c r="G7" s="780"/>
      <c r="H7" s="781" t="s">
        <v>78</v>
      </c>
      <c r="I7" s="782"/>
      <c r="J7" s="184"/>
      <c r="K7" s="187"/>
      <c r="L7" s="187"/>
      <c r="M7" s="184"/>
      <c r="N7" s="184"/>
      <c r="O7" s="184"/>
      <c r="P7" s="184"/>
      <c r="Q7" s="184"/>
      <c r="R7" s="184"/>
      <c r="S7" s="184"/>
      <c r="T7" s="184"/>
      <c r="U7" s="184"/>
      <c r="V7" s="184"/>
      <c r="W7" s="184"/>
      <c r="X7" s="184"/>
    </row>
    <row r="8" spans="1:24" s="191" customFormat="1" ht="16.5" thickBot="1" x14ac:dyDescent="0.3">
      <c r="A8" s="784"/>
      <c r="B8" s="784"/>
      <c r="C8" s="550">
        <v>30</v>
      </c>
      <c r="D8" s="551">
        <v>60</v>
      </c>
      <c r="E8" s="551">
        <v>90</v>
      </c>
      <c r="F8" s="551">
        <v>120</v>
      </c>
      <c r="G8" s="552">
        <v>150</v>
      </c>
      <c r="H8" s="550" t="s">
        <v>79</v>
      </c>
      <c r="I8" s="552" t="s">
        <v>80</v>
      </c>
      <c r="J8" s="184"/>
      <c r="K8" s="187"/>
      <c r="L8" s="187"/>
      <c r="M8" s="184"/>
      <c r="N8" s="184"/>
      <c r="O8" s="184"/>
      <c r="P8" s="184"/>
      <c r="Q8" s="184"/>
      <c r="R8" s="184"/>
      <c r="S8" s="184"/>
      <c r="T8" s="184"/>
      <c r="U8" s="184"/>
      <c r="V8" s="184"/>
      <c r="W8" s="184"/>
      <c r="X8" s="184"/>
    </row>
    <row r="9" spans="1:24" s="191" customFormat="1" x14ac:dyDescent="0.25">
      <c r="A9" s="757" t="s">
        <v>81</v>
      </c>
      <c r="B9" s="759" t="str">
        <f>VLOOKUP(A9,PO!$A$8:$K$421,4,FALSE)</f>
        <v>ADMINISTRAÇÃO E CONTROLE</v>
      </c>
      <c r="C9" s="275">
        <v>0.2</v>
      </c>
      <c r="D9" s="275">
        <v>0.2</v>
      </c>
      <c r="E9" s="275">
        <v>0.2</v>
      </c>
      <c r="F9" s="275">
        <v>0.2</v>
      </c>
      <c r="G9" s="275">
        <v>0.2</v>
      </c>
      <c r="H9" s="336">
        <f>VLOOKUP(A9,PO!$A$8:$K$421,11,FALSE)</f>
        <v>43028.001199999999</v>
      </c>
      <c r="I9" s="553">
        <f>H9/$H$41</f>
        <v>4.0363860976563942E-2</v>
      </c>
      <c r="J9" s="184"/>
      <c r="K9" s="192"/>
      <c r="L9" s="187"/>
      <c r="M9" s="184"/>
      <c r="N9" s="184"/>
      <c r="O9" s="184"/>
      <c r="P9" s="184"/>
      <c r="Q9" s="184"/>
      <c r="R9" s="184"/>
      <c r="S9" s="184"/>
      <c r="T9" s="184"/>
      <c r="U9" s="184"/>
      <c r="V9" s="184"/>
      <c r="W9" s="184"/>
      <c r="X9" s="184"/>
    </row>
    <row r="10" spans="1:24" s="191" customFormat="1" x14ac:dyDescent="0.25">
      <c r="A10" s="758"/>
      <c r="B10" s="760"/>
      <c r="C10" s="276">
        <f>C9*$H$9</f>
        <v>8605.6002399999998</v>
      </c>
      <c r="D10" s="276">
        <f t="shared" ref="D10:G10" si="0">D9*$H$9</f>
        <v>8605.6002399999998</v>
      </c>
      <c r="E10" s="276">
        <f t="shared" si="0"/>
        <v>8605.6002399999998</v>
      </c>
      <c r="F10" s="276">
        <f t="shared" si="0"/>
        <v>8605.6002399999998</v>
      </c>
      <c r="G10" s="276">
        <f t="shared" si="0"/>
        <v>8605.6002399999998</v>
      </c>
      <c r="H10" s="554"/>
      <c r="I10" s="555"/>
      <c r="J10" s="184"/>
      <c r="K10" s="187"/>
      <c r="L10" s="187"/>
      <c r="M10" s="184"/>
      <c r="N10" s="184"/>
      <c r="O10" s="184"/>
      <c r="P10" s="184"/>
      <c r="Q10" s="184"/>
      <c r="R10" s="184"/>
      <c r="S10" s="184"/>
      <c r="T10" s="184"/>
      <c r="U10" s="184"/>
      <c r="V10" s="184"/>
      <c r="W10" s="184"/>
      <c r="X10" s="184"/>
    </row>
    <row r="11" spans="1:24" s="191" customFormat="1" x14ac:dyDescent="0.25">
      <c r="A11" s="775" t="s">
        <v>100</v>
      </c>
      <c r="B11" s="776" t="str">
        <f>VLOOKUP(A11,PO!$A$8:$K$421,4,FALSE)</f>
        <v>SERVIÇOS PRELIMINARES</v>
      </c>
      <c r="C11" s="277">
        <v>1</v>
      </c>
      <c r="D11" s="278"/>
      <c r="E11" s="278"/>
      <c r="F11" s="278"/>
      <c r="G11" s="278"/>
      <c r="H11" s="332">
        <f>VLOOKUP(A11,PO!$A$8:$K$421,11,FALSE)</f>
        <v>48465.475983268771</v>
      </c>
      <c r="I11" s="556">
        <f>H11/$H$41</f>
        <v>4.5464666733151887E-2</v>
      </c>
      <c r="J11" s="184"/>
      <c r="K11" s="193"/>
      <c r="L11" s="187"/>
      <c r="M11" s="184"/>
      <c r="N11" s="184"/>
      <c r="O11" s="184"/>
      <c r="P11" s="184"/>
      <c r="Q11" s="184"/>
      <c r="R11" s="184"/>
      <c r="S11" s="184"/>
      <c r="T11" s="184"/>
      <c r="U11" s="184"/>
      <c r="V11" s="184"/>
      <c r="W11" s="184"/>
      <c r="X11" s="184"/>
    </row>
    <row r="12" spans="1:24" s="191" customFormat="1" x14ac:dyDescent="0.25">
      <c r="A12" s="762"/>
      <c r="B12" s="764"/>
      <c r="C12" s="279">
        <f>C11*$H$11</f>
        <v>48465.475983268771</v>
      </c>
      <c r="D12" s="279"/>
      <c r="E12" s="279"/>
      <c r="F12" s="279"/>
      <c r="G12" s="279"/>
      <c r="H12" s="279"/>
      <c r="I12" s="557"/>
      <c r="J12" s="184"/>
      <c r="K12" s="187"/>
      <c r="L12" s="187"/>
      <c r="M12" s="184"/>
      <c r="N12" s="184"/>
      <c r="O12" s="184"/>
      <c r="P12" s="184"/>
      <c r="Q12" s="184"/>
      <c r="R12" s="184"/>
      <c r="S12" s="184"/>
      <c r="T12" s="184"/>
      <c r="U12" s="184"/>
      <c r="V12" s="184"/>
      <c r="W12" s="184"/>
      <c r="X12" s="184"/>
    </row>
    <row r="13" spans="1:24" s="191" customFormat="1" x14ac:dyDescent="0.25">
      <c r="A13" s="757" t="s">
        <v>82</v>
      </c>
      <c r="B13" s="759" t="str">
        <f>VLOOKUP(A13,PO!$A$8:$K$421,4,FALSE)</f>
        <v>CANTEIRO DE OBRAS</v>
      </c>
      <c r="C13" s="275">
        <v>1</v>
      </c>
      <c r="D13" s="278"/>
      <c r="E13" s="278"/>
      <c r="F13" s="278"/>
      <c r="G13" s="278"/>
      <c r="H13" s="336">
        <f>VLOOKUP(A13,PO!$A$8:$K$421,11,FALSE)</f>
        <v>16063.279999999999</v>
      </c>
      <c r="I13" s="553">
        <f>H13/$H$41</f>
        <v>1.5068699048646954E-2</v>
      </c>
      <c r="J13" s="184"/>
      <c r="K13" s="192"/>
      <c r="L13" s="187"/>
      <c r="M13" s="184"/>
      <c r="N13" s="184"/>
      <c r="O13" s="184"/>
      <c r="P13" s="184"/>
      <c r="Q13" s="184"/>
      <c r="R13" s="184"/>
      <c r="S13" s="184"/>
      <c r="T13" s="184"/>
      <c r="U13" s="184"/>
      <c r="V13" s="184"/>
      <c r="W13" s="184"/>
      <c r="X13" s="184"/>
    </row>
    <row r="14" spans="1:24" s="191" customFormat="1" x14ac:dyDescent="0.25">
      <c r="A14" s="758"/>
      <c r="B14" s="760"/>
      <c r="C14" s="276">
        <f>C13*$H$13</f>
        <v>16063.279999999999</v>
      </c>
      <c r="D14" s="276"/>
      <c r="E14" s="276"/>
      <c r="F14" s="276"/>
      <c r="G14" s="276"/>
      <c r="H14" s="558"/>
      <c r="I14" s="559"/>
      <c r="J14" s="184"/>
      <c r="K14" s="187"/>
      <c r="L14" s="187"/>
      <c r="M14" s="184"/>
      <c r="N14" s="184"/>
      <c r="O14" s="184"/>
      <c r="P14" s="184"/>
      <c r="Q14" s="184"/>
      <c r="R14" s="184"/>
      <c r="S14" s="184"/>
      <c r="T14" s="184"/>
      <c r="U14" s="184"/>
      <c r="V14" s="184"/>
      <c r="W14" s="184"/>
      <c r="X14" s="184"/>
    </row>
    <row r="15" spans="1:24" s="191" customFormat="1" x14ac:dyDescent="0.25">
      <c r="A15" s="771" t="s">
        <v>83</v>
      </c>
      <c r="B15" s="772" t="str">
        <f>VLOOKUP(A15,PO!$A$8:$K$421,4,FALSE)</f>
        <v>INFRAESTRUTURA</v>
      </c>
      <c r="C15" s="277">
        <v>0.6</v>
      </c>
      <c r="D15" s="277">
        <v>0.4</v>
      </c>
      <c r="E15" s="278"/>
      <c r="F15" s="278"/>
      <c r="G15" s="278"/>
      <c r="H15" s="332">
        <f>VLOOKUP(A15,PO!$A$8:$K$421,11,FALSE)</f>
        <v>40186.119999999995</v>
      </c>
      <c r="I15" s="556">
        <f>H15/$H$41</f>
        <v>3.769793891489237E-2</v>
      </c>
      <c r="J15" s="184"/>
      <c r="K15" s="192"/>
      <c r="L15" s="187"/>
      <c r="M15" s="184"/>
      <c r="N15" s="184"/>
      <c r="O15" s="184"/>
      <c r="P15" s="184"/>
      <c r="Q15" s="184"/>
      <c r="R15" s="184"/>
      <c r="S15" s="184"/>
      <c r="T15" s="184"/>
      <c r="U15" s="184"/>
      <c r="V15" s="184"/>
      <c r="W15" s="184"/>
      <c r="X15" s="184"/>
    </row>
    <row r="16" spans="1:24" s="191" customFormat="1" x14ac:dyDescent="0.25">
      <c r="A16" s="762"/>
      <c r="B16" s="764"/>
      <c r="C16" s="279">
        <f>C15*$H$15</f>
        <v>24111.671999999995</v>
      </c>
      <c r="D16" s="279">
        <f>D15*$H$15</f>
        <v>16074.447999999999</v>
      </c>
      <c r="E16" s="279"/>
      <c r="F16" s="279"/>
      <c r="G16" s="279"/>
      <c r="H16" s="279"/>
      <c r="I16" s="557"/>
      <c r="J16" s="184"/>
      <c r="K16" s="187"/>
      <c r="L16" s="187"/>
      <c r="M16" s="184"/>
      <c r="N16" s="184"/>
      <c r="O16" s="184"/>
      <c r="P16" s="184"/>
      <c r="Q16" s="184"/>
      <c r="R16" s="184"/>
      <c r="S16" s="184"/>
      <c r="T16" s="184"/>
      <c r="U16" s="184"/>
      <c r="V16" s="184"/>
      <c r="W16" s="184"/>
      <c r="X16" s="184"/>
    </row>
    <row r="17" spans="1:24" s="191" customFormat="1" x14ac:dyDescent="0.25">
      <c r="A17" s="757" t="s">
        <v>84</v>
      </c>
      <c r="B17" s="759" t="str">
        <f>VLOOKUP(A17,PO!$A$8:$K$421,4,FALSE)</f>
        <v>SUPERESTRUTURA</v>
      </c>
      <c r="C17" s="275">
        <v>0.4</v>
      </c>
      <c r="D17" s="275">
        <v>0.4</v>
      </c>
      <c r="E17" s="275">
        <v>0.2</v>
      </c>
      <c r="F17" s="331"/>
      <c r="G17" s="331"/>
      <c r="H17" s="336">
        <f>VLOOKUP(A17,PO!$A$8:$K$421,11,FALSE)</f>
        <v>84216.74</v>
      </c>
      <c r="I17" s="553">
        <f>H17/$H$41</f>
        <v>7.9002340114730493E-2</v>
      </c>
      <c r="J17" s="184"/>
      <c r="K17" s="192"/>
      <c r="L17" s="187"/>
      <c r="M17" s="184"/>
      <c r="N17" s="184"/>
      <c r="O17" s="184"/>
      <c r="P17" s="184"/>
      <c r="Q17" s="184"/>
      <c r="R17" s="184"/>
      <c r="S17" s="184"/>
      <c r="T17" s="184"/>
      <c r="U17" s="184"/>
      <c r="V17" s="184"/>
      <c r="W17" s="184"/>
      <c r="X17" s="184"/>
    </row>
    <row r="18" spans="1:24" s="191" customFormat="1" x14ac:dyDescent="0.25">
      <c r="A18" s="758"/>
      <c r="B18" s="760"/>
      <c r="C18" s="276">
        <f>C17*$H$17</f>
        <v>33686.696000000004</v>
      </c>
      <c r="D18" s="276">
        <f t="shared" ref="D18:E18" si="1">D17*$H$17</f>
        <v>33686.696000000004</v>
      </c>
      <c r="E18" s="276">
        <f t="shared" si="1"/>
        <v>16843.348000000002</v>
      </c>
      <c r="F18" s="276"/>
      <c r="G18" s="276"/>
      <c r="H18" s="558"/>
      <c r="I18" s="559"/>
      <c r="J18" s="184"/>
      <c r="K18" s="187"/>
      <c r="L18" s="187"/>
      <c r="M18" s="184"/>
      <c r="N18" s="184"/>
      <c r="O18" s="184"/>
      <c r="P18" s="184"/>
      <c r="Q18" s="184"/>
      <c r="R18" s="184"/>
      <c r="S18" s="184"/>
      <c r="T18" s="184"/>
      <c r="U18" s="184"/>
      <c r="V18" s="184"/>
      <c r="W18" s="184"/>
      <c r="X18" s="184"/>
    </row>
    <row r="19" spans="1:24" s="191" customFormat="1" x14ac:dyDescent="0.25">
      <c r="A19" s="771" t="s">
        <v>85</v>
      </c>
      <c r="B19" s="772" t="str">
        <f>VLOOKUP(A19,PO!$A$8:$K$421,4,FALSE)</f>
        <v xml:space="preserve">PAREDES E DIVISÓRIAS </v>
      </c>
      <c r="C19" s="278"/>
      <c r="D19" s="278"/>
      <c r="E19" s="277">
        <v>0.5</v>
      </c>
      <c r="F19" s="277">
        <v>0.5</v>
      </c>
      <c r="G19" s="278"/>
      <c r="H19" s="332">
        <f>VLOOKUP(A19,PO!$A$8:$K$421,11,FALSE)</f>
        <v>53679.784471999999</v>
      </c>
      <c r="I19" s="556">
        <f>H19/$H$41</f>
        <v>5.0356123855451691E-2</v>
      </c>
      <c r="J19" s="184"/>
      <c r="K19" s="192"/>
      <c r="L19" s="187"/>
      <c r="M19" s="184"/>
      <c r="N19" s="184"/>
      <c r="O19" s="184"/>
      <c r="P19" s="184"/>
      <c r="Q19" s="184"/>
      <c r="R19" s="184"/>
      <c r="S19" s="184"/>
      <c r="T19" s="184"/>
      <c r="U19" s="184"/>
      <c r="V19" s="184"/>
      <c r="W19" s="184"/>
      <c r="X19" s="184"/>
    </row>
    <row r="20" spans="1:24" s="191" customFormat="1" x14ac:dyDescent="0.25">
      <c r="A20" s="762"/>
      <c r="B20" s="764"/>
      <c r="C20" s="330"/>
      <c r="D20" s="330"/>
      <c r="E20" s="330">
        <f>E19*$H$19</f>
        <v>26839.892236</v>
      </c>
      <c r="F20" s="330">
        <f>F19*$H$19</f>
        <v>26839.892236</v>
      </c>
      <c r="G20" s="279"/>
      <c r="H20" s="279"/>
      <c r="I20" s="557"/>
      <c r="J20" s="184"/>
      <c r="K20" s="187"/>
      <c r="L20" s="187"/>
      <c r="M20" s="184"/>
      <c r="N20" s="184"/>
      <c r="O20" s="184"/>
      <c r="P20" s="184"/>
      <c r="Q20" s="184"/>
      <c r="R20" s="184"/>
      <c r="S20" s="184"/>
      <c r="T20" s="184"/>
      <c r="U20" s="184"/>
      <c r="V20" s="184"/>
      <c r="W20" s="184"/>
      <c r="X20" s="184"/>
    </row>
    <row r="21" spans="1:24" s="191" customFormat="1" x14ac:dyDescent="0.25">
      <c r="A21" s="757" t="s">
        <v>86</v>
      </c>
      <c r="B21" s="759" t="str">
        <f>VLOOKUP(A21,PO!$A$8:$K$421,4,FALSE)</f>
        <v>COBERTURA</v>
      </c>
      <c r="C21" s="331"/>
      <c r="D21" s="331"/>
      <c r="E21" s="275">
        <v>0.4</v>
      </c>
      <c r="F21" s="275">
        <v>0.6</v>
      </c>
      <c r="G21" s="275"/>
      <c r="H21" s="336">
        <f>VLOOKUP(A21,PO!$A$8:$K$421,11,FALSE)</f>
        <v>227780.71999999997</v>
      </c>
      <c r="I21" s="553">
        <f>H21/$H$41</f>
        <v>0.21367735099955415</v>
      </c>
      <c r="J21" s="184"/>
      <c r="K21" s="192"/>
      <c r="L21" s="187"/>
      <c r="M21" s="184"/>
      <c r="N21" s="184"/>
      <c r="O21" s="184"/>
      <c r="P21" s="184"/>
      <c r="Q21" s="184"/>
      <c r="R21" s="184"/>
      <c r="S21" s="184"/>
      <c r="T21" s="184"/>
      <c r="U21" s="184"/>
      <c r="V21" s="184"/>
      <c r="W21" s="184"/>
      <c r="X21" s="184"/>
    </row>
    <row r="22" spans="1:24" s="191" customFormat="1" x14ac:dyDescent="0.25">
      <c r="A22" s="758"/>
      <c r="B22" s="760"/>
      <c r="C22" s="276"/>
      <c r="D22" s="276"/>
      <c r="E22" s="276">
        <f>E21*$H$21</f>
        <v>91112.288</v>
      </c>
      <c r="F22" s="276">
        <f>F21*$H$21</f>
        <v>136668.43199999997</v>
      </c>
      <c r="G22" s="276"/>
      <c r="H22" s="560"/>
      <c r="I22" s="561"/>
      <c r="J22" s="184"/>
      <c r="K22" s="187"/>
      <c r="L22" s="187"/>
      <c r="M22" s="184"/>
      <c r="N22" s="184"/>
      <c r="O22" s="184"/>
      <c r="P22" s="184"/>
      <c r="Q22" s="184"/>
      <c r="R22" s="184"/>
      <c r="S22" s="184"/>
      <c r="T22" s="184"/>
      <c r="U22" s="184"/>
      <c r="V22" s="184"/>
      <c r="W22" s="184"/>
      <c r="X22" s="184"/>
    </row>
    <row r="23" spans="1:24" s="191" customFormat="1" x14ac:dyDescent="0.25">
      <c r="A23" s="773" t="s">
        <v>87</v>
      </c>
      <c r="B23" s="774" t="str">
        <f>VLOOKUP(A23,PO!$A$8:$K$421,4,FALSE)</f>
        <v>PISO</v>
      </c>
      <c r="C23" s="278"/>
      <c r="D23" s="277">
        <v>0.2</v>
      </c>
      <c r="E23" s="277">
        <v>0.3</v>
      </c>
      <c r="F23" s="277">
        <v>0.2</v>
      </c>
      <c r="G23" s="277">
        <v>0.3</v>
      </c>
      <c r="H23" s="332">
        <f>VLOOKUP(A23,PO!$A$8:$K$421,11,FALSE)</f>
        <v>130712.49680300003</v>
      </c>
      <c r="I23" s="556">
        <f>H23/$H$41</f>
        <v>0.12261924564731704</v>
      </c>
      <c r="J23" s="184"/>
      <c r="K23" s="194"/>
      <c r="L23" s="187"/>
      <c r="M23" s="184"/>
      <c r="N23" s="184"/>
      <c r="O23" s="184"/>
      <c r="P23" s="184"/>
      <c r="Q23" s="184"/>
      <c r="R23" s="184"/>
      <c r="S23" s="184"/>
      <c r="T23" s="184"/>
      <c r="U23" s="184"/>
      <c r="V23" s="184"/>
      <c r="W23" s="184"/>
      <c r="X23" s="184"/>
    </row>
    <row r="24" spans="1:24" s="191" customFormat="1" x14ac:dyDescent="0.25">
      <c r="A24" s="762"/>
      <c r="B24" s="764"/>
      <c r="C24" s="279"/>
      <c r="D24" s="330">
        <f>D23*$H$23</f>
        <v>26142.499360600006</v>
      </c>
      <c r="E24" s="330">
        <f t="shared" ref="E24:G24" si="2">E23*$H$23</f>
        <v>39213.749040900009</v>
      </c>
      <c r="F24" s="330">
        <f t="shared" si="2"/>
        <v>26142.499360600006</v>
      </c>
      <c r="G24" s="330">
        <f t="shared" si="2"/>
        <v>39213.749040900009</v>
      </c>
      <c r="H24" s="279"/>
      <c r="I24" s="557"/>
      <c r="J24" s="184"/>
      <c r="K24" s="187"/>
      <c r="L24" s="187"/>
      <c r="M24" s="184"/>
      <c r="N24" s="184"/>
      <c r="O24" s="184"/>
      <c r="P24" s="184"/>
      <c r="Q24" s="184"/>
      <c r="R24" s="184"/>
      <c r="S24" s="184"/>
      <c r="T24" s="184"/>
      <c r="U24" s="184"/>
      <c r="V24" s="184"/>
      <c r="W24" s="184"/>
      <c r="X24" s="184"/>
    </row>
    <row r="25" spans="1:24" s="191" customFormat="1" x14ac:dyDescent="0.25">
      <c r="A25" s="757" t="s">
        <v>88</v>
      </c>
      <c r="B25" s="759" t="str">
        <f>VLOOKUP(A25,PO!$A$8:$K$421,4,FALSE)</f>
        <v>REVESTIMENTO E TRATAMENTO PAREDES</v>
      </c>
      <c r="C25" s="331"/>
      <c r="D25" s="331"/>
      <c r="E25" s="331"/>
      <c r="F25" s="275">
        <v>0.2</v>
      </c>
      <c r="G25" s="275">
        <v>0.8</v>
      </c>
      <c r="H25" s="336">
        <f>VLOOKUP(A25,PO!$A$8:$K$421,11,FALSE)</f>
        <v>91412.178256000028</v>
      </c>
      <c r="I25" s="553">
        <f>H25/$H$41</f>
        <v>8.5752262521784695E-2</v>
      </c>
      <c r="J25" s="184"/>
      <c r="K25" s="192"/>
      <c r="L25" s="187"/>
      <c r="M25" s="184"/>
      <c r="N25" s="184"/>
      <c r="O25" s="184"/>
      <c r="P25" s="184"/>
      <c r="Q25" s="184"/>
      <c r="R25" s="184"/>
      <c r="S25" s="184"/>
      <c r="T25" s="184"/>
      <c r="U25" s="184"/>
      <c r="V25" s="184"/>
      <c r="W25" s="184"/>
      <c r="X25" s="184"/>
    </row>
    <row r="26" spans="1:24" s="191" customFormat="1" x14ac:dyDescent="0.25">
      <c r="A26" s="758"/>
      <c r="B26" s="760"/>
      <c r="C26" s="276"/>
      <c r="D26" s="276"/>
      <c r="E26" s="276"/>
      <c r="F26" s="276">
        <f>F25*$H$25</f>
        <v>18282.435651200005</v>
      </c>
      <c r="G26" s="276">
        <f>G25*$H$25</f>
        <v>73129.74260480002</v>
      </c>
      <c r="H26" s="562"/>
      <c r="I26" s="563"/>
      <c r="J26" s="184"/>
      <c r="K26" s="195"/>
      <c r="L26" s="187"/>
      <c r="M26" s="184"/>
      <c r="N26" s="184"/>
      <c r="O26" s="184"/>
      <c r="P26" s="184"/>
      <c r="Q26" s="184"/>
      <c r="R26" s="184"/>
      <c r="S26" s="184"/>
      <c r="T26" s="184"/>
      <c r="U26" s="184"/>
      <c r="V26" s="184"/>
      <c r="W26" s="184"/>
      <c r="X26" s="184"/>
    </row>
    <row r="27" spans="1:24" s="191" customFormat="1" x14ac:dyDescent="0.25">
      <c r="A27" s="769" t="s">
        <v>89</v>
      </c>
      <c r="B27" s="770" t="str">
        <f>VLOOKUP(A27,PO!$A$8:$K$421,4,FALSE)</f>
        <v>ESQUADRIAS E PORTAS</v>
      </c>
      <c r="C27" s="278"/>
      <c r="D27" s="277">
        <v>0.2</v>
      </c>
      <c r="E27" s="277">
        <v>0.3</v>
      </c>
      <c r="F27" s="277">
        <v>0.3</v>
      </c>
      <c r="G27" s="277">
        <v>0.2</v>
      </c>
      <c r="H27" s="332">
        <f>VLOOKUP(A27,PO!$A$8:$K$421,11,FALSE)</f>
        <v>83600.429999999993</v>
      </c>
      <c r="I27" s="556">
        <f>H27/$H$41</f>
        <v>7.8424189829690849E-2</v>
      </c>
      <c r="J27" s="184"/>
      <c r="K27" s="192"/>
      <c r="L27" s="187"/>
      <c r="M27" s="184"/>
      <c r="N27" s="184"/>
      <c r="O27" s="184"/>
      <c r="P27" s="184"/>
      <c r="Q27" s="184"/>
      <c r="R27" s="184"/>
      <c r="S27" s="184"/>
      <c r="T27" s="184"/>
      <c r="U27" s="184"/>
      <c r="V27" s="184"/>
      <c r="W27" s="184"/>
      <c r="X27" s="184"/>
    </row>
    <row r="28" spans="1:24" s="191" customFormat="1" x14ac:dyDescent="0.25">
      <c r="A28" s="762"/>
      <c r="B28" s="764"/>
      <c r="C28" s="279"/>
      <c r="D28" s="330">
        <f>D27*$H$27</f>
        <v>16720.085999999999</v>
      </c>
      <c r="E28" s="330">
        <f t="shared" ref="E28:G28" si="3">E27*$H$27</f>
        <v>25080.128999999997</v>
      </c>
      <c r="F28" s="330">
        <f t="shared" si="3"/>
        <v>25080.128999999997</v>
      </c>
      <c r="G28" s="330">
        <f t="shared" si="3"/>
        <v>16720.085999999999</v>
      </c>
      <c r="H28" s="279"/>
      <c r="I28" s="557"/>
      <c r="J28" s="184"/>
      <c r="K28" s="195"/>
      <c r="L28" s="187"/>
      <c r="M28" s="184"/>
      <c r="N28" s="184"/>
      <c r="O28" s="184"/>
      <c r="P28" s="184"/>
      <c r="Q28" s="184"/>
      <c r="R28" s="184"/>
      <c r="S28" s="184"/>
      <c r="T28" s="184"/>
      <c r="U28" s="184"/>
      <c r="V28" s="184"/>
      <c r="W28" s="184"/>
      <c r="X28" s="184"/>
    </row>
    <row r="29" spans="1:24" s="191" customFormat="1" x14ac:dyDescent="0.25">
      <c r="A29" s="757" t="s">
        <v>90</v>
      </c>
      <c r="B29" s="759" t="str">
        <f>VLOOKUP(A29,PO!$A$8:$K$421,4,FALSE)</f>
        <v>PINTURA</v>
      </c>
      <c r="C29" s="331"/>
      <c r="D29" s="331"/>
      <c r="E29" s="331"/>
      <c r="F29" s="275">
        <v>0.2</v>
      </c>
      <c r="G29" s="275">
        <v>0.8</v>
      </c>
      <c r="H29" s="336">
        <f>VLOOKUP(A29,PO!$A$8:$K$421,11,FALSE)</f>
        <v>84591.27</v>
      </c>
      <c r="I29" s="553">
        <f>H29/$H$41</f>
        <v>7.9353680554210465E-2</v>
      </c>
      <c r="J29" s="184"/>
      <c r="K29" s="192"/>
      <c r="L29" s="187"/>
      <c r="M29" s="184"/>
      <c r="N29" s="184"/>
      <c r="O29" s="184"/>
      <c r="P29" s="184"/>
      <c r="Q29" s="184"/>
      <c r="R29" s="184"/>
      <c r="S29" s="184"/>
      <c r="T29" s="184"/>
      <c r="U29" s="184"/>
      <c r="V29" s="184"/>
      <c r="W29" s="184"/>
      <c r="X29" s="184"/>
    </row>
    <row r="30" spans="1:24" s="191" customFormat="1" x14ac:dyDescent="0.25">
      <c r="A30" s="758"/>
      <c r="B30" s="760"/>
      <c r="C30" s="276"/>
      <c r="D30" s="276"/>
      <c r="E30" s="276"/>
      <c r="F30" s="276">
        <f>F29*$H$29</f>
        <v>16918.254000000001</v>
      </c>
      <c r="G30" s="276">
        <f>G29*$H$29</f>
        <v>67673.016000000003</v>
      </c>
      <c r="H30" s="564"/>
      <c r="I30" s="565"/>
      <c r="J30" s="184"/>
      <c r="K30" s="195"/>
      <c r="L30" s="187"/>
      <c r="M30" s="184"/>
      <c r="N30" s="184"/>
      <c r="O30" s="184"/>
      <c r="P30" s="184"/>
      <c r="Q30" s="184"/>
      <c r="R30" s="184"/>
      <c r="S30" s="184"/>
      <c r="T30" s="184"/>
      <c r="U30" s="184"/>
      <c r="V30" s="184"/>
      <c r="W30" s="184"/>
      <c r="X30" s="184"/>
    </row>
    <row r="31" spans="1:24" s="191" customFormat="1" x14ac:dyDescent="0.25">
      <c r="A31" s="765" t="s">
        <v>91</v>
      </c>
      <c r="B31" s="766" t="str">
        <f>VLOOKUP(A31,PO!$A$8:$K$421,4,FALSE)</f>
        <v>INSTALAÇÕES HIDROSSANITÁRIAS</v>
      </c>
      <c r="C31" s="278"/>
      <c r="D31" s="277">
        <v>0.4</v>
      </c>
      <c r="E31" s="277">
        <v>0.3</v>
      </c>
      <c r="F31" s="277">
        <v>0.3</v>
      </c>
      <c r="G31" s="278"/>
      <c r="H31" s="332">
        <f>VLOOKUP(A31,PO!$A$8:$K$421,11,FALSE)</f>
        <v>28446.199999999997</v>
      </c>
      <c r="I31" s="556">
        <f>H31/$H$41</f>
        <v>2.6684912849531416E-2</v>
      </c>
      <c r="J31" s="184"/>
      <c r="K31" s="192"/>
      <c r="L31" s="187"/>
      <c r="M31" s="184"/>
      <c r="N31" s="184"/>
      <c r="O31" s="184"/>
      <c r="P31" s="184"/>
      <c r="Q31" s="184"/>
      <c r="R31" s="184"/>
      <c r="S31" s="184"/>
      <c r="T31" s="184"/>
      <c r="U31" s="184"/>
      <c r="V31" s="184"/>
      <c r="W31" s="184"/>
      <c r="X31" s="184"/>
    </row>
    <row r="32" spans="1:24" s="191" customFormat="1" x14ac:dyDescent="0.25">
      <c r="A32" s="762"/>
      <c r="B32" s="764"/>
      <c r="C32" s="279"/>
      <c r="D32" s="330">
        <f>D31*$H$31</f>
        <v>11378.48</v>
      </c>
      <c r="E32" s="330">
        <f t="shared" ref="E32:G32" si="4">E31*$H$31</f>
        <v>8533.8599999999988</v>
      </c>
      <c r="F32" s="330">
        <f t="shared" si="4"/>
        <v>8533.8599999999988</v>
      </c>
      <c r="G32" s="330">
        <f t="shared" si="4"/>
        <v>0</v>
      </c>
      <c r="H32" s="279"/>
      <c r="I32" s="557"/>
      <c r="J32" s="184"/>
      <c r="K32" s="195"/>
      <c r="L32" s="187"/>
      <c r="M32" s="184"/>
      <c r="N32" s="184"/>
      <c r="O32" s="184"/>
      <c r="P32" s="184"/>
      <c r="Q32" s="184"/>
      <c r="R32" s="184"/>
      <c r="S32" s="184"/>
      <c r="T32" s="184"/>
      <c r="U32" s="184"/>
      <c r="V32" s="184"/>
      <c r="W32" s="184"/>
      <c r="X32" s="184"/>
    </row>
    <row r="33" spans="1:24" s="191" customFormat="1" x14ac:dyDescent="0.25">
      <c r="A33" s="757" t="s">
        <v>92</v>
      </c>
      <c r="B33" s="759" t="str">
        <f>VLOOKUP(A33,PO!$A$8:$K$421,4,FALSE)</f>
        <v>DRENAGEM</v>
      </c>
      <c r="C33" s="331"/>
      <c r="D33" s="331"/>
      <c r="E33" s="331"/>
      <c r="F33" s="275">
        <v>0.2</v>
      </c>
      <c r="G33" s="275">
        <v>0.8</v>
      </c>
      <c r="H33" s="336">
        <f>VLOOKUP(A33,PO!$A$8:$K$421,11,FALSE)</f>
        <v>11674.369999999999</v>
      </c>
      <c r="I33" s="553">
        <f>H33/$H$41</f>
        <v>1.095153468734608E-2</v>
      </c>
      <c r="J33" s="184"/>
      <c r="K33" s="192"/>
      <c r="L33" s="187"/>
      <c r="M33" s="184"/>
      <c r="N33" s="184"/>
      <c r="O33" s="184"/>
      <c r="P33" s="184"/>
      <c r="Q33" s="184"/>
      <c r="R33" s="184"/>
      <c r="S33" s="184"/>
      <c r="T33" s="184"/>
      <c r="U33" s="184"/>
      <c r="V33" s="184"/>
      <c r="W33" s="184"/>
      <c r="X33" s="184"/>
    </row>
    <row r="34" spans="1:24" s="191" customFormat="1" x14ac:dyDescent="0.25">
      <c r="A34" s="758"/>
      <c r="B34" s="760"/>
      <c r="C34" s="276"/>
      <c r="D34" s="276"/>
      <c r="E34" s="276"/>
      <c r="F34" s="276">
        <f>F33*$H$33</f>
        <v>2334.8739999999998</v>
      </c>
      <c r="G34" s="276">
        <f>G33*$H$33</f>
        <v>9339.4959999999992</v>
      </c>
      <c r="H34" s="566"/>
      <c r="I34" s="567"/>
      <c r="J34" s="184"/>
      <c r="K34" s="195"/>
      <c r="L34" s="187"/>
      <c r="M34" s="184"/>
      <c r="N34" s="184"/>
      <c r="O34" s="184"/>
      <c r="P34" s="184"/>
      <c r="Q34" s="184"/>
      <c r="R34" s="184"/>
      <c r="S34" s="184"/>
      <c r="T34" s="184"/>
      <c r="U34" s="184"/>
      <c r="V34" s="184"/>
      <c r="W34" s="184"/>
      <c r="X34" s="184"/>
    </row>
    <row r="35" spans="1:24" s="191" customFormat="1" x14ac:dyDescent="0.25">
      <c r="A35" s="767" t="s">
        <v>93</v>
      </c>
      <c r="B35" s="768" t="str">
        <f>VLOOKUP(A35,PO!$A$8:$K$421,4,FALSE)</f>
        <v>INSTALAÇÕES ELÉTRICAS</v>
      </c>
      <c r="C35" s="278"/>
      <c r="D35" s="277">
        <v>0.5</v>
      </c>
      <c r="E35" s="277">
        <v>0.1</v>
      </c>
      <c r="F35" s="277">
        <v>0.1</v>
      </c>
      <c r="G35" s="277">
        <v>0.3</v>
      </c>
      <c r="H35" s="332">
        <f>VLOOKUP(A35,PO!$A$8:$K$421,11,FALSE)</f>
        <v>91272.320000000007</v>
      </c>
      <c r="I35" s="556">
        <f>H35/$H$41</f>
        <v>8.5621063789699275E-2</v>
      </c>
      <c r="J35" s="184"/>
      <c r="K35" s="192"/>
      <c r="L35" s="187"/>
      <c r="M35" s="184"/>
      <c r="N35" s="184"/>
      <c r="O35" s="184"/>
      <c r="P35" s="184"/>
      <c r="Q35" s="184"/>
      <c r="R35" s="184"/>
      <c r="S35" s="184"/>
      <c r="T35" s="184"/>
      <c r="U35" s="184"/>
      <c r="V35" s="184"/>
      <c r="W35" s="184"/>
      <c r="X35" s="184"/>
    </row>
    <row r="36" spans="1:24" s="191" customFormat="1" x14ac:dyDescent="0.25">
      <c r="A36" s="762"/>
      <c r="B36" s="764"/>
      <c r="C36" s="279"/>
      <c r="D36" s="330">
        <f>D35*$H$35</f>
        <v>45636.160000000003</v>
      </c>
      <c r="E36" s="330">
        <f t="shared" ref="E36:G36" si="5">E35*$H$35</f>
        <v>9127.2320000000018</v>
      </c>
      <c r="F36" s="330">
        <f t="shared" si="5"/>
        <v>9127.2320000000018</v>
      </c>
      <c r="G36" s="330">
        <f t="shared" si="5"/>
        <v>27381.696</v>
      </c>
      <c r="H36" s="279"/>
      <c r="I36" s="557"/>
      <c r="J36" s="184"/>
      <c r="K36" s="195"/>
      <c r="L36" s="187"/>
      <c r="M36" s="184"/>
      <c r="N36" s="184"/>
      <c r="O36" s="184"/>
      <c r="P36" s="184"/>
      <c r="Q36" s="184"/>
      <c r="R36" s="184"/>
      <c r="S36" s="184"/>
      <c r="T36" s="184"/>
      <c r="U36" s="184"/>
      <c r="V36" s="184"/>
      <c r="W36" s="184"/>
      <c r="X36" s="184"/>
    </row>
    <row r="37" spans="1:24" s="191" customFormat="1" x14ac:dyDescent="0.25">
      <c r="A37" s="757" t="s">
        <v>94</v>
      </c>
      <c r="B37" s="759" t="str">
        <f>VLOOKUP(A37,PO!$A$8:$K$421,4,FALSE)</f>
        <v>INSTALAÇÕES DE REDE LÓGICA E TELEFONIA</v>
      </c>
      <c r="C37" s="331"/>
      <c r="D37" s="277">
        <v>0.5</v>
      </c>
      <c r="E37" s="277">
        <v>0.1</v>
      </c>
      <c r="F37" s="277">
        <v>0.1</v>
      </c>
      <c r="G37" s="277">
        <v>0.3</v>
      </c>
      <c r="H37" s="336">
        <f>VLOOKUP(A37,PO!$A$8:$K$421,11,FALSE)</f>
        <v>25383.45</v>
      </c>
      <c r="I37" s="553">
        <f>H37/$H$41</f>
        <v>2.3811797395449596E-2</v>
      </c>
      <c r="J37" s="184"/>
      <c r="K37" s="192"/>
      <c r="L37" s="187"/>
      <c r="M37" s="184"/>
      <c r="N37" s="184"/>
      <c r="O37" s="184"/>
      <c r="P37" s="184"/>
      <c r="Q37" s="184"/>
      <c r="R37" s="184"/>
      <c r="S37" s="184"/>
      <c r="T37" s="184"/>
      <c r="U37" s="184"/>
      <c r="V37" s="184"/>
      <c r="W37" s="184"/>
      <c r="X37" s="184"/>
    </row>
    <row r="38" spans="1:24" s="191" customFormat="1" x14ac:dyDescent="0.25">
      <c r="A38" s="758"/>
      <c r="B38" s="760"/>
      <c r="C38" s="276"/>
      <c r="D38" s="276">
        <f>D37*$H$37</f>
        <v>12691.725</v>
      </c>
      <c r="E38" s="276">
        <f t="shared" ref="E38:G38" si="6">E37*$H$37</f>
        <v>2538.3450000000003</v>
      </c>
      <c r="F38" s="276">
        <f t="shared" si="6"/>
        <v>2538.3450000000003</v>
      </c>
      <c r="G38" s="276">
        <f t="shared" si="6"/>
        <v>7615.0349999999999</v>
      </c>
      <c r="H38" s="568"/>
      <c r="I38" s="569"/>
      <c r="J38" s="184"/>
      <c r="K38" s="195"/>
      <c r="L38" s="187"/>
      <c r="M38" s="184"/>
      <c r="N38" s="184"/>
      <c r="O38" s="184"/>
      <c r="P38" s="184"/>
      <c r="Q38" s="184"/>
      <c r="R38" s="184"/>
      <c r="S38" s="184"/>
      <c r="T38" s="184"/>
      <c r="U38" s="184"/>
      <c r="V38" s="184"/>
      <c r="W38" s="184"/>
      <c r="X38" s="184"/>
    </row>
    <row r="39" spans="1:24" s="191" customFormat="1" x14ac:dyDescent="0.25">
      <c r="A39" s="761" t="s">
        <v>95</v>
      </c>
      <c r="B39" s="763" t="str">
        <f>VLOOKUP(A39,PO!$A$8:$K$421,4,FALSE)</f>
        <v>SERVIÇOS DIVERSOS</v>
      </c>
      <c r="C39" s="278"/>
      <c r="D39" s="278"/>
      <c r="E39" s="278"/>
      <c r="F39" s="278"/>
      <c r="G39" s="277">
        <v>1</v>
      </c>
      <c r="H39" s="332">
        <f>VLOOKUP(A39,PO!$A$8:$K$421,11,FALSE)</f>
        <v>5490.27</v>
      </c>
      <c r="I39" s="556">
        <f>H39/$H$41</f>
        <v>5.1503320819792052E-3</v>
      </c>
      <c r="J39" s="184"/>
      <c r="K39" s="192"/>
      <c r="L39" s="187"/>
      <c r="M39" s="184"/>
      <c r="N39" s="184"/>
      <c r="O39" s="184"/>
      <c r="P39" s="184"/>
      <c r="Q39" s="184"/>
      <c r="R39" s="184"/>
      <c r="S39" s="184"/>
      <c r="T39" s="184"/>
      <c r="U39" s="184"/>
      <c r="V39" s="184"/>
      <c r="W39" s="184"/>
      <c r="X39" s="184"/>
    </row>
    <row r="40" spans="1:24" s="191" customFormat="1" x14ac:dyDescent="0.25">
      <c r="A40" s="762"/>
      <c r="B40" s="764"/>
      <c r="C40" s="279"/>
      <c r="D40" s="279"/>
      <c r="E40" s="279"/>
      <c r="F40" s="279"/>
      <c r="G40" s="279">
        <f>G39*$H$39</f>
        <v>5490.27</v>
      </c>
      <c r="H40" s="279"/>
      <c r="I40" s="557"/>
      <c r="J40" s="184"/>
      <c r="K40" s="195"/>
      <c r="L40" s="187"/>
      <c r="M40" s="184"/>
      <c r="N40" s="184"/>
      <c r="O40" s="184"/>
      <c r="P40" s="184"/>
      <c r="Q40" s="184"/>
      <c r="R40" s="184"/>
      <c r="S40" s="184"/>
      <c r="T40" s="184"/>
      <c r="U40" s="184"/>
      <c r="V40" s="184"/>
      <c r="W40" s="184"/>
      <c r="X40" s="184"/>
    </row>
    <row r="41" spans="1:24" s="283" customFormat="1" x14ac:dyDescent="0.25">
      <c r="A41" s="795" t="s">
        <v>12194</v>
      </c>
      <c r="B41" s="796"/>
      <c r="C41" s="570">
        <f>SUM(C10,C12,C14,C16,C18,C20,C22,C24,C26,C28,C30,C32,C34,C36,C38,C40)</f>
        <v>130932.72422326877</v>
      </c>
      <c r="D41" s="570">
        <f t="shared" ref="D41:G41" si="7">SUM(D10,D12,D14,D16,D18,D20,D22,D24,D26,D28,D30,D32,D34,D36,D38,D40)</f>
        <v>170935.69460060002</v>
      </c>
      <c r="E41" s="570">
        <f t="shared" si="7"/>
        <v>227894.44351689995</v>
      </c>
      <c r="F41" s="570">
        <f t="shared" si="7"/>
        <v>281071.55348779995</v>
      </c>
      <c r="G41" s="570">
        <f t="shared" si="7"/>
        <v>255168.69088570005</v>
      </c>
      <c r="H41" s="791">
        <f>SUM(H9:H40)</f>
        <v>1066003.1067142687</v>
      </c>
      <c r="I41" s="785">
        <f>SUM(I9:I40)</f>
        <v>1.0000000000000002</v>
      </c>
      <c r="J41" s="280"/>
      <c r="K41" s="281"/>
      <c r="L41" s="282"/>
      <c r="M41" s="280"/>
      <c r="N41" s="280"/>
      <c r="O41" s="280"/>
      <c r="P41" s="280"/>
      <c r="Q41" s="280"/>
      <c r="R41" s="280"/>
      <c r="S41" s="280"/>
      <c r="T41" s="280"/>
      <c r="U41" s="280"/>
      <c r="V41" s="280"/>
      <c r="W41" s="280"/>
      <c r="X41" s="280"/>
    </row>
    <row r="42" spans="1:24" s="283" customFormat="1" x14ac:dyDescent="0.25">
      <c r="A42" s="795" t="s">
        <v>12195</v>
      </c>
      <c r="B42" s="796"/>
      <c r="C42" s="570">
        <f>C41</f>
        <v>130932.72422326877</v>
      </c>
      <c r="D42" s="570">
        <f>SUM(C42+D41)</f>
        <v>301868.41882386879</v>
      </c>
      <c r="E42" s="570">
        <f>SUM(D42+E41)</f>
        <v>529762.8623407688</v>
      </c>
      <c r="F42" s="570">
        <f t="shared" ref="F42:G42" si="8">SUM(E42+F41)</f>
        <v>810834.41582856874</v>
      </c>
      <c r="G42" s="570">
        <f t="shared" si="8"/>
        <v>1066003.1067142687</v>
      </c>
      <c r="H42" s="792"/>
      <c r="I42" s="786"/>
      <c r="J42" s="280"/>
      <c r="K42" s="282"/>
      <c r="L42" s="282"/>
      <c r="M42" s="280"/>
      <c r="N42" s="280"/>
      <c r="O42" s="280"/>
      <c r="P42" s="280"/>
      <c r="Q42" s="280"/>
      <c r="R42" s="280"/>
      <c r="S42" s="280"/>
      <c r="T42" s="280"/>
      <c r="U42" s="280"/>
      <c r="V42" s="280"/>
      <c r="W42" s="280"/>
      <c r="X42" s="280"/>
    </row>
    <row r="43" spans="1:24" s="283" customFormat="1" x14ac:dyDescent="0.25">
      <c r="A43" s="795" t="s">
        <v>12196</v>
      </c>
      <c r="B43" s="796"/>
      <c r="C43" s="571">
        <f>C41/$H$41</f>
        <v>0.12282583737193925</v>
      </c>
      <c r="D43" s="571">
        <f t="shared" ref="D43:G43" si="9">D41/$H$41</f>
        <v>0.16035196663495052</v>
      </c>
      <c r="E43" s="571">
        <f t="shared" si="9"/>
        <v>0.21378403316228303</v>
      </c>
      <c r="F43" s="571">
        <f t="shared" si="9"/>
        <v>0.26366860632718431</v>
      </c>
      <c r="G43" s="571">
        <f t="shared" si="9"/>
        <v>0.23936955650364294</v>
      </c>
      <c r="H43" s="793">
        <v>1</v>
      </c>
      <c r="I43" s="787"/>
      <c r="J43" s="280"/>
      <c r="K43" s="281"/>
      <c r="L43" s="282"/>
      <c r="M43" s="280"/>
      <c r="N43" s="280"/>
      <c r="O43" s="280"/>
      <c r="P43" s="280"/>
      <c r="Q43" s="280"/>
      <c r="R43" s="280"/>
      <c r="S43" s="280"/>
      <c r="T43" s="280"/>
      <c r="U43" s="280"/>
      <c r="V43" s="280"/>
      <c r="W43" s="280"/>
      <c r="X43" s="280"/>
    </row>
    <row r="44" spans="1:24" s="283" customFormat="1" ht="16.5" thickBot="1" x14ac:dyDescent="0.3">
      <c r="A44" s="789" t="s">
        <v>12197</v>
      </c>
      <c r="B44" s="790"/>
      <c r="C44" s="572">
        <f>C43</f>
        <v>0.12282583737193925</v>
      </c>
      <c r="D44" s="572">
        <f>SUM(C44+D43)</f>
        <v>0.28317780400688974</v>
      </c>
      <c r="E44" s="572">
        <f t="shared" ref="E44:G44" si="10">SUM(D44+E43)</f>
        <v>0.49696183716917275</v>
      </c>
      <c r="F44" s="572">
        <f t="shared" si="10"/>
        <v>0.76063044349635711</v>
      </c>
      <c r="G44" s="572">
        <f t="shared" si="10"/>
        <v>1</v>
      </c>
      <c r="H44" s="794"/>
      <c r="I44" s="788"/>
      <c r="J44" s="280"/>
      <c r="K44" s="282"/>
      <c r="L44" s="282"/>
      <c r="M44" s="280"/>
      <c r="N44" s="280"/>
      <c r="O44" s="280"/>
      <c r="P44" s="280"/>
      <c r="Q44" s="280"/>
      <c r="R44" s="280"/>
      <c r="S44" s="280"/>
      <c r="T44" s="280"/>
      <c r="U44" s="280"/>
      <c r="V44" s="280"/>
      <c r="W44" s="280"/>
      <c r="X44" s="280"/>
    </row>
  </sheetData>
  <sheetProtection selectLockedCells="1" selectUnlockedCells="1"/>
  <mergeCells count="45">
    <mergeCell ref="I41:I42"/>
    <mergeCell ref="I43:I44"/>
    <mergeCell ref="A44:B44"/>
    <mergeCell ref="H41:H42"/>
    <mergeCell ref="H43:H44"/>
    <mergeCell ref="A41:B41"/>
    <mergeCell ref="A42:B42"/>
    <mergeCell ref="A43:B43"/>
    <mergeCell ref="A9:A10"/>
    <mergeCell ref="B9:B10"/>
    <mergeCell ref="A11:A12"/>
    <mergeCell ref="B11:B12"/>
    <mergeCell ref="A1:I1"/>
    <mergeCell ref="C7:G7"/>
    <mergeCell ref="H7:I7"/>
    <mergeCell ref="A7:A8"/>
    <mergeCell ref="B7:B8"/>
    <mergeCell ref="A13:A14"/>
    <mergeCell ref="B13:B14"/>
    <mergeCell ref="A15:A16"/>
    <mergeCell ref="B15:B16"/>
    <mergeCell ref="A17:A18"/>
    <mergeCell ref="B17:B18"/>
    <mergeCell ref="A19:A20"/>
    <mergeCell ref="B19:B20"/>
    <mergeCell ref="A21:A22"/>
    <mergeCell ref="B21:B22"/>
    <mergeCell ref="A23:A24"/>
    <mergeCell ref="B23:B24"/>
    <mergeCell ref="A25:A26"/>
    <mergeCell ref="B25:B26"/>
    <mergeCell ref="A27:A28"/>
    <mergeCell ref="B27:B28"/>
    <mergeCell ref="A29:A30"/>
    <mergeCell ref="B29:B30"/>
    <mergeCell ref="A37:A38"/>
    <mergeCell ref="B37:B38"/>
    <mergeCell ref="A39:A40"/>
    <mergeCell ref="B39:B40"/>
    <mergeCell ref="A31:A32"/>
    <mergeCell ref="B31:B32"/>
    <mergeCell ref="A33:A34"/>
    <mergeCell ref="B33:B34"/>
    <mergeCell ref="A35:A36"/>
    <mergeCell ref="B35:B36"/>
  </mergeCells>
  <conditionalFormatting sqref="H16:I16 H20:I20 H24:I24 H28:I28 H32:I32 H36:I36 H40:I40">
    <cfRule type="cellIs" dxfId="72" priority="49" operator="equal">
      <formula>0</formula>
    </cfRule>
  </conditionalFormatting>
  <conditionalFormatting sqref="C10:G10">
    <cfRule type="cellIs" dxfId="71" priority="64" operator="equal">
      <formula>0</formula>
    </cfRule>
  </conditionalFormatting>
  <conditionalFormatting sqref="C10:G10">
    <cfRule type="cellIs" dxfId="70" priority="63" operator="equal">
      <formula>0</formula>
    </cfRule>
  </conditionalFormatting>
  <conditionalFormatting sqref="C12:F12">
    <cfRule type="cellIs" dxfId="69" priority="61" operator="equal">
      <formula>0</formula>
    </cfRule>
  </conditionalFormatting>
  <conditionalFormatting sqref="C12:F12">
    <cfRule type="cellIs" dxfId="68" priority="62" operator="equal">
      <formula>0</formula>
    </cfRule>
  </conditionalFormatting>
  <conditionalFormatting sqref="G12">
    <cfRule type="cellIs" dxfId="67" priority="59" operator="equal">
      <formula>0</formula>
    </cfRule>
  </conditionalFormatting>
  <conditionalFormatting sqref="G12">
    <cfRule type="cellIs" dxfId="66" priority="60" operator="equal">
      <formula>0</formula>
    </cfRule>
  </conditionalFormatting>
  <conditionalFormatting sqref="D14:G14 F18:G18 C22:D22 C26:E26 C30:E30 C34:E34 G22">
    <cfRule type="cellIs" dxfId="65" priority="58" operator="equal">
      <formula>0</formula>
    </cfRule>
  </conditionalFormatting>
  <conditionalFormatting sqref="D14:G14 F18:G18 C22:D22 C26:E26 C30:E30 C34:E34 G22">
    <cfRule type="cellIs" dxfId="64" priority="57" operator="equal">
      <formula>0</formula>
    </cfRule>
  </conditionalFormatting>
  <conditionalFormatting sqref="E16:F16 C24 D40:F40">
    <cfRule type="cellIs" dxfId="63" priority="55" operator="equal">
      <formula>0</formula>
    </cfRule>
  </conditionalFormatting>
  <conditionalFormatting sqref="E16:F16 C24 D40:F40">
    <cfRule type="cellIs" dxfId="62" priority="56" operator="equal">
      <formula>0</formula>
    </cfRule>
  </conditionalFormatting>
  <conditionalFormatting sqref="G16 G20 G40">
    <cfRule type="cellIs" dxfId="61" priority="53" operator="equal">
      <formula>0</formula>
    </cfRule>
  </conditionalFormatting>
  <conditionalFormatting sqref="G16 G20 G40">
    <cfRule type="cellIs" dxfId="60" priority="54" operator="equal">
      <formula>0</formula>
    </cfRule>
  </conditionalFormatting>
  <conditionalFormatting sqref="H12:I12">
    <cfRule type="cellIs" dxfId="59" priority="51" operator="equal">
      <formula>0</formula>
    </cfRule>
  </conditionalFormatting>
  <conditionalFormatting sqref="H12:I12">
    <cfRule type="cellIs" dxfId="58" priority="52" operator="equal">
      <formula>0</formula>
    </cfRule>
  </conditionalFormatting>
  <conditionalFormatting sqref="H16:I16 H20:I20 H24:I24 H28:I28 H32:I32 H36:I36 H40:I40">
    <cfRule type="cellIs" dxfId="57" priority="50" operator="equal">
      <formula>0</formula>
    </cfRule>
  </conditionalFormatting>
  <conditionalFormatting sqref="C40">
    <cfRule type="cellIs" dxfId="56" priority="1" operator="equal">
      <formula>0</formula>
    </cfRule>
  </conditionalFormatting>
  <conditionalFormatting sqref="C40">
    <cfRule type="cellIs" dxfId="55" priority="2" operator="equal">
      <formula>0</formula>
    </cfRule>
  </conditionalFormatting>
  <conditionalFormatting sqref="D38:G38">
    <cfRule type="cellIs" dxfId="54" priority="3" operator="equal">
      <formula>0</formula>
    </cfRule>
  </conditionalFormatting>
  <conditionalFormatting sqref="D38:G38">
    <cfRule type="cellIs" dxfId="53" priority="4" operator="equal">
      <formula>0</formula>
    </cfRule>
  </conditionalFormatting>
  <conditionalFormatting sqref="C16:D16">
    <cfRule type="cellIs" dxfId="52" priority="41" operator="equal">
      <formula>0</formula>
    </cfRule>
  </conditionalFormatting>
  <conditionalFormatting sqref="C16:D16">
    <cfRule type="cellIs" dxfId="51" priority="42" operator="equal">
      <formula>0</formula>
    </cfRule>
  </conditionalFormatting>
  <conditionalFormatting sqref="C14">
    <cfRule type="cellIs" dxfId="50" priority="40" operator="equal">
      <formula>0</formula>
    </cfRule>
  </conditionalFormatting>
  <conditionalFormatting sqref="C14">
    <cfRule type="cellIs" dxfId="49" priority="39" operator="equal">
      <formula>0</formula>
    </cfRule>
  </conditionalFormatting>
  <conditionalFormatting sqref="C18:E18">
    <cfRule type="cellIs" dxfId="48" priority="38" operator="equal">
      <formula>0</formula>
    </cfRule>
  </conditionalFormatting>
  <conditionalFormatting sqref="C18:E18">
    <cfRule type="cellIs" dxfId="47" priority="37" operator="equal">
      <formula>0</formula>
    </cfRule>
  </conditionalFormatting>
  <conditionalFormatting sqref="C20:F20">
    <cfRule type="cellIs" dxfId="46" priority="33" operator="equal">
      <formula>0</formula>
    </cfRule>
  </conditionalFormatting>
  <conditionalFormatting sqref="C20:F20">
    <cfRule type="cellIs" dxfId="45" priority="34" operator="equal">
      <formula>0</formula>
    </cfRule>
  </conditionalFormatting>
  <conditionalFormatting sqref="E22:F22">
    <cfRule type="cellIs" dxfId="44" priority="32" operator="equal">
      <formula>0</formula>
    </cfRule>
  </conditionalFormatting>
  <conditionalFormatting sqref="E22:F22">
    <cfRule type="cellIs" dxfId="43" priority="31" operator="equal">
      <formula>0</formula>
    </cfRule>
  </conditionalFormatting>
  <conditionalFormatting sqref="D24:G24">
    <cfRule type="cellIs" dxfId="42" priority="29" operator="equal">
      <formula>0</formula>
    </cfRule>
  </conditionalFormatting>
  <conditionalFormatting sqref="D24:G24">
    <cfRule type="cellIs" dxfId="41" priority="30" operator="equal">
      <formula>0</formula>
    </cfRule>
  </conditionalFormatting>
  <conditionalFormatting sqref="F26:G26">
    <cfRule type="cellIs" dxfId="40" priority="28" operator="equal">
      <formula>0</formula>
    </cfRule>
  </conditionalFormatting>
  <conditionalFormatting sqref="F26:G26">
    <cfRule type="cellIs" dxfId="39" priority="27" operator="equal">
      <formula>0</formula>
    </cfRule>
  </conditionalFormatting>
  <conditionalFormatting sqref="C28">
    <cfRule type="cellIs" dxfId="38" priority="23" operator="equal">
      <formula>0</formula>
    </cfRule>
  </conditionalFormatting>
  <conditionalFormatting sqref="C28">
    <cfRule type="cellIs" dxfId="37" priority="24" operator="equal">
      <formula>0</formula>
    </cfRule>
  </conditionalFormatting>
  <conditionalFormatting sqref="D28:G28">
    <cfRule type="cellIs" dxfId="36" priority="21" operator="equal">
      <formula>0</formula>
    </cfRule>
  </conditionalFormatting>
  <conditionalFormatting sqref="D28:G28">
    <cfRule type="cellIs" dxfId="35" priority="22" operator="equal">
      <formula>0</formula>
    </cfRule>
  </conditionalFormatting>
  <conditionalFormatting sqref="F30:G30">
    <cfRule type="cellIs" dxfId="34" priority="20" operator="equal">
      <formula>0</formula>
    </cfRule>
  </conditionalFormatting>
  <conditionalFormatting sqref="F30:G30">
    <cfRule type="cellIs" dxfId="33" priority="19" operator="equal">
      <formula>0</formula>
    </cfRule>
  </conditionalFormatting>
  <conditionalFormatting sqref="C32">
    <cfRule type="cellIs" dxfId="32" priority="17" operator="equal">
      <formula>0</formula>
    </cfRule>
  </conditionalFormatting>
  <conditionalFormatting sqref="C32">
    <cfRule type="cellIs" dxfId="31" priority="18" operator="equal">
      <formula>0</formula>
    </cfRule>
  </conditionalFormatting>
  <conditionalFormatting sqref="D32:G32">
    <cfRule type="cellIs" dxfId="30" priority="13" operator="equal">
      <formula>0</formula>
    </cfRule>
  </conditionalFormatting>
  <conditionalFormatting sqref="D32:G32">
    <cfRule type="cellIs" dxfId="29" priority="14" operator="equal">
      <formula>0</formula>
    </cfRule>
  </conditionalFormatting>
  <conditionalFormatting sqref="F34:G34">
    <cfRule type="cellIs" dxfId="28" priority="12" operator="equal">
      <formula>0</formula>
    </cfRule>
  </conditionalFormatting>
  <conditionalFormatting sqref="F34:G34">
    <cfRule type="cellIs" dxfId="27" priority="11" operator="equal">
      <formula>0</formula>
    </cfRule>
  </conditionalFormatting>
  <conditionalFormatting sqref="C36">
    <cfRule type="cellIs" dxfId="26" priority="9" operator="equal">
      <formula>0</formula>
    </cfRule>
  </conditionalFormatting>
  <conditionalFormatting sqref="C36">
    <cfRule type="cellIs" dxfId="25" priority="10" operator="equal">
      <formula>0</formula>
    </cfRule>
  </conditionalFormatting>
  <conditionalFormatting sqref="C38">
    <cfRule type="cellIs" dxfId="24" priority="8" operator="equal">
      <formula>0</formula>
    </cfRule>
  </conditionalFormatting>
  <conditionalFormatting sqref="C38">
    <cfRule type="cellIs" dxfId="23" priority="7" operator="equal">
      <formula>0</formula>
    </cfRule>
  </conditionalFormatting>
  <conditionalFormatting sqref="D36:G36">
    <cfRule type="cellIs" dxfId="22" priority="5" operator="equal">
      <formula>0</formula>
    </cfRule>
  </conditionalFormatting>
  <conditionalFormatting sqref="D36:G36">
    <cfRule type="cellIs" dxfId="21" priority="6" operator="equal">
      <formula>0</formula>
    </cfRule>
  </conditionalFormatting>
  <printOptions horizontalCentered="1" verticalCentered="1"/>
  <pageMargins left="0.11811023622047245" right="0.19685039370078741" top="0.96250000000000002" bottom="0.78740157480314965" header="0.32500000000000001" footer="0.31496062992125984"/>
  <pageSetup paperSize="9" scale="60" firstPageNumber="0" fitToWidth="0" orientation="landscape" horizontalDpi="300" verticalDpi="300" r:id="rId1"/>
  <headerFooter alignWithMargins="0">
    <oddHeader>&amp;L
CNPJ: 27.651.907/0001-77&amp;C&amp;G&amp;R
IE: 00000004780094</oddHeader>
    <oddFooter xml:space="preserve">&amp;CAv. Abunã, 2914 – Sala D – Liberdade – Porto Velho – Rondônia – Brasil – CEP 76.803-888
+55 69 99283 9999  +55 69 4141 6641
proj.nova@outlook.com </oddFooter>
  </headerFooter>
  <colBreaks count="1" manualBreakCount="1">
    <brk id="9" max="1048575"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67"/>
  <sheetViews>
    <sheetView view="pageBreakPreview" zoomScaleNormal="85" zoomScaleSheetLayoutView="100" zoomScalePageLayoutView="85" workbookViewId="0">
      <selection activeCell="H320" sqref="H320"/>
    </sheetView>
  </sheetViews>
  <sheetFormatPr defaultColWidth="16" defaultRowHeight="12.75" x14ac:dyDescent="0.25"/>
  <cols>
    <col min="1" max="1" width="7.5703125" style="510" bestFit="1" customWidth="1"/>
    <col min="2" max="2" width="10.85546875" style="510" bestFit="1" customWidth="1"/>
    <col min="3" max="3" width="97.85546875" style="491" customWidth="1"/>
    <col min="4" max="4" width="11.7109375" style="483" bestFit="1" customWidth="1"/>
    <col min="5" max="5" width="11.42578125" style="499" bestFit="1" customWidth="1"/>
    <col min="6" max="6" width="12.85546875" style="499" customWidth="1"/>
    <col min="7" max="7" width="10.7109375" style="492" customWidth="1"/>
    <col min="8" max="16384" width="16" style="483"/>
  </cols>
  <sheetData>
    <row r="1" spans="1:7" ht="31.5" customHeight="1" x14ac:dyDescent="0.25">
      <c r="B1" s="521" t="str">
        <f>PO!B2</f>
        <v>Objeto:</v>
      </c>
      <c r="C1" s="522" t="str">
        <f>PO!C2</f>
        <v>Reforma e Ampliação do Almoxarifado da Farmácia</v>
      </c>
      <c r="F1" s="523"/>
      <c r="G1" s="524" t="str">
        <f>PO!K2</f>
        <v>Tabela SINAPI NÃO DESONERADO</v>
      </c>
    </row>
    <row r="2" spans="1:7" ht="18" customHeight="1" x14ac:dyDescent="0.25">
      <c r="B2" s="521" t="str">
        <f>PO!B3</f>
        <v>Endereço:</v>
      </c>
      <c r="C2" s="491" t="str">
        <f>PO!C3</f>
        <v>BR - 364 - km 17 - Hospital Santa Marcelina</v>
      </c>
      <c r="D2" s="527"/>
      <c r="E2" s="528" t="str">
        <f>PO!I3</f>
        <v>Data da referência Técnica:</v>
      </c>
      <c r="F2" s="525" t="str">
        <f>PO!K3</f>
        <v>07/2020</v>
      </c>
    </row>
    <row r="3" spans="1:7" ht="18" customHeight="1" x14ac:dyDescent="0.25">
      <c r="B3" s="521" t="str">
        <f>PO!B4</f>
        <v>Cidade:</v>
      </c>
      <c r="C3" s="491" t="str">
        <f>PO!C4</f>
        <v>Porto Velho/RO</v>
      </c>
      <c r="D3" s="527"/>
      <c r="E3" s="528" t="str">
        <f>PO!I4</f>
        <v>Mês de Referência:</v>
      </c>
      <c r="F3" s="526" t="s">
        <v>12198</v>
      </c>
    </row>
    <row r="4" spans="1:7" ht="16.350000000000001" customHeight="1" x14ac:dyDescent="0.25">
      <c r="B4" s="521" t="str">
        <f>PO!B5</f>
        <v>Data:</v>
      </c>
      <c r="C4" s="520" t="str">
        <f>PO!C5</f>
        <v>07/2020</v>
      </c>
      <c r="D4" s="803">
        <f>PO!I5</f>
        <v>0</v>
      </c>
      <c r="E4" s="803"/>
      <c r="F4" s="805">
        <f>PO!K5</f>
        <v>0</v>
      </c>
    </row>
    <row r="5" spans="1:7" ht="13.5" thickBot="1" x14ac:dyDescent="0.3">
      <c r="D5" s="804"/>
      <c r="E5" s="804"/>
      <c r="F5" s="806"/>
    </row>
    <row r="6" spans="1:7" ht="18.75" customHeight="1" thickBot="1" x14ac:dyDescent="0.3">
      <c r="A6" s="797" t="s">
        <v>12199</v>
      </c>
      <c r="B6" s="798"/>
      <c r="C6" s="798"/>
      <c r="D6" s="798"/>
      <c r="E6" s="798"/>
      <c r="F6" s="798"/>
      <c r="G6" s="799"/>
    </row>
    <row r="7" spans="1:7" s="484" customFormat="1" ht="25.5" x14ac:dyDescent="0.25">
      <c r="A7" s="516" t="s">
        <v>12200</v>
      </c>
      <c r="B7" s="517" t="s">
        <v>6</v>
      </c>
      <c r="C7" s="517" t="s">
        <v>76</v>
      </c>
      <c r="D7" s="517" t="s">
        <v>12201</v>
      </c>
      <c r="E7" s="518" t="s">
        <v>12202</v>
      </c>
      <c r="F7" s="518" t="s">
        <v>12203</v>
      </c>
      <c r="G7" s="519" t="s">
        <v>12204</v>
      </c>
    </row>
    <row r="8" spans="1:7" s="489" customFormat="1" ht="25.5" x14ac:dyDescent="0.25">
      <c r="A8" s="512" t="str">
        <f>PO!A117</f>
        <v>7.2.1</v>
      </c>
      <c r="B8" s="508">
        <f>VLOOKUP(Tabela1[[#This Row],[Nº]],PO!$A$8:$K$421,3,FALSE)</f>
        <v>94216</v>
      </c>
      <c r="C8" s="485" t="str">
        <f>VLOOKUP(Tabela1[[#This Row],[Nº]],PO!$A$8:$K$421,4,FALSE)</f>
        <v>Telhamento com Telha Metálica Termoacústica e=30mm, com áte 2 Águas Incluso Içamento - Fornecimento e instalação</v>
      </c>
      <c r="D8" s="486">
        <f>VLOOKUP(Tabela1[[#This Row],[Nº]],PO!$A$8:$K$421,11,FALSE)</f>
        <v>106140.83</v>
      </c>
      <c r="E8" s="487" t="e">
        <f>Tabela1[[#This Row],[TOTAL ITEM (R$)]]/Tabela1[[#Totals],[TOTAL ITEM (R$)]]</f>
        <v>#REF!</v>
      </c>
      <c r="F8" s="487" t="e">
        <f>Tabela1[[#This Row],[%ITEM]]</f>
        <v>#REF!</v>
      </c>
      <c r="G8" s="488" t="e">
        <f t="shared" ref="G8:G71" si="0">IF(F8&gt;=95%,"C",IF(F8&lt;80%,"A","B"))</f>
        <v>#REF!</v>
      </c>
    </row>
    <row r="9" spans="1:7" s="489" customFormat="1" ht="25.5" x14ac:dyDescent="0.25">
      <c r="A9" s="512" t="str">
        <f>PO!A137</f>
        <v>8.3.1</v>
      </c>
      <c r="B9" s="508" t="str">
        <f>VLOOKUP(Tabela1[[#This Row],[Nº]],PO!$A$8:$K$421,3,FALSE)</f>
        <v>CPU-21</v>
      </c>
      <c r="C9" s="485" t="str">
        <f>VLOOKUP(Tabela1[[#This Row],[Nº]],PO!$A$8:$K$421,4,FALSE)</f>
        <v>Piso industrial em concreto armado de acabamento polido, espessura 12 cm (cimento queimado) (incluso execução)</v>
      </c>
      <c r="D9" s="486">
        <f>VLOOKUP(Tabela1[[#This Row],[Nº]],PO!$A$8:$K$421,11,FALSE)</f>
        <v>71102.078065000009</v>
      </c>
      <c r="E9" s="487" t="e">
        <f>Tabela1[[#This Row],[TOTAL ITEM (R$)]]/Tabela1[[#Totals],[TOTAL ITEM (R$)]]</f>
        <v>#REF!</v>
      </c>
      <c r="F9" s="487" t="e">
        <f>F8+Tabela1[[#This Row],[%ITEM]]</f>
        <v>#REF!</v>
      </c>
      <c r="G9" s="488" t="e">
        <f t="shared" si="0"/>
        <v>#REF!</v>
      </c>
    </row>
    <row r="10" spans="1:7" s="489" customFormat="1" x14ac:dyDescent="0.25">
      <c r="A10" s="512" t="str">
        <f>PO!A96</f>
        <v>5.1.2</v>
      </c>
      <c r="B10" s="508" t="str">
        <f>VLOOKUP(Tabela1[[#This Row],[Nº]],PO!$A$8:$K$421,3,FALSE)</f>
        <v>CPU-15</v>
      </c>
      <c r="C10" s="485" t="str">
        <f>VLOOKUP(Tabela1[[#This Row],[Nº]],PO!$A$8:$K$421,4,FALSE)</f>
        <v>Pilar em aço estrutural em Perfil "C".</v>
      </c>
      <c r="D10" s="486">
        <f>VLOOKUP(Tabela1[[#This Row],[Nº]],PO!$A$8:$K$421,11,FALSE)</f>
        <v>39437.660000000003</v>
      </c>
      <c r="E10" s="487" t="e">
        <f>Tabela1[[#This Row],[TOTAL ITEM (R$)]]/Tabela1[[#Totals],[TOTAL ITEM (R$)]]</f>
        <v>#REF!</v>
      </c>
      <c r="F10" s="487" t="e">
        <f>F9+Tabela1[[#This Row],[%ITEM]]</f>
        <v>#REF!</v>
      </c>
      <c r="G10" s="488" t="e">
        <f t="shared" si="0"/>
        <v>#REF!</v>
      </c>
    </row>
    <row r="11" spans="1:7" s="489" customFormat="1" ht="25.5" x14ac:dyDescent="0.25">
      <c r="A11" s="512" t="str">
        <f>PO!A103</f>
        <v>6.1.1</v>
      </c>
      <c r="B11" s="508">
        <f>VLOOKUP(Tabela1[[#This Row],[Nº]],PO!$A$8:$K$421,3,FALSE)</f>
        <v>87503</v>
      </c>
      <c r="C11" s="485" t="str">
        <f>VLOOKUP(Tabela1[[#This Row],[Nº]],PO!$A$8:$K$421,4,FALSE)</f>
        <v>Alvenaria de Vedação de Blocos Ceramicos Furados na Horizontal 9X19X19CM (E = 9cm) de paredes com area Liquida Maior que 6 m² com Vãos e Argamassa de Assentamento com Preparo em Betoneira</v>
      </c>
      <c r="D11" s="486">
        <f>VLOOKUP(Tabela1[[#This Row],[Nº]],PO!$A$8:$K$421,11,FALSE)</f>
        <v>48703.79</v>
      </c>
      <c r="E11" s="487" t="e">
        <f>Tabela1[[#This Row],[TOTAL ITEM (R$)]]/Tabela1[[#Totals],[TOTAL ITEM (R$)]]</f>
        <v>#REF!</v>
      </c>
      <c r="F11" s="487" t="e">
        <f>F10+Tabela1[[#This Row],[%ITEM]]</f>
        <v>#REF!</v>
      </c>
      <c r="G11" s="488" t="e">
        <f t="shared" si="0"/>
        <v>#REF!</v>
      </c>
    </row>
    <row r="12" spans="1:7" s="489" customFormat="1" ht="25.5" x14ac:dyDescent="0.25">
      <c r="A12" s="512" t="str">
        <f>PO!A112</f>
        <v>7.1.1</v>
      </c>
      <c r="B12" s="508" t="str">
        <f>VLOOKUP(Tabela1[[#This Row],[Nº]],PO!$A$8:$K$421,3,FALSE)</f>
        <v>CPU-19</v>
      </c>
      <c r="C12" s="485" t="str">
        <f>VLOOKUP(Tabela1[[#This Row],[Nº]],PO!$A$8:$K$421,4,FALSE)</f>
        <v xml:space="preserve">Fabricação e Instalação de Tesoura Inteira em Aço, para vãos maiores de 16 m, Para Telha Ondulada de Fibrocimento, Metálica, Plástica ou Termoacústica, Incluso Içamento. </v>
      </c>
      <c r="D12" s="486">
        <f>VLOOKUP(Tabela1[[#This Row],[Nº]],PO!$A$8:$K$421,11,FALSE)</f>
        <v>37455.83</v>
      </c>
      <c r="E12" s="487" t="e">
        <f>Tabela1[[#This Row],[TOTAL ITEM (R$)]]/Tabela1[[#Totals],[TOTAL ITEM (R$)]]</f>
        <v>#REF!</v>
      </c>
      <c r="F12" s="487" t="e">
        <f>F11+Tabela1[[#This Row],[%ITEM]]</f>
        <v>#REF!</v>
      </c>
      <c r="G12" s="488" t="e">
        <f t="shared" si="0"/>
        <v>#REF!</v>
      </c>
    </row>
    <row r="13" spans="1:7" s="489" customFormat="1" ht="25.5" x14ac:dyDescent="0.25">
      <c r="A13" s="512" t="str">
        <f>PO!A150</f>
        <v>9.1.3</v>
      </c>
      <c r="B13" s="508">
        <f>VLOOKUP(Tabela1[[#This Row],[Nº]],PO!$A$8:$K$421,3,FALSE)</f>
        <v>87530</v>
      </c>
      <c r="C13" s="485" t="str">
        <f>VLOOKUP(Tabela1[[#This Row],[Nº]],PO!$A$8:$K$421,4,FALSE)</f>
        <v>Massa Única para Recebimento de Pintura, em Argamassa Traço 1:2:8, Preparo Manual, Aplicado Manualmente em Faces Internas de Paredes, Espessura de 20 mm, com Execução de Talisca</v>
      </c>
      <c r="D13" s="486">
        <f>VLOOKUP(Tabela1[[#This Row],[Nº]],PO!$A$8:$K$421,11,FALSE)</f>
        <v>56840.919792000015</v>
      </c>
      <c r="E13" s="487" t="e">
        <f>Tabela1[[#This Row],[TOTAL ITEM (R$)]]/Tabela1[[#Totals],[TOTAL ITEM (R$)]]</f>
        <v>#REF!</v>
      </c>
      <c r="F13" s="487" t="e">
        <f>F12+Tabela1[[#This Row],[%ITEM]]</f>
        <v>#REF!</v>
      </c>
      <c r="G13" s="488" t="e">
        <f t="shared" si="0"/>
        <v>#REF!</v>
      </c>
    </row>
    <row r="14" spans="1:7" s="489" customFormat="1" x14ac:dyDescent="0.25">
      <c r="A14" s="511" t="s">
        <v>13</v>
      </c>
      <c r="B14" s="508" t="str">
        <f>VLOOKUP(Tabela1[[#This Row],[Nº]],PO!$A$8:$K$421,3,FALSE)</f>
        <v>CPU-01</v>
      </c>
      <c r="C14" s="485" t="str">
        <f>VLOOKUP(Tabela1[[#This Row],[Nº]],PO!$A$8:$K$421,4,FALSE)</f>
        <v>Administração e controle - Responsável Técnico (Engenheiro).</v>
      </c>
      <c r="D14" s="486">
        <f>VLOOKUP(Tabela1[[#This Row],[Nº]],PO!$A$8:$K$421,11,FALSE)</f>
        <v>38539.9012</v>
      </c>
      <c r="E14" s="487" t="e">
        <f>Tabela1[[#This Row],[TOTAL ITEM (R$)]]/Tabela1[[#Totals],[TOTAL ITEM (R$)]]</f>
        <v>#REF!</v>
      </c>
      <c r="F14" s="487" t="e">
        <f>F13+Tabela1[[#This Row],[%ITEM]]</f>
        <v>#REF!</v>
      </c>
      <c r="G14" s="488" t="e">
        <f t="shared" si="0"/>
        <v>#REF!</v>
      </c>
    </row>
    <row r="15" spans="1:7" s="489" customFormat="1" x14ac:dyDescent="0.25">
      <c r="A15" s="512" t="str">
        <f>PO!A94</f>
        <v>5.1.1</v>
      </c>
      <c r="B15" s="508" t="str">
        <f>VLOOKUP(Tabela1[[#This Row],[Nº]],PO!$A$8:$K$421,3,FALSE)</f>
        <v>CPU-14</v>
      </c>
      <c r="C15" s="485" t="str">
        <f>VLOOKUP(Tabela1[[#This Row],[Nº]],PO!$A$8:$K$421,4,FALSE)</f>
        <v>Viga em aço estrutural em Perfil "C".</v>
      </c>
      <c r="D15" s="486">
        <f>VLOOKUP(Tabela1[[#This Row],[Nº]],PO!$A$8:$K$421,11,FALSE)</f>
        <v>35726.33</v>
      </c>
      <c r="E15" s="487" t="e">
        <f>Tabela1[[#This Row],[TOTAL ITEM (R$)]]/Tabela1[[#Totals],[TOTAL ITEM (R$)]]</f>
        <v>#REF!</v>
      </c>
      <c r="F15" s="487" t="e">
        <f>F14+Tabela1[[#This Row],[%ITEM]]</f>
        <v>#REF!</v>
      </c>
      <c r="G15" s="488" t="e">
        <f t="shared" si="0"/>
        <v>#REF!</v>
      </c>
    </row>
    <row r="16" spans="1:7" s="489" customFormat="1" x14ac:dyDescent="0.25">
      <c r="A16" s="512" t="str">
        <f>PO!A125</f>
        <v>7.4.1</v>
      </c>
      <c r="B16" s="508">
        <f>VLOOKUP(Tabela1[[#This Row],[Nº]],PO!$A$8:$K$421,3,FALSE)</f>
        <v>96114</v>
      </c>
      <c r="C16" s="485" t="str">
        <f>VLOOKUP(Tabela1[[#This Row],[Nº]],PO!$A$8:$K$421,4,FALSE)</f>
        <v xml:space="preserve">Forro em Drywall, para ambientes comerciais, inclusive estrutura de fixação.  </v>
      </c>
      <c r="D16" s="486">
        <f>VLOOKUP(Tabela1[[#This Row],[Nº]],PO!$A$8:$K$421,11,FALSE)</f>
        <v>31832.710000000003</v>
      </c>
      <c r="E16" s="487" t="e">
        <f>Tabela1[[#This Row],[TOTAL ITEM (R$)]]/Tabela1[[#Totals],[TOTAL ITEM (R$)]]</f>
        <v>#REF!</v>
      </c>
      <c r="F16" s="487" t="e">
        <f>F15+Tabela1[[#This Row],[%ITEM]]</f>
        <v>#REF!</v>
      </c>
      <c r="G16" s="488" t="e">
        <f t="shared" si="0"/>
        <v>#REF!</v>
      </c>
    </row>
    <row r="17" spans="1:11" s="489" customFormat="1" x14ac:dyDescent="0.25">
      <c r="A17" s="512" t="str">
        <f>PO!A181</f>
        <v>11.1.2</v>
      </c>
      <c r="B17" s="508">
        <f>VLOOKUP(Tabela1[[#This Row],[Nº]],PO!$A$8:$K$421,3,FALSE)</f>
        <v>96135</v>
      </c>
      <c r="C17" s="485" t="str">
        <f>VLOOKUP(Tabela1[[#This Row],[Nº]],PO!$A$8:$K$421,4,FALSE)</f>
        <v>Aplicação manual de massa acrílica, duas demãos.</v>
      </c>
      <c r="D17" s="486">
        <f>VLOOKUP(Tabela1[[#This Row],[Nº]],PO!$A$8:$K$421,11,FALSE)</f>
        <v>36716.240000000005</v>
      </c>
      <c r="E17" s="487" t="e">
        <f>Tabela1[[#This Row],[TOTAL ITEM (R$)]]/Tabela1[[#Totals],[TOTAL ITEM (R$)]]</f>
        <v>#REF!</v>
      </c>
      <c r="F17" s="487" t="e">
        <f>F16+Tabela1[[#This Row],[%ITEM]]</f>
        <v>#REF!</v>
      </c>
      <c r="G17" s="488" t="e">
        <f t="shared" si="0"/>
        <v>#REF!</v>
      </c>
    </row>
    <row r="18" spans="1:11" s="489" customFormat="1" x14ac:dyDescent="0.25">
      <c r="A18" s="512" t="str">
        <f>PO!A363</f>
        <v>14.6.1</v>
      </c>
      <c r="B18" s="508" t="str">
        <f>VLOOKUP(Tabela1[[#This Row],[Nº]],PO!$A$8:$K$421,3,FALSE)</f>
        <v>CPU-56</v>
      </c>
      <c r="C18" s="485" t="str">
        <f>VLOOKUP(Tabela1[[#This Row],[Nº]],PO!$A$8:$K$421,4,FALSE)</f>
        <v>Luminária led industrial - 120 W - Fornecimento e instalação.</v>
      </c>
      <c r="D18" s="486">
        <f>VLOOKUP(Tabela1[[#This Row],[Nº]],PO!$A$8:$K$421,11,FALSE)</f>
        <v>15877.35</v>
      </c>
      <c r="E18" s="487" t="e">
        <f>Tabela1[[#This Row],[TOTAL ITEM (R$)]]/Tabela1[[#Totals],[TOTAL ITEM (R$)]]</f>
        <v>#REF!</v>
      </c>
      <c r="F18" s="487" t="e">
        <f>F17+Tabela1[[#This Row],[%ITEM]]</f>
        <v>#REF!</v>
      </c>
      <c r="G18" s="488" t="e">
        <f t="shared" si="0"/>
        <v>#REF!</v>
      </c>
    </row>
    <row r="19" spans="1:11" s="489" customFormat="1" ht="25.5" x14ac:dyDescent="0.25">
      <c r="A19" s="512" t="str">
        <f>PO!A113</f>
        <v>7.1.2</v>
      </c>
      <c r="B19" s="508">
        <f>VLOOKUP(Tabela1[[#This Row],[Nº]],PO!$A$8:$K$421,3,FALSE)</f>
        <v>92580</v>
      </c>
      <c r="C19" s="485" t="str">
        <f>VLOOKUP(Tabela1[[#This Row],[Nº]],PO!$A$8:$K$421,4,FALSE)</f>
        <v>Trama de Aço Composta por Terças Para Telhados de até 2 Águas para Telha Ondulada de Fibrocimento, Metálica, Plástica ou Termoacústica. Incluso Transporte Vertical - Fornecimento e instalação</v>
      </c>
      <c r="D19" s="486">
        <f>VLOOKUP(Tabela1[[#This Row],[Nº]],PO!$A$8:$K$421,11,FALSE)</f>
        <v>22072.31</v>
      </c>
      <c r="E19" s="487" t="e">
        <f>Tabela1[[#This Row],[TOTAL ITEM (R$)]]/Tabela1[[#Totals],[TOTAL ITEM (R$)]]</f>
        <v>#REF!</v>
      </c>
      <c r="F19" s="487" t="e">
        <f>F18+Tabela1[[#This Row],[%ITEM]]</f>
        <v>#REF!</v>
      </c>
      <c r="G19" s="488" t="e">
        <f t="shared" si="0"/>
        <v>#REF!</v>
      </c>
    </row>
    <row r="20" spans="1:11" s="489" customFormat="1" ht="38.25" x14ac:dyDescent="0.25">
      <c r="A20" s="512" t="str">
        <f>PO!A164</f>
        <v>10.2.4</v>
      </c>
      <c r="B20" s="508" t="str">
        <f>VLOOKUP(Tabela1[[#This Row],[Nº]],PO!$A$8:$K$421,3,FALSE)</f>
        <v>CPU-28</v>
      </c>
      <c r="C20" s="485" t="str">
        <f>VLOOKUP(Tabela1[[#This Row],[Nº]],PO!$A$8:$K$421,4,FALSE)</f>
        <v>PAL1 - Porta de correr em chapa de painel de alumínio composto ACM 3 mm, cor branco, acabamento brilhoso, de dimensões 1,50x2,50m, com visor em vidro temperado de 10 mm de dimensões de 20x60cm - Fornecimento e instalação</v>
      </c>
      <c r="D20" s="486">
        <f>VLOOKUP(Tabela1[[#This Row],[Nº]],PO!$A$8:$K$421,11,FALSE)</f>
        <v>21376.5</v>
      </c>
      <c r="E20" s="487" t="e">
        <f>Tabela1[[#This Row],[TOTAL ITEM (R$)]]/Tabela1[[#Totals],[TOTAL ITEM (R$)]]</f>
        <v>#REF!</v>
      </c>
      <c r="F20" s="487" t="e">
        <f>F19+Tabela1[[#This Row],[%ITEM]]</f>
        <v>#REF!</v>
      </c>
      <c r="G20" s="488" t="e">
        <f t="shared" si="0"/>
        <v>#REF!</v>
      </c>
    </row>
    <row r="21" spans="1:11" s="489" customFormat="1" ht="25.5" x14ac:dyDescent="0.25">
      <c r="A21" s="512" t="str">
        <f>PO!A131</f>
        <v>8.1.2</v>
      </c>
      <c r="B21" s="508">
        <f>VLOOKUP(Tabela1[[#This Row],[Nº]],PO!$A$8:$K$421,3,FALSE)</f>
        <v>87630</v>
      </c>
      <c r="C21" s="485" t="str">
        <f>VLOOKUP(Tabela1[[#This Row],[Nº]],PO!$A$8:$K$421,4,FALSE)</f>
        <v>Contrapiso em argamassa traço 1:4 (cimento e areia), preparo mecânico com betoneira, aplicado em áreas secas, aderido, espessura 3cm.</v>
      </c>
      <c r="D21" s="486">
        <f>VLOOKUP(Tabela1[[#This Row],[Nº]],PO!$A$8:$K$421,11,FALSE)</f>
        <v>20240.350000000002</v>
      </c>
      <c r="E21" s="487" t="e">
        <f>Tabela1[[#This Row],[TOTAL ITEM (R$)]]/Tabela1[[#Totals],[TOTAL ITEM (R$)]]</f>
        <v>#REF!</v>
      </c>
      <c r="F21" s="487" t="e">
        <f>F20+Tabela1[[#This Row],[%ITEM]]</f>
        <v>#REF!</v>
      </c>
      <c r="G21" s="488" t="e">
        <f t="shared" si="0"/>
        <v>#REF!</v>
      </c>
    </row>
    <row r="22" spans="1:11" s="489" customFormat="1" ht="25.5" x14ac:dyDescent="0.25">
      <c r="A22" s="512" t="str">
        <f>PO!A153</f>
        <v>9.2.1</v>
      </c>
      <c r="B22" s="508" t="str">
        <f>VLOOKUP(Tabela1[[#This Row],[Nº]],PO!$A$8:$K$421,3,FALSE)</f>
        <v>CPU-24</v>
      </c>
      <c r="C22" s="485" t="str">
        <f>VLOOKUP(Tabela1[[#This Row],[Nº]],PO!$A$8:$K$421,4,FALSE)</f>
        <v xml:space="preserve">Revestimento cerâmico para paredes com placas tipo porcelanato de dimensões 60x60 cm aplicadas em ambientes de área maior que 10 m², com rejunte epoxi. </v>
      </c>
      <c r="D22" s="486">
        <f>VLOOKUP(Tabela1[[#This Row],[Nº]],PO!$A$8:$K$421,11,FALSE)</f>
        <v>22054.523440000001</v>
      </c>
      <c r="E22" s="487" t="e">
        <f>Tabela1[[#This Row],[TOTAL ITEM (R$)]]/Tabela1[[#Totals],[TOTAL ITEM (R$)]]</f>
        <v>#REF!</v>
      </c>
      <c r="F22" s="487" t="e">
        <f>F21+Tabela1[[#This Row],[%ITEM]]</f>
        <v>#REF!</v>
      </c>
      <c r="G22" s="488" t="e">
        <f t="shared" si="0"/>
        <v>#REF!</v>
      </c>
    </row>
    <row r="23" spans="1:11" s="489" customFormat="1" x14ac:dyDescent="0.25">
      <c r="A23" s="512" t="str">
        <f>PO!A182</f>
        <v>11.1.3</v>
      </c>
      <c r="B23" s="508">
        <f>VLOOKUP(Tabela1[[#This Row],[Nº]],PO!$A$8:$K$421,3,FALSE)</f>
        <v>88489</v>
      </c>
      <c r="C23" s="485" t="str">
        <f>VLOOKUP(Tabela1[[#This Row],[Nº]],PO!$A$8:$K$421,4,FALSE)</f>
        <v>Aplicação manual de tinta látex acrílica em paredes, duas demãos.</v>
      </c>
      <c r="D23" s="486">
        <f>VLOOKUP(Tabela1[[#This Row],[Nº]],PO!$A$8:$K$421,11,FALSE)</f>
        <v>22301.09</v>
      </c>
      <c r="E23" s="487" t="e">
        <f>Tabela1[[#This Row],[TOTAL ITEM (R$)]]/Tabela1[[#Totals],[TOTAL ITEM (R$)]]</f>
        <v>#REF!</v>
      </c>
      <c r="F23" s="487" t="e">
        <f>F22+Tabela1[[#This Row],[%ITEM]]</f>
        <v>#REF!</v>
      </c>
      <c r="G23" s="488" t="e">
        <f t="shared" si="0"/>
        <v>#REF!</v>
      </c>
    </row>
    <row r="24" spans="1:11" s="489" customFormat="1" x14ac:dyDescent="0.25">
      <c r="A24" s="512" t="str">
        <f>PO!A161</f>
        <v>10.2.1</v>
      </c>
      <c r="B24" s="508" t="str">
        <f>VLOOKUP(Tabela1[[#This Row],[Nº]],PO!$A$8:$K$421,3,FALSE)</f>
        <v>CPU-26</v>
      </c>
      <c r="C24" s="485" t="str">
        <f>VLOOKUP(Tabela1[[#This Row],[Nº]],PO!$A$8:$K$421,4,FALSE)</f>
        <v>PT1 e PT2 - Portão de rolo em chapa de aço galvanizado - Fornecimento e instalação</v>
      </c>
      <c r="D24" s="486">
        <f>VLOOKUP(Tabela1[[#This Row],[Nº]],PO!$A$8:$K$421,11,FALSE)</f>
        <v>24827.15</v>
      </c>
      <c r="E24" s="487" t="e">
        <f>Tabela1[[#This Row],[TOTAL ITEM (R$)]]/Tabela1[[#Totals],[TOTAL ITEM (R$)]]</f>
        <v>#REF!</v>
      </c>
      <c r="F24" s="487" t="e">
        <f>F23+Tabela1[[#This Row],[%ITEM]]</f>
        <v>#REF!</v>
      </c>
      <c r="G24" s="488" t="e">
        <f t="shared" si="0"/>
        <v>#REF!</v>
      </c>
    </row>
    <row r="25" spans="1:11" s="489" customFormat="1" ht="25.5" x14ac:dyDescent="0.25">
      <c r="A25" s="512" t="str">
        <f>PO!A134</f>
        <v>8.2.1</v>
      </c>
      <c r="B25" s="508">
        <f>VLOOKUP(Tabela1[[#This Row],[Nº]],PO!$A$8:$K$421,3,FALSE)</f>
        <v>94996</v>
      </c>
      <c r="C25" s="485" t="str">
        <f>VLOOKUP(Tabela1[[#This Row],[Nº]],PO!$A$8:$K$421,4,FALSE)</f>
        <v>Execução de passeio (calçada) ou piso de concreto com concreto moldado in loco, feito em obra, acabamento convencional, espessura 9 cm, armado.</v>
      </c>
      <c r="D25" s="486">
        <f>VLOOKUP(Tabela1[[#This Row],[Nº]],PO!$A$8:$K$421,11,FALSE)</f>
        <v>14549.188738000003</v>
      </c>
      <c r="E25" s="487" t="e">
        <f>Tabela1[[#This Row],[TOTAL ITEM (R$)]]/Tabela1[[#Totals],[TOTAL ITEM (R$)]]</f>
        <v>#REF!</v>
      </c>
      <c r="F25" s="487" t="e">
        <f>F24+Tabela1[[#This Row],[%ITEM]]</f>
        <v>#REF!</v>
      </c>
      <c r="G25" s="488" t="e">
        <f t="shared" si="0"/>
        <v>#REF!</v>
      </c>
    </row>
    <row r="26" spans="1:11" s="489" customFormat="1" x14ac:dyDescent="0.25">
      <c r="A26" s="512" t="str">
        <f>PO!A130</f>
        <v>8.1.1</v>
      </c>
      <c r="B26" s="508">
        <f>VLOOKUP(Tabela1[[#This Row],[Nº]],PO!$A$8:$K$421,3,FALSE)</f>
        <v>95241</v>
      </c>
      <c r="C26" s="485" t="str">
        <f>VLOOKUP(Tabela1[[#This Row],[Nº]],PO!$A$8:$K$421,4,FALSE)</f>
        <v xml:space="preserve">Lastro de concreto magro, aplicado em pisos ou radiers, espessura de 5 cm. </v>
      </c>
      <c r="D26" s="486">
        <f>VLOOKUP(Tabela1[[#This Row],[Nº]],PO!$A$8:$K$421,11,FALSE)</f>
        <v>14233.11</v>
      </c>
      <c r="E26" s="487" t="e">
        <f>Tabela1[[#This Row],[TOTAL ITEM (R$)]]/Tabela1[[#Totals],[TOTAL ITEM (R$)]]</f>
        <v>#REF!</v>
      </c>
      <c r="F26" s="487" t="e">
        <f>F25+Tabela1[[#This Row],[%ITEM]]</f>
        <v>#REF!</v>
      </c>
      <c r="G26" s="488" t="e">
        <f t="shared" si="0"/>
        <v>#REF!</v>
      </c>
    </row>
    <row r="27" spans="1:11" s="489" customFormat="1" x14ac:dyDescent="0.25">
      <c r="A27" s="512" t="str">
        <f>PO!A114</f>
        <v>7.1.3</v>
      </c>
      <c r="B27" s="508" t="str">
        <f>VLOOKUP(Tabela1[[#This Row],[Nº]],PO!$A$8:$K$421,3,FALSE)</f>
        <v>CPU-20</v>
      </c>
      <c r="C27" s="485" t="str">
        <f>VLOOKUP(Tabela1[[#This Row],[Nº]],PO!$A$8:$K$421,4,FALSE)</f>
        <v>Fundo anticorrosivo a base de oxido de ferro (zarcão), duas demãos - Fornecimento e pintura</v>
      </c>
      <c r="D27" s="486">
        <f>VLOOKUP(Tabela1[[#This Row],[Nº]],PO!$A$8:$K$421,11,FALSE)</f>
        <v>13866.65</v>
      </c>
      <c r="E27" s="487" t="e">
        <f>Tabela1[[#This Row],[TOTAL ITEM (R$)]]/Tabela1[[#Totals],[TOTAL ITEM (R$)]]</f>
        <v>#REF!</v>
      </c>
      <c r="F27" s="487" t="e">
        <f>F26+Tabela1[[#This Row],[%ITEM]]</f>
        <v>#REF!</v>
      </c>
      <c r="G27" s="488" t="e">
        <f t="shared" si="0"/>
        <v>#REF!</v>
      </c>
    </row>
    <row r="28" spans="1:11" s="489" customFormat="1" ht="25.5" x14ac:dyDescent="0.25">
      <c r="A28" s="512" t="str">
        <f>PO!A50</f>
        <v>3.1.1</v>
      </c>
      <c r="B28" s="508" t="str">
        <f>VLOOKUP(Tabela1[[#This Row],[Nº]],PO!$A$8:$K$421,3,FALSE)</f>
        <v>CPU-09</v>
      </c>
      <c r="C28" s="485" t="str">
        <f>VLOOKUP(Tabela1[[#This Row],[Nº]],PO!$A$8:$K$421,4,FALSE)</f>
        <v>Fechamento de construção temporária em chapa de madeira compensada e=1,0mm, com reaproveitamento de 2x.</v>
      </c>
      <c r="D28" s="486">
        <f>VLOOKUP(Tabela1[[#This Row],[Nº]],PO!$A$8:$K$421,11,FALSE)</f>
        <v>9118.7999999999993</v>
      </c>
      <c r="E28" s="487" t="e">
        <f>Tabela1[[#This Row],[TOTAL ITEM (R$)]]/Tabela1[[#Totals],[TOTAL ITEM (R$)]]</f>
        <v>#REF!</v>
      </c>
      <c r="F28" s="487" t="e">
        <f>F27+Tabela1[[#This Row],[%ITEM]]</f>
        <v>#REF!</v>
      </c>
      <c r="G28" s="488" t="e">
        <f t="shared" si="0"/>
        <v>#REF!</v>
      </c>
    </row>
    <row r="29" spans="1:11" s="489" customFormat="1" x14ac:dyDescent="0.25">
      <c r="A29" s="512" t="str">
        <f>PO!A188</f>
        <v>11.3.1</v>
      </c>
      <c r="B29" s="508">
        <f>VLOOKUP(Tabela1[[#This Row],[Nº]],PO!$A$8:$K$421,3,FALSE)</f>
        <v>96135</v>
      </c>
      <c r="C29" s="485" t="str">
        <f>VLOOKUP(Tabela1[[#This Row],[Nº]],PO!$A$8:$K$421,4,FALSE)</f>
        <v>Aplicação manual de massa acrílica, duas demãos.</v>
      </c>
      <c r="D29" s="486">
        <f>VLOOKUP(Tabela1[[#This Row],[Nº]],PO!$A$8:$K$421,11,FALSE)</f>
        <v>12120.97</v>
      </c>
      <c r="E29" s="487" t="e">
        <f>Tabela1[[#This Row],[TOTAL ITEM (R$)]]/Tabela1[[#Totals],[TOTAL ITEM (R$)]]</f>
        <v>#REF!</v>
      </c>
      <c r="F29" s="487" t="e">
        <f>F28+Tabela1[[#This Row],[%ITEM]]</f>
        <v>#REF!</v>
      </c>
      <c r="G29" s="488" t="e">
        <f t="shared" si="0"/>
        <v>#REF!</v>
      </c>
    </row>
    <row r="30" spans="1:11" s="489" customFormat="1" x14ac:dyDescent="0.25">
      <c r="A30" s="512" t="str">
        <f>PO!A318</f>
        <v>14.2.2</v>
      </c>
      <c r="B30" s="508">
        <f>VLOOKUP(Tabela1[[#This Row],[Nº]],PO!$A$8:$K$421,3,FALSE)</f>
        <v>91928</v>
      </c>
      <c r="C30" s="485" t="str">
        <f>VLOOKUP(Tabela1[[#This Row],[Nº]],PO!$A$8:$K$421,4,FALSE)</f>
        <v>Cabo de cobre flexível isolado, 4 mm², antichama 450/750 V, para circuitos terminais - fornecimento e instalação.</v>
      </c>
      <c r="D30" s="486">
        <f>VLOOKUP(Tabela1[[#This Row],[Nº]],PO!$A$8:$K$421,11,FALSE)</f>
        <v>11994.91</v>
      </c>
      <c r="E30" s="487" t="e">
        <f>Tabela1[[#This Row],[TOTAL ITEM (R$)]]/Tabela1[[#Totals],[TOTAL ITEM (R$)]]</f>
        <v>#REF!</v>
      </c>
      <c r="F30" s="487" t="e">
        <f>F29+Tabela1[[#This Row],[%ITEM]]</f>
        <v>#REF!</v>
      </c>
      <c r="G30" s="488" t="e">
        <f t="shared" si="0"/>
        <v>#REF!</v>
      </c>
      <c r="K30" s="490"/>
    </row>
    <row r="31" spans="1:11" s="489" customFormat="1" ht="38.25" x14ac:dyDescent="0.25">
      <c r="A31" s="512" t="str">
        <f>PO!A165</f>
        <v>10.2.5</v>
      </c>
      <c r="B31" s="508" t="str">
        <f>VLOOKUP(Tabela1[[#This Row],[Nº]],PO!$A$8:$K$421,3,FALSE)</f>
        <v>CPU-29</v>
      </c>
      <c r="C31" s="485" t="str">
        <f>VLOOKUP(Tabela1[[#This Row],[Nº]],PO!$A$8:$K$421,4,FALSE)</f>
        <v>PAL2 - Porta de correr em chapa de painel de alumínio composto ACM 3 mm, cor branco, acabamento brilhoso, de dimensões 1,20x2,50m, com visor em vidro temperado de 10 mm de dimensões de 20x60cm - Fornecimento e instalação</v>
      </c>
      <c r="D31" s="486">
        <f>VLOOKUP(Tabela1[[#This Row],[Nº]],PO!$A$8:$K$421,11,FALSE)</f>
        <v>10294.379999999999</v>
      </c>
      <c r="E31" s="487" t="e">
        <f>Tabela1[[#This Row],[TOTAL ITEM (R$)]]/Tabela1[[#Totals],[TOTAL ITEM (R$)]]</f>
        <v>#REF!</v>
      </c>
      <c r="F31" s="487" t="e">
        <f>F30+Tabela1[[#This Row],[%ITEM]]</f>
        <v>#REF!</v>
      </c>
      <c r="G31" s="488" t="e">
        <f t="shared" si="0"/>
        <v>#REF!</v>
      </c>
    </row>
    <row r="32" spans="1:11" s="489" customFormat="1" x14ac:dyDescent="0.25">
      <c r="A32" s="512" t="str">
        <f>PO!A126</f>
        <v>7.4.2</v>
      </c>
      <c r="B32" s="508">
        <f>VLOOKUP(Tabela1[[#This Row],[Nº]],PO!$A$8:$K$421,3,FALSE)</f>
        <v>96123</v>
      </c>
      <c r="C32" s="485" t="str">
        <f>VLOOKUP(Tabela1[[#This Row],[Nº]],PO!$A$8:$K$421,4,FALSE)</f>
        <v>Acabamentos para forro (moldura em drywall, com largura de 15 cm).</v>
      </c>
      <c r="D32" s="486">
        <f>VLOOKUP(Tabela1[[#This Row],[Nº]],PO!$A$8:$K$421,11,FALSE)</f>
        <v>8812.68</v>
      </c>
      <c r="E32" s="487" t="e">
        <f>Tabela1[[#This Row],[TOTAL ITEM (R$)]]/Tabela1[[#Totals],[TOTAL ITEM (R$)]]</f>
        <v>#REF!</v>
      </c>
      <c r="F32" s="487" t="e">
        <f>F31+Tabela1[[#This Row],[%ITEM]]</f>
        <v>#REF!</v>
      </c>
      <c r="G32" s="488" t="e">
        <f t="shared" si="0"/>
        <v>#REF!</v>
      </c>
    </row>
    <row r="33" spans="1:7" s="489" customFormat="1" ht="25.5" x14ac:dyDescent="0.25">
      <c r="A33" s="512" t="str">
        <f>PO!A317</f>
        <v>14.2.1</v>
      </c>
      <c r="B33" s="508">
        <f>VLOOKUP(Tabela1[[#This Row],[Nº]],PO!$A$8:$K$421,3,FALSE)</f>
        <v>91926</v>
      </c>
      <c r="C33" s="485" t="str">
        <f>VLOOKUP(Tabela1[[#This Row],[Nº]],PO!$A$8:$K$421,4,FALSE)</f>
        <v>Cabo de cobre flexível isolado, 2,5 mm², antichama 450/750 V, para circuitos terminais - fornecimento e instalação.</v>
      </c>
      <c r="D33" s="486">
        <f>VLOOKUP(Tabela1[[#This Row],[Nº]],PO!$A$8:$K$421,11,FALSE)</f>
        <v>8911.73</v>
      </c>
      <c r="E33" s="487" t="e">
        <f>Tabela1[[#This Row],[TOTAL ITEM (R$)]]/Tabela1[[#Totals],[TOTAL ITEM (R$)]]</f>
        <v>#REF!</v>
      </c>
      <c r="F33" s="487" t="e">
        <f>F32+Tabela1[[#This Row],[%ITEM]]</f>
        <v>#REF!</v>
      </c>
      <c r="G33" s="488" t="e">
        <f t="shared" si="0"/>
        <v>#REF!</v>
      </c>
    </row>
    <row r="34" spans="1:7" s="489" customFormat="1" x14ac:dyDescent="0.25">
      <c r="A34" s="512" t="str">
        <f>PO!A35</f>
        <v>2.1.18</v>
      </c>
      <c r="B34" s="508" t="str">
        <f>VLOOKUP(Tabela1[[#This Row],[Nº]],PO!$A$8:$K$421,3,FALSE)</f>
        <v>CPU-04</v>
      </c>
      <c r="C34" s="485" t="str">
        <f>VLOOKUP(Tabela1[[#This Row],[Nº]],PO!$A$8:$K$421,4,FALSE)</f>
        <v>Demolição de estrutura de madeira</v>
      </c>
      <c r="D34" s="486">
        <f>VLOOKUP(Tabela1[[#This Row],[Nº]],PO!$A$8:$K$421,11,FALSE)</f>
        <v>2811.05</v>
      </c>
      <c r="E34" s="487" t="e">
        <f>Tabela1[[#This Row],[TOTAL ITEM (R$)]]/Tabela1[[#Totals],[TOTAL ITEM (R$)]]</f>
        <v>#REF!</v>
      </c>
      <c r="F34" s="487" t="e">
        <f>F33+Tabela1[[#This Row],[%ITEM]]</f>
        <v>#REF!</v>
      </c>
      <c r="G34" s="488" t="e">
        <f t="shared" si="0"/>
        <v>#REF!</v>
      </c>
    </row>
    <row r="35" spans="1:7" s="489" customFormat="1" ht="25.5" x14ac:dyDescent="0.25">
      <c r="A35" s="512" t="str">
        <f>PO!A121</f>
        <v>7.3.1</v>
      </c>
      <c r="B35" s="508">
        <f>VLOOKUP(Tabela1[[#This Row],[Nº]],PO!$A$8:$K$421,3,FALSE)</f>
        <v>94228</v>
      </c>
      <c r="C35" s="485" t="str">
        <f>VLOOKUP(Tabela1[[#This Row],[Nº]],PO!$A$8:$K$421,4,FALSE)</f>
        <v>Calha em chapa de aço galvanizado número 24, desenvolvimento de 50 cm,incluso transporte vertical - Fornecimento e instalação</v>
      </c>
      <c r="D35" s="486">
        <f>VLOOKUP(Tabela1[[#This Row],[Nº]],PO!$A$8:$K$421,11,FALSE)</f>
        <v>3689.44</v>
      </c>
      <c r="E35" s="487" t="e">
        <f>Tabela1[[#This Row],[TOTAL ITEM (R$)]]/Tabela1[[#Totals],[TOTAL ITEM (R$)]]</f>
        <v>#REF!</v>
      </c>
      <c r="F35" s="487" t="e">
        <f>F34+Tabela1[[#This Row],[%ITEM]]</f>
        <v>#REF!</v>
      </c>
      <c r="G35" s="488" t="e">
        <f t="shared" si="0"/>
        <v>#REF!</v>
      </c>
    </row>
    <row r="36" spans="1:7" x14ac:dyDescent="0.25">
      <c r="A36" s="512" t="str">
        <f>PO!A189</f>
        <v>11.3.2</v>
      </c>
      <c r="B36" s="508">
        <f>VLOOKUP(Tabela1[[#This Row],[Nº]],PO!$A$8:$K$421,3,FALSE)</f>
        <v>88488</v>
      </c>
      <c r="C36" s="485" t="str">
        <f>VLOOKUP(Tabela1[[#This Row],[Nº]],PO!$A$8:$K$421,4,FALSE)</f>
        <v>Aplicação manual de tinta látex acrílica em teto, duas demãos.</v>
      </c>
      <c r="D36" s="486">
        <f>VLOOKUP(Tabela1[[#This Row],[Nº]],PO!$A$8:$K$421,11,FALSE)</f>
        <v>8239.2699999999986</v>
      </c>
      <c r="E36" s="487" t="e">
        <f>Tabela1[[#This Row],[TOTAL ITEM (R$)]]/Tabela1[[#Totals],[TOTAL ITEM (R$)]]</f>
        <v>#REF!</v>
      </c>
      <c r="F36" s="487" t="e">
        <f>F35+Tabela1[[#This Row],[%ITEM]]</f>
        <v>#REF!</v>
      </c>
      <c r="G36" s="488" t="e">
        <f t="shared" si="0"/>
        <v>#REF!</v>
      </c>
    </row>
    <row r="37" spans="1:7" x14ac:dyDescent="0.25">
      <c r="A37" s="512" t="str">
        <f>PO!A28</f>
        <v>2.1.11</v>
      </c>
      <c r="B37" s="508" t="str">
        <f>VLOOKUP(Tabela1[[#This Row],[Nº]],PO!$A$8:$K$421,3,FALSE)</f>
        <v>CPU-02</v>
      </c>
      <c r="C37" s="485" t="str">
        <f>VLOOKUP(Tabela1[[#This Row],[Nº]],PO!$A$8:$K$421,4,FALSE)</f>
        <v>Demolição de contrapiso até 3 cm, de forma manual, sem reaproveitamento.</v>
      </c>
      <c r="D37" s="486">
        <f>VLOOKUP(Tabela1[[#This Row],[Nº]],PO!$A$8:$K$421,11,FALSE)</f>
        <v>9447.76</v>
      </c>
      <c r="E37" s="500" t="e">
        <f>Tabela1[[#This Row],[TOTAL ITEM (R$)]]/Tabela1[[#Totals],[TOTAL ITEM (R$)]]</f>
        <v>#REF!</v>
      </c>
      <c r="F37" s="487" t="e">
        <f>F36+Tabela1[[#This Row],[%ITEM]]</f>
        <v>#REF!</v>
      </c>
      <c r="G37" s="501" t="e">
        <f t="shared" si="0"/>
        <v>#REF!</v>
      </c>
    </row>
    <row r="38" spans="1:7" x14ac:dyDescent="0.25">
      <c r="A38" s="513" t="str">
        <f>PO!A87</f>
        <v>4.4.4</v>
      </c>
      <c r="B38" s="508">
        <f>VLOOKUP(Tabela1[[#This Row],[Nº]],PO!$A$8:$K$421,3,FALSE)</f>
        <v>94965</v>
      </c>
      <c r="C38" s="485" t="str">
        <f>VLOOKUP(Tabela1[[#This Row],[Nº]],PO!$A$8:$K$421,4,FALSE)</f>
        <v>Concreto Fck = 25 MPA, Traço 1:2,3:2,7, Preparo Mecânico com Betoneira 400 L - Vigas Baldrames</v>
      </c>
      <c r="D38" s="486">
        <f>VLOOKUP(Tabela1[[#This Row],[Nº]],PO!$A$8:$K$421,11,FALSE)</f>
        <v>3819.15</v>
      </c>
      <c r="E38" s="500" t="e">
        <f>Tabela1[[#This Row],[TOTAL ITEM (R$)]]/Tabela1[[#Totals],[TOTAL ITEM (R$)]]</f>
        <v>#REF!</v>
      </c>
      <c r="F38" s="487" t="e">
        <f>F37+Tabela1[[#This Row],[%ITEM]]</f>
        <v>#REF!</v>
      </c>
      <c r="G38" s="501" t="e">
        <f t="shared" si="0"/>
        <v>#REF!</v>
      </c>
    </row>
    <row r="39" spans="1:7" ht="25.5" x14ac:dyDescent="0.25">
      <c r="A39" s="513" t="str">
        <f>PO!A143</f>
        <v>8.5.1</v>
      </c>
      <c r="B39" s="508" t="str">
        <f>VLOOKUP(Tabela1[[#This Row],[Nº]],PO!$A$8:$K$421,3,FALSE)</f>
        <v>CPU-75</v>
      </c>
      <c r="C39" s="485" t="str">
        <f>VLOOKUP(Tabela1[[#This Row],[Nº]],PO!$A$8:$K$421,4,FALSE)</f>
        <v>Rodapé para piso industrial monolítico de alta resistência mecânica, fundido sobre base nivelada, acabamento desempenado, canto arredondado, altura 10 cm</v>
      </c>
      <c r="D39" s="486">
        <f>VLOOKUP(Tabela1[[#This Row],[Nº]],PO!$A$8:$K$421,11,FALSE)</f>
        <v>6892.79</v>
      </c>
      <c r="E39" s="500" t="e">
        <f>Tabela1[[#This Row],[TOTAL ITEM (R$)]]/Tabela1[[#Totals],[TOTAL ITEM (R$)]]</f>
        <v>#REF!</v>
      </c>
      <c r="F39" s="487" t="e">
        <f>F38+Tabela1[[#This Row],[%ITEM]]</f>
        <v>#REF!</v>
      </c>
      <c r="G39" s="501" t="e">
        <f t="shared" si="0"/>
        <v>#REF!</v>
      </c>
    </row>
    <row r="40" spans="1:7" ht="38.25" x14ac:dyDescent="0.25">
      <c r="A40" s="513" t="str">
        <f>PO!A45</f>
        <v>2.2.2</v>
      </c>
      <c r="B40" s="508">
        <f>VLOOKUP(Tabela1[[#This Row],[Nº]],PO!$A$8:$K$421,3,FALSE)</f>
        <v>90091</v>
      </c>
      <c r="C40" s="485" t="str">
        <f>VLOOKUP(Tabela1[[#This Row],[Nº]],PO!$A$8:$K$421,4,FALSE)</f>
        <v>Escavação mecanizada de vala com prof. Até 1,5 m(média entre montante e jusante/uma composição por trecho), com escavadeira hidráulica (0,8 m3), larg. De 1,5m a 2,5 m, em solo de 1a categoria, locais com baixo nível de interferência. Af_01/2015</v>
      </c>
      <c r="D40" s="486">
        <f>VLOOKUP(Tabela1[[#This Row],[Nº]],PO!$A$8:$K$421,11,FALSE)</f>
        <v>365.62</v>
      </c>
      <c r="E40" s="500" t="e">
        <f>Tabela1[[#This Row],[TOTAL ITEM (R$)]]/Tabela1[[#Totals],[TOTAL ITEM (R$)]]</f>
        <v>#REF!</v>
      </c>
      <c r="F40" s="487" t="e">
        <f>F39+Tabela1[[#This Row],[%ITEM]]</f>
        <v>#REF!</v>
      </c>
      <c r="G40" s="501" t="e">
        <f t="shared" si="0"/>
        <v>#REF!</v>
      </c>
    </row>
    <row r="41" spans="1:7" x14ac:dyDescent="0.25">
      <c r="A41" s="513" t="str">
        <f>PO!A158</f>
        <v>10.1.2</v>
      </c>
      <c r="B41" s="508" t="str">
        <f>VLOOKUP(Tabela1[[#This Row],[Nº]],PO!$A$8:$K$421,3,FALSE)</f>
        <v>CPU-25</v>
      </c>
      <c r="C41" s="485" t="str">
        <f>VLOOKUP(Tabela1[[#This Row],[Nº]],PO!$A$8:$K$421,4,FALSE)</f>
        <v>VT1 e VT2- Vidro temperado incolor, espessura 8mm - Fornecimento e instalação</v>
      </c>
      <c r="D41" s="486">
        <f>VLOOKUP(Tabela1[[#This Row],[Nº]],PO!$A$8:$K$421,11,FALSE)</f>
        <v>6869.18</v>
      </c>
      <c r="E41" s="500" t="e">
        <f>Tabela1[[#This Row],[TOTAL ITEM (R$)]]/Tabela1[[#Totals],[TOTAL ITEM (R$)]]</f>
        <v>#REF!</v>
      </c>
      <c r="F41" s="487" t="e">
        <f>F40+Tabela1[[#This Row],[%ITEM]]</f>
        <v>#REF!</v>
      </c>
      <c r="G41" s="501" t="e">
        <f t="shared" si="0"/>
        <v>#REF!</v>
      </c>
    </row>
    <row r="42" spans="1:7" x14ac:dyDescent="0.25">
      <c r="A42" s="513" t="str">
        <f>PO!A70</f>
        <v>4.2.2</v>
      </c>
      <c r="B42" s="508">
        <f>VLOOKUP(Tabela1[[#This Row],[Nº]],PO!$A$8:$K$421,3,FALSE)</f>
        <v>96536</v>
      </c>
      <c r="C42" s="485" t="str">
        <f>VLOOKUP(Tabela1[[#This Row],[Nº]],PO!$A$8:$K$421,4,FALSE)</f>
        <v>Fabricação, Montagem e Desmontagem de Forma Vigas Baldrame, em Madeira Serrada, E=25 MM, 4 Utilização.</v>
      </c>
      <c r="D42" s="486">
        <f>VLOOKUP(Tabela1[[#This Row],[Nº]],PO!$A$8:$K$421,11,FALSE)</f>
        <v>6429.65</v>
      </c>
      <c r="E42" s="500" t="e">
        <f>Tabela1[[#This Row],[TOTAL ITEM (R$)]]/Tabela1[[#Totals],[TOTAL ITEM (R$)]]</f>
        <v>#REF!</v>
      </c>
      <c r="F42" s="487" t="e">
        <f>F41+Tabela1[[#This Row],[%ITEM]]</f>
        <v>#REF!</v>
      </c>
      <c r="G42" s="501" t="e">
        <f t="shared" si="0"/>
        <v>#REF!</v>
      </c>
    </row>
    <row r="43" spans="1:7" x14ac:dyDescent="0.25">
      <c r="A43" s="513" t="str">
        <f>PO!A26</f>
        <v>2.1.9</v>
      </c>
      <c r="B43" s="508">
        <f>VLOOKUP(Tabela1[[#This Row],[Nº]],PO!$A$8:$K$421,3,FALSE)</f>
        <v>97633</v>
      </c>
      <c r="C43" s="485" t="str">
        <f>VLOOKUP(Tabela1[[#This Row],[Nº]],PO!$A$8:$K$421,4,FALSE)</f>
        <v>Demolição de revestimento cerâmico, de forma manual, sem reaproveitamento.</v>
      </c>
      <c r="D43" s="486">
        <f>VLOOKUP(Tabela1[[#This Row],[Nº]],PO!$A$8:$K$421,11,FALSE)</f>
        <v>7511.56</v>
      </c>
      <c r="E43" s="500" t="e">
        <f>Tabela1[[#This Row],[TOTAL ITEM (R$)]]/Tabela1[[#Totals],[TOTAL ITEM (R$)]]</f>
        <v>#REF!</v>
      </c>
      <c r="F43" s="487" t="e">
        <f>F42+Tabela1[[#This Row],[%ITEM]]</f>
        <v>#REF!</v>
      </c>
      <c r="G43" s="501" t="e">
        <f t="shared" si="0"/>
        <v>#REF!</v>
      </c>
    </row>
    <row r="44" spans="1:7" ht="25.5" x14ac:dyDescent="0.25">
      <c r="A44" s="513" t="str">
        <f>PO!A201</f>
        <v>12.1.7</v>
      </c>
      <c r="B44" s="508">
        <f>VLOOKUP(Tabela1[[#This Row],[Nº]],PO!$A$8:$K$421,3,FALSE)</f>
        <v>89714</v>
      </c>
      <c r="C44" s="485" t="str">
        <f>VLOOKUP(Tabela1[[#This Row],[Nº]],PO!$A$8:$K$421,4,FALSE)</f>
        <v>Tubo PVC, Serie Normal, Esgoto Predial, DN 100 mm, Fornecimento e Instalação em Ramal de Descarga ou Ramal de Esgoto Sanitário</v>
      </c>
      <c r="D44" s="486">
        <f>VLOOKUP(Tabela1[[#This Row],[Nº]],PO!$A$8:$K$421,11,FALSE)</f>
        <v>5891.07</v>
      </c>
      <c r="E44" s="500" t="e">
        <f>Tabela1[[#This Row],[TOTAL ITEM (R$)]]/Tabela1[[#Totals],[TOTAL ITEM (R$)]]</f>
        <v>#REF!</v>
      </c>
      <c r="F44" s="487" t="e">
        <f>F43+Tabela1[[#This Row],[%ITEM]]</f>
        <v>#REF!</v>
      </c>
      <c r="G44" s="501" t="e">
        <f t="shared" si="0"/>
        <v>#REF!</v>
      </c>
    </row>
    <row r="45" spans="1:7" ht="25.5" x14ac:dyDescent="0.25">
      <c r="A45" s="513" t="str">
        <f>PO!A250</f>
        <v>12.5.4</v>
      </c>
      <c r="B45" s="508">
        <f>VLOOKUP(Tabela1[[#This Row],[Nº]],PO!$A$8:$K$421,3,FALSE)</f>
        <v>97902</v>
      </c>
      <c r="C45" s="485" t="str">
        <f>VLOOKUP(Tabela1[[#This Row],[Nº]],PO!$A$8:$K$421,4,FALSE)</f>
        <v xml:space="preserve">Caixa enterrada hidráulica retangular em alvenaria com tijolos cerâmicos maciços, dimensões internas: 0,6x0,6x0,6 m para rede de esgoto. </v>
      </c>
      <c r="D45" s="486">
        <f>VLOOKUP(Tabela1[[#This Row],[Nº]],PO!$A$8:$K$421,11,FALSE)</f>
        <v>6478.34</v>
      </c>
      <c r="E45" s="500" t="e">
        <f>Tabela1[[#This Row],[TOTAL ITEM (R$)]]/Tabela1[[#Totals],[TOTAL ITEM (R$)]]</f>
        <v>#REF!</v>
      </c>
      <c r="F45" s="487" t="e">
        <f>F44+Tabela1[[#This Row],[%ITEM]]</f>
        <v>#REF!</v>
      </c>
      <c r="G45" s="501" t="e">
        <f t="shared" si="0"/>
        <v>#REF!</v>
      </c>
    </row>
    <row r="46" spans="1:7" ht="25.5" x14ac:dyDescent="0.25">
      <c r="A46" s="513" t="str">
        <f>PO!A167</f>
        <v>10.2.7</v>
      </c>
      <c r="B46" s="508" t="str">
        <f>VLOOKUP(Tabela1[[#This Row],[Nº]],PO!$A$8:$K$421,3,FALSE)</f>
        <v>CPU-31</v>
      </c>
      <c r="C46" s="485" t="str">
        <f>VLOOKUP(Tabela1[[#This Row],[Nº]],PO!$A$8:$K$421,4,FALSE)</f>
        <v>PAL4 - Porta de abrir em chapa de painel de alumínio composto ACM 3 mm, cor branco, acabamento brilhoso, de dimensões 0,80x2,10m - Fornecimento e instalação</v>
      </c>
      <c r="D46" s="486">
        <f>VLOOKUP(Tabela1[[#This Row],[Nº]],PO!$A$8:$K$421,11,FALSE)</f>
        <v>5841.66</v>
      </c>
      <c r="E46" s="500" t="e">
        <f>Tabela1[[#This Row],[TOTAL ITEM (R$)]]/Tabela1[[#Totals],[TOTAL ITEM (R$)]]</f>
        <v>#REF!</v>
      </c>
      <c r="F46" s="487" t="e">
        <f>F45+Tabela1[[#This Row],[%ITEM]]</f>
        <v>#REF!</v>
      </c>
      <c r="G46" s="501" t="e">
        <f t="shared" si="0"/>
        <v>#REF!</v>
      </c>
    </row>
    <row r="47" spans="1:7" x14ac:dyDescent="0.25">
      <c r="A47" s="513" t="str">
        <f>PO!A99</f>
        <v>5.1.4</v>
      </c>
      <c r="B47" s="508" t="str">
        <f>VLOOKUP(Tabela1[[#This Row],[Nº]],PO!$A$8:$K$421,3,FALSE)</f>
        <v>CPU-16</v>
      </c>
      <c r="C47" s="485" t="str">
        <f>VLOOKUP(Tabela1[[#This Row],[Nº]],PO!$A$8:$K$421,4,FALSE)</f>
        <v>Fundo anticorrosivo a base de oxido de ferro (zarcão), duas demãos - Fornecimento e pintura</v>
      </c>
      <c r="D47" s="486">
        <f>VLOOKUP(Tabela1[[#This Row],[Nº]],PO!$A$8:$K$421,11,FALSE)</f>
        <v>4387.9799999999996</v>
      </c>
      <c r="E47" s="500" t="e">
        <f>Tabela1[[#This Row],[TOTAL ITEM (R$)]]/Tabela1[[#Totals],[TOTAL ITEM (R$)]]</f>
        <v>#REF!</v>
      </c>
      <c r="F47" s="487" t="e">
        <f>F46+Tabela1[[#This Row],[%ITEM]]</f>
        <v>#REF!</v>
      </c>
      <c r="G47" s="501" t="e">
        <f t="shared" si="0"/>
        <v>#REF!</v>
      </c>
    </row>
    <row r="48" spans="1:7" ht="25.5" x14ac:dyDescent="0.25">
      <c r="A48" s="513" t="str">
        <f>PO!A394</f>
        <v>15.1.4</v>
      </c>
      <c r="B48" s="508" t="str">
        <f>VLOOKUP(Tabela1[[#This Row],[Nº]],PO!$A$8:$K$421,3,FALSE)</f>
        <v>CPU-78</v>
      </c>
      <c r="C48" s="485" t="str">
        <f>VLOOKUP(Tabela1[[#This Row],[Nº]],PO!$A$8:$K$421,4,FALSE)</f>
        <v>Eletrocalha perfurada em chapa de aço galvanizado, com tampa largura 100 mm x altura 50 mm, instalação superior com bucha, inclusive conexões</v>
      </c>
      <c r="D48" s="486">
        <f>VLOOKUP(Tabela1[[#This Row],[Nº]],PO!$A$8:$K$421,11,FALSE)</f>
        <v>6546.42</v>
      </c>
      <c r="E48" s="500" t="e">
        <f>Tabela1[[#This Row],[TOTAL ITEM (R$)]]/Tabela1[[#Totals],[TOTAL ITEM (R$)]]</f>
        <v>#REF!</v>
      </c>
      <c r="F48" s="487" t="e">
        <f>F47+Tabela1[[#This Row],[%ITEM]]</f>
        <v>#REF!</v>
      </c>
      <c r="G48" s="501" t="e">
        <f t="shared" si="0"/>
        <v>#REF!</v>
      </c>
    </row>
    <row r="49" spans="1:7" x14ac:dyDescent="0.25">
      <c r="A49" s="513" t="str">
        <f>PO!A421</f>
        <v>16.1.1</v>
      </c>
      <c r="B49" s="508" t="str">
        <f>VLOOKUP(Tabela1[[#This Row],[Nº]],PO!$A$8:$K$421,3,FALSE)</f>
        <v>CPU-72</v>
      </c>
      <c r="C49" s="485" t="str">
        <f>VLOOKUP(Tabela1[[#This Row],[Nº]],PO!$A$8:$K$421,4,FALSE)</f>
        <v>Limpeza final da obra</v>
      </c>
      <c r="D49" s="486">
        <f>VLOOKUP(Tabela1[[#This Row],[Nº]],PO!$A$8:$K$421,11,FALSE)</f>
        <v>5490.27</v>
      </c>
      <c r="E49" s="500" t="e">
        <f>Tabela1[[#This Row],[TOTAL ITEM (R$)]]/Tabela1[[#Totals],[TOTAL ITEM (R$)]]</f>
        <v>#REF!</v>
      </c>
      <c r="F49" s="487" t="e">
        <f>F48+Tabela1[[#This Row],[%ITEM]]</f>
        <v>#REF!</v>
      </c>
      <c r="G49" s="501" t="e">
        <f t="shared" si="0"/>
        <v>#REF!</v>
      </c>
    </row>
    <row r="50" spans="1:7" ht="25.5" x14ac:dyDescent="0.25">
      <c r="A50" s="513" t="str">
        <f>PO!A311</f>
        <v>14.1.11</v>
      </c>
      <c r="B50" s="508" t="str">
        <f>VLOOKUP(Tabela1[[#This Row],[Nº]],PO!$A$8:$K$421,3,FALSE)</f>
        <v>CPU-78</v>
      </c>
      <c r="C50" s="485" t="str">
        <f>VLOOKUP(Tabela1[[#This Row],[Nº]],PO!$A$8:$K$421,4,FALSE)</f>
        <v>Eletrocalha perfurada em chapa de aço galvanizado, com tampa largura 100 mm x altura 50 mm, instalação superior com bucha, inclusive conexões</v>
      </c>
      <c r="D50" s="486">
        <f>VLOOKUP(Tabela1[[#This Row],[Nº]],PO!$A$8:$K$421,11,FALSE)</f>
        <v>6299.92</v>
      </c>
      <c r="E50" s="500" t="e">
        <f>Tabela1[[#This Row],[TOTAL ITEM (R$)]]/Tabela1[[#Totals],[TOTAL ITEM (R$)]]</f>
        <v>#REF!</v>
      </c>
      <c r="F50" s="487" t="e">
        <f>F49+Tabela1[[#This Row],[%ITEM]]</f>
        <v>#REF!</v>
      </c>
      <c r="G50" s="501" t="e">
        <f t="shared" si="0"/>
        <v>#REF!</v>
      </c>
    </row>
    <row r="51" spans="1:7" ht="25.5" x14ac:dyDescent="0.25">
      <c r="A51" s="513" t="str">
        <f>PO!A148</f>
        <v>9.1.1</v>
      </c>
      <c r="B51" s="508">
        <f>VLOOKUP(Tabela1[[#This Row],[Nº]],PO!$A$8:$K$421,3,FALSE)</f>
        <v>87879</v>
      </c>
      <c r="C51" s="485" t="str">
        <f>VLOOKUP(Tabela1[[#This Row],[Nº]],PO!$A$8:$K$421,4,FALSE)</f>
        <v>Chapisco Aplicado Tanto em Pilares e Vigas de Concreto como em Alvenaria de Paredes Internas e Externa, Com Colher de Pedreiro, Argamassa Traço 1:3 com Preparo em Betonrira 400L.</v>
      </c>
      <c r="D51" s="486">
        <f>VLOOKUP(Tabela1[[#This Row],[Nº]],PO!$A$8:$K$421,11,FALSE)</f>
        <v>6491.1900000000005</v>
      </c>
      <c r="E51" s="500" t="e">
        <f>Tabela1[[#This Row],[TOTAL ITEM (R$)]]/Tabela1[[#Totals],[TOTAL ITEM (R$)]]</f>
        <v>#REF!</v>
      </c>
      <c r="F51" s="487" t="e">
        <f>F50+Tabela1[[#This Row],[%ITEM]]</f>
        <v>#REF!</v>
      </c>
      <c r="G51" s="501" t="e">
        <f t="shared" si="0"/>
        <v>#REF!</v>
      </c>
    </row>
    <row r="52" spans="1:7" x14ac:dyDescent="0.25">
      <c r="A52" s="513" t="str">
        <f>PO!A32</f>
        <v>2.1.15</v>
      </c>
      <c r="B52" s="508">
        <f>VLOOKUP(Tabela1[[#This Row],[Nº]],PO!$A$8:$K$421,3,FALSE)</f>
        <v>97639</v>
      </c>
      <c r="C52" s="485" t="str">
        <f>VLOOKUP(Tabela1[[#This Row],[Nº]],PO!$A$8:$K$421,4,FALSE)</f>
        <v>Demolição de piso de concreto/ calçada.</v>
      </c>
      <c r="D52" s="486">
        <f>VLOOKUP(Tabela1[[#This Row],[Nº]],PO!$A$8:$K$421,11,FALSE)</f>
        <v>5049.2868799999997</v>
      </c>
      <c r="E52" s="500" t="e">
        <f>Tabela1[[#This Row],[TOTAL ITEM (R$)]]/Tabela1[[#Totals],[TOTAL ITEM (R$)]]</f>
        <v>#REF!</v>
      </c>
      <c r="F52" s="487" t="e">
        <f>F51+Tabela1[[#This Row],[%ITEM]]</f>
        <v>#REF!</v>
      </c>
      <c r="G52" s="501" t="e">
        <f t="shared" si="0"/>
        <v>#REF!</v>
      </c>
    </row>
    <row r="53" spans="1:7" x14ac:dyDescent="0.25">
      <c r="A53" s="513" t="str">
        <f>PO!A51</f>
        <v>3.1.2</v>
      </c>
      <c r="B53" s="508" t="str">
        <f>VLOOKUP(Tabela1[[#This Row],[Nº]],PO!$A$8:$K$421,3,FALSE)</f>
        <v>CPU-10</v>
      </c>
      <c r="C53" s="485" t="str">
        <f>VLOOKUP(Tabela1[[#This Row],[Nº]],PO!$A$8:$K$421,4,FALSE)</f>
        <v>Aluguel de dois containers em chapa de aço para escritório e depósito (L=2,20, C=6,20m, H=2,50m).</v>
      </c>
      <c r="D53" s="486">
        <f>VLOOKUP(Tabela1[[#This Row],[Nº]],PO!$A$8:$K$421,11,FALSE)</f>
        <v>4946.75</v>
      </c>
      <c r="E53" s="500" t="e">
        <f>Tabela1[[#This Row],[TOTAL ITEM (R$)]]/Tabela1[[#Totals],[TOTAL ITEM (R$)]]</f>
        <v>#REF!</v>
      </c>
      <c r="F53" s="487" t="e">
        <f>F52+Tabela1[[#This Row],[%ITEM]]</f>
        <v>#REF!</v>
      </c>
      <c r="G53" s="501" t="e">
        <f t="shared" si="0"/>
        <v>#REF!</v>
      </c>
    </row>
    <row r="54" spans="1:7" ht="25.5" x14ac:dyDescent="0.25">
      <c r="A54" s="513" t="str">
        <f>PO!A149</f>
        <v>9.1.2</v>
      </c>
      <c r="B54" s="508">
        <f>VLOOKUP(Tabela1[[#This Row],[Nº]],PO!$A$8:$K$421,3,FALSE)</f>
        <v>87527</v>
      </c>
      <c r="C54" s="485" t="str">
        <f>VLOOKUP(Tabela1[[#This Row],[Nº]],PO!$A$8:$K$421,4,FALSE)</f>
        <v>Emboço, para recebimento de ceramica, em argamassa traço 1:2:8, Preparo Manual, Aplicado Manualmente em Faces Internas de Parede de Ambientes com Area Menor  que 5 m², Espessura de 20 mm</v>
      </c>
      <c r="D54" s="486">
        <f>VLOOKUP(Tabela1[[#This Row],[Nº]],PO!$A$8:$K$421,11,FALSE)</f>
        <v>6025.545024</v>
      </c>
      <c r="E54" s="500" t="e">
        <f>Tabela1[[#This Row],[TOTAL ITEM (R$)]]/Tabela1[[#Totals],[TOTAL ITEM (R$)]]</f>
        <v>#REF!</v>
      </c>
      <c r="F54" s="487" t="e">
        <f>F53+Tabela1[[#This Row],[%ITEM]]</f>
        <v>#REF!</v>
      </c>
      <c r="G54" s="501" t="e">
        <f t="shared" si="0"/>
        <v>#REF!</v>
      </c>
    </row>
    <row r="55" spans="1:7" ht="25.5" x14ac:dyDescent="0.25">
      <c r="A55" s="513" t="str">
        <f>PO!A299</f>
        <v>14.1.1</v>
      </c>
      <c r="B55" s="508">
        <f>VLOOKUP(Tabela1[[#This Row],[Nº]],PO!$A$8:$K$421,3,FALSE)</f>
        <v>91884</v>
      </c>
      <c r="C55" s="485" t="str">
        <f>VLOOKUP(Tabela1[[#This Row],[Nº]],PO!$A$8:$K$421,4,FALSE)</f>
        <v>Luva para eletroduto, PVC, roscável, DN 25 mm (3/4"), para circuitos terminais, instalada em parede - fornecimento e instalação.</v>
      </c>
      <c r="D55" s="486">
        <f>VLOOKUP(Tabela1[[#This Row],[Nº]],PO!$A$8:$K$421,11,FALSE)</f>
        <v>4531.3999999999996</v>
      </c>
      <c r="E55" s="500" t="e">
        <f>Tabela1[[#This Row],[TOTAL ITEM (R$)]]/Tabela1[[#Totals],[TOTAL ITEM (R$)]]</f>
        <v>#REF!</v>
      </c>
      <c r="F55" s="487" t="e">
        <f>F54+Tabela1[[#This Row],[%ITEM]]</f>
        <v>#REF!</v>
      </c>
      <c r="G55" s="501" t="e">
        <f t="shared" si="0"/>
        <v>#REF!</v>
      </c>
    </row>
    <row r="56" spans="1:7" x14ac:dyDescent="0.25">
      <c r="A56" s="513" t="str">
        <f>PO!A68</f>
        <v>4.2.1</v>
      </c>
      <c r="B56" s="508">
        <f>VLOOKUP(Tabela1[[#This Row],[Nº]],PO!$A$8:$K$421,3,FALSE)</f>
        <v>96535</v>
      </c>
      <c r="C56" s="485" t="str">
        <f>VLOOKUP(Tabela1[[#This Row],[Nº]],PO!$A$8:$K$421,4,FALSE)</f>
        <v>Fabricação, Montagem e Desmontagem de Forma Sapatas, em Madeira Serrada, E=25 MM, 4 Utilização.</v>
      </c>
      <c r="D56" s="486">
        <f>VLOOKUP(Tabela1[[#This Row],[Nº]],PO!$A$8:$K$421,11,FALSE)</f>
        <v>4466.45</v>
      </c>
      <c r="E56" s="500" t="e">
        <f>Tabela1[[#This Row],[TOTAL ITEM (R$)]]/Tabela1[[#Totals],[TOTAL ITEM (R$)]]</f>
        <v>#REF!</v>
      </c>
      <c r="F56" s="487" t="e">
        <f>F55+Tabela1[[#This Row],[%ITEM]]</f>
        <v>#REF!</v>
      </c>
      <c r="G56" s="501" t="e">
        <f t="shared" si="0"/>
        <v>#REF!</v>
      </c>
    </row>
    <row r="57" spans="1:7" ht="25.5" x14ac:dyDescent="0.25">
      <c r="A57" s="513" t="str">
        <f>PO!A289</f>
        <v>13.3.1</v>
      </c>
      <c r="B57" s="508">
        <f>VLOOKUP(Tabela1[[#This Row],[Nº]],PO!$A$8:$K$421,3,FALSE)</f>
        <v>99253</v>
      </c>
      <c r="C57" s="485" t="str">
        <f>VLOOKUP(Tabela1[[#This Row],[Nº]],PO!$A$8:$K$421,4,FALSE)</f>
        <v>Caixa enterrada hidráulica retangular em alvenaria com tijolos cerâmicos maciços, dimensões internas: 0,6x0,6x0,6 m para rede de drenagem.</v>
      </c>
      <c r="D57" s="486">
        <f>VLOOKUP(Tabela1[[#This Row],[Nº]],PO!$A$8:$K$421,11,FALSE)</f>
        <v>4581.84</v>
      </c>
      <c r="E57" s="500" t="e">
        <f>Tabela1[[#This Row],[TOTAL ITEM (R$)]]/Tabela1[[#Totals],[TOTAL ITEM (R$)]]</f>
        <v>#REF!</v>
      </c>
      <c r="F57" s="487" t="e">
        <f>F56+Tabela1[[#This Row],[%ITEM]]</f>
        <v>#REF!</v>
      </c>
      <c r="G57" s="501" t="e">
        <f t="shared" si="0"/>
        <v>#REF!</v>
      </c>
    </row>
    <row r="58" spans="1:7" x14ac:dyDescent="0.25">
      <c r="A58" s="513" t="str">
        <f>PO!A396</f>
        <v>15.1.5</v>
      </c>
      <c r="B58" s="508">
        <f>VLOOKUP(Tabela1[[#This Row],[Nº]],PO!$A$8:$K$421,3,FALSE)</f>
        <v>98297</v>
      </c>
      <c r="C58" s="485" t="str">
        <f>VLOOKUP(Tabela1[[#This Row],[Nº]],PO!$A$8:$K$421,4,FALSE)</f>
        <v>Cabo UTP 4P Categoria 6, Instalado em Edificação Institucional. Fornecimento e Instalação</v>
      </c>
      <c r="D58" s="486">
        <f>VLOOKUP(Tabela1[[#This Row],[Nº]],PO!$A$8:$K$421,11,FALSE)</f>
        <v>4442.1000000000004</v>
      </c>
      <c r="E58" s="500" t="e">
        <f>Tabela1[[#This Row],[TOTAL ITEM (R$)]]/Tabela1[[#Totals],[TOTAL ITEM (R$)]]</f>
        <v>#REF!</v>
      </c>
      <c r="F58" s="487" t="e">
        <f>F57+Tabela1[[#This Row],[%ITEM]]</f>
        <v>#REF!</v>
      </c>
      <c r="G58" s="501" t="e">
        <f t="shared" si="0"/>
        <v>#REF!</v>
      </c>
    </row>
    <row r="59" spans="1:7" x14ac:dyDescent="0.25">
      <c r="A59" s="513" t="str">
        <f>PO!A62</f>
        <v>4.1.4</v>
      </c>
      <c r="B59" s="508" t="str">
        <f>VLOOKUP(Tabela1[[#This Row],[Nº]],PO!$A$8:$K$421,3,FALSE)</f>
        <v>73965/9</v>
      </c>
      <c r="C59" s="485" t="str">
        <f>VLOOKUP(Tabela1[[#This Row],[Nº]],PO!$A$8:$K$421,4,FALSE)</f>
        <v>Escavação manual de valas até 1,5m.</v>
      </c>
      <c r="D59" s="486">
        <f>VLOOKUP(Tabela1[[#This Row],[Nº]],PO!$A$8:$K$421,11,FALSE)</f>
        <v>2143.1600000000003</v>
      </c>
      <c r="E59" s="500" t="e">
        <f>Tabela1[[#This Row],[TOTAL ITEM (R$)]]/Tabela1[[#Totals],[TOTAL ITEM (R$)]]</f>
        <v>#REF!</v>
      </c>
      <c r="F59" s="487" t="e">
        <f>F58+Tabela1[[#This Row],[%ITEM]]</f>
        <v>#REF!</v>
      </c>
      <c r="G59" s="501" t="e">
        <f t="shared" si="0"/>
        <v>#REF!</v>
      </c>
    </row>
    <row r="60" spans="1:7" x14ac:dyDescent="0.25">
      <c r="A60" s="513" t="str">
        <f>PO!A157</f>
        <v>10.1.1</v>
      </c>
      <c r="B60" s="508" t="str">
        <f>VLOOKUP(Tabela1[[#This Row],[Nº]],PO!$A$8:$K$421,3,FALSE)</f>
        <v>CPU-25</v>
      </c>
      <c r="C60" s="485" t="str">
        <f>VLOOKUP(Tabela1[[#This Row],[Nº]],PO!$A$8:$K$421,4,FALSE)</f>
        <v>JV1 e JV2- Vidro temperado incolor, espessura 8mm - Fornecimento e instalação</v>
      </c>
      <c r="D60" s="486">
        <f>VLOOKUP(Tabela1[[#This Row],[Nº]],PO!$A$8:$K$421,11,FALSE)</f>
        <v>4152.55</v>
      </c>
      <c r="E60" s="500" t="e">
        <f>Tabela1[[#This Row],[TOTAL ITEM (R$)]]/Tabela1[[#Totals],[TOTAL ITEM (R$)]]</f>
        <v>#REF!</v>
      </c>
      <c r="F60" s="487" t="e">
        <f>F59+Tabela1[[#This Row],[%ITEM]]</f>
        <v>#REF!</v>
      </c>
      <c r="G60" s="501" t="e">
        <f t="shared" si="0"/>
        <v>#REF!</v>
      </c>
    </row>
    <row r="61" spans="1:7" ht="25.5" x14ac:dyDescent="0.25">
      <c r="A61" s="513" t="str">
        <f>PO!A314</f>
        <v>14.1.13</v>
      </c>
      <c r="B61" s="508" t="str">
        <f>VLOOKUP(Tabela1[[#This Row],[Nº]],PO!$A$8:$K$421,3,FALSE)</f>
        <v>CPU-80</v>
      </c>
      <c r="C61" s="485" t="str">
        <f>VLOOKUP(Tabela1[[#This Row],[Nº]],PO!$A$8:$K$421,4,FALSE)</f>
        <v>Perfilado perfurado em chapa de aço galvanizado, largura 38 mm x altura 38 mm, com tampa, instalação superior.</v>
      </c>
      <c r="D61" s="486">
        <f>VLOOKUP(Tabela1[[#This Row],[Nº]],PO!$A$8:$K$421,11,FALSE)</f>
        <v>4284.8100000000004</v>
      </c>
      <c r="E61" s="500" t="e">
        <f>Tabela1[[#This Row],[TOTAL ITEM (R$)]]/Tabela1[[#Totals],[TOTAL ITEM (R$)]]</f>
        <v>#REF!</v>
      </c>
      <c r="F61" s="487" t="e">
        <f>F60+Tabela1[[#This Row],[%ITEM]]</f>
        <v>#REF!</v>
      </c>
      <c r="G61" s="501" t="e">
        <f t="shared" si="0"/>
        <v>#REF!</v>
      </c>
    </row>
    <row r="62" spans="1:7" ht="25.5" x14ac:dyDescent="0.25">
      <c r="A62" s="513" t="str">
        <f>PO!A108</f>
        <v>6.2.1</v>
      </c>
      <c r="B62" s="508">
        <f>VLOOKUP(Tabela1[[#This Row],[Nº]],PO!$A$8:$K$421,3,FALSE)</f>
        <v>79627</v>
      </c>
      <c r="C62" s="485" t="str">
        <f>VLOOKUP(Tabela1[[#This Row],[Nº]],PO!$A$8:$K$421,4,FALSE)</f>
        <v>Divisória Em Granito Branco Polido, Esp = 3cm, Assentado Com Argamassa Traço 1:4, Arremate Em Cimento Branco, Exclusive Ferragens - Fornecimento e instalação</v>
      </c>
      <c r="D62" s="486">
        <f>VLOOKUP(Tabela1[[#This Row],[Nº]],PO!$A$8:$K$421,11,FALSE)</f>
        <v>4133.1444720000009</v>
      </c>
      <c r="E62" s="500" t="e">
        <f>Tabela1[[#This Row],[TOTAL ITEM (R$)]]/Tabela1[[#Totals],[TOTAL ITEM (R$)]]</f>
        <v>#REF!</v>
      </c>
      <c r="F62" s="487" t="e">
        <f>F61+Tabela1[[#This Row],[%ITEM]]</f>
        <v>#REF!</v>
      </c>
      <c r="G62" s="501" t="e">
        <f t="shared" si="0"/>
        <v>#REF!</v>
      </c>
    </row>
    <row r="63" spans="1:7" x14ac:dyDescent="0.25">
      <c r="A63" s="513" t="str">
        <f>PO!A270</f>
        <v>13.1.2</v>
      </c>
      <c r="B63" s="508">
        <f>VLOOKUP(Tabela1[[#This Row],[Nº]],PO!$A$8:$K$421,3,FALSE)</f>
        <v>89800</v>
      </c>
      <c r="C63" s="485" t="str">
        <f>VLOOKUP(Tabela1[[#This Row],[Nº]],PO!$A$8:$K$421,4,FALSE)</f>
        <v>Tubo PVC, Serie Normal, Esgoto Predial, DN 100 mm, Fornecimento e Instalação</v>
      </c>
      <c r="D63" s="486">
        <f>VLOOKUP(Tabela1[[#This Row],[Nº]],PO!$A$8:$K$421,11,FALSE)</f>
        <v>3874.03</v>
      </c>
      <c r="E63" s="500" t="e">
        <f>Tabela1[[#This Row],[TOTAL ITEM (R$)]]/Tabela1[[#Totals],[TOTAL ITEM (R$)]]</f>
        <v>#REF!</v>
      </c>
      <c r="F63" s="487" t="e">
        <f>F62+Tabela1[[#This Row],[%ITEM]]</f>
        <v>#REF!</v>
      </c>
      <c r="G63" s="501" t="e">
        <f t="shared" si="0"/>
        <v>#REF!</v>
      </c>
    </row>
    <row r="64" spans="1:7" x14ac:dyDescent="0.25">
      <c r="A64" s="513" t="str">
        <f>PO!A305</f>
        <v>14.1.6</v>
      </c>
      <c r="B64" s="508">
        <f>VLOOKUP(Tabela1[[#This Row],[Nº]],PO!$A$8:$K$421,3,FALSE)</f>
        <v>91867</v>
      </c>
      <c r="C64" s="485" t="str">
        <f>VLOOKUP(Tabela1[[#This Row],[Nº]],PO!$A$8:$K$421,4,FALSE)</f>
        <v>Eletroduto de PVC rígido roscável, com conexões Ø 25 mm (3/4") - fornecimento e instalação</v>
      </c>
      <c r="D64" s="486">
        <f>VLOOKUP(Tabela1[[#This Row],[Nº]],PO!$A$8:$K$421,11,FALSE)</f>
        <v>4102.95</v>
      </c>
      <c r="E64" s="500" t="e">
        <f>Tabela1[[#This Row],[TOTAL ITEM (R$)]]/Tabela1[[#Totals],[TOTAL ITEM (R$)]]</f>
        <v>#REF!</v>
      </c>
      <c r="F64" s="487" t="e">
        <f>F63+Tabela1[[#This Row],[%ITEM]]</f>
        <v>#REF!</v>
      </c>
      <c r="G64" s="501" t="e">
        <f t="shared" si="0"/>
        <v>#REF!</v>
      </c>
    </row>
    <row r="65" spans="1:7" x14ac:dyDescent="0.25">
      <c r="A65" s="513" t="str">
        <f>PO!A19</f>
        <v>2.1.2</v>
      </c>
      <c r="B65" s="508">
        <f>VLOOKUP(Tabela1[[#This Row],[Nº]],PO!$A$8:$K$421,3,FALSE)</f>
        <v>97650</v>
      </c>
      <c r="C65" s="485" t="str">
        <f>VLOOKUP(Tabela1[[#This Row],[Nº]],PO!$A$8:$K$421,4,FALSE)</f>
        <v>Remoção de trama de madeira para cobertura, de forma manual, sem reaproveitamento.</v>
      </c>
      <c r="D65" s="486">
        <f>VLOOKUP(Tabela1[[#This Row],[Nº]],PO!$A$8:$K$421,11,FALSE)</f>
        <v>3753.79</v>
      </c>
      <c r="E65" s="500" t="e">
        <f>Tabela1[[#This Row],[TOTAL ITEM (R$)]]/Tabela1[[#Totals],[TOTAL ITEM (R$)]]</f>
        <v>#REF!</v>
      </c>
      <c r="F65" s="487" t="e">
        <f>F64+Tabela1[[#This Row],[%ITEM]]</f>
        <v>#REF!</v>
      </c>
      <c r="G65" s="501" t="e">
        <f t="shared" si="0"/>
        <v>#REF!</v>
      </c>
    </row>
    <row r="66" spans="1:7" x14ac:dyDescent="0.25">
      <c r="A66" s="513" t="str">
        <f>PO!A322</f>
        <v>14.2.6</v>
      </c>
      <c r="B66" s="508">
        <f>VLOOKUP(Tabela1[[#This Row],[Nº]],PO!$A$8:$K$421,3,FALSE)</f>
        <v>92989</v>
      </c>
      <c r="C66" s="485" t="str">
        <f>VLOOKUP(Tabela1[[#This Row],[Nº]],PO!$A$8:$K$421,4,FALSE)</f>
        <v>Cabo de cobre flexível isolado, 70 mm², antichama 450/750 V, para distribuição - fornecimento e instalação.</v>
      </c>
      <c r="D66" s="486">
        <f>VLOOKUP(Tabela1[[#This Row],[Nº]],PO!$A$8:$K$421,11,FALSE)</f>
        <v>3803.04</v>
      </c>
      <c r="E66" s="500" t="e">
        <f>Tabela1[[#This Row],[TOTAL ITEM (R$)]]/Tabela1[[#Totals],[TOTAL ITEM (R$)]]</f>
        <v>#REF!</v>
      </c>
      <c r="F66" s="487" t="e">
        <f>F65+Tabela1[[#This Row],[%ITEM]]</f>
        <v>#REF!</v>
      </c>
      <c r="G66" s="501" t="e">
        <f t="shared" si="0"/>
        <v>#REF!</v>
      </c>
    </row>
    <row r="67" spans="1:7" x14ac:dyDescent="0.25">
      <c r="A67" s="513" t="str">
        <f>PO!A41</f>
        <v>2.1.24</v>
      </c>
      <c r="B67" s="508" t="str">
        <f>VLOOKUP(Tabela1[[#This Row],[Nº]],PO!$A$8:$K$421,3,FALSE)</f>
        <v>CPU-07</v>
      </c>
      <c r="C67" s="485" t="str">
        <f>VLOOKUP(Tabela1[[#This Row],[Nº]],PO!$A$8:$K$421,4,FALSE)</f>
        <v>Destinação e transporte de resíduos em caminhão basculante.</v>
      </c>
      <c r="D67" s="486">
        <f>VLOOKUP(Tabela1[[#This Row],[Nº]],PO!$A$8:$K$421,11,FALSE)</f>
        <v>3590.1499999999996</v>
      </c>
      <c r="E67" s="500" t="e">
        <f>Tabela1[[#This Row],[TOTAL ITEM (R$)]]/Tabela1[[#Totals],[TOTAL ITEM (R$)]]</f>
        <v>#REF!</v>
      </c>
      <c r="F67" s="487" t="e">
        <f>F66+Tabela1[[#This Row],[%ITEM]]</f>
        <v>#REF!</v>
      </c>
      <c r="G67" s="501" t="e">
        <f t="shared" si="0"/>
        <v>#REF!</v>
      </c>
    </row>
    <row r="68" spans="1:7" x14ac:dyDescent="0.25">
      <c r="A68" s="513" t="str">
        <f>PO!A408</f>
        <v>15.3.2</v>
      </c>
      <c r="B68" s="508" t="str">
        <f>VLOOKUP(Tabela1[[#This Row],[Nº]],PO!$A$8:$K$421,3,FALSE)</f>
        <v>CPU-67</v>
      </c>
      <c r="C68" s="485" t="str">
        <f>VLOOKUP(Tabela1[[#This Row],[Nº]],PO!$A$8:$K$421,4,FALSE)</f>
        <v>Switch Poe 24 Portas - fornecimento e instalação. </v>
      </c>
      <c r="D68" s="486">
        <f>VLOOKUP(Tabela1[[#This Row],[Nº]],PO!$A$8:$K$421,11,FALSE)</f>
        <v>3570.21</v>
      </c>
      <c r="E68" s="500" t="e">
        <f>Tabela1[[#This Row],[TOTAL ITEM (R$)]]/Tabela1[[#Totals],[TOTAL ITEM (R$)]]</f>
        <v>#REF!</v>
      </c>
      <c r="F68" s="487" t="e">
        <f>F67+Tabela1[[#This Row],[%ITEM]]</f>
        <v>#REF!</v>
      </c>
      <c r="G68" s="501" t="e">
        <f t="shared" si="0"/>
        <v>#REF!</v>
      </c>
    </row>
    <row r="69" spans="1:7" ht="25.5" x14ac:dyDescent="0.25">
      <c r="A69" s="513" t="str">
        <f>PO!A79</f>
        <v>4.3.5</v>
      </c>
      <c r="B69" s="508">
        <f>VLOOKUP(Tabela1[[#This Row],[Nº]],PO!$A$8:$K$421,3,FALSE)</f>
        <v>92919</v>
      </c>
      <c r="C69" s="485" t="str">
        <f>VLOOKUP(Tabela1[[#This Row],[Nº]],PO!$A$8:$K$421,4,FALSE)</f>
        <v>Armação de Estruturas de Concreto Armado, Vigas, Pilares, Lajes e Fundações Profundas, Utilizando Aço AÇO CA-50 de 10,0 mm - Montagem e fornecimento</v>
      </c>
      <c r="D69" s="486">
        <f>VLOOKUP(Tabela1[[#This Row],[Nº]],PO!$A$8:$K$421,11,FALSE)</f>
        <v>3381.03</v>
      </c>
      <c r="E69" s="500" t="e">
        <f>Tabela1[[#This Row],[TOTAL ITEM (R$)]]/Tabela1[[#Totals],[TOTAL ITEM (R$)]]</f>
        <v>#REF!</v>
      </c>
      <c r="F69" s="487" t="e">
        <f>F68+Tabela1[[#This Row],[%ITEM]]</f>
        <v>#REF!</v>
      </c>
      <c r="G69" s="501" t="e">
        <f t="shared" si="0"/>
        <v>#REF!</v>
      </c>
    </row>
    <row r="70" spans="1:7" x14ac:dyDescent="0.25">
      <c r="A70" s="513" t="str">
        <f>PO!A40</f>
        <v>2.1.23</v>
      </c>
      <c r="B70" s="508">
        <f>VLOOKUP(Tabela1[[#This Row],[Nº]],PO!$A$8:$K$421,3,FALSE)</f>
        <v>72897</v>
      </c>
      <c r="C70" s="485" t="str">
        <f>VLOOKUP(Tabela1[[#This Row],[Nº]],PO!$A$8:$K$421,4,FALSE)</f>
        <v>Carga manual de entulho.</v>
      </c>
      <c r="D70" s="486">
        <f>VLOOKUP(Tabela1[[#This Row],[Nº]],PO!$A$8:$K$421,11,FALSE)</f>
        <v>3477.87</v>
      </c>
      <c r="E70" s="500" t="e">
        <f>Tabela1[[#This Row],[TOTAL ITEM (R$)]]/Tabela1[[#Totals],[TOTAL ITEM (R$)]]</f>
        <v>#REF!</v>
      </c>
      <c r="F70" s="487" t="e">
        <f>F69+Tabela1[[#This Row],[%ITEM]]</f>
        <v>#REF!</v>
      </c>
      <c r="G70" s="501" t="e">
        <f t="shared" si="0"/>
        <v>#REF!</v>
      </c>
    </row>
    <row r="71" spans="1:7" ht="38.25" x14ac:dyDescent="0.25">
      <c r="A71" s="513" t="str">
        <f>PO!A239</f>
        <v>12.4.1</v>
      </c>
      <c r="B71" s="508">
        <f>VLOOKUP(Tabela1[[#This Row],[Nº]],PO!$A$8:$K$421,3,FALSE)</f>
        <v>86941</v>
      </c>
      <c r="C71" s="485" t="str">
        <f>VLOOKUP(Tabela1[[#This Row],[Nº]],PO!$A$8:$K$421,4,FALSE)</f>
        <v>Lavatório louça branca com coluna, 45 x 55cm ou equivalente, padrão médio, incluso sifão tipo garrafa, válvula e engate flexível de 40cm em metal cromado, com torneira cromada de mesa, padrão médio – fornecimento e instalação.</v>
      </c>
      <c r="D71" s="486">
        <f>VLOOKUP(Tabela1[[#This Row],[Nº]],PO!$A$8:$K$421,11,FALSE)</f>
        <v>3196.85</v>
      </c>
      <c r="E71" s="500" t="e">
        <f>Tabela1[[#This Row],[TOTAL ITEM (R$)]]/Tabela1[[#Totals],[TOTAL ITEM (R$)]]</f>
        <v>#REF!</v>
      </c>
      <c r="F71" s="487" t="e">
        <f>F70+Tabela1[[#This Row],[%ITEM]]</f>
        <v>#REF!</v>
      </c>
      <c r="G71" s="501" t="e">
        <f t="shared" si="0"/>
        <v>#REF!</v>
      </c>
    </row>
    <row r="72" spans="1:7" x14ac:dyDescent="0.25">
      <c r="A72" s="513" t="str">
        <f>PO!A88</f>
        <v>4.4.5</v>
      </c>
      <c r="B72" s="508">
        <f>VLOOKUP(Tabela1[[#This Row],[Nº]],PO!$A$8:$K$421,3,FALSE)</f>
        <v>92873</v>
      </c>
      <c r="C72" s="485" t="str">
        <f>VLOOKUP(Tabela1[[#This Row],[Nº]],PO!$A$8:$K$421,4,FALSE)</f>
        <v>Lançamento com Uso de Baldes, Andesamento e Acabamento de Concreto em Estrturas</v>
      </c>
      <c r="D72" s="486">
        <f>VLOOKUP(Tabela1[[#This Row],[Nº]],PO!$A$8:$K$421,11,FALSE)</f>
        <v>1527.26</v>
      </c>
      <c r="E72" s="500" t="e">
        <f>Tabela1[[#This Row],[TOTAL ITEM (R$)]]/Tabela1[[#Totals],[TOTAL ITEM (R$)]]</f>
        <v>#REF!</v>
      </c>
      <c r="F72" s="487" t="e">
        <f>F71+Tabela1[[#This Row],[%ITEM]]</f>
        <v>#REF!</v>
      </c>
      <c r="G72" s="501" t="e">
        <f t="shared" ref="G72:G135" si="1">IF(F72&gt;=95%,"C",IF(F72&lt;80%,"A","B"))</f>
        <v>#REF!</v>
      </c>
    </row>
    <row r="73" spans="1:7" x14ac:dyDescent="0.25">
      <c r="A73" s="513" t="str">
        <f>PO!A122</f>
        <v>7.3.2</v>
      </c>
      <c r="B73" s="508">
        <f>VLOOKUP(Tabela1[[#This Row],[Nº]],PO!$A$8:$K$421,3,FALSE)</f>
        <v>100327</v>
      </c>
      <c r="C73" s="485" t="str">
        <f>VLOOKUP(Tabela1[[#This Row],[Nº]],PO!$A$8:$K$421,4,FALSE)</f>
        <v>Rufo externo/interno em chapa de aço galvanizado número 26, corte de 33 cm, incluso içamento. Af_07/2019</v>
      </c>
      <c r="D73" s="486">
        <f>VLOOKUP(Tabela1[[#This Row],[Nº]],PO!$A$8:$K$421,11,FALSE)</f>
        <v>2983.53</v>
      </c>
      <c r="E73" s="500" t="e">
        <f>Tabela1[[#This Row],[TOTAL ITEM (R$)]]/Tabela1[[#Totals],[TOTAL ITEM (R$)]]</f>
        <v>#REF!</v>
      </c>
      <c r="F73" s="487" t="e">
        <f>F72+Tabela1[[#This Row],[%ITEM]]</f>
        <v>#REF!</v>
      </c>
      <c r="G73" s="501" t="e">
        <f t="shared" si="1"/>
        <v>#REF!</v>
      </c>
    </row>
    <row r="74" spans="1:7" x14ac:dyDescent="0.25">
      <c r="A74" s="513" t="str">
        <f>PO!A144</f>
        <v>8.5.2</v>
      </c>
      <c r="B74" s="508">
        <f>VLOOKUP(Tabela1[[#This Row],[Nº]],PO!$A$8:$K$421,3,FALSE)</f>
        <v>98689</v>
      </c>
      <c r="C74" s="485" t="str">
        <f>VLOOKUP(Tabela1[[#This Row],[Nº]],PO!$A$8:$K$421,4,FALSE)</f>
        <v>Soleira em granito, largura 15 cm, espessura 2,0 cm.</v>
      </c>
      <c r="D74" s="486">
        <f>VLOOKUP(Tabela1[[#This Row],[Nº]],PO!$A$8:$K$421,11,FALSE)</f>
        <v>3169.37</v>
      </c>
      <c r="E74" s="500" t="e">
        <f>Tabela1[[#This Row],[TOTAL ITEM (R$)]]/Tabela1[[#Totals],[TOTAL ITEM (R$)]]</f>
        <v>#REF!</v>
      </c>
      <c r="F74" s="487" t="e">
        <f>F73+Tabela1[[#This Row],[%ITEM]]</f>
        <v>#REF!</v>
      </c>
      <c r="G74" s="501" t="e">
        <f t="shared" si="1"/>
        <v>#REF!</v>
      </c>
    </row>
    <row r="75" spans="1:7" x14ac:dyDescent="0.25">
      <c r="A75" s="513" t="str">
        <f>PO!A31</f>
        <v>2.1.14</v>
      </c>
      <c r="B75" s="508">
        <f>VLOOKUP(Tabela1[[#This Row],[Nº]],PO!$A$8:$K$421,3,FALSE)</f>
        <v>97622</v>
      </c>
      <c r="C75" s="485" t="str">
        <f>VLOOKUP(Tabela1[[#This Row],[Nº]],PO!$A$8:$K$421,4,FALSE)</f>
        <v xml:space="preserve">Demolição de alvenaria de bloco furado, de forma manual, sem reaproveitamento. </v>
      </c>
      <c r="D75" s="486">
        <f>VLOOKUP(Tabela1[[#This Row],[Nº]],PO!$A$8:$K$421,11,FALSE)</f>
        <v>3027.0491032687801</v>
      </c>
      <c r="E75" s="500" t="e">
        <f>Tabela1[[#This Row],[TOTAL ITEM (R$)]]/Tabela1[[#Totals],[TOTAL ITEM (R$)]]</f>
        <v>#REF!</v>
      </c>
      <c r="F75" s="487" t="e">
        <f>F74+Tabela1[[#This Row],[%ITEM]]</f>
        <v>#REF!</v>
      </c>
      <c r="G75" s="501" t="e">
        <f t="shared" si="1"/>
        <v>#REF!</v>
      </c>
    </row>
    <row r="76" spans="1:7" x14ac:dyDescent="0.25">
      <c r="A76" s="513" t="str">
        <f>PO!A180</f>
        <v>11.1.1</v>
      </c>
      <c r="B76" s="508">
        <f>VLOOKUP(Tabela1[[#This Row],[Nº]],PO!$A$8:$K$421,3,FALSE)</f>
        <v>88415</v>
      </c>
      <c r="C76" s="485" t="str">
        <f>VLOOKUP(Tabela1[[#This Row],[Nº]],PO!$A$8:$K$421,4,FALSE)</f>
        <v>Aplicação manual de fundo selador acrilico em paredes, uma demão.</v>
      </c>
      <c r="D76" s="486">
        <f>VLOOKUP(Tabela1[[#This Row],[Nº]],PO!$A$8:$K$421,11,FALSE)</f>
        <v>3773.3799999999997</v>
      </c>
      <c r="E76" s="500" t="e">
        <f>Tabela1[[#This Row],[TOTAL ITEM (R$)]]/Tabela1[[#Totals],[TOTAL ITEM (R$)]]</f>
        <v>#REF!</v>
      </c>
      <c r="F76" s="487" t="e">
        <f>F75+Tabela1[[#This Row],[%ITEM]]</f>
        <v>#REF!</v>
      </c>
      <c r="G76" s="501" t="e">
        <f t="shared" si="1"/>
        <v>#REF!</v>
      </c>
    </row>
    <row r="77" spans="1:7" ht="38.25" x14ac:dyDescent="0.25">
      <c r="A77" s="513" t="str">
        <f>PO!A168</f>
        <v>10.2.8</v>
      </c>
      <c r="B77" s="508" t="str">
        <f>VLOOKUP(Tabela1[[#This Row],[Nº]],PO!$A$8:$K$421,3,FALSE)</f>
        <v>CPU-32</v>
      </c>
      <c r="C77" s="485" t="str">
        <f>VLOOKUP(Tabela1[[#This Row],[Nº]],PO!$A$8:$K$421,4,FALSE)</f>
        <v>PAL5 - Porta de abrir em chapa de painel de alumínio composto ACM 3 mm, cor branco, acabamento brilhoso, de dimensões 1,20x2,10m, com visor em vidro temperado de 10 mm de dimensões de 20x60cm - Fornecimento e instalação</v>
      </c>
      <c r="D77" s="486">
        <f>VLOOKUP(Tabela1[[#This Row],[Nº]],PO!$A$8:$K$421,11,FALSE)</f>
        <v>2896.18</v>
      </c>
      <c r="E77" s="500" t="e">
        <f>Tabela1[[#This Row],[TOTAL ITEM (R$)]]/Tabela1[[#Totals],[TOTAL ITEM (R$)]]</f>
        <v>#REF!</v>
      </c>
      <c r="F77" s="487" t="e">
        <f>F76+Tabela1[[#This Row],[%ITEM]]</f>
        <v>#REF!</v>
      </c>
      <c r="G77" s="501" t="e">
        <f t="shared" si="1"/>
        <v>#REF!</v>
      </c>
    </row>
    <row r="78" spans="1:7" x14ac:dyDescent="0.25">
      <c r="A78" s="513" t="str">
        <f>PO!A52</f>
        <v>3.1.3</v>
      </c>
      <c r="B78" s="508" t="str">
        <f>VLOOKUP(Tabela1[[#This Row],[Nº]],PO!$A$8:$K$421,3,FALSE)</f>
        <v>CPU-11</v>
      </c>
      <c r="C78" s="485" t="str">
        <f>VLOOKUP(Tabela1[[#This Row],[Nº]],PO!$A$8:$K$421,4,FALSE)</f>
        <v>Placa de Obra em Chapa de aço Galvanizado (2,40m x 1,20m).</v>
      </c>
      <c r="D78" s="486">
        <f>VLOOKUP(Tabela1[[#This Row],[Nº]],PO!$A$8:$K$421,11,FALSE)</f>
        <v>1303.57</v>
      </c>
      <c r="E78" s="500" t="e">
        <f>Tabela1[[#This Row],[TOTAL ITEM (R$)]]/Tabela1[[#Totals],[TOTAL ITEM (R$)]]</f>
        <v>#REF!</v>
      </c>
      <c r="F78" s="487" t="e">
        <f>F77+Tabela1[[#This Row],[%ITEM]]</f>
        <v>#REF!</v>
      </c>
      <c r="G78" s="501" t="e">
        <f t="shared" si="1"/>
        <v>#REF!</v>
      </c>
    </row>
    <row r="79" spans="1:7" ht="25.5" x14ac:dyDescent="0.25">
      <c r="A79" s="513" t="str">
        <f>PO!A76</f>
        <v>4.3.3</v>
      </c>
      <c r="B79" s="508">
        <f>VLOOKUP(Tabela1[[#This Row],[Nº]],PO!$A$8:$K$421,3,FALSE)</f>
        <v>92921</v>
      </c>
      <c r="C79" s="485" t="str">
        <f>VLOOKUP(Tabela1[[#This Row],[Nº]],PO!$A$8:$K$421,4,FALSE)</f>
        <v>Armação de Estruturas de Concreto Armado, Vigas, Pilares, Lajes e Fundações Profundas, Utilizando Aço AÇO CA-50 de 12,5 mm - Montagem e fornecimento</v>
      </c>
      <c r="D79" s="486">
        <f>VLOOKUP(Tabela1[[#This Row],[Nº]],PO!$A$8:$K$421,11,FALSE)</f>
        <v>3848.42</v>
      </c>
      <c r="E79" s="500" t="e">
        <f>Tabela1[[#This Row],[TOTAL ITEM (R$)]]/Tabela1[[#Totals],[TOTAL ITEM (R$)]]</f>
        <v>#REF!</v>
      </c>
      <c r="F79" s="487" t="e">
        <f>F78+Tabela1[[#This Row],[%ITEM]]</f>
        <v>#REF!</v>
      </c>
      <c r="G79" s="501" t="e">
        <f t="shared" si="1"/>
        <v>#REF!</v>
      </c>
    </row>
    <row r="80" spans="1:7" x14ac:dyDescent="0.25">
      <c r="A80" s="513" t="str">
        <f>PO!A319</f>
        <v>14.2.3</v>
      </c>
      <c r="B80" s="508">
        <f>VLOOKUP(Tabela1[[#This Row],[Nº]],PO!$A$8:$K$421,3,FALSE)</f>
        <v>91930</v>
      </c>
      <c r="C80" s="485" t="str">
        <f>VLOOKUP(Tabela1[[#This Row],[Nº]],PO!$A$8:$K$421,4,FALSE)</f>
        <v>Cabo de cobre flexível isolado, 6 mm², antichama 450/750 V, para circuitos terminais - fornecimento e instalação.</v>
      </c>
      <c r="D80" s="486">
        <f>VLOOKUP(Tabela1[[#This Row],[Nº]],PO!$A$8:$K$421,11,FALSE)</f>
        <v>2580.0100000000002</v>
      </c>
      <c r="E80" s="500" t="e">
        <f>Tabela1[[#This Row],[TOTAL ITEM (R$)]]/Tabela1[[#Totals],[TOTAL ITEM (R$)]]</f>
        <v>#REF!</v>
      </c>
      <c r="F80" s="487" t="e">
        <f>F79+Tabela1[[#This Row],[%ITEM]]</f>
        <v>#REF!</v>
      </c>
      <c r="G80" s="501" t="e">
        <f t="shared" si="1"/>
        <v>#REF!</v>
      </c>
    </row>
    <row r="81" spans="1:7" x14ac:dyDescent="0.25">
      <c r="A81" s="515" t="str">
        <f>PO!A14</f>
        <v>1.2.2</v>
      </c>
      <c r="B81" s="508" t="str">
        <f>VLOOKUP(Tabela1[[#This Row],[Nº]],PO!$A$8:$K$421,3,FALSE)</f>
        <v>CR0032</v>
      </c>
      <c r="C81" s="485" t="str">
        <f>VLOOKUP(Tabela1[[#This Row],[Nº]],PO!$A$8:$K$421,4,FALSE)</f>
        <v>PPRA - (Programa de Prevenção de Riscos Ambientais)</v>
      </c>
      <c r="D81" s="486">
        <f>VLOOKUP(Tabela1[[#This Row],[Nº]],PO!$A$8:$K$421,11,FALSE)</f>
        <v>2426</v>
      </c>
      <c r="E81" s="500" t="e">
        <f>Tabela1[[#This Row],[TOTAL ITEM (R$)]]/Tabela1[[#Totals],[TOTAL ITEM (R$)]]</f>
        <v>#REF!</v>
      </c>
      <c r="F81" s="487" t="e">
        <f>F80+Tabela1[[#This Row],[%ITEM]]</f>
        <v>#REF!</v>
      </c>
      <c r="G81" s="501" t="e">
        <f t="shared" si="1"/>
        <v>#REF!</v>
      </c>
    </row>
    <row r="82" spans="1:7" x14ac:dyDescent="0.25">
      <c r="A82" s="513" t="str">
        <f>PO!A83</f>
        <v>4.4.1</v>
      </c>
      <c r="B82" s="508">
        <f>VLOOKUP(Tabela1[[#This Row],[Nº]],PO!$A$8:$K$421,3,FALSE)</f>
        <v>94965</v>
      </c>
      <c r="C82" s="485" t="str">
        <f>VLOOKUP(Tabela1[[#This Row],[Nº]],PO!$A$8:$K$421,4,FALSE)</f>
        <v xml:space="preserve">Concreto Fck = 25 MPA, Traço 1:2,3:2,7, Preparo Mecânico com Betoneira 400 L </v>
      </c>
      <c r="D82" s="486">
        <f>VLOOKUP(Tabela1[[#This Row],[Nº]],PO!$A$8:$K$421,11,FALSE)</f>
        <v>4066.21</v>
      </c>
      <c r="E82" s="500" t="e">
        <f>Tabela1[[#This Row],[TOTAL ITEM (R$)]]/Tabela1[[#Totals],[TOTAL ITEM (R$)]]</f>
        <v>#REF!</v>
      </c>
      <c r="F82" s="487" t="e">
        <f>F81+Tabela1[[#This Row],[%ITEM]]</f>
        <v>#REF!</v>
      </c>
      <c r="G82" s="501" t="e">
        <f t="shared" si="1"/>
        <v>#REF!</v>
      </c>
    </row>
    <row r="83" spans="1:7" x14ac:dyDescent="0.25">
      <c r="A83" s="513" t="str">
        <f>PO!A162</f>
        <v>10.2.2</v>
      </c>
      <c r="B83" s="508" t="str">
        <f>VLOOKUP(Tabela1[[#This Row],[Nº]],PO!$A$8:$K$421,3,FALSE)</f>
        <v>73838/1</v>
      </c>
      <c r="C83" s="485" t="str">
        <f>VLOOKUP(Tabela1[[#This Row],[Nº]],PO!$A$8:$K$421,4,FALSE)</f>
        <v>PV1 - Porta de vidro temperado, 0,9x2,10m, espessura 10mm, inclusive acessórios - Fornecimento e instalação</v>
      </c>
      <c r="D83" s="486">
        <f>VLOOKUP(Tabela1[[#This Row],[Nº]],PO!$A$8:$K$421,11,FALSE)</f>
        <v>2204.79</v>
      </c>
      <c r="E83" s="500" t="e">
        <f>Tabela1[[#This Row],[TOTAL ITEM (R$)]]/Tabela1[[#Totals],[TOTAL ITEM (R$)]]</f>
        <v>#REF!</v>
      </c>
      <c r="F83" s="487" t="e">
        <f>F82+Tabela1[[#This Row],[%ITEM]]</f>
        <v>#REF!</v>
      </c>
      <c r="G83" s="501" t="e">
        <f t="shared" si="1"/>
        <v>#REF!</v>
      </c>
    </row>
    <row r="84" spans="1:7" ht="25.5" x14ac:dyDescent="0.25">
      <c r="A84" s="513" t="str">
        <f>PO!A166</f>
        <v>10.2.6</v>
      </c>
      <c r="B84" s="508" t="str">
        <f>VLOOKUP(Tabela1[[#This Row],[Nº]],PO!$A$8:$K$421,3,FALSE)</f>
        <v>CPU-30</v>
      </c>
      <c r="C84" s="485" t="str">
        <f>VLOOKUP(Tabela1[[#This Row],[Nº]],PO!$A$8:$K$421,4,FALSE)</f>
        <v>PAL3 - Porta de abrir em chapa de painel de alumínio composto ACM 3 mm, cor branco, acabamento brilhoso, de dimensões 0,90x2,10m - Fornecimento e instalação</v>
      </c>
      <c r="D84" s="486">
        <f>VLOOKUP(Tabela1[[#This Row],[Nº]],PO!$A$8:$K$421,11,FALSE)</f>
        <v>2181.73</v>
      </c>
      <c r="E84" s="500" t="e">
        <f>Tabela1[[#This Row],[TOTAL ITEM (R$)]]/Tabela1[[#Totals],[TOTAL ITEM (R$)]]</f>
        <v>#REF!</v>
      </c>
      <c r="F84" s="487" t="e">
        <f>F83+Tabela1[[#This Row],[%ITEM]]</f>
        <v>#REF!</v>
      </c>
      <c r="G84" s="501" t="e">
        <f t="shared" si="1"/>
        <v>#REF!</v>
      </c>
    </row>
    <row r="85" spans="1:7" x14ac:dyDescent="0.25">
      <c r="A85" s="513" t="str">
        <f>PO!A367</f>
        <v>14.6.5</v>
      </c>
      <c r="B85" s="508" t="str">
        <f>VLOOKUP(Tabela1[[#This Row],[Nº]],PO!$A$8:$K$421,3,FALSE)</f>
        <v>CPU-59</v>
      </c>
      <c r="C85" s="485" t="str">
        <f>VLOOKUP(Tabela1[[#This Row],[Nº]],PO!$A$8:$K$421,4,FALSE)</f>
        <v>Refletor Led - 50W - Fornecimento e instalação.</v>
      </c>
      <c r="D85" s="486">
        <f>VLOOKUP(Tabela1[[#This Row],[Nº]],PO!$A$8:$K$421,11,FALSE)</f>
        <v>1469.45</v>
      </c>
      <c r="E85" s="500" t="e">
        <f>Tabela1[[#This Row],[TOTAL ITEM (R$)]]/Tabela1[[#Totals],[TOTAL ITEM (R$)]]</f>
        <v>#REF!</v>
      </c>
      <c r="F85" s="487" t="e">
        <f>F84+Tabela1[[#This Row],[%ITEM]]</f>
        <v>#REF!</v>
      </c>
      <c r="G85" s="501" t="e">
        <f t="shared" si="1"/>
        <v>#REF!</v>
      </c>
    </row>
    <row r="86" spans="1:7" x14ac:dyDescent="0.25">
      <c r="A86" s="513" t="str">
        <f>PO!A46</f>
        <v>2.2.3</v>
      </c>
      <c r="B86" s="508">
        <f>VLOOKUP(Tabela1[[#This Row],[Nº]],PO!$A$8:$K$421,3,FALSE)</f>
        <v>94319</v>
      </c>
      <c r="C86" s="485" t="str">
        <f>VLOOKUP(Tabela1[[#This Row],[Nº]],PO!$A$8:$K$421,4,FALSE)</f>
        <v>Aterro manual de valas com solo argilo-arenoso e compactação mecanizada.</v>
      </c>
      <c r="D86" s="486">
        <f>VLOOKUP(Tabela1[[#This Row],[Nº]],PO!$A$8:$K$421,11,FALSE)</f>
        <v>1743.8</v>
      </c>
      <c r="E86" s="500" t="e">
        <f>Tabela1[[#This Row],[TOTAL ITEM (R$)]]/Tabela1[[#Totals],[TOTAL ITEM (R$)]]</f>
        <v>#REF!</v>
      </c>
      <c r="F86" s="487" t="e">
        <f>F85+Tabela1[[#This Row],[%ITEM]]</f>
        <v>#REF!</v>
      </c>
      <c r="G86" s="501" t="e">
        <f t="shared" si="1"/>
        <v>#REF!</v>
      </c>
    </row>
    <row r="87" spans="1:7" x14ac:dyDescent="0.25">
      <c r="A87" s="513" t="str">
        <f>PO!A58</f>
        <v>4.1.1</v>
      </c>
      <c r="B87" s="508">
        <f>VLOOKUP(Tabela1[[#This Row],[Nº]],PO!$A$8:$K$421,3,FALSE)</f>
        <v>93358</v>
      </c>
      <c r="C87" s="485" t="str">
        <f>VLOOKUP(Tabela1[[#This Row],[Nº]],PO!$A$8:$K$421,4,FALSE)</f>
        <v>Escavação manual de valas até 1,5m.</v>
      </c>
      <c r="D87" s="486">
        <f>VLOOKUP(Tabela1[[#This Row],[Nº]],PO!$A$8:$K$421,11,FALSE)</f>
        <v>2068.58</v>
      </c>
      <c r="E87" s="500" t="e">
        <f>Tabela1[[#This Row],[TOTAL ITEM (R$)]]/Tabela1[[#Totals],[TOTAL ITEM (R$)]]</f>
        <v>#REF!</v>
      </c>
      <c r="F87" s="487" t="e">
        <f>F86+Tabela1[[#This Row],[%ITEM]]</f>
        <v>#REF!</v>
      </c>
      <c r="G87" s="501" t="e">
        <f t="shared" si="1"/>
        <v>#REF!</v>
      </c>
    </row>
    <row r="88" spans="1:7" x14ac:dyDescent="0.25">
      <c r="A88" s="515" t="str">
        <f>PO!A13</f>
        <v>1.2.1</v>
      </c>
      <c r="B88" s="508" t="str">
        <f>VLOOKUP(Tabela1[[#This Row],[Nº]],PO!$A$8:$K$421,3,FALSE)</f>
        <v>CR0033</v>
      </c>
      <c r="C88" s="485" t="str">
        <f>VLOOKUP(Tabela1[[#This Row],[Nº]],PO!$A$8:$K$421,4,FALSE)</f>
        <v>PCMSO - (Programa de Controle Médico e Saúde Ocupacional)</v>
      </c>
      <c r="D88" s="486">
        <f>VLOOKUP(Tabela1[[#This Row],[Nº]],PO!$A$8:$K$421,11,FALSE)</f>
        <v>2062.1</v>
      </c>
      <c r="E88" s="500" t="e">
        <f>Tabela1[[#This Row],[TOTAL ITEM (R$)]]/Tabela1[[#Totals],[TOTAL ITEM (R$)]]</f>
        <v>#REF!</v>
      </c>
      <c r="F88" s="487" t="e">
        <f>F87+Tabela1[[#This Row],[%ITEM]]</f>
        <v>#REF!</v>
      </c>
      <c r="G88" s="501" t="e">
        <f t="shared" si="1"/>
        <v>#REF!</v>
      </c>
    </row>
    <row r="89" spans="1:7" x14ac:dyDescent="0.25">
      <c r="A89" s="513" t="str">
        <f>PO!A392</f>
        <v>15.1.3</v>
      </c>
      <c r="B89" s="508">
        <f>VLOOKUP(Tabela1[[#This Row],[Nº]],PO!$A$8:$K$421,3,FALSE)</f>
        <v>91867</v>
      </c>
      <c r="C89" s="485" t="str">
        <f>VLOOKUP(Tabela1[[#This Row],[Nº]],PO!$A$8:$K$421,4,FALSE)</f>
        <v>Eletroduto de PVC rígido roscável, com conexões Ø 25 mm (3/4") - fornecimento e instalação</v>
      </c>
      <c r="D89" s="486">
        <f>VLOOKUP(Tabela1[[#This Row],[Nº]],PO!$A$8:$K$421,11,FALSE)</f>
        <v>2019.66</v>
      </c>
      <c r="E89" s="500" t="e">
        <f>Tabela1[[#This Row],[TOTAL ITEM (R$)]]/Tabela1[[#Totals],[TOTAL ITEM (R$)]]</f>
        <v>#REF!</v>
      </c>
      <c r="F89" s="487" t="e">
        <f>F88+Tabela1[[#This Row],[%ITEM]]</f>
        <v>#REF!</v>
      </c>
      <c r="G89" s="501" t="e">
        <f t="shared" si="1"/>
        <v>#REF!</v>
      </c>
    </row>
    <row r="90" spans="1:7" x14ac:dyDescent="0.25">
      <c r="A90" s="513" t="str">
        <f>PO!A324</f>
        <v>14.2.8</v>
      </c>
      <c r="B90" s="508">
        <f>VLOOKUP(Tabela1[[#This Row],[Nº]],PO!$A$8:$K$421,3,FALSE)</f>
        <v>92994</v>
      </c>
      <c r="C90" s="485" t="str">
        <f>VLOOKUP(Tabela1[[#This Row],[Nº]],PO!$A$8:$K$421,4,FALSE)</f>
        <v>Cabo de cobre flexível isolado, 120 mm², antichama 0,6/1,0 KV, para distribuição - fornecimento e instalação.</v>
      </c>
      <c r="D90" s="486">
        <f>VLOOKUP(Tabela1[[#This Row],[Nº]],PO!$A$8:$K$421,11,FALSE)</f>
        <v>1968.33</v>
      </c>
      <c r="E90" s="500" t="e">
        <f>Tabela1[[#This Row],[TOTAL ITEM (R$)]]/Tabela1[[#Totals],[TOTAL ITEM (R$)]]</f>
        <v>#REF!</v>
      </c>
      <c r="F90" s="487" t="e">
        <f>F89+Tabela1[[#This Row],[%ITEM]]</f>
        <v>#REF!</v>
      </c>
      <c r="G90" s="501" t="e">
        <f t="shared" si="1"/>
        <v>#REF!</v>
      </c>
    </row>
    <row r="91" spans="1:7" x14ac:dyDescent="0.25">
      <c r="A91" s="513" t="str">
        <f>PO!A409</f>
        <v>15.3.3</v>
      </c>
      <c r="B91" s="508">
        <f>VLOOKUP(Tabela1[[#This Row],[Nº]],PO!$A$8:$K$421,3,FALSE)</f>
        <v>98302</v>
      </c>
      <c r="C91" s="485" t="str">
        <f>VLOOKUP(Tabela1[[#This Row],[Nº]],PO!$A$8:$K$421,4,FALSE)</f>
        <v>Patch Panel 24 portas, categoria 6 - fornecimento e instalação.</v>
      </c>
      <c r="D91" s="486">
        <f>VLOOKUP(Tabela1[[#This Row],[Nº]],PO!$A$8:$K$421,11,FALSE)</f>
        <v>1920.57</v>
      </c>
      <c r="E91" s="500" t="e">
        <f>Tabela1[[#This Row],[TOTAL ITEM (R$)]]/Tabela1[[#Totals],[TOTAL ITEM (R$)]]</f>
        <v>#REF!</v>
      </c>
      <c r="F91" s="487" t="e">
        <f>F90+Tabela1[[#This Row],[%ITEM]]</f>
        <v>#REF!</v>
      </c>
      <c r="G91" s="501" t="e">
        <f t="shared" si="1"/>
        <v>#REF!</v>
      </c>
    </row>
    <row r="92" spans="1:7" x14ac:dyDescent="0.25">
      <c r="A92" s="513" t="str">
        <f>PO!A370</f>
        <v>14.7.1</v>
      </c>
      <c r="B92" s="508" t="str">
        <f>VLOOKUP(Tabela1[[#This Row],[Nº]],PO!$A$8:$K$421,3,FALSE)</f>
        <v>CPU-60</v>
      </c>
      <c r="C92" s="485" t="str">
        <f>VLOOKUP(Tabela1[[#This Row],[Nº]],PO!$A$8:$K$421,4,FALSE)</f>
        <v>Cabo de cobre nu 50 mm² - fornecimento e instalação</v>
      </c>
      <c r="D92" s="486">
        <f>VLOOKUP(Tabela1[[#This Row],[Nº]],PO!$A$8:$K$421,11,FALSE)</f>
        <v>1988.8</v>
      </c>
      <c r="E92" s="500" t="e">
        <f>Tabela1[[#This Row],[TOTAL ITEM (R$)]]/Tabela1[[#Totals],[TOTAL ITEM (R$)]]</f>
        <v>#REF!</v>
      </c>
      <c r="F92" s="487" t="e">
        <f>F91+Tabela1[[#This Row],[%ITEM]]</f>
        <v>#REF!</v>
      </c>
      <c r="G92" s="501" t="e">
        <f t="shared" si="1"/>
        <v>#REF!</v>
      </c>
    </row>
    <row r="93" spans="1:7" x14ac:dyDescent="0.25">
      <c r="A93" s="513" t="str">
        <f>PO!A63</f>
        <v>4.1.5</v>
      </c>
      <c r="B93" s="508">
        <f>VLOOKUP(Tabela1[[#This Row],[Nº]],PO!$A$8:$K$421,3,FALSE)</f>
        <v>96995</v>
      </c>
      <c r="C93" s="485" t="str">
        <f>VLOOKUP(Tabela1[[#This Row],[Nº]],PO!$A$8:$K$421,4,FALSE)</f>
        <v>Regularização de fundo de vala com soquete</v>
      </c>
      <c r="D93" s="486">
        <f>VLOOKUP(Tabela1[[#This Row],[Nº]],PO!$A$8:$K$421,11,FALSE)</f>
        <v>913.65</v>
      </c>
      <c r="E93" s="500" t="e">
        <f>Tabela1[[#This Row],[TOTAL ITEM (R$)]]/Tabela1[[#Totals],[TOTAL ITEM (R$)]]</f>
        <v>#REF!</v>
      </c>
      <c r="F93" s="487" t="e">
        <f>F92+Tabela1[[#This Row],[%ITEM]]</f>
        <v>#REF!</v>
      </c>
      <c r="G93" s="501" t="e">
        <f t="shared" si="1"/>
        <v>#REF!</v>
      </c>
    </row>
    <row r="94" spans="1:7" x14ac:dyDescent="0.25">
      <c r="A94" s="513" t="str">
        <f>PO!A18</f>
        <v>2.1.1</v>
      </c>
      <c r="B94" s="508">
        <f>VLOOKUP(Tabela1[[#This Row],[Nº]],PO!$A$8:$K$421,3,FALSE)</f>
        <v>97647</v>
      </c>
      <c r="C94" s="485" t="str">
        <f>VLOOKUP(Tabela1[[#This Row],[Nº]],PO!$A$8:$K$421,4,FALSE)</f>
        <v>Remoção de telhas, de fibrocimento, metálica, de forma manual, sem reaproveitamento. </v>
      </c>
      <c r="D94" s="486">
        <f>VLOOKUP(Tabela1[[#This Row],[Nº]],PO!$A$8:$K$421,11,FALSE)</f>
        <v>1745.18</v>
      </c>
      <c r="E94" s="500" t="e">
        <f>Tabela1[[#This Row],[TOTAL ITEM (R$)]]/Tabela1[[#Totals],[TOTAL ITEM (R$)]]</f>
        <v>#REF!</v>
      </c>
      <c r="F94" s="487" t="e">
        <f>F93+Tabela1[[#This Row],[%ITEM]]</f>
        <v>#REF!</v>
      </c>
      <c r="G94" s="501" t="e">
        <f t="shared" si="1"/>
        <v>#REF!</v>
      </c>
    </row>
    <row r="95" spans="1:7" x14ac:dyDescent="0.25">
      <c r="A95" s="513" t="str">
        <f>PO!A20</f>
        <v>2.1.3</v>
      </c>
      <c r="B95" s="508">
        <f>VLOOKUP(Tabela1[[#This Row],[Nº]],PO!$A$8:$K$421,3,FALSE)</f>
        <v>97652</v>
      </c>
      <c r="C95" s="485" t="str">
        <f>VLOOKUP(Tabela1[[#This Row],[Nº]],PO!$A$8:$K$421,4,FALSE)</f>
        <v xml:space="preserve">Remoção de tesouras de madeira, com vão maior ou igual a 8m, de forma manual, sem reaproveitamento. </v>
      </c>
      <c r="D95" s="486">
        <f>VLOOKUP(Tabela1[[#This Row],[Nº]],PO!$A$8:$K$421,11,FALSE)</f>
        <v>1716.8</v>
      </c>
      <c r="E95" s="500" t="e">
        <f>Tabela1[[#This Row],[TOTAL ITEM (R$)]]/Tabela1[[#Totals],[TOTAL ITEM (R$)]]</f>
        <v>#REF!</v>
      </c>
      <c r="F95" s="487" t="e">
        <f>F94+Tabela1[[#This Row],[%ITEM]]</f>
        <v>#REF!</v>
      </c>
      <c r="G95" s="501" t="e">
        <f t="shared" si="1"/>
        <v>#REF!</v>
      </c>
    </row>
    <row r="96" spans="1:7" ht="25.5" x14ac:dyDescent="0.25">
      <c r="A96" s="513" t="str">
        <f>PO!A78</f>
        <v>4.3.4</v>
      </c>
      <c r="B96" s="508">
        <f>VLOOKUP(Tabela1[[#This Row],[Nº]],PO!$A$8:$K$421,3,FALSE)</f>
        <v>92915</v>
      </c>
      <c r="C96" s="485" t="str">
        <f>VLOOKUP(Tabela1[[#This Row],[Nº]],PO!$A$8:$K$421,4,FALSE)</f>
        <v>Armação de Estruturas de Concreto Armado, Vigas, Pilares, Lajes e Fundações Profundas, Utilizando Aço AÇO CA-60 de 5,0 mm - Montagem e fornecimento</v>
      </c>
      <c r="D96" s="486">
        <f>VLOOKUP(Tabela1[[#This Row],[Nº]],PO!$A$8:$K$421,11,FALSE)</f>
        <v>1514.69</v>
      </c>
      <c r="E96" s="500" t="e">
        <f>Tabela1[[#This Row],[TOTAL ITEM (R$)]]/Tabela1[[#Totals],[TOTAL ITEM (R$)]]</f>
        <v>#REF!</v>
      </c>
      <c r="F96" s="487" t="e">
        <f>F95+Tabela1[[#This Row],[%ITEM]]</f>
        <v>#REF!</v>
      </c>
      <c r="G96" s="501" t="e">
        <f t="shared" si="1"/>
        <v>#REF!</v>
      </c>
    </row>
    <row r="97" spans="1:7" x14ac:dyDescent="0.25">
      <c r="A97" s="513" t="str">
        <f>PO!A195</f>
        <v>12.1.2</v>
      </c>
      <c r="B97" s="508">
        <f>VLOOKUP(Tabela1[[#This Row],[Nº]],PO!$A$8:$K$421,3,FALSE)</f>
        <v>89357</v>
      </c>
      <c r="C97" s="485" t="str">
        <f>VLOOKUP(Tabela1[[#This Row],[Nº]],PO!$A$8:$K$421,4,FALSE)</f>
        <v>Tubo, PVC, Soldavel, DN 32mm, Instalado em Ramal ou Sub Ramal de Agua - Fornecimento e Instalação</v>
      </c>
      <c r="D97" s="486">
        <f>VLOOKUP(Tabela1[[#This Row],[Nº]],PO!$A$8:$K$421,11,FALSE)</f>
        <v>1518.83</v>
      </c>
      <c r="E97" s="500" t="e">
        <f>Tabela1[[#This Row],[TOTAL ITEM (R$)]]/Tabela1[[#Totals],[TOTAL ITEM (R$)]]</f>
        <v>#REF!</v>
      </c>
      <c r="F97" s="487" t="e">
        <f>F96+Tabela1[[#This Row],[%ITEM]]</f>
        <v>#REF!</v>
      </c>
      <c r="G97" s="501" t="e">
        <f t="shared" si="1"/>
        <v>#REF!</v>
      </c>
    </row>
    <row r="98" spans="1:7" x14ac:dyDescent="0.25">
      <c r="A98" s="513" t="str">
        <f>PO!A257</f>
        <v>12.7.1</v>
      </c>
      <c r="B98" s="508">
        <f>VLOOKUP(Tabela1[[#This Row],[Nº]],PO!$A$8:$K$421,3,FALSE)</f>
        <v>90443</v>
      </c>
      <c r="C98" s="485" t="str">
        <f>VLOOKUP(Tabela1[[#This Row],[Nº]],PO!$A$8:$K$421,4,FALSE)</f>
        <v>Rasgo em alvenaria para ramais/ distribuição com diâmetros menores ou iguais a 40 mm</v>
      </c>
      <c r="D98" s="486">
        <f>VLOOKUP(Tabela1[[#This Row],[Nº]],PO!$A$8:$K$421,11,FALSE)</f>
        <v>1447.53</v>
      </c>
      <c r="E98" s="500" t="e">
        <f>Tabela1[[#This Row],[TOTAL ITEM (R$)]]/Tabela1[[#Totals],[TOTAL ITEM (R$)]]</f>
        <v>#REF!</v>
      </c>
      <c r="F98" s="487" t="e">
        <f>F97+Tabela1[[#This Row],[%ITEM]]</f>
        <v>#REF!</v>
      </c>
      <c r="G98" s="501" t="e">
        <f t="shared" si="1"/>
        <v>#REF!</v>
      </c>
    </row>
    <row r="99" spans="1:7" x14ac:dyDescent="0.25">
      <c r="A99" s="513" t="str">
        <f>PO!A163</f>
        <v>10.2.3</v>
      </c>
      <c r="B99" s="508" t="str">
        <f>VLOOKUP(Tabela1[[#This Row],[Nº]],PO!$A$8:$K$421,3,FALSE)</f>
        <v>CPU-27</v>
      </c>
      <c r="C99" s="485" t="str">
        <f>VLOOKUP(Tabela1[[#This Row],[Nº]],PO!$A$8:$K$421,4,FALSE)</f>
        <v>PVC 1 - Porta sanfonada em PVC - Fornecimento e instalação</v>
      </c>
      <c r="D99" s="486">
        <f>VLOOKUP(Tabela1[[#This Row],[Nº]],PO!$A$8:$K$421,11,FALSE)</f>
        <v>745.6</v>
      </c>
      <c r="E99" s="500" t="e">
        <f>Tabela1[[#This Row],[TOTAL ITEM (R$)]]/Tabela1[[#Totals],[TOTAL ITEM (R$)]]</f>
        <v>#REF!</v>
      </c>
      <c r="F99" s="487" t="e">
        <f>F98+Tabela1[[#This Row],[%ITEM]]</f>
        <v>#REF!</v>
      </c>
      <c r="G99" s="501" t="e">
        <f t="shared" si="1"/>
        <v>#REF!</v>
      </c>
    </row>
    <row r="100" spans="1:7" ht="25.5" x14ac:dyDescent="0.25">
      <c r="A100" s="513" t="str">
        <f>PO!A360</f>
        <v>14.5.3</v>
      </c>
      <c r="B100" s="508" t="str">
        <f>VLOOKUP(Tabela1[[#This Row],[Nº]],PO!$A$8:$K$421,3,FALSE)</f>
        <v>CPU-55</v>
      </c>
      <c r="C100" s="485" t="str">
        <f>VLOOKUP(Tabela1[[#This Row],[Nº]],PO!$A$8:$K$421,4,FALSE)</f>
        <v>Quadro de distribuição de energia de embutir, em chapa metálica, para 25 disjuntores termomagnéticos monopolares, com barramento trifásico e neutro, 250A - Fornecimento e instalação</v>
      </c>
      <c r="D100" s="486">
        <f>VLOOKUP(Tabela1[[#This Row],[Nº]],PO!$A$8:$K$421,11,FALSE)</f>
        <v>1627.35</v>
      </c>
      <c r="E100" s="500" t="e">
        <f>Tabela1[[#This Row],[TOTAL ITEM (R$)]]/Tabela1[[#Totals],[TOTAL ITEM (R$)]]</f>
        <v>#REF!</v>
      </c>
      <c r="F100" s="487" t="e">
        <f>F99+Tabela1[[#This Row],[%ITEM]]</f>
        <v>#REF!</v>
      </c>
      <c r="G100" s="501" t="e">
        <f t="shared" si="1"/>
        <v>#REF!</v>
      </c>
    </row>
    <row r="101" spans="1:7" ht="25.5" x14ac:dyDescent="0.25">
      <c r="A101" s="513" t="str">
        <f>PO!A359</f>
        <v>14.5.2</v>
      </c>
      <c r="B101" s="508" t="str">
        <f>VLOOKUP(Tabela1[[#This Row],[Nº]],PO!$A$8:$K$421,3,FALSE)</f>
        <v>CPU-54</v>
      </c>
      <c r="C101" s="485" t="str">
        <f>VLOOKUP(Tabela1[[#This Row],[Nº]],PO!$A$8:$K$421,4,FALSE)</f>
        <v>Quadro de distribuição de energia de embutir, em chapa metálica, para 12 disjuntores termomagnéticos monopolares, com barramento trifásico e neutro, 200A - Fornecimento e instalação</v>
      </c>
      <c r="D101" s="486">
        <f>VLOOKUP(Tabela1[[#This Row],[Nº]],PO!$A$8:$K$421,11,FALSE)</f>
        <v>1554.86</v>
      </c>
      <c r="E101" s="500" t="e">
        <f>Tabela1[[#This Row],[TOTAL ITEM (R$)]]/Tabela1[[#Totals],[TOTAL ITEM (R$)]]</f>
        <v>#REF!</v>
      </c>
      <c r="F101" s="487" t="e">
        <f>F100+Tabela1[[#This Row],[%ITEM]]</f>
        <v>#REF!</v>
      </c>
      <c r="G101" s="501" t="e">
        <f t="shared" si="1"/>
        <v>#REF!</v>
      </c>
    </row>
    <row r="102" spans="1:7" x14ac:dyDescent="0.25">
      <c r="A102" s="513" t="str">
        <f>PO!A118</f>
        <v>7.2.2</v>
      </c>
      <c r="B102" s="508" t="str">
        <f>VLOOKUP(Tabela1[[#This Row],[Nº]],PO!$A$8:$K$421,3,FALSE)</f>
        <v>CPU-74</v>
      </c>
      <c r="C102" s="485" t="str">
        <f>VLOOKUP(Tabela1[[#This Row],[Nº]],PO!$A$8:$K$421,4,FALSE)</f>
        <v xml:space="preserve">Cumeeira de alumínio termoacústica, perfil trapezoidal - Fornecimento e instalação </v>
      </c>
      <c r="D102" s="486">
        <f>VLOOKUP(Tabela1[[#This Row],[Nº]],PO!$A$8:$K$421,11,FALSE)</f>
        <v>926.74</v>
      </c>
      <c r="E102" s="500" t="e">
        <f>Tabela1[[#This Row],[TOTAL ITEM (R$)]]/Tabela1[[#Totals],[TOTAL ITEM (R$)]]</f>
        <v>#REF!</v>
      </c>
      <c r="F102" s="487" t="e">
        <f>F101+Tabela1[[#This Row],[%ITEM]]</f>
        <v>#REF!</v>
      </c>
      <c r="G102" s="501" t="e">
        <f t="shared" si="1"/>
        <v>#REF!</v>
      </c>
    </row>
    <row r="103" spans="1:7" ht="25.5" x14ac:dyDescent="0.25">
      <c r="A103" s="513" t="str">
        <f>PO!A75</f>
        <v>4.3.2</v>
      </c>
      <c r="B103" s="508">
        <f>VLOOKUP(Tabela1[[#This Row],[Nº]],PO!$A$8:$K$421,3,FALSE)</f>
        <v>92919</v>
      </c>
      <c r="C103" s="485" t="str">
        <f>VLOOKUP(Tabela1[[#This Row],[Nº]],PO!$A$8:$K$421,4,FALSE)</f>
        <v>Armação de Estruturas de Concreto Armado, Vigas, Pilares, Lajes e Fundações Profundas, Utilizando Aço AÇO CA-50 de 10,0 mm - Montagem e fornecimento</v>
      </c>
      <c r="D103" s="486">
        <f>VLOOKUP(Tabela1[[#This Row],[Nº]],PO!$A$8:$K$421,11,FALSE)</f>
        <v>1376.53</v>
      </c>
      <c r="E103" s="500" t="e">
        <f>Tabela1[[#This Row],[TOTAL ITEM (R$)]]/Tabela1[[#Totals],[TOTAL ITEM (R$)]]</f>
        <v>#REF!</v>
      </c>
      <c r="F103" s="487" t="e">
        <f>F102+Tabela1[[#This Row],[%ITEM]]</f>
        <v>#REF!</v>
      </c>
      <c r="G103" s="501" t="e">
        <f t="shared" si="1"/>
        <v>#REF!</v>
      </c>
    </row>
    <row r="104" spans="1:7" x14ac:dyDescent="0.25">
      <c r="A104" s="513" t="str">
        <f>PO!A185</f>
        <v>11.2.1</v>
      </c>
      <c r="B104" s="508" t="str">
        <f>VLOOKUP(Tabela1[[#This Row],[Nº]],PO!$A$8:$K$421,3,FALSE)</f>
        <v>CPU-33</v>
      </c>
      <c r="C104" s="485" t="str">
        <f>VLOOKUP(Tabela1[[#This Row],[Nº]],PO!$A$8:$K$421,4,FALSE)</f>
        <v>Pintura esmalte alto brilho, duas demãos, sobre superfície metálica</v>
      </c>
      <c r="D104" s="486">
        <f>VLOOKUP(Tabela1[[#This Row],[Nº]],PO!$A$8:$K$421,11,FALSE)</f>
        <v>1440.32</v>
      </c>
      <c r="E104" s="500" t="e">
        <f>Tabela1[[#This Row],[TOTAL ITEM (R$)]]/Tabela1[[#Totals],[TOTAL ITEM (R$)]]</f>
        <v>#REF!</v>
      </c>
      <c r="F104" s="487" t="e">
        <f>F103+Tabela1[[#This Row],[%ITEM]]</f>
        <v>#REF!</v>
      </c>
      <c r="G104" s="501" t="e">
        <f t="shared" si="1"/>
        <v>#REF!</v>
      </c>
    </row>
    <row r="105" spans="1:7" x14ac:dyDescent="0.25">
      <c r="A105" s="513" t="str">
        <f>PO!A355</f>
        <v>14.4.10</v>
      </c>
      <c r="B105" s="508" t="str">
        <f>VLOOKUP(Tabela1[[#This Row],[Nº]],PO!$A$8:$K$421,3,FALSE)</f>
        <v>CPU-52</v>
      </c>
      <c r="C105" s="485" t="str">
        <f>VLOOKUP(Tabela1[[#This Row],[Nº]],PO!$A$8:$K$421,4,FALSE)</f>
        <v>Dispositivo DPS, classe II, 01 Pólo, 175V, 8kA - Fornecimento e Instalação</v>
      </c>
      <c r="D105" s="486">
        <f>VLOOKUP(Tabela1[[#This Row],[Nº]],PO!$A$8:$K$421,11,FALSE)</f>
        <v>1542.48</v>
      </c>
      <c r="E105" s="500" t="e">
        <f>Tabela1[[#This Row],[TOTAL ITEM (R$)]]/Tabela1[[#Totals],[TOTAL ITEM (R$)]]</f>
        <v>#REF!</v>
      </c>
      <c r="F105" s="487" t="e">
        <f>F104+Tabela1[[#This Row],[%ITEM]]</f>
        <v>#REF!</v>
      </c>
      <c r="G105" s="501" t="e">
        <f t="shared" si="1"/>
        <v>#REF!</v>
      </c>
    </row>
    <row r="106" spans="1:7" x14ac:dyDescent="0.25">
      <c r="A106" s="513" t="str">
        <f>PO!A404</f>
        <v>15.2.4</v>
      </c>
      <c r="B106" s="508" t="str">
        <f>VLOOKUP(Tabela1[[#This Row],[Nº]],PO!$A$8:$K$421,3,FALSE)</f>
        <v>CPU-65</v>
      </c>
      <c r="C106" s="485" t="str">
        <f>VLOOKUP(Tabela1[[#This Row],[Nº]],PO!$A$8:$K$421,4,FALSE)</f>
        <v>Tomada RJ45, CAT 6, com placa 2x4", 2 módulos - fornecimento e instalação.</v>
      </c>
      <c r="D106" s="486">
        <f>VLOOKUP(Tabela1[[#This Row],[Nº]],PO!$A$8:$K$421,11,FALSE)</f>
        <v>1035.5999999999999</v>
      </c>
      <c r="E106" s="500" t="e">
        <f>Tabela1[[#This Row],[TOTAL ITEM (R$)]]/Tabela1[[#Totals],[TOTAL ITEM (R$)]]</f>
        <v>#REF!</v>
      </c>
      <c r="F106" s="487" t="e">
        <f>F105+Tabela1[[#This Row],[%ITEM]]</f>
        <v>#REF!</v>
      </c>
      <c r="G106" s="501" t="e">
        <f t="shared" si="1"/>
        <v>#REF!</v>
      </c>
    </row>
    <row r="107" spans="1:7" ht="25.5" x14ac:dyDescent="0.25">
      <c r="A107" s="513" t="str">
        <f>PO!A358</f>
        <v>14.5.1</v>
      </c>
      <c r="B107" s="508" t="str">
        <f>VLOOKUP(Tabela1[[#This Row],[Nº]],PO!$A$8:$K$421,3,FALSE)</f>
        <v>CPU-53</v>
      </c>
      <c r="C107" s="485" t="str">
        <f>VLOOKUP(Tabela1[[#This Row],[Nº]],PO!$A$8:$K$421,4,FALSE)</f>
        <v>Quadro de distribuição de energia de embutir, em chapa metálica, para 56 disjuntores termomagnéticos monopolares, com barramento trifásico e neutro, 225A - Fornecimento e instalação</v>
      </c>
      <c r="D107" s="486">
        <f>VLOOKUP(Tabela1[[#This Row],[Nº]],PO!$A$8:$K$421,11,FALSE)</f>
        <v>1539.19</v>
      </c>
      <c r="E107" s="500" t="e">
        <f>Tabela1[[#This Row],[TOTAL ITEM (R$)]]/Tabela1[[#Totals],[TOTAL ITEM (R$)]]</f>
        <v>#REF!</v>
      </c>
      <c r="F107" s="487" t="e">
        <f>F106+Tabela1[[#This Row],[%ITEM]]</f>
        <v>#REF!</v>
      </c>
      <c r="G107" s="501" t="e">
        <f t="shared" si="1"/>
        <v>#REF!</v>
      </c>
    </row>
    <row r="108" spans="1:7" x14ac:dyDescent="0.25">
      <c r="A108" s="513" t="str">
        <f>PO!A366</f>
        <v>14.6.4</v>
      </c>
      <c r="B108" s="508" t="str">
        <f>VLOOKUP(Tabela1[[#This Row],[Nº]],PO!$A$8:$K$421,3,FALSE)</f>
        <v>CPU-58</v>
      </c>
      <c r="C108" s="485" t="str">
        <f>VLOOKUP(Tabela1[[#This Row],[Nº]],PO!$A$8:$K$421,4,FALSE)</f>
        <v>Placa Led 30x30 - Fornecimento e instalação.</v>
      </c>
      <c r="D108" s="486">
        <f>VLOOKUP(Tabela1[[#This Row],[Nº]],PO!$A$8:$K$421,11,FALSE)</f>
        <v>1604.9</v>
      </c>
      <c r="E108" s="500" t="e">
        <f>Tabela1[[#This Row],[TOTAL ITEM (R$)]]/Tabela1[[#Totals],[TOTAL ITEM (R$)]]</f>
        <v>#REF!</v>
      </c>
      <c r="F108" s="487" t="e">
        <f>F107+Tabela1[[#This Row],[%ITEM]]</f>
        <v>#REF!</v>
      </c>
      <c r="G108" s="501" t="e">
        <f t="shared" si="1"/>
        <v>#REF!</v>
      </c>
    </row>
    <row r="109" spans="1:7" x14ac:dyDescent="0.25">
      <c r="A109" s="513" t="str">
        <f>PO!A233</f>
        <v>12.3.1</v>
      </c>
      <c r="B109" s="508" t="str">
        <f>VLOOKUP(Tabela1[[#This Row],[Nº]],PO!$A$8:$K$421,3,FALSE)</f>
        <v>CPU-77</v>
      </c>
      <c r="C109" s="485" t="str">
        <f>VLOOKUP(Tabela1[[#This Row],[Nº]],PO!$A$8:$K$421,4,FALSE)</f>
        <v>Registro de pressão com canopla Ø 25 mm - 1".</v>
      </c>
      <c r="D109" s="486">
        <f>VLOOKUP(Tabela1[[#This Row],[Nº]],PO!$A$8:$K$421,11,FALSE)</f>
        <v>489.75</v>
      </c>
      <c r="E109" s="500" t="e">
        <f>Tabela1[[#This Row],[TOTAL ITEM (R$)]]/Tabela1[[#Totals],[TOTAL ITEM (R$)]]</f>
        <v>#REF!</v>
      </c>
      <c r="F109" s="487" t="e">
        <f>F108+Tabela1[[#This Row],[%ITEM]]</f>
        <v>#REF!</v>
      </c>
      <c r="G109" s="501" t="e">
        <f t="shared" si="1"/>
        <v>#REF!</v>
      </c>
    </row>
    <row r="110" spans="1:7" x14ac:dyDescent="0.25">
      <c r="A110" s="513" t="str">
        <f>PO!A323</f>
        <v>14.2.7</v>
      </c>
      <c r="B110" s="508">
        <f>VLOOKUP(Tabela1[[#This Row],[Nº]],PO!$A$8:$K$421,3,FALSE)</f>
        <v>92990</v>
      </c>
      <c r="C110" s="485" t="str">
        <f>VLOOKUP(Tabela1[[#This Row],[Nº]],PO!$A$8:$K$421,4,FALSE)</f>
        <v>Cabo de cobre flexível isolado, 70 mm², antichama 0,6/1,0 KV, para distribuição - fornecimento e instalação.</v>
      </c>
      <c r="D110" s="486">
        <f>VLOOKUP(Tabela1[[#This Row],[Nº]],PO!$A$8:$K$421,11,FALSE)</f>
        <v>1154.79</v>
      </c>
      <c r="E110" s="500" t="e">
        <f>Tabela1[[#This Row],[TOTAL ITEM (R$)]]/Tabela1[[#Totals],[TOTAL ITEM (R$)]]</f>
        <v>#REF!</v>
      </c>
      <c r="F110" s="487" t="e">
        <f>F109+Tabela1[[#This Row],[%ITEM]]</f>
        <v>#REF!</v>
      </c>
      <c r="G110" s="501" t="e">
        <f t="shared" si="1"/>
        <v>#REF!</v>
      </c>
    </row>
    <row r="111" spans="1:7" x14ac:dyDescent="0.25">
      <c r="A111" s="513" t="str">
        <f>PO!A85</f>
        <v>4.4.3</v>
      </c>
      <c r="B111" s="508">
        <f>VLOOKUP(Tabela1[[#This Row],[Nº]],PO!$A$8:$K$421,3,FALSE)</f>
        <v>92873</v>
      </c>
      <c r="C111" s="485" t="str">
        <f>VLOOKUP(Tabela1[[#This Row],[Nº]],PO!$A$8:$K$421,4,FALSE)</f>
        <v>Lançamento com Uso de Baldes, Andesamento e Acabamento de Concreto em Estrturas</v>
      </c>
      <c r="D111" s="486">
        <f>VLOOKUP(Tabela1[[#This Row],[Nº]],PO!$A$8:$K$421,11,FALSE)</f>
        <v>1626.06</v>
      </c>
      <c r="E111" s="500" t="e">
        <f>Tabela1[[#This Row],[TOTAL ITEM (R$)]]/Tabela1[[#Totals],[TOTAL ITEM (R$)]]</f>
        <v>#REF!</v>
      </c>
      <c r="F111" s="487" t="e">
        <f>F110+Tabela1[[#This Row],[%ITEM]]</f>
        <v>#REF!</v>
      </c>
      <c r="G111" s="501" t="e">
        <f t="shared" si="1"/>
        <v>#REF!</v>
      </c>
    </row>
    <row r="112" spans="1:7" x14ac:dyDescent="0.25">
      <c r="A112" s="513" t="str">
        <f>PO!A407</f>
        <v>15.3.1</v>
      </c>
      <c r="B112" s="508" t="str">
        <f>VLOOKUP(Tabela1[[#This Row],[Nº]],PO!$A$8:$K$421,3,FALSE)</f>
        <v>CPU-66</v>
      </c>
      <c r="C112" s="485" t="str">
        <f>VLOOKUP(Tabela1[[#This Row],[Nº]],PO!$A$8:$K$421,4,FALSE)</f>
        <v>Rack de parede fechado, 19", 17U - fornecimento e instalação.</v>
      </c>
      <c r="D112" s="486">
        <f>VLOOKUP(Tabela1[[#This Row],[Nº]],PO!$A$8:$K$421,11,FALSE)</f>
        <v>1075.93</v>
      </c>
      <c r="E112" s="500" t="e">
        <f>Tabela1[[#This Row],[TOTAL ITEM (R$)]]/Tabela1[[#Totals],[TOTAL ITEM (R$)]]</f>
        <v>#REF!</v>
      </c>
      <c r="F112" s="487" t="e">
        <f>F111+Tabela1[[#This Row],[%ITEM]]</f>
        <v>#REF!</v>
      </c>
      <c r="G112" s="501" t="e">
        <f t="shared" si="1"/>
        <v>#REF!</v>
      </c>
    </row>
    <row r="113" spans="1:7" x14ac:dyDescent="0.25">
      <c r="A113" s="513" t="str">
        <f>PO!A376</f>
        <v>14.8.1</v>
      </c>
      <c r="B113" s="508">
        <f>VLOOKUP(Tabela1[[#This Row],[Nº]],PO!$A$8:$K$421,3,FALSE)</f>
        <v>90447</v>
      </c>
      <c r="C113" s="485" t="str">
        <f>VLOOKUP(Tabela1[[#This Row],[Nº]],PO!$A$8:$K$421,4,FALSE)</f>
        <v>Rasgo em alvenaria para eletroduto com diâmetros menores ou iguais a 40 mm</v>
      </c>
      <c r="D113" s="486">
        <f>VLOOKUP(Tabela1[[#This Row],[Nº]],PO!$A$8:$K$421,11,FALSE)</f>
        <v>1064.68</v>
      </c>
      <c r="E113" s="500" t="e">
        <f>Tabela1[[#This Row],[TOTAL ITEM (R$)]]/Tabela1[[#Totals],[TOTAL ITEM (R$)]]</f>
        <v>#REF!</v>
      </c>
      <c r="F113" s="487" t="e">
        <f>F112+Tabela1[[#This Row],[%ITEM]]</f>
        <v>#REF!</v>
      </c>
      <c r="G113" s="501" t="e">
        <f t="shared" si="1"/>
        <v>#REF!</v>
      </c>
    </row>
    <row r="114" spans="1:7" x14ac:dyDescent="0.25">
      <c r="A114" s="513" t="str">
        <f>PO!A377</f>
        <v>14.8.2</v>
      </c>
      <c r="B114" s="508" t="str">
        <f>VLOOKUP(Tabela1[[#This Row],[Nº]],PO!$A$8:$K$421,3,FALSE)</f>
        <v>CPU-44</v>
      </c>
      <c r="C114" s="485" t="str">
        <f>VLOOKUP(Tabela1[[#This Row],[Nº]],PO!$A$8:$K$421,4,FALSE)</f>
        <v>Enchimento de rasgo em alvenaria com argamassa mista traço 1:4, para tubulação de 1/2" a 25 mm</v>
      </c>
      <c r="D114" s="486">
        <f>VLOOKUP(Tabela1[[#This Row],[Nº]],PO!$A$8:$K$421,11,FALSE)</f>
        <v>1011.36</v>
      </c>
      <c r="E114" s="500" t="e">
        <f>Tabela1[[#This Row],[TOTAL ITEM (R$)]]/Tabela1[[#Totals],[TOTAL ITEM (R$)]]</f>
        <v>#REF!</v>
      </c>
      <c r="F114" s="487" t="e">
        <f>F113+Tabela1[[#This Row],[%ITEM]]</f>
        <v>#REF!</v>
      </c>
      <c r="G114" s="501" t="e">
        <f t="shared" si="1"/>
        <v>#REF!</v>
      </c>
    </row>
    <row r="115" spans="1:7" ht="25.5" x14ac:dyDescent="0.25">
      <c r="A115" s="513" t="str">
        <f>PO!A389</f>
        <v>15.1.1</v>
      </c>
      <c r="B115" s="508">
        <f>VLOOKUP(Tabela1[[#This Row],[Nº]],PO!$A$8:$K$421,3,FALSE)</f>
        <v>91884</v>
      </c>
      <c r="C115" s="485" t="str">
        <f>VLOOKUP(Tabela1[[#This Row],[Nº]],PO!$A$8:$K$421,4,FALSE)</f>
        <v>Luva para eletroduto, PVC, roscável, DN 25 mm (3/4"), para circuitos terminais, instalada em parede - fornecimento e instalação.</v>
      </c>
      <c r="D115" s="486">
        <f>VLOOKUP(Tabela1[[#This Row],[Nº]],PO!$A$8:$K$421,11,FALSE)</f>
        <v>1002.45</v>
      </c>
      <c r="E115" s="500" t="e">
        <f>Tabela1[[#This Row],[TOTAL ITEM (R$)]]/Tabela1[[#Totals],[TOTAL ITEM (R$)]]</f>
        <v>#REF!</v>
      </c>
      <c r="F115" s="487" t="e">
        <f>F114+Tabela1[[#This Row],[%ITEM]]</f>
        <v>#REF!</v>
      </c>
      <c r="G115" s="501" t="e">
        <f t="shared" si="1"/>
        <v>#REF!</v>
      </c>
    </row>
    <row r="116" spans="1:7" x14ac:dyDescent="0.25">
      <c r="A116" s="513" t="str">
        <f>PO!A60</f>
        <v>4.1.3</v>
      </c>
      <c r="B116" s="508">
        <f>VLOOKUP(Tabela1[[#This Row],[Nº]],PO!$A$8:$K$421,3,FALSE)</f>
        <v>96995</v>
      </c>
      <c r="C116" s="485" t="str">
        <f>VLOOKUP(Tabela1[[#This Row],[Nº]],PO!$A$8:$K$421,4,FALSE)</f>
        <v>Reaterro de valas com compactação manual.</v>
      </c>
      <c r="D116" s="486">
        <f>VLOOKUP(Tabela1[[#This Row],[Nº]],PO!$A$8:$K$421,11,FALSE)</f>
        <v>114.82</v>
      </c>
      <c r="E116" s="500" t="e">
        <f>Tabela1[[#This Row],[TOTAL ITEM (R$)]]/Tabela1[[#Totals],[TOTAL ITEM (R$)]]</f>
        <v>#REF!</v>
      </c>
      <c r="F116" s="487" t="e">
        <f>F115+Tabela1[[#This Row],[%ITEM]]</f>
        <v>#REF!</v>
      </c>
      <c r="G116" s="501" t="e">
        <f t="shared" si="1"/>
        <v>#REF!</v>
      </c>
    </row>
    <row r="117" spans="1:7" x14ac:dyDescent="0.25">
      <c r="A117" s="513" t="str">
        <f>PO!A403</f>
        <v>15.2.3</v>
      </c>
      <c r="B117" s="508" t="str">
        <f>VLOOKUP(Tabela1[[#This Row],[Nº]],PO!$A$8:$K$421,3,FALSE)</f>
        <v>CPU-64</v>
      </c>
      <c r="C117" s="485" t="str">
        <f>VLOOKUP(Tabela1[[#This Row],[Nº]],PO!$A$8:$K$421,4,FALSE)</f>
        <v>Tomada RJ45, CAT 6, com placa 2x4", 1 módulo - fornecimento e instalação.</v>
      </c>
      <c r="D117" s="486">
        <f>VLOOKUP(Tabela1[[#This Row],[Nº]],PO!$A$8:$K$421,11,FALSE)</f>
        <v>851.85</v>
      </c>
      <c r="E117" s="500" t="e">
        <f>Tabela1[[#This Row],[TOTAL ITEM (R$)]]/Tabela1[[#Totals],[TOTAL ITEM (R$)]]</f>
        <v>#REF!</v>
      </c>
      <c r="F117" s="487" t="e">
        <f>F116+Tabela1[[#This Row],[%ITEM]]</f>
        <v>#REF!</v>
      </c>
      <c r="G117" s="501" t="e">
        <f t="shared" si="1"/>
        <v>#REF!</v>
      </c>
    </row>
    <row r="118" spans="1:7" x14ac:dyDescent="0.25">
      <c r="A118" s="513" t="str">
        <f>PO!A400</f>
        <v>15.2.1</v>
      </c>
      <c r="B118" s="508">
        <f>VLOOKUP(Tabela1[[#This Row],[Nº]],PO!$A$8:$K$421,3,FALSE)</f>
        <v>91939</v>
      </c>
      <c r="C118" s="485" t="str">
        <f>VLOOKUP(Tabela1[[#This Row],[Nº]],PO!$A$8:$K$421,4,FALSE)</f>
        <v>Caixa retangular 4" x 2" alta (2,20 m do piso), PVC, instalada em parede - fornecimento e instalação. </v>
      </c>
      <c r="D118" s="486">
        <f>VLOOKUP(Tabela1[[#This Row],[Nº]],PO!$A$8:$K$421,11,FALSE)</f>
        <v>962.37</v>
      </c>
      <c r="E118" s="500" t="e">
        <f>Tabela1[[#This Row],[TOTAL ITEM (R$)]]/Tabela1[[#Totals],[TOTAL ITEM (R$)]]</f>
        <v>#REF!</v>
      </c>
      <c r="F118" s="487" t="e">
        <f>F117+Tabela1[[#This Row],[%ITEM]]</f>
        <v>#REF!</v>
      </c>
      <c r="G118" s="501" t="e">
        <f t="shared" si="1"/>
        <v>#REF!</v>
      </c>
    </row>
    <row r="119" spans="1:7" x14ac:dyDescent="0.25">
      <c r="A119" s="513" t="str">
        <f>PO!A321</f>
        <v>14.2.5</v>
      </c>
      <c r="B119" s="508">
        <f>VLOOKUP(Tabela1[[#This Row],[Nº]],PO!$A$8:$K$421,3,FALSE)</f>
        <v>92985</v>
      </c>
      <c r="C119" s="485" t="str">
        <f>VLOOKUP(Tabela1[[#This Row],[Nº]],PO!$A$8:$K$421,4,FALSE)</f>
        <v>Cabo de cobre flexível isolado, 35 mm², antichama 450/750 V, para distribuição - fornecimento e instalação.</v>
      </c>
      <c r="D119" s="486">
        <f>VLOOKUP(Tabela1[[#This Row],[Nº]],PO!$A$8:$K$421,11,FALSE)</f>
        <v>981.05</v>
      </c>
      <c r="E119" s="500" t="e">
        <f>Tabela1[[#This Row],[TOTAL ITEM (R$)]]/Tabela1[[#Totals],[TOTAL ITEM (R$)]]</f>
        <v>#REF!</v>
      </c>
      <c r="F119" s="487" t="e">
        <f>F118+Tabela1[[#This Row],[%ITEM]]</f>
        <v>#REF!</v>
      </c>
      <c r="G119" s="501" t="e">
        <f t="shared" si="1"/>
        <v>#REF!</v>
      </c>
    </row>
    <row r="120" spans="1:7" x14ac:dyDescent="0.25">
      <c r="A120" s="513" t="str">
        <f>PO!A340</f>
        <v>14.3.11</v>
      </c>
      <c r="B120" s="508">
        <f>VLOOKUP(Tabela1[[#This Row],[Nº]],PO!$A$8:$K$421,3,FALSE)</f>
        <v>92008</v>
      </c>
      <c r="C120" s="485" t="str">
        <f>VLOOKUP(Tabela1[[#This Row],[Nº]],PO!$A$8:$K$421,4,FALSE)</f>
        <v>Tomada baixa de embutir (2 módulos), 2P+T 10 A, incluindo suporte e placa - fornecimento e instalação.</v>
      </c>
      <c r="D120" s="486">
        <f>VLOOKUP(Tabela1[[#This Row],[Nº]],PO!$A$8:$K$421,11,FALSE)</f>
        <v>900.06</v>
      </c>
      <c r="E120" s="500" t="e">
        <f>Tabela1[[#This Row],[TOTAL ITEM (R$)]]/Tabela1[[#Totals],[TOTAL ITEM (R$)]]</f>
        <v>#REF!</v>
      </c>
      <c r="F120" s="487" t="e">
        <f>F119+Tabela1[[#This Row],[%ITEM]]</f>
        <v>#REF!</v>
      </c>
      <c r="G120" s="501" t="e">
        <f t="shared" si="1"/>
        <v>#REF!</v>
      </c>
    </row>
    <row r="121" spans="1:7" x14ac:dyDescent="0.25">
      <c r="A121" s="513" t="str">
        <f>PO!A273</f>
        <v>13.1.4</v>
      </c>
      <c r="B121" s="508">
        <f>VLOOKUP(Tabela1[[#This Row],[Nº]],PO!$A$8:$K$421,3,FALSE)</f>
        <v>89357</v>
      </c>
      <c r="C121" s="485" t="str">
        <f>VLOOKUP(Tabela1[[#This Row],[Nº]],PO!$A$8:$K$421,4,FALSE)</f>
        <v>Tubo, PVC, Soldavel, DN 32mm - Fornecimento e Instalação</v>
      </c>
      <c r="D121" s="486">
        <f>VLOOKUP(Tabela1[[#This Row],[Nº]],PO!$A$8:$K$421,11,FALSE)</f>
        <v>850.26</v>
      </c>
      <c r="E121" s="500" t="e">
        <f>Tabela1[[#This Row],[TOTAL ITEM (R$)]]/Tabela1[[#Totals],[TOTAL ITEM (R$)]]</f>
        <v>#REF!</v>
      </c>
      <c r="F121" s="487" t="e">
        <f>F120+Tabela1[[#This Row],[%ITEM]]</f>
        <v>#REF!</v>
      </c>
      <c r="G121" s="501" t="e">
        <f t="shared" si="1"/>
        <v>#REF!</v>
      </c>
    </row>
    <row r="122" spans="1:7" x14ac:dyDescent="0.25">
      <c r="A122" s="513" t="str">
        <f>PO!A253</f>
        <v>12.6.1</v>
      </c>
      <c r="B122" s="508">
        <f>VLOOKUP(Tabela1[[#This Row],[Nº]],PO!$A$8:$K$421,3,FALSE)</f>
        <v>88503</v>
      </c>
      <c r="C122" s="485" t="str">
        <f>VLOOKUP(Tabela1[[#This Row],[Nº]],PO!$A$8:$K$421,4,FALSE)</f>
        <v>Caixa D'Agua em Polietileno, 1000 Litros, com Acessórios - fornecimento e instalação</v>
      </c>
      <c r="D122" s="486">
        <f>VLOOKUP(Tabela1[[#This Row],[Nº]],PO!$A$8:$K$421,11,FALSE)</f>
        <v>850.56</v>
      </c>
      <c r="E122" s="500" t="e">
        <f>Tabela1[[#This Row],[TOTAL ITEM (R$)]]/Tabela1[[#Totals],[TOTAL ITEM (R$)]]</f>
        <v>#REF!</v>
      </c>
      <c r="F122" s="487" t="e">
        <f>F121+Tabela1[[#This Row],[%ITEM]]</f>
        <v>#REF!</v>
      </c>
      <c r="G122" s="501" t="e">
        <f t="shared" si="1"/>
        <v>#REF!</v>
      </c>
    </row>
    <row r="123" spans="1:7" ht="25.5" x14ac:dyDescent="0.25">
      <c r="A123" s="513" t="str">
        <f>PO!A241</f>
        <v>12.4.3</v>
      </c>
      <c r="B123" s="508">
        <f>VLOOKUP(Tabela1[[#This Row],[Nº]],PO!$A$8:$K$421,3,FALSE)</f>
        <v>86919</v>
      </c>
      <c r="C123" s="485" t="str">
        <f>VLOOKUP(Tabela1[[#This Row],[Nº]],PO!$A$8:$K$421,4,FALSE)</f>
        <v xml:space="preserve">Tanque de louça branca com coluna, 30l ou equivalente, incluso sifão flexível em PVC, válvula metálica e torneira de metal cromado padrão médio - fornecimento e instalação. </v>
      </c>
      <c r="D123" s="486">
        <f>VLOOKUP(Tabela1[[#This Row],[Nº]],PO!$A$8:$K$421,11,FALSE)</f>
        <v>890.8</v>
      </c>
      <c r="E123" s="500" t="e">
        <f>Tabela1[[#This Row],[TOTAL ITEM (R$)]]/Tabela1[[#Totals],[TOTAL ITEM (R$)]]</f>
        <v>#REF!</v>
      </c>
      <c r="F123" s="487" t="e">
        <f>F122+Tabela1[[#This Row],[%ITEM]]</f>
        <v>#REF!</v>
      </c>
      <c r="G123" s="501" t="e">
        <f t="shared" si="1"/>
        <v>#REF!</v>
      </c>
    </row>
    <row r="124" spans="1:7" ht="25.5" x14ac:dyDescent="0.25">
      <c r="A124" s="513" t="str">
        <f>PO!A260</f>
        <v>12.7.4</v>
      </c>
      <c r="B124" s="508" t="str">
        <f>VLOOKUP(Tabela1[[#This Row],[Nº]],PO!$A$8:$K$421,3,FALSE)</f>
        <v>CPU-45</v>
      </c>
      <c r="C124" s="485" t="str">
        <f>VLOOKUP(Tabela1[[#This Row],[Nº]],PO!$A$8:$K$421,4,FALSE)</f>
        <v>Enchimento de rasgo em alvenaria com argamassa mista de cal hidratada e areia traço 1:4 com adição de 150 kg de cimento, para tubulação Ø 32 mm - 1 1/4" a 50 mm - 2"</v>
      </c>
      <c r="D124" s="486">
        <f>VLOOKUP(Tabela1[[#This Row],[Nº]],PO!$A$8:$K$421,11,FALSE)</f>
        <v>841.14</v>
      </c>
      <c r="E124" s="500" t="e">
        <f>Tabela1[[#This Row],[TOTAL ITEM (R$)]]/Tabela1[[#Totals],[TOTAL ITEM (R$)]]</f>
        <v>#REF!</v>
      </c>
      <c r="F124" s="487" t="e">
        <f>F123+Tabela1[[#This Row],[%ITEM]]</f>
        <v>#REF!</v>
      </c>
      <c r="G124" s="501" t="e">
        <f t="shared" si="1"/>
        <v>#REF!</v>
      </c>
    </row>
    <row r="125" spans="1:7" ht="25.5" x14ac:dyDescent="0.25">
      <c r="A125" s="513" t="str">
        <f>PO!A200</f>
        <v>12.1.6</v>
      </c>
      <c r="B125" s="508">
        <f>VLOOKUP(Tabela1[[#This Row],[Nº]],PO!$A$8:$K$421,3,FALSE)</f>
        <v>89712</v>
      </c>
      <c r="C125" s="485" t="str">
        <f>VLOOKUP(Tabela1[[#This Row],[Nº]],PO!$A$8:$K$421,4,FALSE)</f>
        <v>Tubo PVC, Serie Normal, Esgoto Predial, DN 50 mm, Fornecimento e Instalação em Ramal de Descarga ou Ramal de Esgoto Sanitário</v>
      </c>
      <c r="D125" s="486">
        <f>VLOOKUP(Tabela1[[#This Row],[Nº]],PO!$A$8:$K$421,11,FALSE)</f>
        <v>779.22</v>
      </c>
      <c r="E125" s="500" t="e">
        <f>Tabela1[[#This Row],[TOTAL ITEM (R$)]]/Tabela1[[#Totals],[TOTAL ITEM (R$)]]</f>
        <v>#REF!</v>
      </c>
      <c r="F125" s="487" t="e">
        <f>F124+Tabela1[[#This Row],[%ITEM]]</f>
        <v>#REF!</v>
      </c>
      <c r="G125" s="501" t="e">
        <f t="shared" si="1"/>
        <v>#REF!</v>
      </c>
    </row>
    <row r="126" spans="1:7" ht="25.5" x14ac:dyDescent="0.25">
      <c r="A126" s="513" t="str">
        <f>PO!A312</f>
        <v>14.1.12</v>
      </c>
      <c r="B126" s="508" t="str">
        <f>VLOOKUP(Tabela1[[#This Row],[Nº]],PO!$A$8:$K$421,3,FALSE)</f>
        <v>CPU-79</v>
      </c>
      <c r="C126" s="485" t="str">
        <f>VLOOKUP(Tabela1[[#This Row],[Nº]],PO!$A$8:$K$421,4,FALSE)</f>
        <v>Eletrocalha perfurada em chapa de aço galvanizado, com tampa largura 100 mm x altura 100 mm, instalação superior, inclusive conexões</v>
      </c>
      <c r="D126" s="486">
        <f>VLOOKUP(Tabela1[[#This Row],[Nº]],PO!$A$8:$K$421,11,FALSE)</f>
        <v>824.11</v>
      </c>
      <c r="E126" s="500" t="e">
        <f>Tabela1[[#This Row],[TOTAL ITEM (R$)]]/Tabela1[[#Totals],[TOTAL ITEM (R$)]]</f>
        <v>#REF!</v>
      </c>
      <c r="F126" s="487" t="e">
        <f>F125+Tabela1[[#This Row],[%ITEM]]</f>
        <v>#REF!</v>
      </c>
      <c r="G126" s="501" t="e">
        <f t="shared" si="1"/>
        <v>#REF!</v>
      </c>
    </row>
    <row r="127" spans="1:7" x14ac:dyDescent="0.25">
      <c r="A127" s="513" t="str">
        <f>PO!A105</f>
        <v>6.1.3</v>
      </c>
      <c r="B127" s="508" t="str">
        <f>VLOOKUP(Tabela1[[#This Row],[Nº]],PO!$A$8:$K$421,3,FALSE)</f>
        <v>CPU-18</v>
      </c>
      <c r="C127" s="485" t="str">
        <f>VLOOKUP(Tabela1[[#This Row],[Nº]],PO!$A$8:$K$421,4,FALSE)</f>
        <v>Ferro cabelo (travamento pilar metálico x alvenaria) D=4.2mmx0.88m</v>
      </c>
      <c r="D127" s="486">
        <f>VLOOKUP(Tabela1[[#This Row],[Nº]],PO!$A$8:$K$421,11,FALSE)</f>
        <v>693.6</v>
      </c>
      <c r="E127" s="500" t="e">
        <f>Tabela1[[#This Row],[TOTAL ITEM (R$)]]/Tabela1[[#Totals],[TOTAL ITEM (R$)]]</f>
        <v>#REF!</v>
      </c>
      <c r="F127" s="487" t="e">
        <f>F126+Tabela1[[#This Row],[%ITEM]]</f>
        <v>#REF!</v>
      </c>
      <c r="G127" s="501" t="e">
        <f t="shared" si="1"/>
        <v>#REF!</v>
      </c>
    </row>
    <row r="128" spans="1:7" ht="25.5" x14ac:dyDescent="0.25">
      <c r="A128" s="513" t="str">
        <f>PO!A290</f>
        <v>13.3.2</v>
      </c>
      <c r="B128" s="508">
        <f>VLOOKUP(Tabela1[[#This Row],[Nº]],PO!$A$8:$K$421,3,FALSE)</f>
        <v>99255</v>
      </c>
      <c r="C128" s="485" t="str">
        <f>VLOOKUP(Tabela1[[#This Row],[Nº]],PO!$A$8:$K$421,4,FALSE)</f>
        <v>Caixa enterrada hidráulica retangular em alvenaria com tijolos cerâmicos maciços, dimensões internas: 0,8x0,8x0,6 m para rede de drenagem.</v>
      </c>
      <c r="D128" s="486">
        <f>VLOOKUP(Tabela1[[#This Row],[Nº]],PO!$A$8:$K$421,11,FALSE)</f>
        <v>792.32</v>
      </c>
      <c r="E128" s="500" t="e">
        <f>Tabela1[[#This Row],[TOTAL ITEM (R$)]]/Tabela1[[#Totals],[TOTAL ITEM (R$)]]</f>
        <v>#REF!</v>
      </c>
      <c r="F128" s="487" t="e">
        <f>F127+Tabela1[[#This Row],[%ITEM]]</f>
        <v>#REF!</v>
      </c>
      <c r="G128" s="501" t="e">
        <f t="shared" si="1"/>
        <v>#REF!</v>
      </c>
    </row>
    <row r="129" spans="1:7" x14ac:dyDescent="0.25">
      <c r="A129" s="513" t="str">
        <f>PO!A309</f>
        <v>14.1.10</v>
      </c>
      <c r="B129" s="508">
        <f>VLOOKUP(Tabela1[[#This Row],[Nº]],PO!$A$8:$K$421,3,FALSE)</f>
        <v>93011</v>
      </c>
      <c r="C129" s="485" t="str">
        <f>VLOOKUP(Tabela1[[#This Row],[Nº]],PO!$A$8:$K$421,4,FALSE)</f>
        <v>Eletroduto rígido roscável, PVC, DN 85 mm (3") - fornecimento e instalação.</v>
      </c>
      <c r="D129" s="486">
        <f>VLOOKUP(Tabela1[[#This Row],[Nº]],PO!$A$8:$K$421,11,FALSE)</f>
        <v>823.2</v>
      </c>
      <c r="E129" s="500" t="e">
        <f>Tabela1[[#This Row],[TOTAL ITEM (R$)]]/Tabela1[[#Totals],[TOTAL ITEM (R$)]]</f>
        <v>#REF!</v>
      </c>
      <c r="F129" s="487" t="e">
        <f>F128+Tabela1[[#This Row],[%ITEM]]</f>
        <v>#REF!</v>
      </c>
      <c r="G129" s="501" t="e">
        <f t="shared" si="1"/>
        <v>#REF!</v>
      </c>
    </row>
    <row r="130" spans="1:7" x14ac:dyDescent="0.25">
      <c r="A130" s="513" t="str">
        <f>PO!A263</f>
        <v>12.8.1</v>
      </c>
      <c r="B130" s="508">
        <f>VLOOKUP(Tabela1[[#This Row],[Nº]],PO!$A$8:$K$421,3,FALSE)</f>
        <v>93358</v>
      </c>
      <c r="C130" s="485" t="str">
        <f>VLOOKUP(Tabela1[[#This Row],[Nº]],PO!$A$8:$K$421,4,FALSE)</f>
        <v xml:space="preserve">Escavação manual de vala com profundidade menor ou igual a 1,30 m. </v>
      </c>
      <c r="D130" s="486">
        <f>VLOOKUP(Tabela1[[#This Row],[Nº]],PO!$A$8:$K$421,11,FALSE)</f>
        <v>743.71</v>
      </c>
      <c r="E130" s="500" t="e">
        <f>Tabela1[[#This Row],[TOTAL ITEM (R$)]]/Tabela1[[#Totals],[TOTAL ITEM (R$)]]</f>
        <v>#REF!</v>
      </c>
      <c r="F130" s="487" t="e">
        <f>F129+Tabela1[[#This Row],[%ITEM]]</f>
        <v>#REF!</v>
      </c>
      <c r="G130" s="501" t="e">
        <f t="shared" si="1"/>
        <v>#REF!</v>
      </c>
    </row>
    <row r="131" spans="1:7" x14ac:dyDescent="0.25">
      <c r="A131" s="513" t="str">
        <f>PO!A242</f>
        <v>12.4.4</v>
      </c>
      <c r="B131" s="508" t="str">
        <f>VLOOKUP(Tabela1[[#This Row],[Nº]],PO!$A$8:$K$421,3,FALSE)</f>
        <v>CPU-40</v>
      </c>
      <c r="C131" s="485" t="str">
        <f>VLOOKUP(Tabela1[[#This Row],[Nº]],PO!$A$8:$K$421,4,FALSE)</f>
        <v>Ducha manual - fornecimento e instalação.</v>
      </c>
      <c r="D131" s="486">
        <f>VLOOKUP(Tabela1[[#This Row],[Nº]],PO!$A$8:$K$421,11,FALSE)</f>
        <v>751.14</v>
      </c>
      <c r="E131" s="500" t="e">
        <f>Tabela1[[#This Row],[TOTAL ITEM (R$)]]/Tabela1[[#Totals],[TOTAL ITEM (R$)]]</f>
        <v>#REF!</v>
      </c>
      <c r="F131" s="487" t="e">
        <f>F130+Tabela1[[#This Row],[%ITEM]]</f>
        <v>#REF!</v>
      </c>
      <c r="G131" s="501" t="e">
        <f t="shared" si="1"/>
        <v>#REF!</v>
      </c>
    </row>
    <row r="132" spans="1:7" x14ac:dyDescent="0.25">
      <c r="A132" s="513" t="str">
        <f>PO!A30</f>
        <v>2.1.13</v>
      </c>
      <c r="B132" s="508">
        <f>VLOOKUP(Tabela1[[#This Row],[Nº]],PO!$A$8:$K$421,3,FALSE)</f>
        <v>97645</v>
      </c>
      <c r="C132" s="485" t="str">
        <f>VLOOKUP(Tabela1[[#This Row],[Nº]],PO!$A$8:$K$421,4,FALSE)</f>
        <v>Remoção de janelas, de forma manual, sem reaproveitamento.</v>
      </c>
      <c r="D132" s="486">
        <f>VLOOKUP(Tabela1[[#This Row],[Nº]],PO!$A$8:$K$421,11,FALSE)</f>
        <v>841.28</v>
      </c>
      <c r="E132" s="500" t="e">
        <f>Tabela1[[#This Row],[TOTAL ITEM (R$)]]/Tabela1[[#Totals],[TOTAL ITEM (R$)]]</f>
        <v>#REF!</v>
      </c>
      <c r="F132" s="487" t="e">
        <f>F131+Tabela1[[#This Row],[%ITEM]]</f>
        <v>#REF!</v>
      </c>
      <c r="G132" s="501" t="e">
        <f t="shared" si="1"/>
        <v>#REF!</v>
      </c>
    </row>
    <row r="133" spans="1:7" x14ac:dyDescent="0.25">
      <c r="A133" s="513" t="str">
        <f>PO!A364</f>
        <v>14.6.2</v>
      </c>
      <c r="B133" s="508">
        <f>VLOOKUP(Tabela1[[#This Row],[Nº]],PO!$A$8:$K$421,3,FALSE)</f>
        <v>97585</v>
      </c>
      <c r="C133" s="485" t="str">
        <f>VLOOKUP(Tabela1[[#This Row],[Nº]],PO!$A$8:$K$421,4,FALSE)</f>
        <v>Luminária tipo calha, de sobrepor, com 2 lâmpadas tubulares de 18 W - fornecimento e instalação.</v>
      </c>
      <c r="D133" s="486">
        <f>VLOOKUP(Tabela1[[#This Row],[Nº]],PO!$A$8:$K$421,11,FALSE)</f>
        <v>628.25</v>
      </c>
      <c r="E133" s="500" t="e">
        <f>Tabela1[[#This Row],[TOTAL ITEM (R$)]]/Tabela1[[#Totals],[TOTAL ITEM (R$)]]</f>
        <v>#REF!</v>
      </c>
      <c r="F133" s="487" t="e">
        <f>F132+Tabela1[[#This Row],[%ITEM]]</f>
        <v>#REF!</v>
      </c>
      <c r="G133" s="501" t="e">
        <f t="shared" si="1"/>
        <v>#REF!</v>
      </c>
    </row>
    <row r="134" spans="1:7" x14ac:dyDescent="0.25">
      <c r="A134" s="513" t="str">
        <f>PO!A372</f>
        <v>14.7.3</v>
      </c>
      <c r="B134" s="508">
        <f>VLOOKUP(Tabela1[[#This Row],[Nº]],PO!$A$8:$K$421,3,FALSE)</f>
        <v>96985</v>
      </c>
      <c r="C134" s="485" t="str">
        <f>VLOOKUP(Tabela1[[#This Row],[Nº]],PO!$A$8:$K$421,4,FALSE)</f>
        <v>Haste de aterramento 5/8 para spda - fornecimento e instalação.</v>
      </c>
      <c r="D134" s="486">
        <f>VLOOKUP(Tabela1[[#This Row],[Nº]],PO!$A$8:$K$421,11,FALSE)</f>
        <v>582.29999999999995</v>
      </c>
      <c r="E134" s="500" t="e">
        <f>Tabela1[[#This Row],[TOTAL ITEM (R$)]]/Tabela1[[#Totals],[TOTAL ITEM (R$)]]</f>
        <v>#REF!</v>
      </c>
      <c r="F134" s="487" t="e">
        <f>F133+Tabela1[[#This Row],[%ITEM]]</f>
        <v>#REF!</v>
      </c>
      <c r="G134" s="501" t="e">
        <f t="shared" si="1"/>
        <v>#REF!</v>
      </c>
    </row>
    <row r="135" spans="1:7" x14ac:dyDescent="0.25">
      <c r="A135" s="513" t="str">
        <f>PO!A339</f>
        <v>14.3.10</v>
      </c>
      <c r="B135" s="508">
        <f>VLOOKUP(Tabela1[[#This Row],[Nº]],PO!$A$8:$K$421,3,FALSE)</f>
        <v>92000</v>
      </c>
      <c r="C135" s="485" t="str">
        <f>VLOOKUP(Tabela1[[#This Row],[Nº]],PO!$A$8:$K$421,4,FALSE)</f>
        <v>Tomada baixa de embutir (1 módulo), 2P+T 10 A, incluindo suporte e placa - fornecimento e instalação.</v>
      </c>
      <c r="D135" s="486">
        <f>VLOOKUP(Tabela1[[#This Row],[Nº]],PO!$A$8:$K$421,11,FALSE)</f>
        <v>614.33000000000004</v>
      </c>
      <c r="E135" s="500" t="e">
        <f>Tabela1[[#This Row],[TOTAL ITEM (R$)]]/Tabela1[[#Totals],[TOTAL ITEM (R$)]]</f>
        <v>#REF!</v>
      </c>
      <c r="F135" s="487" t="e">
        <f>F134+Tabela1[[#This Row],[%ITEM]]</f>
        <v>#REF!</v>
      </c>
      <c r="G135" s="501" t="e">
        <f t="shared" si="1"/>
        <v>#REF!</v>
      </c>
    </row>
    <row r="136" spans="1:7" x14ac:dyDescent="0.25">
      <c r="A136" s="513" t="str">
        <f>PO!A176</f>
        <v>10.3.6</v>
      </c>
      <c r="B136" s="508">
        <f>VLOOKUP(Tabela1[[#This Row],[Nº]],PO!$A$8:$K$421,3,FALSE)</f>
        <v>93185</v>
      </c>
      <c r="C136" s="485" t="str">
        <f>VLOOKUP(Tabela1[[#This Row],[Nº]],PO!$A$8:$K$421,4,FALSE)</f>
        <v xml:space="preserve">Verga pré-moldada para portas com mais 1,5m de vão. </v>
      </c>
      <c r="D136" s="486">
        <f>VLOOKUP(Tabela1[[#This Row],[Nº]],PO!$A$8:$K$421,11,FALSE)</f>
        <v>608.35</v>
      </c>
      <c r="E136" s="500" t="e">
        <f>Tabela1[[#This Row],[TOTAL ITEM (R$)]]/Tabela1[[#Totals],[TOTAL ITEM (R$)]]</f>
        <v>#REF!</v>
      </c>
      <c r="F136" s="487" t="e">
        <f>F135+Tabela1[[#This Row],[%ITEM]]</f>
        <v>#REF!</v>
      </c>
      <c r="G136" s="501" t="e">
        <f t="shared" ref="G136:G199" si="2">IF(F136&gt;=95%,"C",IF(F136&lt;80%,"A","B"))</f>
        <v>#REF!</v>
      </c>
    </row>
    <row r="137" spans="1:7" x14ac:dyDescent="0.25">
      <c r="A137" s="513" t="str">
        <f>PO!A353</f>
        <v>14.4.8</v>
      </c>
      <c r="B137" s="508" t="str">
        <f>VLOOKUP(Tabela1[[#This Row],[Nº]],PO!$A$8:$K$421,3,FALSE)</f>
        <v>CPU-50</v>
      </c>
      <c r="C137" s="485" t="str">
        <f>VLOOKUP(Tabela1[[#This Row],[Nº]],PO!$A$8:$K$421,4,FALSE)</f>
        <v>Disjuntor DIN tripolar termomagnético de 150A - fornecimento e instalação</v>
      </c>
      <c r="D137" s="486">
        <f>VLOOKUP(Tabela1[[#This Row],[Nº]],PO!$A$8:$K$421,11,FALSE)</f>
        <v>606.20000000000005</v>
      </c>
      <c r="E137" s="500" t="e">
        <f>Tabela1[[#This Row],[TOTAL ITEM (R$)]]/Tabela1[[#Totals],[TOTAL ITEM (R$)]]</f>
        <v>#REF!</v>
      </c>
      <c r="F137" s="487" t="e">
        <f>F136+Tabela1[[#This Row],[%ITEM]]</f>
        <v>#REF!</v>
      </c>
      <c r="G137" s="501" t="e">
        <f t="shared" si="2"/>
        <v>#REF!</v>
      </c>
    </row>
    <row r="138" spans="1:7" x14ac:dyDescent="0.25">
      <c r="A138" s="513" t="str">
        <f>PO!A354</f>
        <v>14.4.9</v>
      </c>
      <c r="B138" s="508" t="str">
        <f>VLOOKUP(Tabela1[[#This Row],[Nº]],PO!$A$8:$K$421,3,FALSE)</f>
        <v>CPU-51</v>
      </c>
      <c r="C138" s="485" t="str">
        <f>VLOOKUP(Tabela1[[#This Row],[Nº]],PO!$A$8:$K$421,4,FALSE)</f>
        <v>Disjuntor DIN tripolar termomagnético de 200A - fornecimento e instalação</v>
      </c>
      <c r="D138" s="486">
        <f>VLOOKUP(Tabela1[[#This Row],[Nº]],PO!$A$8:$K$421,11,FALSE)</f>
        <v>620.52</v>
      </c>
      <c r="E138" s="500" t="e">
        <f>Tabela1[[#This Row],[TOTAL ITEM (R$)]]/Tabela1[[#Totals],[TOTAL ITEM (R$)]]</f>
        <v>#REF!</v>
      </c>
      <c r="F138" s="487" t="e">
        <f>F137+Tabela1[[#This Row],[%ITEM]]</f>
        <v>#REF!</v>
      </c>
      <c r="G138" s="501" t="e">
        <f t="shared" si="2"/>
        <v>#REF!</v>
      </c>
    </row>
    <row r="139" spans="1:7" x14ac:dyDescent="0.25">
      <c r="A139" s="513" t="str">
        <f>PO!A194</f>
        <v>12.1.1</v>
      </c>
      <c r="B139" s="508">
        <f>VLOOKUP(Tabela1[[#This Row],[Nº]],PO!$A$8:$K$421,3,FALSE)</f>
        <v>89402</v>
      </c>
      <c r="C139" s="485" t="str">
        <f>VLOOKUP(Tabela1[[#This Row],[Nº]],PO!$A$8:$K$421,4,FALSE)</f>
        <v xml:space="preserve">Tubo, PVC, soldável, DN 25mm, instalado em ramal de distribuição de água - fornecimento e instalação. </v>
      </c>
      <c r="D139" s="486">
        <f>VLOOKUP(Tabela1[[#This Row],[Nº]],PO!$A$8:$K$421,11,FALSE)</f>
        <v>547.58000000000004</v>
      </c>
      <c r="E139" s="500" t="e">
        <f>Tabela1[[#This Row],[TOTAL ITEM (R$)]]/Tabela1[[#Totals],[TOTAL ITEM (R$)]]</f>
        <v>#REF!</v>
      </c>
      <c r="F139" s="487" t="e">
        <f>F138+Tabela1[[#This Row],[%ITEM]]</f>
        <v>#REF!</v>
      </c>
      <c r="G139" s="501" t="e">
        <f t="shared" si="2"/>
        <v>#REF!</v>
      </c>
    </row>
    <row r="140" spans="1:7" ht="25.5" x14ac:dyDescent="0.25">
      <c r="A140" s="513" t="str">
        <f>PO!A234</f>
        <v>12.3.2</v>
      </c>
      <c r="B140" s="508" t="str">
        <f>VLOOKUP(Tabela1[[#This Row],[Nº]],PO!$A$8:$K$421,3,FALSE)</f>
        <v>CPU-39</v>
      </c>
      <c r="C140" s="485" t="str">
        <f>VLOOKUP(Tabela1[[#This Row],[Nº]],PO!$A$8:$K$421,4,FALSE)</f>
        <v xml:space="preserve">Registro de gaveta bruto, latão, roscável,Ø 25 mm - 1", com acabamento e canopla cromados. Fornecido e instalado em ramal de água. </v>
      </c>
      <c r="D140" s="486">
        <f>VLOOKUP(Tabela1[[#This Row],[Nº]],PO!$A$8:$K$421,11,FALSE)</f>
        <v>582.4</v>
      </c>
      <c r="E140" s="500" t="e">
        <f>Tabela1[[#This Row],[TOTAL ITEM (R$)]]/Tabela1[[#Totals],[TOTAL ITEM (R$)]]</f>
        <v>#REF!</v>
      </c>
      <c r="F140" s="487" t="e">
        <f>F139+Tabela1[[#This Row],[%ITEM]]</f>
        <v>#REF!</v>
      </c>
      <c r="G140" s="501" t="e">
        <f t="shared" si="2"/>
        <v>#REF!</v>
      </c>
    </row>
    <row r="141" spans="1:7" ht="25.5" x14ac:dyDescent="0.25">
      <c r="A141" s="513" t="str">
        <f>PO!A140</f>
        <v>8.4.1</v>
      </c>
      <c r="B141" s="508" t="str">
        <f>VLOOKUP(Tabela1[[#This Row],[Nº]],PO!$A$8:$K$421,3,FALSE)</f>
        <v>CPU-22</v>
      </c>
      <c r="C141" s="485" t="str">
        <f>VLOOKUP(Tabela1[[#This Row],[Nº]],PO!$A$8:$K$421,4,FALSE)</f>
        <v>Revestimento cerâmico para piso com placas tipo porcelanato de dimensões 60x60 cm aplicada em ambientes de área menor que 5 m², com rejunte epoxi. - Fornecimento e instalação</v>
      </c>
      <c r="D141" s="486">
        <f>VLOOKUP(Tabela1[[#This Row],[Nº]],PO!$A$8:$K$421,11,FALSE)</f>
        <v>525.61</v>
      </c>
      <c r="E141" s="500" t="e">
        <f>Tabela1[[#This Row],[TOTAL ITEM (R$)]]/Tabela1[[#Totals],[TOTAL ITEM (R$)]]</f>
        <v>#REF!</v>
      </c>
      <c r="F141" s="487" t="e">
        <f>F140+Tabela1[[#This Row],[%ITEM]]</f>
        <v>#REF!</v>
      </c>
      <c r="G141" s="501" t="e">
        <f t="shared" si="2"/>
        <v>#REF!</v>
      </c>
    </row>
    <row r="142" spans="1:7" x14ac:dyDescent="0.25">
      <c r="A142" s="513" t="str">
        <f>PO!A175</f>
        <v>10.3.5</v>
      </c>
      <c r="B142" s="508">
        <f>VLOOKUP(Tabela1[[#This Row],[Nº]],PO!$A$8:$K$421,3,FALSE)</f>
        <v>93184</v>
      </c>
      <c r="C142" s="485" t="str">
        <f>VLOOKUP(Tabela1[[#This Row],[Nº]],PO!$A$8:$K$421,4,FALSE)</f>
        <v xml:space="preserve">Verga pré-moldada para portas  até 1,5m de vão. </v>
      </c>
      <c r="D142" s="486">
        <f>VLOOKUP(Tabela1[[#This Row],[Nº]],PO!$A$8:$K$421,11,FALSE)</f>
        <v>528.29999999999995</v>
      </c>
      <c r="E142" s="500" t="e">
        <f>Tabela1[[#This Row],[TOTAL ITEM (R$)]]/Tabela1[[#Totals],[TOTAL ITEM (R$)]]</f>
        <v>#REF!</v>
      </c>
      <c r="F142" s="487" t="e">
        <f>F141+Tabela1[[#This Row],[%ITEM]]</f>
        <v>#REF!</v>
      </c>
      <c r="G142" s="501" t="e">
        <f t="shared" si="2"/>
        <v>#REF!</v>
      </c>
    </row>
    <row r="143" spans="1:7" x14ac:dyDescent="0.25">
      <c r="A143" s="513" t="str">
        <f>PO!A59</f>
        <v>4.1.2</v>
      </c>
      <c r="B143" s="508" t="str">
        <f>VLOOKUP(Tabela1[[#This Row],[Nº]],PO!$A$8:$K$421,3,FALSE)</f>
        <v>CPU-12</v>
      </c>
      <c r="C143" s="485" t="str">
        <f>VLOOKUP(Tabela1[[#This Row],[Nº]],PO!$A$8:$K$421,4,FALSE)</f>
        <v>Regularização de fundo de vala com soquete</v>
      </c>
      <c r="D143" s="486">
        <f>VLOOKUP(Tabela1[[#This Row],[Nº]],PO!$A$8:$K$421,11,FALSE)</f>
        <v>523.02</v>
      </c>
      <c r="E143" s="500" t="e">
        <f>Tabela1[[#This Row],[TOTAL ITEM (R$)]]/Tabela1[[#Totals],[TOTAL ITEM (R$)]]</f>
        <v>#REF!</v>
      </c>
      <c r="F143" s="487" t="e">
        <f>F142+Tabela1[[#This Row],[%ITEM]]</f>
        <v>#REF!</v>
      </c>
      <c r="G143" s="501" t="e">
        <f t="shared" si="2"/>
        <v>#REF!</v>
      </c>
    </row>
    <row r="144" spans="1:7" x14ac:dyDescent="0.25">
      <c r="A144" s="513" t="str">
        <f>PO!A22</f>
        <v>2.1.5</v>
      </c>
      <c r="B144" s="508">
        <f>VLOOKUP(Tabela1[[#This Row],[Nº]],PO!$A$8:$K$421,3,FALSE)</f>
        <v>97642</v>
      </c>
      <c r="C144" s="485" t="str">
        <f>VLOOKUP(Tabela1[[#This Row],[Nº]],PO!$A$8:$K$421,4,FALSE)</f>
        <v xml:space="preserve">Remoção de trama metálica ou de madeira para forro, de forma manual, sem reaproveitamento. </v>
      </c>
      <c r="D144" s="486">
        <f>VLOOKUP(Tabela1[[#This Row],[Nº]],PO!$A$8:$K$421,11,FALSE)</f>
        <v>516.82000000000005</v>
      </c>
      <c r="E144" s="500" t="e">
        <f>Tabela1[[#This Row],[TOTAL ITEM (R$)]]/Tabela1[[#Totals],[TOTAL ITEM (R$)]]</f>
        <v>#REF!</v>
      </c>
      <c r="F144" s="487" t="e">
        <f>F143+Tabela1[[#This Row],[%ITEM]]</f>
        <v>#REF!</v>
      </c>
      <c r="G144" s="501" t="e">
        <f t="shared" si="2"/>
        <v>#REF!</v>
      </c>
    </row>
    <row r="145" spans="1:7" x14ac:dyDescent="0.25">
      <c r="A145" s="513" t="str">
        <f>PO!A25</f>
        <v>2.1.8</v>
      </c>
      <c r="B145" s="508">
        <f>VLOOKUP(Tabela1[[#This Row],[Nº]],PO!$A$8:$K$421,3,FALSE)</f>
        <v>97661</v>
      </c>
      <c r="C145" s="485" t="str">
        <f>VLOOKUP(Tabela1[[#This Row],[Nº]],PO!$A$8:$K$421,4,FALSE)</f>
        <v>Remoção de cabos elétricos, de forma manual, sem reaproveitamento.</v>
      </c>
      <c r="D145" s="486">
        <f>VLOOKUP(Tabela1[[#This Row],[Nº]],PO!$A$8:$K$421,11,FALSE)</f>
        <v>499.97</v>
      </c>
      <c r="E145" s="500" t="e">
        <f>Tabela1[[#This Row],[TOTAL ITEM (R$)]]/Tabela1[[#Totals],[TOTAL ITEM (R$)]]</f>
        <v>#REF!</v>
      </c>
      <c r="F145" s="487" t="e">
        <f>F144+Tabela1[[#This Row],[%ITEM]]</f>
        <v>#REF!</v>
      </c>
      <c r="G145" s="501" t="e">
        <f t="shared" si="2"/>
        <v>#REF!</v>
      </c>
    </row>
    <row r="146" spans="1:7" x14ac:dyDescent="0.25">
      <c r="A146" s="513" t="str">
        <f>PO!A244</f>
        <v>12.4.6</v>
      </c>
      <c r="B146" s="508" t="str">
        <f>VLOOKUP(Tabela1[[#This Row],[Nº]],PO!$A$8:$K$421,3,FALSE)</f>
        <v>CPU-41</v>
      </c>
      <c r="C146" s="485" t="str">
        <f>VLOOKUP(Tabela1[[#This Row],[Nº]],PO!$A$8:$K$421,4,FALSE)</f>
        <v>Chuveiro comum corpo plástico tipo ducha, fornecimento e instalação.</v>
      </c>
      <c r="D146" s="486">
        <f>VLOOKUP(Tabela1[[#This Row],[Nº]],PO!$A$8:$K$421,11,FALSE)</f>
        <v>471.2</v>
      </c>
      <c r="E146" s="500" t="e">
        <f>Tabela1[[#This Row],[TOTAL ITEM (R$)]]/Tabela1[[#Totals],[TOTAL ITEM (R$)]]</f>
        <v>#REF!</v>
      </c>
      <c r="F146" s="487" t="e">
        <f>F145+Tabela1[[#This Row],[%ITEM]]</f>
        <v>#REF!</v>
      </c>
      <c r="G146" s="501" t="e">
        <f t="shared" si="2"/>
        <v>#REF!</v>
      </c>
    </row>
    <row r="147" spans="1:7" x14ac:dyDescent="0.25">
      <c r="A147" s="513" t="str">
        <f>PO!A329</f>
        <v>14.3.2</v>
      </c>
      <c r="B147" s="508">
        <f>VLOOKUP(Tabela1[[#This Row],[Nº]],PO!$A$8:$K$421,3,FALSE)</f>
        <v>91941</v>
      </c>
      <c r="C147" s="485" t="str">
        <f>VLOOKUP(Tabela1[[#This Row],[Nº]],PO!$A$8:$K$421,4,FALSE)</f>
        <v>Caixa retangular 4" x 2" baixa (0,30 m do piso), PVC, instalada em parede - fornecimento e instalação. </v>
      </c>
      <c r="D147" s="486">
        <f>VLOOKUP(Tabela1[[#This Row],[Nº]],PO!$A$8:$K$421,11,FALSE)</f>
        <v>443.94</v>
      </c>
      <c r="E147" s="500" t="e">
        <f>Tabela1[[#This Row],[TOTAL ITEM (R$)]]/Tabela1[[#Totals],[TOTAL ITEM (R$)]]</f>
        <v>#REF!</v>
      </c>
      <c r="F147" s="487" t="e">
        <f>F146+Tabela1[[#This Row],[%ITEM]]</f>
        <v>#REF!</v>
      </c>
      <c r="G147" s="501" t="e">
        <f t="shared" si="2"/>
        <v>#REF!</v>
      </c>
    </row>
    <row r="148" spans="1:7" x14ac:dyDescent="0.25">
      <c r="A148" s="513" t="str">
        <f>PO!A27</f>
        <v>2.1.10</v>
      </c>
      <c r="B148" s="508">
        <f>VLOOKUP(Tabela1[[#This Row],[Nº]],PO!$A$8:$K$421,3,FALSE)</f>
        <v>97632</v>
      </c>
      <c r="C148" s="485" t="str">
        <f>VLOOKUP(Tabela1[[#This Row],[Nº]],PO!$A$8:$K$421,4,FALSE)</f>
        <v>Demolição de rodapé cerâmico, de forma manual, sem reaproveitamento.</v>
      </c>
      <c r="D148" s="486">
        <f>VLOOKUP(Tabela1[[#This Row],[Nº]],PO!$A$8:$K$421,11,FALSE)</f>
        <v>438.01</v>
      </c>
      <c r="E148" s="500" t="e">
        <f>Tabela1[[#This Row],[TOTAL ITEM (R$)]]/Tabela1[[#Totals],[TOTAL ITEM (R$)]]</f>
        <v>#REF!</v>
      </c>
      <c r="F148" s="487" t="e">
        <f>F147+Tabela1[[#This Row],[%ITEM]]</f>
        <v>#REF!</v>
      </c>
      <c r="G148" s="501" t="e">
        <f t="shared" si="2"/>
        <v>#REF!</v>
      </c>
    </row>
    <row r="149" spans="1:7" ht="25.5" x14ac:dyDescent="0.25">
      <c r="A149" s="513" t="str">
        <f>PO!A39</f>
        <v>2.1.22</v>
      </c>
      <c r="B149" s="508">
        <f>VLOOKUP(Tabela1[[#This Row],[Nº]],PO!$A$8:$K$421,3,FALSE)</f>
        <v>98526</v>
      </c>
      <c r="C149" s="485" t="str">
        <f>VLOOKUP(Tabela1[[#This Row],[Nº]],PO!$A$8:$K$421,4,FALSE)</f>
        <v>Remoção de raízes remanescentes de tronco de árvore com diâmetro maior ou igual a 0,20 m e menor que 0,40 m</v>
      </c>
      <c r="D149" s="486">
        <f>VLOOKUP(Tabela1[[#This Row],[Nº]],PO!$A$8:$K$421,11,FALSE)</f>
        <v>409.38</v>
      </c>
      <c r="E149" s="500" t="e">
        <f>Tabela1[[#This Row],[TOTAL ITEM (R$)]]/Tabela1[[#Totals],[TOTAL ITEM (R$)]]</f>
        <v>#REF!</v>
      </c>
      <c r="F149" s="487" t="e">
        <f>F148+Tabela1[[#This Row],[%ITEM]]</f>
        <v>#REF!</v>
      </c>
      <c r="G149" s="501" t="e">
        <f t="shared" si="2"/>
        <v>#REF!</v>
      </c>
    </row>
    <row r="150" spans="1:7" x14ac:dyDescent="0.25">
      <c r="A150" s="513" t="str">
        <f>PO!A293</f>
        <v>13.4.1</v>
      </c>
      <c r="B150" s="508">
        <f>VLOOKUP(Tabela1[[#This Row],[Nº]],PO!$A$8:$K$421,3,FALSE)</f>
        <v>90443</v>
      </c>
      <c r="C150" s="485" t="str">
        <f>VLOOKUP(Tabela1[[#This Row],[Nº]],PO!$A$8:$K$421,4,FALSE)</f>
        <v>Rasgo em alvenaria para dreno de ar-condicionado com diâmetros menores ou iguais a 40 mm</v>
      </c>
      <c r="D150" s="486">
        <f>VLOOKUP(Tabela1[[#This Row],[Nº]],PO!$A$8:$K$421,11,FALSE)</f>
        <v>371.55</v>
      </c>
      <c r="E150" s="500" t="e">
        <f>Tabela1[[#This Row],[TOTAL ITEM (R$)]]/Tabela1[[#Totals],[TOTAL ITEM (R$)]]</f>
        <v>#REF!</v>
      </c>
      <c r="F150" s="487" t="e">
        <f>F149+Tabela1[[#This Row],[%ITEM]]</f>
        <v>#REF!</v>
      </c>
      <c r="G150" s="501" t="e">
        <f t="shared" si="2"/>
        <v>#REF!</v>
      </c>
    </row>
    <row r="151" spans="1:7" x14ac:dyDescent="0.25">
      <c r="A151" s="513" t="str">
        <f>PO!A172</f>
        <v>10.3.2</v>
      </c>
      <c r="B151" s="508">
        <f>VLOOKUP(Tabela1[[#This Row],[Nº]],PO!$A$8:$K$421,3,FALSE)</f>
        <v>93183</v>
      </c>
      <c r="C151" s="485" t="str">
        <f>VLOOKUP(Tabela1[[#This Row],[Nº]],PO!$A$8:$K$421,4,FALSE)</f>
        <v>Verga pré-moldada para janelas com mais de 1,5m de vão.</v>
      </c>
      <c r="D151" s="486">
        <f>VLOOKUP(Tabela1[[#This Row],[Nº]],PO!$A$8:$K$421,11,FALSE)</f>
        <v>402.29</v>
      </c>
      <c r="E151" s="500" t="e">
        <f>Tabela1[[#This Row],[TOTAL ITEM (R$)]]/Tabela1[[#Totals],[TOTAL ITEM (R$)]]</f>
        <v>#REF!</v>
      </c>
      <c r="F151" s="487" t="e">
        <f>F150+Tabela1[[#This Row],[%ITEM]]</f>
        <v>#REF!</v>
      </c>
      <c r="G151" s="501" t="e">
        <f t="shared" si="2"/>
        <v>#REF!</v>
      </c>
    </row>
    <row r="152" spans="1:7" ht="25.5" x14ac:dyDescent="0.25">
      <c r="A152" s="513" t="str">
        <f>PO!A390</f>
        <v>15.1.2</v>
      </c>
      <c r="B152" s="508">
        <f>VLOOKUP(Tabela1[[#This Row],[Nº]],PO!$A$8:$K$421,3,FALSE)</f>
        <v>91890</v>
      </c>
      <c r="C152" s="485" t="str">
        <f>VLOOKUP(Tabela1[[#This Row],[Nº]],PO!$A$8:$K$421,4,FALSE)</f>
        <v>Curva 90 graus para eletroduto, PVC, roscável, DN 25 mm (3/4"), para circuitos terminais, instalada em forro - fornecimento e instalação.</v>
      </c>
      <c r="D152" s="486">
        <f>VLOOKUP(Tabela1[[#This Row],[Nº]],PO!$A$8:$K$421,11,FALSE)</f>
        <v>396.9</v>
      </c>
      <c r="E152" s="500" t="e">
        <f>Tabela1[[#This Row],[TOTAL ITEM (R$)]]/Tabela1[[#Totals],[TOTAL ITEM (R$)]]</f>
        <v>#REF!</v>
      </c>
      <c r="F152" s="487" t="e">
        <f>F151+Tabela1[[#This Row],[%ITEM]]</f>
        <v>#REF!</v>
      </c>
      <c r="G152" s="501" t="e">
        <f t="shared" si="2"/>
        <v>#REF!</v>
      </c>
    </row>
    <row r="153" spans="1:7" x14ac:dyDescent="0.25">
      <c r="A153" s="513" t="str">
        <f>PO!A84</f>
        <v>4.4.2</v>
      </c>
      <c r="B153" s="508">
        <f>VLOOKUP(Tabela1[[#This Row],[Nº]],PO!$A$8:$K$421,3,FALSE)</f>
        <v>96619</v>
      </c>
      <c r="C153" s="485" t="str">
        <f>VLOOKUP(Tabela1[[#This Row],[Nº]],PO!$A$8:$K$421,4,FALSE)</f>
        <v xml:space="preserve">Lastro de concreto magro, aplicado em blocos de coroamento ou sapatas, espessura de 5 cm. </v>
      </c>
      <c r="D153" s="486">
        <f>VLOOKUP(Tabela1[[#This Row],[Nº]],PO!$A$8:$K$421,11,FALSE)</f>
        <v>478.67</v>
      </c>
      <c r="E153" s="500" t="e">
        <f>Tabela1[[#This Row],[TOTAL ITEM (R$)]]/Tabela1[[#Totals],[TOTAL ITEM (R$)]]</f>
        <v>#REF!</v>
      </c>
      <c r="F153" s="487" t="e">
        <f>F152+Tabela1[[#This Row],[%ITEM]]</f>
        <v>#REF!</v>
      </c>
      <c r="G153" s="501" t="e">
        <f t="shared" si="2"/>
        <v>#REF!</v>
      </c>
    </row>
    <row r="154" spans="1:7" x14ac:dyDescent="0.25">
      <c r="A154" s="513" t="str">
        <f>PO!A34</f>
        <v>2.1.17</v>
      </c>
      <c r="B154" s="508">
        <f>VLOOKUP(Tabela1[[#This Row],[Nº]],PO!$A$8:$K$421,3,FALSE)</f>
        <v>97631</v>
      </c>
      <c r="C154" s="485" t="str">
        <f>VLOOKUP(Tabela1[[#This Row],[Nº]],PO!$A$8:$K$421,4,FALSE)</f>
        <v>Demolição de argamassas, de forma manual, sem reaproveitamento.</v>
      </c>
      <c r="D154" s="486">
        <f>VLOOKUP(Tabela1[[#This Row],[Nº]],PO!$A$8:$K$421,11,FALSE)</f>
        <v>376.25</v>
      </c>
      <c r="E154" s="500" t="e">
        <f>Tabela1[[#This Row],[TOTAL ITEM (R$)]]/Tabela1[[#Totals],[TOTAL ITEM (R$)]]</f>
        <v>#REF!</v>
      </c>
      <c r="F154" s="487" t="e">
        <f>F153+Tabela1[[#This Row],[%ITEM]]</f>
        <v>#REF!</v>
      </c>
      <c r="G154" s="501" t="e">
        <f t="shared" si="2"/>
        <v>#REF!</v>
      </c>
    </row>
    <row r="155" spans="1:7" x14ac:dyDescent="0.25">
      <c r="A155" s="513" t="str">
        <f>PO!A259</f>
        <v>12.7.3</v>
      </c>
      <c r="B155" s="508" t="str">
        <f>VLOOKUP(Tabela1[[#This Row],[Nº]],PO!$A$8:$K$421,3,FALSE)</f>
        <v>CPU-44</v>
      </c>
      <c r="C155" s="485" t="str">
        <f>VLOOKUP(Tabela1[[#This Row],[Nº]],PO!$A$8:$K$421,4,FALSE)</f>
        <v>Enchimento de rasgo em alvenaria com argamassa mista traço 1:4, para tubulação de 1/2" a 25 mm</v>
      </c>
      <c r="D155" s="486">
        <f>VLOOKUP(Tabela1[[#This Row],[Nº]],PO!$A$8:$K$421,11,FALSE)</f>
        <v>370.09</v>
      </c>
      <c r="E155" s="500" t="e">
        <f>Tabela1[[#This Row],[TOTAL ITEM (R$)]]/Tabela1[[#Totals],[TOTAL ITEM (R$)]]</f>
        <v>#REF!</v>
      </c>
      <c r="F155" s="487" t="e">
        <f>F154+Tabela1[[#This Row],[%ITEM]]</f>
        <v>#REF!</v>
      </c>
      <c r="G155" s="501" t="e">
        <f t="shared" si="2"/>
        <v>#REF!</v>
      </c>
    </row>
    <row r="156" spans="1:7" x14ac:dyDescent="0.25">
      <c r="A156" s="513" t="str">
        <f>PO!A174</f>
        <v>10.3.4</v>
      </c>
      <c r="B156" s="508">
        <f>VLOOKUP(Tabela1[[#This Row],[Nº]],PO!$A$8:$K$421,3,FALSE)</f>
        <v>93195</v>
      </c>
      <c r="C156" s="485" t="str">
        <f>VLOOKUP(Tabela1[[#This Row],[Nº]],PO!$A$8:$K$421,4,FALSE)</f>
        <v xml:space="preserve">Contraverga pré-moldada para vãos de mais de 1,5 m de comprimento. </v>
      </c>
      <c r="D156" s="486">
        <f>VLOOKUP(Tabela1[[#This Row],[Nº]],PO!$A$8:$K$421,11,FALSE)</f>
        <v>370.58</v>
      </c>
      <c r="E156" s="500" t="e">
        <f>Tabela1[[#This Row],[TOTAL ITEM (R$)]]/Tabela1[[#Totals],[TOTAL ITEM (R$)]]</f>
        <v>#REF!</v>
      </c>
      <c r="F156" s="487" t="e">
        <f>F155+Tabela1[[#This Row],[%ITEM]]</f>
        <v>#REF!</v>
      </c>
      <c r="G156" s="501" t="e">
        <f t="shared" si="2"/>
        <v>#REF!</v>
      </c>
    </row>
    <row r="157" spans="1:7" ht="25.5" x14ac:dyDescent="0.25">
      <c r="A157" s="513" t="str">
        <f>PO!A247</f>
        <v>12.5.1</v>
      </c>
      <c r="B157" s="508" t="str">
        <f>VLOOKUP(Tabela1[[#This Row],[Nº]],PO!$A$8:$K$421,3,FALSE)</f>
        <v>CPU-42</v>
      </c>
      <c r="C157" s="485" t="str">
        <f>VLOOKUP(Tabela1[[#This Row],[Nº]],PO!$A$8:$K$421,4,FALSE)</f>
        <v>Caixa PVC sifonada Ø 100 mm, altura 140 mm, entrada Ø 40 mm, saída Ø 50 mm, com corpo giratório, grelha redonda,  5 entradas, para esgoto sanitário - Fornecimento e instalação</v>
      </c>
      <c r="D157" s="486">
        <f>VLOOKUP(Tabela1[[#This Row],[Nº]],PO!$A$8:$K$421,11,FALSE)</f>
        <v>140.15</v>
      </c>
      <c r="E157" s="500" t="e">
        <f>Tabela1[[#This Row],[TOTAL ITEM (R$)]]/Tabela1[[#Totals],[TOTAL ITEM (R$)]]</f>
        <v>#REF!</v>
      </c>
      <c r="F157" s="487" t="e">
        <f>F156+Tabela1[[#This Row],[%ITEM]]</f>
        <v>#REF!</v>
      </c>
      <c r="G157" s="501" t="e">
        <f t="shared" si="2"/>
        <v>#REF!</v>
      </c>
    </row>
    <row r="158" spans="1:7" x14ac:dyDescent="0.25">
      <c r="A158" s="513" t="str">
        <f>PO!A341</f>
        <v>14.3.12</v>
      </c>
      <c r="B158" s="508">
        <f>VLOOKUP(Tabela1[[#This Row],[Nº]],PO!$A$8:$K$421,3,FALSE)</f>
        <v>92012</v>
      </c>
      <c r="C158" s="485" t="str">
        <f>VLOOKUP(Tabela1[[#This Row],[Nº]],PO!$A$8:$K$421,4,FALSE)</f>
        <v>Tomada baixa de embutir (3 módulos), 2P+T 10 A, incluindo suporte e placa - fornecimento e instalação.</v>
      </c>
      <c r="D158" s="486">
        <f>VLOOKUP(Tabela1[[#This Row],[Nº]],PO!$A$8:$K$421,11,FALSE)</f>
        <v>344.55</v>
      </c>
      <c r="E158" s="500" t="e">
        <f>Tabela1[[#This Row],[TOTAL ITEM (R$)]]/Tabela1[[#Totals],[TOTAL ITEM (R$)]]</f>
        <v>#REF!</v>
      </c>
      <c r="F158" s="487" t="e">
        <f>F157+Tabela1[[#This Row],[%ITEM]]</f>
        <v>#REF!</v>
      </c>
      <c r="G158" s="501" t="e">
        <f t="shared" si="2"/>
        <v>#REF!</v>
      </c>
    </row>
    <row r="159" spans="1:7" ht="25.5" x14ac:dyDescent="0.25">
      <c r="A159" s="513" t="str">
        <f>PO!A303</f>
        <v>14.1.5</v>
      </c>
      <c r="B159" s="508" t="str">
        <f>VLOOKUP(Tabela1[[#This Row],[Nº]],PO!$A$8:$K$421,3,FALSE)</f>
        <v>CPU-47</v>
      </c>
      <c r="C159" s="485" t="str">
        <f>VLOOKUP(Tabela1[[#This Row],[Nº]],PO!$A$8:$K$421,4,FALSE)</f>
        <v>Luva de emenda para eletroduto, aço galvanizado, DN 50 mm (2''), aparente, instalada em parede - fornecimento e instalação.</v>
      </c>
      <c r="D159" s="486">
        <f>VLOOKUP(Tabela1[[#This Row],[Nº]],PO!$A$8:$K$421,11,FALSE)</f>
        <v>344.16</v>
      </c>
      <c r="E159" s="500" t="e">
        <f>Tabela1[[#This Row],[TOTAL ITEM (R$)]]/Tabela1[[#Totals],[TOTAL ITEM (R$)]]</f>
        <v>#REF!</v>
      </c>
      <c r="F159" s="487" t="e">
        <f>F158+Tabela1[[#This Row],[%ITEM]]</f>
        <v>#REF!</v>
      </c>
      <c r="G159" s="501" t="e">
        <f t="shared" si="2"/>
        <v>#REF!</v>
      </c>
    </row>
    <row r="160" spans="1:7" x14ac:dyDescent="0.25">
      <c r="A160" s="513" t="str">
        <f>PO!A308</f>
        <v>14.1.9</v>
      </c>
      <c r="B160" s="508">
        <f>VLOOKUP(Tabela1[[#This Row],[Nº]],PO!$A$8:$K$421,3,FALSE)</f>
        <v>93009</v>
      </c>
      <c r="C160" s="485" t="str">
        <f>VLOOKUP(Tabela1[[#This Row],[Nº]],PO!$A$8:$K$421,4,FALSE)</f>
        <v>Eletroduto rígido roscável, PVC, DN 60 mm (2") - fornecimento e instalação.</v>
      </c>
      <c r="D160" s="486">
        <f>VLOOKUP(Tabela1[[#This Row],[Nº]],PO!$A$8:$K$421,11,FALSE)</f>
        <v>355.95</v>
      </c>
      <c r="E160" s="500" t="e">
        <f>Tabela1[[#This Row],[TOTAL ITEM (R$)]]/Tabela1[[#Totals],[TOTAL ITEM (R$)]]</f>
        <v>#REF!</v>
      </c>
      <c r="F160" s="487" t="e">
        <f>F159+Tabela1[[#This Row],[%ITEM]]</f>
        <v>#REF!</v>
      </c>
      <c r="G160" s="501" t="e">
        <f t="shared" si="2"/>
        <v>#REF!</v>
      </c>
    </row>
    <row r="161" spans="1:7" ht="25.5" x14ac:dyDescent="0.25">
      <c r="A161" s="513" t="str">
        <f>PO!A199</f>
        <v>12.1.5</v>
      </c>
      <c r="B161" s="508">
        <f>VLOOKUP(Tabela1[[#This Row],[Nº]],PO!$A$8:$K$421,3,FALSE)</f>
        <v>89711</v>
      </c>
      <c r="C161" s="485" t="str">
        <f>VLOOKUP(Tabela1[[#This Row],[Nº]],PO!$A$8:$K$421,4,FALSE)</f>
        <v>Tubo PVC, Serie Normal, Esgoto Predial, DN 40 mm, Fornecimento e Instalação em Ramal de Descarga ou Ramal de Esgoto Sanitário</v>
      </c>
      <c r="D161" s="486">
        <f>VLOOKUP(Tabela1[[#This Row],[Nº]],PO!$A$8:$K$421,11,FALSE)</f>
        <v>304.37</v>
      </c>
      <c r="E161" s="500" t="e">
        <f>Tabela1[[#This Row],[TOTAL ITEM (R$)]]/Tabela1[[#Totals],[TOTAL ITEM (R$)]]</f>
        <v>#REF!</v>
      </c>
      <c r="F161" s="487" t="e">
        <f>F160+Tabela1[[#This Row],[%ITEM]]</f>
        <v>#REF!</v>
      </c>
      <c r="G161" s="501" t="e">
        <f t="shared" si="2"/>
        <v>#REF!</v>
      </c>
    </row>
    <row r="162" spans="1:7" ht="25.5" x14ac:dyDescent="0.25">
      <c r="A162" s="513" t="str">
        <f>PO!A280</f>
        <v>13.2.4</v>
      </c>
      <c r="B162" s="508">
        <f>VLOOKUP(Tabela1[[#This Row],[Nº]],PO!$A$8:$K$421,3,FALSE)</f>
        <v>89584</v>
      </c>
      <c r="C162" s="485" t="str">
        <f>VLOOKUP(Tabela1[[#This Row],[Nº]],PO!$A$8:$K$421,4,FALSE)</f>
        <v xml:space="preserve">Joelho 90 graus, PVC, serie R, água pluvial, DN 100 mm, junta elástica, fornecido e instalado em condutores verticais de águas pluviais. </v>
      </c>
      <c r="D162" s="486">
        <f>VLOOKUP(Tabela1[[#This Row],[Nº]],PO!$A$8:$K$421,11,FALSE)</f>
        <v>320.2</v>
      </c>
      <c r="E162" s="500" t="e">
        <f>Tabela1[[#This Row],[TOTAL ITEM (R$)]]/Tabela1[[#Totals],[TOTAL ITEM (R$)]]</f>
        <v>#REF!</v>
      </c>
      <c r="F162" s="487" t="e">
        <f>F161+Tabela1[[#This Row],[%ITEM]]</f>
        <v>#REF!</v>
      </c>
      <c r="G162" s="501" t="e">
        <f t="shared" si="2"/>
        <v>#REF!</v>
      </c>
    </row>
    <row r="163" spans="1:7" x14ac:dyDescent="0.25">
      <c r="A163" s="513" t="e">
        <f>PO!#REF!</f>
        <v>#REF!</v>
      </c>
      <c r="B163" s="508" t="e">
        <f>VLOOKUP(Tabela1[[#This Row],[Nº]],PO!$A$8:$K$421,3,FALSE)</f>
        <v>#REF!</v>
      </c>
      <c r="C163" s="485" t="e">
        <f>VLOOKUP(Tabela1[[#This Row],[Nº]],PO!$A$8:$K$421,4,FALSE)</f>
        <v>#REF!</v>
      </c>
      <c r="D163" s="486" t="e">
        <f>VLOOKUP(Tabela1[[#This Row],[Nº]],PO!$A$8:$K$421,11,FALSE)</f>
        <v>#REF!</v>
      </c>
      <c r="E163" s="500" t="e">
        <f>Tabela1[[#This Row],[TOTAL ITEM (R$)]]/Tabela1[[#Totals],[TOTAL ITEM (R$)]]</f>
        <v>#REF!</v>
      </c>
      <c r="F163" s="487" t="e">
        <f>F162+Tabela1[[#This Row],[%ITEM]]</f>
        <v>#REF!</v>
      </c>
      <c r="G163" s="501" t="e">
        <f t="shared" si="2"/>
        <v>#REF!</v>
      </c>
    </row>
    <row r="164" spans="1:7" x14ac:dyDescent="0.25">
      <c r="A164" s="513" t="str">
        <f>PO!A64</f>
        <v>4.1.6</v>
      </c>
      <c r="B164" s="508">
        <f>VLOOKUP(Tabela1[[#This Row],[Nº]],PO!$A$8:$K$421,3,FALSE)</f>
        <v>96995</v>
      </c>
      <c r="C164" s="485" t="str">
        <f>VLOOKUP(Tabela1[[#This Row],[Nº]],PO!$A$8:$K$421,4,FALSE)</f>
        <v>Reaterro de valas com compactação manual.</v>
      </c>
      <c r="D164" s="486">
        <f>VLOOKUP(Tabela1[[#This Row],[Nº]],PO!$A$8:$K$421,11,FALSE)</f>
        <v>148.33000000000001</v>
      </c>
      <c r="E164" s="500" t="e">
        <f>Tabela1[[#This Row],[TOTAL ITEM (R$)]]/Tabela1[[#Totals],[TOTAL ITEM (R$)]]</f>
        <v>#REF!</v>
      </c>
      <c r="F164" s="487" t="e">
        <f>F163+Tabela1[[#This Row],[%ITEM]]</f>
        <v>#REF!</v>
      </c>
      <c r="G164" s="501" t="e">
        <f t="shared" si="2"/>
        <v>#REF!</v>
      </c>
    </row>
    <row r="165" spans="1:7" x14ac:dyDescent="0.25">
      <c r="A165" s="513" t="str">
        <f>PO!A336</f>
        <v>14.3.8</v>
      </c>
      <c r="B165" s="508">
        <f>VLOOKUP(Tabela1[[#This Row],[Nº]],PO!$A$8:$K$421,3,FALSE)</f>
        <v>91969</v>
      </c>
      <c r="C165" s="485" t="str">
        <f>VLOOKUP(Tabela1[[#This Row],[Nº]],PO!$A$8:$K$421,4,FALSE)</f>
        <v>Interruptor paralelo (3 módulos), 10a/250V, incluindo suporte e placa - fornecimento e instalação.</v>
      </c>
      <c r="D165" s="486">
        <f>VLOOKUP(Tabela1[[#This Row],[Nº]],PO!$A$8:$K$421,11,FALSE)</f>
        <v>289.92</v>
      </c>
      <c r="E165" s="500" t="e">
        <f>Tabela1[[#This Row],[TOTAL ITEM (R$)]]/Tabela1[[#Totals],[TOTAL ITEM (R$)]]</f>
        <v>#REF!</v>
      </c>
      <c r="F165" s="487" t="e">
        <f>F164+Tabela1[[#This Row],[%ITEM]]</f>
        <v>#REF!</v>
      </c>
      <c r="G165" s="501" t="e">
        <f t="shared" si="2"/>
        <v>#REF!</v>
      </c>
    </row>
    <row r="166" spans="1:7" x14ac:dyDescent="0.25">
      <c r="A166" s="513" t="str">
        <f>PO!A413</f>
        <v>15.3.7</v>
      </c>
      <c r="B166" s="508" t="str">
        <f>VLOOKUP(Tabela1[[#This Row],[Nº]],PO!$A$8:$K$421,3,FALSE)</f>
        <v>CPU-71</v>
      </c>
      <c r="C166" s="485" t="str">
        <f>VLOOKUP(Tabela1[[#This Row],[Nº]],PO!$A$8:$K$421,4,FALSE)</f>
        <v>Bloco de conexão rápida - fornecimento e instalação.</v>
      </c>
      <c r="D166" s="486">
        <f>VLOOKUP(Tabela1[[#This Row],[Nº]],PO!$A$8:$K$421,11,FALSE)</f>
        <v>289.04000000000002</v>
      </c>
      <c r="E166" s="500" t="e">
        <f>Tabela1[[#This Row],[TOTAL ITEM (R$)]]/Tabela1[[#Totals],[TOTAL ITEM (R$)]]</f>
        <v>#REF!</v>
      </c>
      <c r="F166" s="487" t="e">
        <f>F165+Tabela1[[#This Row],[%ITEM]]</f>
        <v>#REF!</v>
      </c>
      <c r="G166" s="501" t="e">
        <f t="shared" si="2"/>
        <v>#REF!</v>
      </c>
    </row>
    <row r="167" spans="1:7" x14ac:dyDescent="0.25">
      <c r="A167" s="513" t="str">
        <f>PO!A330</f>
        <v>14.3.3</v>
      </c>
      <c r="B167" s="508">
        <f>VLOOKUP(Tabela1[[#This Row],[Nº]],PO!$A$8:$K$421,3,FALSE)</f>
        <v>91940</v>
      </c>
      <c r="C167" s="485" t="str">
        <f>VLOOKUP(Tabela1[[#This Row],[Nº]],PO!$A$8:$K$421,4,FALSE)</f>
        <v>Caixa retangular 4" x 2" média (1,30 m do piso), PVC, instalada em parede - fornecimento e instalação. </v>
      </c>
      <c r="D167" s="486">
        <f>VLOOKUP(Tabela1[[#This Row],[Nº]],PO!$A$8:$K$421,11,FALSE)</f>
        <v>287.27999999999997</v>
      </c>
      <c r="E167" s="500" t="e">
        <f>Tabela1[[#This Row],[TOTAL ITEM (R$)]]/Tabela1[[#Totals],[TOTAL ITEM (R$)]]</f>
        <v>#REF!</v>
      </c>
      <c r="F167" s="487" t="e">
        <f>F166+Tabela1[[#This Row],[%ITEM]]</f>
        <v>#REF!</v>
      </c>
      <c r="G167" s="501" t="e">
        <f t="shared" si="2"/>
        <v>#REF!</v>
      </c>
    </row>
    <row r="168" spans="1:7" x14ac:dyDescent="0.25">
      <c r="A168" s="513" t="str">
        <f>PO!A21</f>
        <v>2.1.4</v>
      </c>
      <c r="B168" s="508">
        <f>VLOOKUP(Tabela1[[#This Row],[Nº]],PO!$A$8:$K$421,3,FALSE)</f>
        <v>97640</v>
      </c>
      <c r="C168" s="485" t="str">
        <f>VLOOKUP(Tabela1[[#This Row],[Nº]],PO!$A$8:$K$421,4,FALSE)</f>
        <v xml:space="preserve">Remoção de forros de PVC, de forma manual, sem reaproveitamento. </v>
      </c>
      <c r="D168" s="486">
        <f>VLOOKUP(Tabela1[[#This Row],[Nº]],PO!$A$8:$K$421,11,FALSE)</f>
        <v>286.54000000000002</v>
      </c>
      <c r="E168" s="500" t="e">
        <f>Tabela1[[#This Row],[TOTAL ITEM (R$)]]/Tabela1[[#Totals],[TOTAL ITEM (R$)]]</f>
        <v>#REF!</v>
      </c>
      <c r="F168" s="487" t="e">
        <f>F167+Tabela1[[#This Row],[%ITEM]]</f>
        <v>#REF!</v>
      </c>
      <c r="G168" s="501" t="e">
        <f t="shared" si="2"/>
        <v>#REF!</v>
      </c>
    </row>
    <row r="169" spans="1:7" x14ac:dyDescent="0.25">
      <c r="A169" s="513" t="str">
        <f>PO!A333</f>
        <v>14.3.5</v>
      </c>
      <c r="B169" s="508">
        <f>VLOOKUP(Tabela1[[#This Row],[Nº]],PO!$A$8:$K$421,3,FALSE)</f>
        <v>91953</v>
      </c>
      <c r="C169" s="485" t="str">
        <f>VLOOKUP(Tabela1[[#This Row],[Nº]],PO!$A$8:$K$421,4,FALSE)</f>
        <v>Interruptor simples (1 módulo), 10A/250V, incluindo suporte e placa - fornecimento e instalação</v>
      </c>
      <c r="D169" s="486">
        <f>VLOOKUP(Tabela1[[#This Row],[Nº]],PO!$A$8:$K$421,11,FALSE)</f>
        <v>277.75</v>
      </c>
      <c r="E169" s="500" t="e">
        <f>Tabela1[[#This Row],[TOTAL ITEM (R$)]]/Tabela1[[#Totals],[TOTAL ITEM (R$)]]</f>
        <v>#REF!</v>
      </c>
      <c r="F169" s="487" t="e">
        <f>F168+Tabela1[[#This Row],[%ITEM]]</f>
        <v>#REF!</v>
      </c>
      <c r="G169" s="501" t="e">
        <f t="shared" si="2"/>
        <v>#REF!</v>
      </c>
    </row>
    <row r="170" spans="1:7" x14ac:dyDescent="0.25">
      <c r="A170" s="513" t="str">
        <f>PO!A412</f>
        <v>15.3.6</v>
      </c>
      <c r="B170" s="508" t="str">
        <f>VLOOKUP(Tabela1[[#This Row],[Nº]],PO!$A$8:$K$421,3,FALSE)</f>
        <v>CPU-70</v>
      </c>
      <c r="C170" s="485" t="str">
        <f>VLOOKUP(Tabela1[[#This Row],[Nº]],PO!$A$8:$K$421,4,FALSE)</f>
        <v>Quadro de Telefonia 60x60 - embutir - fornecimento e instalação.</v>
      </c>
      <c r="D170" s="486">
        <f>VLOOKUP(Tabela1[[#This Row],[Nº]],PO!$A$8:$K$421,11,FALSE)</f>
        <v>288.77999999999997</v>
      </c>
      <c r="E170" s="500" t="e">
        <f>Tabela1[[#This Row],[TOTAL ITEM (R$)]]/Tabela1[[#Totals],[TOTAL ITEM (R$)]]</f>
        <v>#REF!</v>
      </c>
      <c r="F170" s="487" t="e">
        <f>F169+Tabela1[[#This Row],[%ITEM]]</f>
        <v>#REF!</v>
      </c>
      <c r="G170" s="501" t="e">
        <f t="shared" si="2"/>
        <v>#REF!</v>
      </c>
    </row>
    <row r="171" spans="1:7" x14ac:dyDescent="0.25">
      <c r="A171" s="513" t="str">
        <f>PO!A38</f>
        <v>2.1.21</v>
      </c>
      <c r="B171" s="508" t="str">
        <f>VLOOKUP(Tabela1[[#This Row],[Nº]],PO!$A$8:$K$421,3,FALSE)</f>
        <v>CPU-06</v>
      </c>
      <c r="C171" s="485" t="str">
        <f>VLOOKUP(Tabela1[[#This Row],[Nº]],PO!$A$8:$K$421,4,FALSE)</f>
        <v>Retirada de ventilador de teto metálico</v>
      </c>
      <c r="D171" s="486">
        <f>VLOOKUP(Tabela1[[#This Row],[Nº]],PO!$A$8:$K$421,11,FALSE)</f>
        <v>73.84</v>
      </c>
      <c r="E171" s="500" t="e">
        <f>Tabela1[[#This Row],[TOTAL ITEM (R$)]]/Tabela1[[#Totals],[TOTAL ITEM (R$)]]</f>
        <v>#REF!</v>
      </c>
      <c r="F171" s="487" t="e">
        <f>F170+Tabela1[[#This Row],[%ITEM]]</f>
        <v>#REF!</v>
      </c>
      <c r="G171" s="501" t="e">
        <f t="shared" si="2"/>
        <v>#REF!</v>
      </c>
    </row>
    <row r="172" spans="1:7" ht="25.5" x14ac:dyDescent="0.25">
      <c r="A172" s="513" t="str">
        <f>PO!A74</f>
        <v>4.3.1</v>
      </c>
      <c r="B172" s="508">
        <f>VLOOKUP(Tabela1[[#This Row],[Nº]],PO!$A$8:$K$421,3,FALSE)</f>
        <v>92916</v>
      </c>
      <c r="C172" s="485" t="str">
        <f>VLOOKUP(Tabela1[[#This Row],[Nº]],PO!$A$8:$K$421,4,FALSE)</f>
        <v>Armação de Estruturas de Concreto Armado, Vigas, Pilares, Lajes e Fundações Profundas, Utilizando Aço AÇO CA-50 de 6,3 mm - Montagem e fornecimento</v>
      </c>
      <c r="D172" s="486">
        <f>VLOOKUP(Tabela1[[#This Row],[Nº]],PO!$A$8:$K$421,11,FALSE)</f>
        <v>1519.63</v>
      </c>
      <c r="E172" s="500" t="e">
        <f>Tabela1[[#This Row],[TOTAL ITEM (R$)]]/Tabela1[[#Totals],[TOTAL ITEM (R$)]]</f>
        <v>#REF!</v>
      </c>
      <c r="F172" s="487" t="e">
        <f>F171+Tabela1[[#This Row],[%ITEM]]</f>
        <v>#REF!</v>
      </c>
      <c r="G172" s="501" t="e">
        <f t="shared" si="2"/>
        <v>#REF!</v>
      </c>
    </row>
    <row r="173" spans="1:7" x14ac:dyDescent="0.25">
      <c r="A173" s="513" t="str">
        <f>PO!A351</f>
        <v>14.4.6</v>
      </c>
      <c r="B173" s="508">
        <f>VLOOKUP(Tabela1[[#This Row],[Nº]],PO!$A$8:$K$421,3,FALSE)</f>
        <v>93667</v>
      </c>
      <c r="C173" s="485" t="str">
        <f>VLOOKUP(Tabela1[[#This Row],[Nº]],PO!$A$8:$K$421,4,FALSE)</f>
        <v>Disjuntor tripolar tipo DIN, corrente nominal de 10A - fornecimento e instalação.</v>
      </c>
      <c r="D173" s="486">
        <f>VLOOKUP(Tabela1[[#This Row],[Nº]],PO!$A$8:$K$421,11,FALSE)</f>
        <v>269.2</v>
      </c>
      <c r="E173" s="500" t="e">
        <f>Tabela1[[#This Row],[TOTAL ITEM (R$)]]/Tabela1[[#Totals],[TOTAL ITEM (R$)]]</f>
        <v>#REF!</v>
      </c>
      <c r="F173" s="487" t="e">
        <f>F172+Tabela1[[#This Row],[%ITEM]]</f>
        <v>#REF!</v>
      </c>
      <c r="G173" s="501" t="e">
        <f t="shared" si="2"/>
        <v>#REF!</v>
      </c>
    </row>
    <row r="174" spans="1:7" x14ac:dyDescent="0.25">
      <c r="A174" s="513" t="str">
        <f>PO!A44</f>
        <v>2.2.1</v>
      </c>
      <c r="B174" s="508" t="str">
        <f>VLOOKUP(Tabela1[[#This Row],[Nº]],PO!$A$8:$K$421,3,FALSE)</f>
        <v>CPU-08</v>
      </c>
      <c r="C174" s="485" t="str">
        <f>VLOOKUP(Tabela1[[#This Row],[Nº]],PO!$A$8:$K$421,4,FALSE)</f>
        <v>Capina e limpeza manual de terreno</v>
      </c>
      <c r="D174" s="486">
        <f>VLOOKUP(Tabela1[[#This Row],[Nº]],PO!$A$8:$K$421,11,FALSE)</f>
        <v>262.86</v>
      </c>
      <c r="E174" s="500" t="e">
        <f>Tabela1[[#This Row],[TOTAL ITEM (R$)]]/Tabela1[[#Totals],[TOTAL ITEM (R$)]]</f>
        <v>#REF!</v>
      </c>
      <c r="F174" s="487" t="e">
        <f>F173+Tabela1[[#This Row],[%ITEM]]</f>
        <v>#REF!</v>
      </c>
      <c r="G174" s="501" t="e">
        <f t="shared" si="2"/>
        <v>#REF!</v>
      </c>
    </row>
    <row r="175" spans="1:7" x14ac:dyDescent="0.25">
      <c r="A175" s="513" t="str">
        <f>PO!A264</f>
        <v>12.8.2</v>
      </c>
      <c r="B175" s="508">
        <f>VLOOKUP(Tabela1[[#This Row],[Nº]],PO!$A$8:$K$421,3,FALSE)</f>
        <v>93382</v>
      </c>
      <c r="C175" s="485" t="str">
        <f>VLOOKUP(Tabela1[[#This Row],[Nº]],PO!$A$8:$K$421,4,FALSE)</f>
        <v>Reaterro manual de valas com compactação mecanizada.</v>
      </c>
      <c r="D175" s="486">
        <f>VLOOKUP(Tabela1[[#This Row],[Nº]],PO!$A$8:$K$421,11,FALSE)</f>
        <v>253.61</v>
      </c>
      <c r="E175" s="500" t="e">
        <f>Tabela1[[#This Row],[TOTAL ITEM (R$)]]/Tabela1[[#Totals],[TOTAL ITEM (R$)]]</f>
        <v>#REF!</v>
      </c>
      <c r="F175" s="487" t="e">
        <f>F174+Tabela1[[#This Row],[%ITEM]]</f>
        <v>#REF!</v>
      </c>
      <c r="G175" s="501" t="e">
        <f t="shared" si="2"/>
        <v>#REF!</v>
      </c>
    </row>
    <row r="176" spans="1:7" x14ac:dyDescent="0.25">
      <c r="A176" s="513" t="str">
        <f>PO!A331</f>
        <v>14.3.4</v>
      </c>
      <c r="B176" s="508">
        <f>VLOOKUP(Tabela1[[#This Row],[Nº]],PO!$A$8:$K$421,3,FALSE)</f>
        <v>91937</v>
      </c>
      <c r="C176" s="485" t="str">
        <f>VLOOKUP(Tabela1[[#This Row],[Nº]],PO!$A$8:$K$421,4,FALSE)</f>
        <v>Caixa octogonal 3" x 3", PVC, instalada em laje - fornecimento e instalação.</v>
      </c>
      <c r="D176" s="486">
        <f>VLOOKUP(Tabela1[[#This Row],[Nº]],PO!$A$8:$K$421,11,FALSE)</f>
        <v>256.62</v>
      </c>
      <c r="E176" s="500" t="e">
        <f>Tabela1[[#This Row],[TOTAL ITEM (R$)]]/Tabela1[[#Totals],[TOTAL ITEM (R$)]]</f>
        <v>#REF!</v>
      </c>
      <c r="F176" s="487" t="e">
        <f>F175+Tabela1[[#This Row],[%ITEM]]</f>
        <v>#REF!</v>
      </c>
      <c r="G176" s="501" t="e">
        <f t="shared" si="2"/>
        <v>#REF!</v>
      </c>
    </row>
    <row r="177" spans="1:7" x14ac:dyDescent="0.25">
      <c r="A177" s="513" t="str">
        <f>PO!A29</f>
        <v>2.1.12</v>
      </c>
      <c r="B177" s="508">
        <f>VLOOKUP(Tabela1[[#This Row],[Nº]],PO!$A$8:$K$421,3,FALSE)</f>
        <v>97644</v>
      </c>
      <c r="C177" s="485" t="str">
        <f>VLOOKUP(Tabela1[[#This Row],[Nº]],PO!$A$8:$K$421,4,FALSE)</f>
        <v>Remoção de portas, de forma manual, sem reaproveitamento.</v>
      </c>
      <c r="D177" s="486">
        <f>VLOOKUP(Tabela1[[#This Row],[Nº]],PO!$A$8:$K$421,11,FALSE)</f>
        <v>252.4</v>
      </c>
      <c r="E177" s="500" t="e">
        <f>Tabela1[[#This Row],[TOTAL ITEM (R$)]]/Tabela1[[#Totals],[TOTAL ITEM (R$)]]</f>
        <v>#REF!</v>
      </c>
      <c r="F177" s="487" t="e">
        <f>F176+Tabela1[[#This Row],[%ITEM]]</f>
        <v>#REF!</v>
      </c>
      <c r="G177" s="501" t="e">
        <f t="shared" si="2"/>
        <v>#REF!</v>
      </c>
    </row>
    <row r="178" spans="1:7" x14ac:dyDescent="0.25">
      <c r="A178" s="513" t="str">
        <f>PO!A410</f>
        <v>15.3.4</v>
      </c>
      <c r="B178" s="508" t="str">
        <f>VLOOKUP(Tabela1[[#This Row],[Nº]],PO!$A$8:$K$421,3,FALSE)</f>
        <v>CPU-68</v>
      </c>
      <c r="C178" s="485" t="str">
        <f>VLOOKUP(Tabela1[[#This Row],[Nº]],PO!$A$8:$K$421,4,FALSE)</f>
        <v>Régua para rack 19" - 9 tomadas - fornecimento e instalação.</v>
      </c>
      <c r="D178" s="486">
        <f>VLOOKUP(Tabela1[[#This Row],[Nº]],PO!$A$8:$K$421,11,FALSE)</f>
        <v>242.1</v>
      </c>
      <c r="E178" s="500" t="e">
        <f>Tabela1[[#This Row],[TOTAL ITEM (R$)]]/Tabela1[[#Totals],[TOTAL ITEM (R$)]]</f>
        <v>#REF!</v>
      </c>
      <c r="F178" s="487" t="e">
        <f>F177+Tabela1[[#This Row],[%ITEM]]</f>
        <v>#REF!</v>
      </c>
      <c r="G178" s="501" t="e">
        <f t="shared" si="2"/>
        <v>#REF!</v>
      </c>
    </row>
    <row r="179" spans="1:7" x14ac:dyDescent="0.25">
      <c r="A179" s="513" t="str">
        <f>PO!A416</f>
        <v>15.4.1</v>
      </c>
      <c r="B179" s="508">
        <f>VLOOKUP(Tabela1[[#This Row],[Nº]],PO!$A$8:$K$421,3,FALSE)</f>
        <v>90447</v>
      </c>
      <c r="C179" s="485" t="str">
        <f>VLOOKUP(Tabela1[[#This Row],[Nº]],PO!$A$8:$K$421,4,FALSE)</f>
        <v>Rasgo em alvenaria para eletroduto com diâmetros menores ou iguais a 40 mm</v>
      </c>
      <c r="D179" s="486">
        <f>VLOOKUP(Tabela1[[#This Row],[Nº]],PO!$A$8:$K$421,11,FALSE)</f>
        <v>235.84</v>
      </c>
      <c r="E179" s="500" t="e">
        <f>Tabela1[[#This Row],[TOTAL ITEM (R$)]]/Tabela1[[#Totals],[TOTAL ITEM (R$)]]</f>
        <v>#REF!</v>
      </c>
      <c r="F179" s="487" t="e">
        <f>F178+Tabela1[[#This Row],[%ITEM]]</f>
        <v>#REF!</v>
      </c>
      <c r="G179" s="501" t="e">
        <f t="shared" si="2"/>
        <v>#REF!</v>
      </c>
    </row>
    <row r="180" spans="1:7" x14ac:dyDescent="0.25">
      <c r="A180" s="513" t="str">
        <f>PO!A89</f>
        <v>4.4.6</v>
      </c>
      <c r="B180" s="508" t="str">
        <f>VLOOKUP(Tabela1[[#This Row],[Nº]],PO!$A$8:$K$421,3,FALSE)</f>
        <v>CPU-13</v>
      </c>
      <c r="C180" s="485" t="str">
        <f>VLOOKUP(Tabela1[[#This Row],[Nº]],PO!$A$8:$K$421,4,FALSE)</f>
        <v>Impermeabilização de estruturas enterradas, com tinta asfáltica, duas demãos</v>
      </c>
      <c r="D180" s="486">
        <f>VLOOKUP(Tabela1[[#This Row],[Nº]],PO!$A$8:$K$421,11,FALSE)</f>
        <v>220.81</v>
      </c>
      <c r="E180" s="500" t="e">
        <f>Tabela1[[#This Row],[TOTAL ITEM (R$)]]/Tabela1[[#Totals],[TOTAL ITEM (R$)]]</f>
        <v>#REF!</v>
      </c>
      <c r="F180" s="487" t="e">
        <f>F179+Tabela1[[#This Row],[%ITEM]]</f>
        <v>#REF!</v>
      </c>
      <c r="G180" s="501" t="e">
        <f t="shared" si="2"/>
        <v>#REF!</v>
      </c>
    </row>
    <row r="181" spans="1:7" x14ac:dyDescent="0.25">
      <c r="A181" s="513" t="str">
        <f>PO!A258</f>
        <v>12.7.2</v>
      </c>
      <c r="B181" s="508">
        <f>VLOOKUP(Tabela1[[#This Row],[Nº]],PO!$A$8:$K$421,3,FALSE)</f>
        <v>91222</v>
      </c>
      <c r="C181" s="485" t="str">
        <f>VLOOKUP(Tabela1[[#This Row],[Nº]],PO!$A$8:$K$421,4,FALSE)</f>
        <v xml:space="preserve">Rasgo em alvenaria para ramais/ distribuição com diâmetros maiores que 40 mm e menores ou iguais a 75 mm. </v>
      </c>
      <c r="D181" s="486">
        <f>VLOOKUP(Tabela1[[#This Row],[Nº]],PO!$A$8:$K$421,11,FALSE)</f>
        <v>202.63</v>
      </c>
      <c r="E181" s="500" t="e">
        <f>Tabela1[[#This Row],[TOTAL ITEM (R$)]]/Tabela1[[#Totals],[TOTAL ITEM (R$)]]</f>
        <v>#REF!</v>
      </c>
      <c r="F181" s="487" t="e">
        <f>F180+Tabela1[[#This Row],[%ITEM]]</f>
        <v>#REF!</v>
      </c>
      <c r="G181" s="501" t="e">
        <f t="shared" si="2"/>
        <v>#REF!</v>
      </c>
    </row>
    <row r="182" spans="1:7" x14ac:dyDescent="0.25">
      <c r="A182" s="513" t="str">
        <f>PO!A417</f>
        <v>15.4.2</v>
      </c>
      <c r="B182" s="508" t="str">
        <f>VLOOKUP(Tabela1[[#This Row],[Nº]],PO!$A$8:$K$421,3,FALSE)</f>
        <v>CPU-44</v>
      </c>
      <c r="C182" s="485" t="str">
        <f>VLOOKUP(Tabela1[[#This Row],[Nº]],PO!$A$8:$K$421,4,FALSE)</f>
        <v>Enchimento de rasgo em alvenaria com argamassa mista traço 1:4, para tubulação de 1/2" a 25 mm</v>
      </c>
      <c r="D182" s="486">
        <f>VLOOKUP(Tabela1[[#This Row],[Nº]],PO!$A$8:$K$421,11,FALSE)</f>
        <v>224.03</v>
      </c>
      <c r="E182" s="500" t="e">
        <f>Tabela1[[#This Row],[TOTAL ITEM (R$)]]/Tabela1[[#Totals],[TOTAL ITEM (R$)]]</f>
        <v>#REF!</v>
      </c>
      <c r="F182" s="487" t="e">
        <f>F181+Tabela1[[#This Row],[%ITEM]]</f>
        <v>#REF!</v>
      </c>
      <c r="G182" s="501" t="e">
        <f t="shared" si="2"/>
        <v>#REF!</v>
      </c>
    </row>
    <row r="183" spans="1:7" ht="25.5" x14ac:dyDescent="0.25">
      <c r="A183" s="513" t="str">
        <f>PO!A212</f>
        <v>12.2.8</v>
      </c>
      <c r="B183" s="508">
        <f>VLOOKUP(Tabela1[[#This Row],[Nº]],PO!$A$8:$K$421,3,FALSE)</f>
        <v>90373</v>
      </c>
      <c r="C183" s="485" t="str">
        <f>VLOOKUP(Tabela1[[#This Row],[Nº]],PO!$A$8:$K$421,4,FALSE)</f>
        <v>Joelho 90° graus com bucha de latão, PVC, soldável, DN 25mm, x 1/2 em ramal ou sub-ramal de água - fornecimento e instalação.</v>
      </c>
      <c r="D183" s="486">
        <f>VLOOKUP(Tabela1[[#This Row],[Nº]],PO!$A$8:$K$421,11,FALSE)</f>
        <v>213.28</v>
      </c>
      <c r="E183" s="500" t="e">
        <f>Tabela1[[#This Row],[TOTAL ITEM (R$)]]/Tabela1[[#Totals],[TOTAL ITEM (R$)]]</f>
        <v>#REF!</v>
      </c>
      <c r="F183" s="487" t="e">
        <f>F182+Tabela1[[#This Row],[%ITEM]]</f>
        <v>#REF!</v>
      </c>
      <c r="G183" s="501" t="e">
        <f t="shared" si="2"/>
        <v>#REF!</v>
      </c>
    </row>
    <row r="184" spans="1:7" x14ac:dyDescent="0.25">
      <c r="A184" s="513" t="str">
        <f>PO!A269</f>
        <v>13.1.1</v>
      </c>
      <c r="B184" s="508">
        <f>VLOOKUP(Tabela1[[#This Row],[Nº]],PO!$A$8:$K$421,3,FALSE)</f>
        <v>89799</v>
      </c>
      <c r="C184" s="485" t="str">
        <f>VLOOKUP(Tabela1[[#This Row],[Nº]],PO!$A$8:$K$421,4,FALSE)</f>
        <v xml:space="preserve">Tubo PVC, Serie Normal, Esgoto Predial, DN 75 mm, Fornecimento e Instalação </v>
      </c>
      <c r="D184" s="486">
        <f>VLOOKUP(Tabela1[[#This Row],[Nº]],PO!$A$8:$K$421,11,FALSE)</f>
        <v>218.64</v>
      </c>
      <c r="E184" s="500" t="e">
        <f>Tabela1[[#This Row],[TOTAL ITEM (R$)]]/Tabela1[[#Totals],[TOTAL ITEM (R$)]]</f>
        <v>#REF!</v>
      </c>
      <c r="F184" s="487" t="e">
        <f>F183+Tabela1[[#This Row],[%ITEM]]</f>
        <v>#REF!</v>
      </c>
      <c r="G184" s="501" t="e">
        <f t="shared" si="2"/>
        <v>#REF!</v>
      </c>
    </row>
    <row r="185" spans="1:7" x14ac:dyDescent="0.25">
      <c r="A185" s="513" t="str">
        <f>PO!A365</f>
        <v>14.6.3</v>
      </c>
      <c r="B185" s="508" t="str">
        <f>VLOOKUP(Tabela1[[#This Row],[Nº]],PO!$A$8:$K$421,3,FALSE)</f>
        <v>CPU-57</v>
      </c>
      <c r="C185" s="485" t="str">
        <f>VLOOKUP(Tabela1[[#This Row],[Nº]],PO!$A$8:$K$421,4,FALSE)</f>
        <v>Placa Led 20x20 - Fornecimento e instalação.</v>
      </c>
      <c r="D185" s="486">
        <f>VLOOKUP(Tabela1[[#This Row],[Nº]],PO!$A$8:$K$421,11,FALSE)</f>
        <v>249.8</v>
      </c>
      <c r="E185" s="500" t="e">
        <f>Tabela1[[#This Row],[TOTAL ITEM (R$)]]/Tabela1[[#Totals],[TOTAL ITEM (R$)]]</f>
        <v>#REF!</v>
      </c>
      <c r="F185" s="487" t="e">
        <f>F184+Tabela1[[#This Row],[%ITEM]]</f>
        <v>#REF!</v>
      </c>
      <c r="G185" s="501" t="e">
        <f t="shared" si="2"/>
        <v>#REF!</v>
      </c>
    </row>
    <row r="186" spans="1:7" ht="25.5" x14ac:dyDescent="0.25">
      <c r="A186" s="513" t="str">
        <f>PO!A208</f>
        <v>12.2.4</v>
      </c>
      <c r="B186" s="508">
        <f>VLOOKUP(Tabela1[[#This Row],[Nº]],PO!$A$8:$K$421,3,FALSE)</f>
        <v>89362</v>
      </c>
      <c r="C186" s="485" t="str">
        <f>VLOOKUP(Tabela1[[#This Row],[Nº]],PO!$A$8:$K$421,4,FALSE)</f>
        <v>Joelho de 90 graus, PVC, Soldável, DN 25mm, Instalado em Ramal ou Sub-Ramal de Água - Fornecimento e Instalação</v>
      </c>
      <c r="D186" s="486">
        <f>VLOOKUP(Tabela1[[#This Row],[Nº]],PO!$A$8:$K$421,11,FALSE)</f>
        <v>201.25</v>
      </c>
      <c r="E186" s="500" t="e">
        <f>Tabela1[[#This Row],[TOTAL ITEM (R$)]]/Tabela1[[#Totals],[TOTAL ITEM (R$)]]</f>
        <v>#REF!</v>
      </c>
      <c r="F186" s="487" t="e">
        <f>F185+Tabela1[[#This Row],[%ITEM]]</f>
        <v>#REF!</v>
      </c>
      <c r="G186" s="501" t="e">
        <f t="shared" si="2"/>
        <v>#REF!</v>
      </c>
    </row>
    <row r="187" spans="1:7" x14ac:dyDescent="0.25">
      <c r="A187" s="513" t="str">
        <f>PO!A342</f>
        <v>14.3.13</v>
      </c>
      <c r="B187" s="508">
        <f>VLOOKUP(Tabela1[[#This Row],[Nº]],PO!$A$8:$K$421,3,FALSE)</f>
        <v>91992</v>
      </c>
      <c r="C187" s="485" t="str">
        <f>VLOOKUP(Tabela1[[#This Row],[Nº]],PO!$A$8:$K$421,4,FALSE)</f>
        <v>Tomada alta de embutir (1 módulo), 2P+T 10 A, incluindo suporte e placa - fornecimento e instalação.</v>
      </c>
      <c r="D187" s="486">
        <f>VLOOKUP(Tabela1[[#This Row],[Nº]],PO!$A$8:$K$421,11,FALSE)</f>
        <v>192.7</v>
      </c>
      <c r="E187" s="500" t="e">
        <f>Tabela1[[#This Row],[TOTAL ITEM (R$)]]/Tabela1[[#Totals],[TOTAL ITEM (R$)]]</f>
        <v>#REF!</v>
      </c>
      <c r="F187" s="487" t="e">
        <f>F186+Tabela1[[#This Row],[%ITEM]]</f>
        <v>#REF!</v>
      </c>
      <c r="G187" s="501" t="e">
        <f t="shared" si="2"/>
        <v>#REF!</v>
      </c>
    </row>
    <row r="188" spans="1:7" x14ac:dyDescent="0.25">
      <c r="A188" s="513" t="str">
        <f>PO!A411</f>
        <v>15.3.5</v>
      </c>
      <c r="B188" s="508" t="str">
        <f>VLOOKUP(Tabela1[[#This Row],[Nº]],PO!$A$8:$K$421,3,FALSE)</f>
        <v>CPU-69</v>
      </c>
      <c r="C188" s="485" t="str">
        <f>VLOOKUP(Tabela1[[#This Row],[Nº]],PO!$A$8:$K$421,4,FALSE)</f>
        <v>Guia organizadora p/ Rack 19"  - fornecimento e instalação.</v>
      </c>
      <c r="D188" s="486">
        <f>VLOOKUP(Tabela1[[#This Row],[Nº]],PO!$A$8:$K$421,11,FALSE)</f>
        <v>189</v>
      </c>
      <c r="E188" s="500" t="e">
        <f>Tabela1[[#This Row],[TOTAL ITEM (R$)]]/Tabela1[[#Totals],[TOTAL ITEM (R$)]]</f>
        <v>#REF!</v>
      </c>
      <c r="F188" s="487" t="e">
        <f>F187+Tabela1[[#This Row],[%ITEM]]</f>
        <v>#REF!</v>
      </c>
      <c r="G188" s="501" t="e">
        <f t="shared" si="2"/>
        <v>#REF!</v>
      </c>
    </row>
    <row r="189" spans="1:7" x14ac:dyDescent="0.25">
      <c r="A189" s="513" t="str">
        <f>PO!A294</f>
        <v>13.4.2</v>
      </c>
      <c r="B189" s="508" t="str">
        <f>VLOOKUP(Tabela1[[#This Row],[Nº]],PO!$A$8:$K$421,3,FALSE)</f>
        <v>CPU-44</v>
      </c>
      <c r="C189" s="485" t="str">
        <f>VLOOKUP(Tabela1[[#This Row],[Nº]],PO!$A$8:$K$421,4,FALSE)</f>
        <v>Enchimento de rasgo em alvenaria com argamassa mista traço 1:4, para tubulação de 1/2" a 25 mm</v>
      </c>
      <c r="D189" s="486">
        <f>VLOOKUP(Tabela1[[#This Row],[Nº]],PO!$A$8:$K$421,11,FALSE)</f>
        <v>182.52</v>
      </c>
      <c r="E189" s="500" t="e">
        <f>Tabela1[[#This Row],[TOTAL ITEM (R$)]]/Tabela1[[#Totals],[TOTAL ITEM (R$)]]</f>
        <v>#REF!</v>
      </c>
      <c r="F189" s="487" t="e">
        <f>F188+Tabela1[[#This Row],[%ITEM]]</f>
        <v>#REF!</v>
      </c>
      <c r="G189" s="501" t="e">
        <f t="shared" si="2"/>
        <v>#REF!</v>
      </c>
    </row>
    <row r="190" spans="1:7" ht="25.5" x14ac:dyDescent="0.25">
      <c r="A190" s="513" t="str">
        <f>PO!A301</f>
        <v>14.1.3</v>
      </c>
      <c r="B190" s="508" t="str">
        <f>VLOOKUP(Tabela1[[#This Row],[Nº]],PO!$A$8:$K$421,3,FALSE)</f>
        <v>CPU-46</v>
      </c>
      <c r="C190" s="485" t="str">
        <f>VLOOKUP(Tabela1[[#This Row],[Nº]],PO!$A$8:$K$421,4,FALSE)</f>
        <v>Luva para eletroduto, PVC, roscável, DN (3"), para circuitos terminais, instalada em parede - fornecimento e instalação.</v>
      </c>
      <c r="D190" s="486">
        <f>VLOOKUP(Tabela1[[#This Row],[Nº]],PO!$A$8:$K$421,11,FALSE)</f>
        <v>201.04</v>
      </c>
      <c r="E190" s="500" t="e">
        <f>Tabela1[[#This Row],[TOTAL ITEM (R$)]]/Tabela1[[#Totals],[TOTAL ITEM (R$)]]</f>
        <v>#REF!</v>
      </c>
      <c r="F190" s="487" t="e">
        <f>F189+Tabela1[[#This Row],[%ITEM]]</f>
        <v>#REF!</v>
      </c>
      <c r="G190" s="501" t="e">
        <f t="shared" si="2"/>
        <v>#REF!</v>
      </c>
    </row>
    <row r="191" spans="1:7" ht="25.5" x14ac:dyDescent="0.25">
      <c r="A191" s="513" t="str">
        <f>PO!A306</f>
        <v>14.1.7</v>
      </c>
      <c r="B191" s="508">
        <f>VLOOKUP(Tabela1[[#This Row],[Nº]],PO!$A$8:$K$421,3,FALSE)</f>
        <v>91868</v>
      </c>
      <c r="C191" s="485" t="str">
        <f>VLOOKUP(Tabela1[[#This Row],[Nº]],PO!$A$8:$K$421,4,FALSE)</f>
        <v>Eletroduto rígido roscável, PVC, DN 32 mm (1"), para circuitos terminais, instalado em laje - fornecimento e instalação. </v>
      </c>
      <c r="D191" s="486">
        <f>VLOOKUP(Tabela1[[#This Row],[Nº]],PO!$A$8:$K$421,11,FALSE)</f>
        <v>183.38</v>
      </c>
      <c r="E191" s="500" t="e">
        <f>Tabela1[[#This Row],[TOTAL ITEM (R$)]]/Tabela1[[#Totals],[TOTAL ITEM (R$)]]</f>
        <v>#REF!</v>
      </c>
      <c r="F191" s="487" t="e">
        <f>F190+Tabela1[[#This Row],[%ITEM]]</f>
        <v>#REF!</v>
      </c>
      <c r="G191" s="501" t="e">
        <f t="shared" si="2"/>
        <v>#REF!</v>
      </c>
    </row>
    <row r="192" spans="1:7" ht="25.5" x14ac:dyDescent="0.25">
      <c r="A192" s="513" t="str">
        <f>PO!A300</f>
        <v>14.1.2</v>
      </c>
      <c r="B192" s="508">
        <f>VLOOKUP(Tabela1[[#This Row],[Nº]],PO!$A$8:$K$421,3,FALSE)</f>
        <v>91885</v>
      </c>
      <c r="C192" s="485" t="str">
        <f>VLOOKUP(Tabela1[[#This Row],[Nº]],PO!$A$8:$K$421,4,FALSE)</f>
        <v>Luva para eletroduto, PVC, roscável, DN 32 mm (1"), para circuitos terminais, instalada em parede - fornecimento e instalação.</v>
      </c>
      <c r="D192" s="486">
        <f>VLOOKUP(Tabela1[[#This Row],[Nº]],PO!$A$8:$K$421,11,FALSE)</f>
        <v>162.52000000000001</v>
      </c>
      <c r="E192" s="500" t="e">
        <f>Tabela1[[#This Row],[TOTAL ITEM (R$)]]/Tabela1[[#Totals],[TOTAL ITEM (R$)]]</f>
        <v>#REF!</v>
      </c>
      <c r="F192" s="487" t="e">
        <f>F191+Tabela1[[#This Row],[%ITEM]]</f>
        <v>#REF!</v>
      </c>
      <c r="G192" s="501" t="e">
        <f t="shared" si="2"/>
        <v>#REF!</v>
      </c>
    </row>
    <row r="193" spans="1:7" x14ac:dyDescent="0.25">
      <c r="A193" s="513" t="str">
        <f>PO!A383</f>
        <v>14.9.1</v>
      </c>
      <c r="B193" s="508">
        <f>VLOOKUP(Tabela1[[#This Row],[Nº]],PO!$A$8:$K$421,3,FALSE)</f>
        <v>93358</v>
      </c>
      <c r="C193" s="485" t="str">
        <f>VLOOKUP(Tabela1[[#This Row],[Nº]],PO!$A$8:$K$421,4,FALSE)</f>
        <v xml:space="preserve">Escavação manual de vala com profundidade menor ou igual a 1,30 m. </v>
      </c>
      <c r="D193" s="486">
        <f>VLOOKUP(Tabela1[[#This Row],[Nº]],PO!$A$8:$K$421,11,FALSE)</f>
        <v>161.75</v>
      </c>
      <c r="E193" s="500" t="e">
        <f>Tabela1[[#This Row],[TOTAL ITEM (R$)]]/Tabela1[[#Totals],[TOTAL ITEM (R$)]]</f>
        <v>#REF!</v>
      </c>
      <c r="F193" s="487" t="e">
        <f>F192+Tabela1[[#This Row],[%ITEM]]</f>
        <v>#REF!</v>
      </c>
      <c r="G193" s="501" t="e">
        <f t="shared" si="2"/>
        <v>#REF!</v>
      </c>
    </row>
    <row r="194" spans="1:7" x14ac:dyDescent="0.25">
      <c r="A194" s="513" t="str">
        <f>PO!A171</f>
        <v>10.3.1</v>
      </c>
      <c r="B194" s="508">
        <f>VLOOKUP(Tabela1[[#This Row],[Nº]],PO!$A$8:$K$421,3,FALSE)</f>
        <v>93182</v>
      </c>
      <c r="C194" s="485" t="str">
        <f>VLOOKUP(Tabela1[[#This Row],[Nº]],PO!$A$8:$K$421,4,FALSE)</f>
        <v xml:space="preserve">Verga pré-moldada para janelas com até de 1,5m de vão. </v>
      </c>
      <c r="D194" s="486">
        <f>VLOOKUP(Tabela1[[#This Row],[Nº]],PO!$A$8:$K$421,11,FALSE)</f>
        <v>151.55000000000001</v>
      </c>
      <c r="E194" s="500" t="e">
        <f>Tabela1[[#This Row],[TOTAL ITEM (R$)]]/Tabela1[[#Totals],[TOTAL ITEM (R$)]]</f>
        <v>#REF!</v>
      </c>
      <c r="F194" s="487" t="e">
        <f>F193+Tabela1[[#This Row],[%ITEM]]</f>
        <v>#REF!</v>
      </c>
      <c r="G194" s="501" t="e">
        <f t="shared" si="2"/>
        <v>#REF!</v>
      </c>
    </row>
    <row r="195" spans="1:7" x14ac:dyDescent="0.25">
      <c r="A195" s="513" t="str">
        <f>PO!A173</f>
        <v>10.3.3</v>
      </c>
      <c r="B195" s="508">
        <f>VLOOKUP(Tabela1[[#This Row],[Nº]],PO!$A$8:$K$421,3,FALSE)</f>
        <v>93194</v>
      </c>
      <c r="C195" s="485" t="str">
        <f>VLOOKUP(Tabela1[[#This Row],[Nº]],PO!$A$8:$K$421,4,FALSE)</f>
        <v>Contraverga pré-moldada para vãos de até 1,5 m de comprimento.</v>
      </c>
      <c r="D195" s="486">
        <f>VLOOKUP(Tabela1[[#This Row],[Nº]],PO!$A$8:$K$421,11,FALSE)</f>
        <v>149.63999999999999</v>
      </c>
      <c r="E195" s="500" t="e">
        <f>Tabela1[[#This Row],[TOTAL ITEM (R$)]]/Tabela1[[#Totals],[TOTAL ITEM (R$)]]</f>
        <v>#REF!</v>
      </c>
      <c r="F195" s="487" t="e">
        <f>F194+Tabela1[[#This Row],[%ITEM]]</f>
        <v>#REF!</v>
      </c>
      <c r="G195" s="501" t="e">
        <f t="shared" si="2"/>
        <v>#REF!</v>
      </c>
    </row>
    <row r="196" spans="1:7" ht="25.5" x14ac:dyDescent="0.25">
      <c r="A196" s="513" t="str">
        <f>PO!A337</f>
        <v>14.3.9</v>
      </c>
      <c r="B196" s="508">
        <f>VLOOKUP(Tabela1[[#This Row],[Nº]],PO!$A$8:$K$421,3,FALSE)</f>
        <v>92023</v>
      </c>
      <c r="C196" s="485" t="str">
        <f>VLOOKUP(Tabela1[[#This Row],[Nº]],PO!$A$8:$K$421,4,FALSE)</f>
        <v>Interruptor simples (1 módulo) com 1 tomada de embutir 2P+T 10 a, incluindo suporte e placa - fornecimento e instalação.</v>
      </c>
      <c r="D196" s="486">
        <f>VLOOKUP(Tabela1[[#This Row],[Nº]],PO!$A$8:$K$421,11,FALSE)</f>
        <v>134.1</v>
      </c>
      <c r="E196" s="500" t="e">
        <f>Tabela1[[#This Row],[TOTAL ITEM (R$)]]/Tabela1[[#Totals],[TOTAL ITEM (R$)]]</f>
        <v>#REF!</v>
      </c>
      <c r="F196" s="487" t="e">
        <f>F195+Tabela1[[#This Row],[%ITEM]]</f>
        <v>#REF!</v>
      </c>
      <c r="G196" s="501" t="e">
        <f t="shared" si="2"/>
        <v>#REF!</v>
      </c>
    </row>
    <row r="197" spans="1:7" ht="25.5" x14ac:dyDescent="0.25">
      <c r="A197" s="513" t="str">
        <f>PO!A371</f>
        <v>14.7.2</v>
      </c>
      <c r="B197" s="508" t="str">
        <f>VLOOKUP(Tabela1[[#This Row],[Nº]],PO!$A$8:$K$421,3,FALSE)</f>
        <v>CPU-61</v>
      </c>
      <c r="C197" s="485" t="str">
        <f>VLOOKUP(Tabela1[[#This Row],[Nº]],PO!$A$8:$K$421,4,FALSE)</f>
        <v>Grampo paralelo em alumínio fundido ou estrudado de 2 parafusos, para cabo de 6 a 50 mm², pasta antioxidante. Fornecimento e instalação.</v>
      </c>
      <c r="D197" s="486">
        <f>VLOOKUP(Tabela1[[#This Row],[Nº]],PO!$A$8:$K$421,11,FALSE)</f>
        <v>125.46</v>
      </c>
      <c r="E197" s="500" t="e">
        <f>Tabela1[[#This Row],[TOTAL ITEM (R$)]]/Tabela1[[#Totals],[TOTAL ITEM (R$)]]</f>
        <v>#REF!</v>
      </c>
      <c r="F197" s="487" t="e">
        <f>F196+Tabela1[[#This Row],[%ITEM]]</f>
        <v>#REF!</v>
      </c>
      <c r="G197" s="501" t="e">
        <f t="shared" si="2"/>
        <v>#REF!</v>
      </c>
    </row>
    <row r="198" spans="1:7" x14ac:dyDescent="0.25">
      <c r="A198" s="513" t="str">
        <f>PO!A352</f>
        <v>14.4.7</v>
      </c>
      <c r="B198" s="508" t="str">
        <f>VLOOKUP(Tabela1[[#This Row],[Nº]],PO!$A$8:$K$421,3,FALSE)</f>
        <v>CPU-49</v>
      </c>
      <c r="C198" s="485" t="str">
        <f>VLOOKUP(Tabela1[[#This Row],[Nº]],PO!$A$8:$K$421,4,FALSE)</f>
        <v>Disjuntor DIN tripolar termomagnético de 70A - fornecimento e instalação</v>
      </c>
      <c r="D198" s="486">
        <f>VLOOKUP(Tabela1[[#This Row],[Nº]],PO!$A$8:$K$421,11,FALSE)</f>
        <v>124.36</v>
      </c>
      <c r="E198" s="500" t="e">
        <f>Tabela1[[#This Row],[TOTAL ITEM (R$)]]/Tabela1[[#Totals],[TOTAL ITEM (R$)]]</f>
        <v>#REF!</v>
      </c>
      <c r="F198" s="487" t="e">
        <f>F197+Tabela1[[#This Row],[%ITEM]]</f>
        <v>#REF!</v>
      </c>
      <c r="G198" s="501" t="e">
        <f t="shared" si="2"/>
        <v>#REF!</v>
      </c>
    </row>
    <row r="199" spans="1:7" x14ac:dyDescent="0.25">
      <c r="A199" s="513" t="str">
        <f>PO!A328</f>
        <v>14.3.1</v>
      </c>
      <c r="B199" s="508">
        <f>VLOOKUP(Tabela1[[#This Row],[Nº]],PO!$A$8:$K$421,3,FALSE)</f>
        <v>91939</v>
      </c>
      <c r="C199" s="485" t="str">
        <f>VLOOKUP(Tabela1[[#This Row],[Nº]],PO!$A$8:$K$421,4,FALSE)</f>
        <v>Caixa retangular 4" x 2" alta (2,20 m do piso), PVC, instalada em parede - fornecimento e instalação. </v>
      </c>
      <c r="D199" s="486">
        <f>VLOOKUP(Tabela1[[#This Row],[Nº]],PO!$A$8:$K$421,11,FALSE)</f>
        <v>130.05000000000001</v>
      </c>
      <c r="E199" s="500" t="e">
        <f>Tabela1[[#This Row],[TOTAL ITEM (R$)]]/Tabela1[[#Totals],[TOTAL ITEM (R$)]]</f>
        <v>#REF!</v>
      </c>
      <c r="F199" s="487" t="e">
        <f>F198+Tabela1[[#This Row],[%ITEM]]</f>
        <v>#REF!</v>
      </c>
      <c r="G199" s="501" t="e">
        <f t="shared" si="2"/>
        <v>#REF!</v>
      </c>
    </row>
    <row r="200" spans="1:7" x14ac:dyDescent="0.25">
      <c r="A200" s="513" t="str">
        <f>PO!A346</f>
        <v>14.4.1</v>
      </c>
      <c r="B200" s="508">
        <f>VLOOKUP(Tabela1[[#This Row],[Nº]],PO!$A$8:$K$421,3,FALSE)</f>
        <v>93653</v>
      </c>
      <c r="C200" s="485" t="str">
        <f>VLOOKUP(Tabela1[[#This Row],[Nº]],PO!$A$8:$K$421,4,FALSE)</f>
        <v>Disjuntor monopolar tipo DIN, corrente nominal de 10A - fornecimento e instalação.</v>
      </c>
      <c r="D200" s="486">
        <f>VLOOKUP(Tabela1[[#This Row],[Nº]],PO!$A$8:$K$421,11,FALSE)</f>
        <v>130.44</v>
      </c>
      <c r="E200" s="500" t="e">
        <f>Tabela1[[#This Row],[TOTAL ITEM (R$)]]/Tabela1[[#Totals],[TOTAL ITEM (R$)]]</f>
        <v>#REF!</v>
      </c>
      <c r="F200" s="487" t="e">
        <f>F199+Tabela1[[#This Row],[%ITEM]]</f>
        <v>#REF!</v>
      </c>
      <c r="G200" s="501" t="e">
        <f t="shared" ref="G200:G262" si="3">IF(F200&gt;=95%,"C",IF(F200&lt;80%,"A","B"))</f>
        <v>#REF!</v>
      </c>
    </row>
    <row r="201" spans="1:7" x14ac:dyDescent="0.25">
      <c r="A201" s="513" t="str">
        <f>PO!A272</f>
        <v>13.1.3</v>
      </c>
      <c r="B201" s="508">
        <f>VLOOKUP(Tabela1[[#This Row],[Nº]],PO!$A$8:$K$421,3,FALSE)</f>
        <v>89865</v>
      </c>
      <c r="C201" s="485" t="str">
        <f>VLOOKUP(Tabela1[[#This Row],[Nº]],PO!$A$8:$K$421,4,FALSE)</f>
        <v>Tubo, PVC, soldável, DN 25mm, instalado em dreno de ar-condicionado - fornecimento e instalação</v>
      </c>
      <c r="D201" s="486">
        <f>VLOOKUP(Tabela1[[#This Row],[Nº]],PO!$A$8:$K$421,11,FALSE)</f>
        <v>117.78</v>
      </c>
      <c r="E201" s="500" t="e">
        <f>Tabela1[[#This Row],[TOTAL ITEM (R$)]]/Tabela1[[#Totals],[TOTAL ITEM (R$)]]</f>
        <v>#REF!</v>
      </c>
      <c r="F201" s="487" t="e">
        <f>F200+Tabela1[[#This Row],[%ITEM]]</f>
        <v>#REF!</v>
      </c>
      <c r="G201" s="501" t="e">
        <f t="shared" si="3"/>
        <v>#REF!</v>
      </c>
    </row>
    <row r="202" spans="1:7" x14ac:dyDescent="0.25">
      <c r="A202" s="513" t="str">
        <f>PO!A373</f>
        <v>14.7.4</v>
      </c>
      <c r="B202" s="508">
        <f>VLOOKUP(Tabela1[[#This Row],[Nº]],PO!$A$8:$K$421,3,FALSE)</f>
        <v>98111</v>
      </c>
      <c r="C202" s="485" t="str">
        <f>VLOOKUP(Tabela1[[#This Row],[Nº]],PO!$A$8:$K$421,4,FALSE)</f>
        <v>Caixa de inspeção para aterramento, circular, em polietileno, diâmetro interno = 0,3 m.</v>
      </c>
      <c r="D202" s="486">
        <f>VLOOKUP(Tabela1[[#This Row],[Nº]],PO!$A$8:$K$421,11,FALSE)</f>
        <v>121.8</v>
      </c>
      <c r="E202" s="500" t="e">
        <f>Tabela1[[#This Row],[TOTAL ITEM (R$)]]/Tabela1[[#Totals],[TOTAL ITEM (R$)]]</f>
        <v>#REF!</v>
      </c>
      <c r="F202" s="487" t="e">
        <f>F201+Tabela1[[#This Row],[%ITEM]]</f>
        <v>#REF!</v>
      </c>
      <c r="G202" s="501" t="e">
        <f t="shared" si="3"/>
        <v>#REF!</v>
      </c>
    </row>
    <row r="203" spans="1:7" x14ac:dyDescent="0.25">
      <c r="A203" s="513" t="str">
        <f>PO!A36</f>
        <v>2.1.19</v>
      </c>
      <c r="B203" s="508">
        <f>VLOOKUP(Tabela1[[#This Row],[Nº]],PO!$A$8:$K$421,3,FALSE)</f>
        <v>97663</v>
      </c>
      <c r="C203" s="485" t="str">
        <f>VLOOKUP(Tabela1[[#This Row],[Nº]],PO!$A$8:$K$421,4,FALSE)</f>
        <v>Remoção de louça sanitária</v>
      </c>
      <c r="D203" s="486">
        <f>VLOOKUP(Tabela1[[#This Row],[Nº]],PO!$A$8:$K$421,11,FALSE)</f>
        <v>112.6</v>
      </c>
      <c r="E203" s="500" t="e">
        <f>Tabela1[[#This Row],[TOTAL ITEM (R$)]]/Tabela1[[#Totals],[TOTAL ITEM (R$)]]</f>
        <v>#REF!</v>
      </c>
      <c r="F203" s="487" t="e">
        <f>F202+Tabela1[[#This Row],[%ITEM]]</f>
        <v>#REF!</v>
      </c>
      <c r="G203" s="501" t="e">
        <f t="shared" si="3"/>
        <v>#REF!</v>
      </c>
    </row>
    <row r="204" spans="1:7" x14ac:dyDescent="0.25">
      <c r="A204" s="513" t="str">
        <f>PO!A216</f>
        <v>12.2.12</v>
      </c>
      <c r="B204" s="508">
        <f>VLOOKUP(Tabela1[[#This Row],[Nº]],PO!$A$8:$K$421,3,FALSE)</f>
        <v>89395</v>
      </c>
      <c r="C204" s="485" t="str">
        <f>VLOOKUP(Tabela1[[#This Row],[Nº]],PO!$A$8:$K$421,4,FALSE)</f>
        <v>TÊ, PVC, Soldável, DN 25 mm Instalado em Ramal ou Sub-Ramal de Água Fornecimento e Instalação</v>
      </c>
      <c r="D204" s="486">
        <f>VLOOKUP(Tabela1[[#This Row],[Nº]],PO!$A$8:$K$421,11,FALSE)</f>
        <v>100.89</v>
      </c>
      <c r="E204" s="500" t="e">
        <f>Tabela1[[#This Row],[TOTAL ITEM (R$)]]/Tabela1[[#Totals],[TOTAL ITEM (R$)]]</f>
        <v>#REF!</v>
      </c>
      <c r="F204" s="487" t="e">
        <f>F203+Tabela1[[#This Row],[%ITEM]]</f>
        <v>#REF!</v>
      </c>
      <c r="G204" s="501" t="e">
        <f t="shared" si="3"/>
        <v>#REF!</v>
      </c>
    </row>
    <row r="205" spans="1:7" x14ac:dyDescent="0.25">
      <c r="A205" s="513" t="str">
        <f>PO!A348</f>
        <v>14.4.3</v>
      </c>
      <c r="B205" s="508">
        <f>VLOOKUP(Tabela1[[#This Row],[Nº]],PO!$A$8:$K$421,3,FALSE)</f>
        <v>93660</v>
      </c>
      <c r="C205" s="485" t="str">
        <f>VLOOKUP(Tabela1[[#This Row],[Nº]],PO!$A$8:$K$421,4,FALSE)</f>
        <v>Disjuntor bipolar tipo DIN, corrente nominal de 10A - fornecimento e instalação.</v>
      </c>
      <c r="D205" s="486">
        <f>VLOOKUP(Tabela1[[#This Row],[Nº]],PO!$A$8:$K$421,11,FALSE)</f>
        <v>107.78</v>
      </c>
      <c r="E205" s="500" t="e">
        <f>Tabela1[[#This Row],[TOTAL ITEM (R$)]]/Tabela1[[#Totals],[TOTAL ITEM (R$)]]</f>
        <v>#REF!</v>
      </c>
      <c r="F205" s="487" t="e">
        <f>F204+Tabela1[[#This Row],[%ITEM]]</f>
        <v>#REF!</v>
      </c>
      <c r="G205" s="501" t="e">
        <f t="shared" si="3"/>
        <v>#REF!</v>
      </c>
    </row>
    <row r="206" spans="1:7" x14ac:dyDescent="0.25">
      <c r="A206" s="513" t="str">
        <f>PO!A227</f>
        <v>12.2.22</v>
      </c>
      <c r="B206" s="508" t="str">
        <f>VLOOKUP(Tabela1[[#This Row],[Nº]],PO!$A$8:$K$421,3,FALSE)</f>
        <v>CPU-37</v>
      </c>
      <c r="C206" s="485" t="str">
        <f>VLOOKUP(Tabela1[[#This Row],[Nº]],PO!$A$8:$K$421,4,FALSE)</f>
        <v>Junção Simples 100 x 50mm, Esgoto Série Normal.</v>
      </c>
      <c r="D206" s="486">
        <f>VLOOKUP(Tabela1[[#This Row],[Nº]],PO!$A$8:$K$421,11,FALSE)</f>
        <v>102.48</v>
      </c>
      <c r="E206" s="500" t="e">
        <f>Tabela1[[#This Row],[TOTAL ITEM (R$)]]/Tabela1[[#Totals],[TOTAL ITEM (R$)]]</f>
        <v>#REF!</v>
      </c>
      <c r="F206" s="487" t="e">
        <f>F205+Tabela1[[#This Row],[%ITEM]]</f>
        <v>#REF!</v>
      </c>
      <c r="G206" s="501" t="e">
        <f t="shared" si="3"/>
        <v>#REF!</v>
      </c>
    </row>
    <row r="207" spans="1:7" x14ac:dyDescent="0.25">
      <c r="A207" s="513" t="str">
        <f>PO!A226</f>
        <v>12.2.21</v>
      </c>
      <c r="B207" s="508" t="str">
        <f>VLOOKUP(Tabela1[[#This Row],[Nº]],PO!$A$8:$K$421,3,FALSE)</f>
        <v>CPU-76</v>
      </c>
      <c r="C207" s="485" t="str">
        <f>VLOOKUP(Tabela1[[#This Row],[Nº]],PO!$A$8:$K$421,4,FALSE)</f>
        <v>Joelho 90° PVCØ 40 mm com anel - Fornecido e instalado</v>
      </c>
      <c r="D207" s="486">
        <f>VLOOKUP(Tabela1[[#This Row],[Nº]],PO!$A$8:$K$421,11,FALSE)</f>
        <v>86.22</v>
      </c>
      <c r="E207" s="500" t="e">
        <f>Tabela1[[#This Row],[TOTAL ITEM (R$)]]/Tabela1[[#Totals],[TOTAL ITEM (R$)]]</f>
        <v>#REF!</v>
      </c>
      <c r="F207" s="487" t="e">
        <f>F206+Tabela1[[#This Row],[%ITEM]]</f>
        <v>#REF!</v>
      </c>
      <c r="G207" s="501" t="e">
        <f t="shared" si="3"/>
        <v>#REF!</v>
      </c>
    </row>
    <row r="208" spans="1:7" x14ac:dyDescent="0.25">
      <c r="A208" s="513" t="str">
        <f>PO!A285</f>
        <v>13.2.8</v>
      </c>
      <c r="B208" s="508">
        <f>VLOOKUP(Tabela1[[#This Row],[Nº]],PO!$A$8:$K$421,3,FALSE)</f>
        <v>89367</v>
      </c>
      <c r="C208" s="485" t="str">
        <f>VLOOKUP(Tabela1[[#This Row],[Nº]],PO!$A$8:$K$421,4,FALSE)</f>
        <v>Joelho 90 graus, pvc, soldável, dn 32mm, instalado em ramal ou sub-ramal de água - fornecimento e instalação.</v>
      </c>
      <c r="D208" s="486">
        <f>VLOOKUP(Tabela1[[#This Row],[Nº]],PO!$A$8:$K$421,11,FALSE)</f>
        <v>88.24</v>
      </c>
      <c r="E208" s="500" t="e">
        <f>Tabela1[[#This Row],[TOTAL ITEM (R$)]]/Tabela1[[#Totals],[TOTAL ITEM (R$)]]</f>
        <v>#REF!</v>
      </c>
      <c r="F208" s="487" t="e">
        <f>F207+Tabela1[[#This Row],[%ITEM]]</f>
        <v>#REF!</v>
      </c>
      <c r="G208" s="501" t="e">
        <f t="shared" si="3"/>
        <v>#REF!</v>
      </c>
    </row>
    <row r="209" spans="1:7" ht="25.5" x14ac:dyDescent="0.25">
      <c r="A209" s="513" t="str">
        <f>PO!A209</f>
        <v>12.2.5</v>
      </c>
      <c r="B209" s="508">
        <f>VLOOKUP(Tabela1[[#This Row],[Nº]],PO!$A$8:$K$421,3,FALSE)</f>
        <v>89413</v>
      </c>
      <c r="C209" s="485" t="str">
        <f>VLOOKUP(Tabela1[[#This Row],[Nº]],PO!$A$8:$K$421,4,FALSE)</f>
        <v>Joelho de 90 graus, PVC, Soldável, DN 32mm, Instalado em Ramal ou Sub-Ramal de Água - Fornecimento e Instalação</v>
      </c>
      <c r="D209" s="486">
        <f>VLOOKUP(Tabela1[[#This Row],[Nº]],PO!$A$8:$K$421,11,FALSE)</f>
        <v>87.12</v>
      </c>
      <c r="E209" s="500" t="e">
        <f>Tabela1[[#This Row],[TOTAL ITEM (R$)]]/Tabela1[[#Totals],[TOTAL ITEM (R$)]]</f>
        <v>#REF!</v>
      </c>
      <c r="F209" s="487" t="e">
        <f>F208+Tabela1[[#This Row],[%ITEM]]</f>
        <v>#REF!</v>
      </c>
      <c r="G209" s="501" t="e">
        <f t="shared" si="3"/>
        <v>#REF!</v>
      </c>
    </row>
    <row r="210" spans="1:7" x14ac:dyDescent="0.25">
      <c r="A210" s="513" t="str">
        <f>PO!A401</f>
        <v>15.2.2</v>
      </c>
      <c r="B210" s="508">
        <f>VLOOKUP(Tabela1[[#This Row],[Nº]],PO!$A$8:$K$421,3,FALSE)</f>
        <v>91941</v>
      </c>
      <c r="C210" s="485" t="str">
        <f>VLOOKUP(Tabela1[[#This Row],[Nº]],PO!$A$8:$K$421,4,FALSE)</f>
        <v>Caixa retangular 4" x 2" baixa (0,30 m do piso), PVC, instalada em parede - fornecimento e instalação. </v>
      </c>
      <c r="D210" s="486">
        <f>VLOOKUP(Tabela1[[#This Row],[Nº]],PO!$A$8:$K$421,11,FALSE)</f>
        <v>90.6</v>
      </c>
      <c r="E210" s="500" t="e">
        <f>Tabela1[[#This Row],[TOTAL ITEM (R$)]]/Tabela1[[#Totals],[TOTAL ITEM (R$)]]</f>
        <v>#REF!</v>
      </c>
      <c r="F210" s="487" t="e">
        <f>F209+Tabela1[[#This Row],[%ITEM]]</f>
        <v>#REF!</v>
      </c>
      <c r="G210" s="501" t="e">
        <f t="shared" si="3"/>
        <v>#REF!</v>
      </c>
    </row>
    <row r="211" spans="1:7" ht="25.5" x14ac:dyDescent="0.25">
      <c r="A211" s="513" t="str">
        <f>PO!A302</f>
        <v>14.1.4</v>
      </c>
      <c r="B211" s="508">
        <f>VLOOKUP(Tabela1[[#This Row],[Nº]],PO!$A$8:$K$421,3,FALSE)</f>
        <v>95760</v>
      </c>
      <c r="C211" s="485" t="str">
        <f>VLOOKUP(Tabela1[[#This Row],[Nº]],PO!$A$8:$K$421,4,FALSE)</f>
        <v>Luva de emenda para eletroduto, aço galvanizado, DN 40 mm (1 1/2''), aparente, instalada em parede - fornecimento e instalação.</v>
      </c>
      <c r="D211" s="486">
        <f>VLOOKUP(Tabela1[[#This Row],[Nº]],PO!$A$8:$K$421,11,FALSE)</f>
        <v>90.75</v>
      </c>
      <c r="E211" s="500" t="e">
        <f>Tabela1[[#This Row],[TOTAL ITEM (R$)]]/Tabela1[[#Totals],[TOTAL ITEM (R$)]]</f>
        <v>#REF!</v>
      </c>
      <c r="F211" s="487" t="e">
        <f>F210+Tabela1[[#This Row],[%ITEM]]</f>
        <v>#REF!</v>
      </c>
      <c r="G211" s="501" t="e">
        <f t="shared" si="3"/>
        <v>#REF!</v>
      </c>
    </row>
    <row r="212" spans="1:7" x14ac:dyDescent="0.25">
      <c r="A212" s="513" t="str">
        <f>PO!A378</f>
        <v>14.8.3</v>
      </c>
      <c r="B212" s="508">
        <f>VLOOKUP(Tabela1[[#This Row],[Nº]],PO!$A$8:$K$421,3,FALSE)</f>
        <v>91222</v>
      </c>
      <c r="C212" s="485" t="str">
        <f>VLOOKUP(Tabela1[[#This Row],[Nº]],PO!$A$8:$K$421,4,FALSE)</f>
        <v xml:space="preserve">Rasgo em alvenaria para ramais/ distribuição com diâmetros maiores que 40 mm e menores ou iguais a 75 mm. </v>
      </c>
      <c r="D212" s="486">
        <f>VLOOKUP(Tabela1[[#This Row],[Nº]],PO!$A$8:$K$421,11,FALSE)</f>
        <v>77.34</v>
      </c>
      <c r="E212" s="500" t="e">
        <f>Tabela1[[#This Row],[TOTAL ITEM (R$)]]/Tabela1[[#Totals],[TOTAL ITEM (R$)]]</f>
        <v>#REF!</v>
      </c>
      <c r="F212" s="487" t="e">
        <f>F211+Tabela1[[#This Row],[%ITEM]]</f>
        <v>#REF!</v>
      </c>
      <c r="G212" s="501" t="e">
        <f t="shared" si="3"/>
        <v>#REF!</v>
      </c>
    </row>
    <row r="213" spans="1:7" x14ac:dyDescent="0.25">
      <c r="A213" s="513" t="str">
        <f>PO!A380</f>
        <v>14.8.5</v>
      </c>
      <c r="B213" s="508" t="str">
        <f>VLOOKUP(Tabela1[[#This Row],[Nº]],PO!$A$8:$K$421,3,FALSE)</f>
        <v>CPU-63</v>
      </c>
      <c r="C213" s="485" t="str">
        <f>VLOOKUP(Tabela1[[#This Row],[Nº]],PO!$A$8:$K$421,4,FALSE)</f>
        <v>Quebra em alvenaria para instalação de quadro distribuição</v>
      </c>
      <c r="D213" s="486">
        <f>VLOOKUP(Tabela1[[#This Row],[Nº]],PO!$A$8:$K$421,11,FALSE)</f>
        <v>76.19</v>
      </c>
      <c r="E213" s="500" t="e">
        <f>Tabela1[[#This Row],[TOTAL ITEM (R$)]]/Tabela1[[#Totals],[TOTAL ITEM (R$)]]</f>
        <v>#REF!</v>
      </c>
      <c r="F213" s="487" t="e">
        <f>F212+Tabela1[[#This Row],[%ITEM]]</f>
        <v>#REF!</v>
      </c>
      <c r="G213" s="501" t="e">
        <f t="shared" si="3"/>
        <v>#REF!</v>
      </c>
    </row>
    <row r="214" spans="1:7" x14ac:dyDescent="0.25">
      <c r="A214" s="513" t="str">
        <f>PO!A334</f>
        <v>14.3.6</v>
      </c>
      <c r="B214" s="508">
        <f>VLOOKUP(Tabela1[[#This Row],[Nº]],PO!$A$8:$K$421,3,FALSE)</f>
        <v>91959</v>
      </c>
      <c r="C214" s="485" t="str">
        <f>VLOOKUP(Tabela1[[#This Row],[Nº]],PO!$A$8:$K$421,4,FALSE)</f>
        <v>Interruptor simples (2 módulos), 10A/250V, incluindo suporte e placa - fornecimento e instalação</v>
      </c>
      <c r="D214" s="486">
        <f>VLOOKUP(Tabela1[[#This Row],[Nº]],PO!$A$8:$K$421,11,FALSE)</f>
        <v>79.959999999999994</v>
      </c>
      <c r="E214" s="500" t="e">
        <f>Tabela1[[#This Row],[TOTAL ITEM (R$)]]/Tabela1[[#Totals],[TOTAL ITEM (R$)]]</f>
        <v>#REF!</v>
      </c>
      <c r="F214" s="487" t="e">
        <f>F213+Tabela1[[#This Row],[%ITEM]]</f>
        <v>#REF!</v>
      </c>
      <c r="G214" s="501" t="e">
        <f t="shared" si="3"/>
        <v>#REF!</v>
      </c>
    </row>
    <row r="215" spans="1:7" ht="25.5" x14ac:dyDescent="0.25">
      <c r="A215" s="513" t="str">
        <f>PO!A320</f>
        <v>14.2.4</v>
      </c>
      <c r="B215" s="508">
        <f>VLOOKUP(Tabela1[[#This Row],[Nº]],PO!$A$8:$K$421,3,FALSE)</f>
        <v>91934</v>
      </c>
      <c r="C215" s="485" t="str">
        <f>VLOOKUP(Tabela1[[#This Row],[Nº]],PO!$A$8:$K$421,4,FALSE)</f>
        <v>Cabo de cobre flexível isolado, 16 mm², antichama 450/750 V, para circuitos terminais - fornecimento e instalação.</v>
      </c>
      <c r="D215" s="486">
        <f>VLOOKUP(Tabela1[[#This Row],[Nº]],PO!$A$8:$K$421,11,FALSE)</f>
        <v>80.61</v>
      </c>
      <c r="E215" s="500" t="e">
        <f>Tabela1[[#This Row],[TOTAL ITEM (R$)]]/Tabela1[[#Totals],[TOTAL ITEM (R$)]]</f>
        <v>#REF!</v>
      </c>
      <c r="F215" s="487" t="e">
        <f>F214+Tabela1[[#This Row],[%ITEM]]</f>
        <v>#REF!</v>
      </c>
      <c r="G215" s="501" t="e">
        <f t="shared" si="3"/>
        <v>#REF!</v>
      </c>
    </row>
    <row r="216" spans="1:7" ht="25.5" x14ac:dyDescent="0.25">
      <c r="A216" s="513" t="str">
        <f>PO!A278</f>
        <v>13.2.2</v>
      </c>
      <c r="B216" s="508">
        <f>VLOOKUP(Tabela1[[#This Row],[Nº]],PO!$A$8:$K$421,3,FALSE)</f>
        <v>89585</v>
      </c>
      <c r="C216" s="485" t="str">
        <f>VLOOKUP(Tabela1[[#This Row],[Nº]],PO!$A$8:$K$421,4,FALSE)</f>
        <v xml:space="preserve">Joelho 45 graus, PVC, serie R, água pluvial, DN 100 mm, junta elástica, fornecido e instalado em condutores verticais de águas pluviais. </v>
      </c>
      <c r="D216" s="486">
        <f>VLOOKUP(Tabela1[[#This Row],[Nº]],PO!$A$8:$K$421,11,FALSE)</f>
        <v>77.7</v>
      </c>
      <c r="E216" s="500" t="e">
        <f>Tabela1[[#This Row],[TOTAL ITEM (R$)]]/Tabela1[[#Totals],[TOTAL ITEM (R$)]]</f>
        <v>#REF!</v>
      </c>
      <c r="F216" s="487" t="e">
        <f>F215+Tabela1[[#This Row],[%ITEM]]</f>
        <v>#REF!</v>
      </c>
      <c r="G216" s="501" t="e">
        <f t="shared" si="3"/>
        <v>#REF!</v>
      </c>
    </row>
    <row r="217" spans="1:7" x14ac:dyDescent="0.25">
      <c r="A217" s="513" t="str">
        <f>PO!A214</f>
        <v>12.2.10</v>
      </c>
      <c r="B217" s="508">
        <f>VLOOKUP(Tabela1[[#This Row],[Nº]],PO!$A$8:$K$421,3,FALSE)</f>
        <v>89400</v>
      </c>
      <c r="C217" s="485" t="str">
        <f>VLOOKUP(Tabela1[[#This Row],[Nº]],PO!$A$8:$K$421,4,FALSE)</f>
        <v>Tê de redução, PVC, soldável, DN 32mm x 25mm, instalado em prumada de água - fornecimento e instalação.</v>
      </c>
      <c r="D217" s="486">
        <f>VLOOKUP(Tabela1[[#This Row],[Nº]],PO!$A$8:$K$421,11,FALSE)</f>
        <v>72.48</v>
      </c>
      <c r="E217" s="500" t="e">
        <f>Tabela1[[#This Row],[TOTAL ITEM (R$)]]/Tabela1[[#Totals],[TOTAL ITEM (R$)]]</f>
        <v>#REF!</v>
      </c>
      <c r="F217" s="487" t="e">
        <f>F216+Tabela1[[#This Row],[%ITEM]]</f>
        <v>#REF!</v>
      </c>
      <c r="G217" s="501" t="e">
        <f t="shared" si="3"/>
        <v>#REF!</v>
      </c>
    </row>
    <row r="218" spans="1:7" ht="25.5" x14ac:dyDescent="0.25">
      <c r="A218" s="513" t="str">
        <f>PO!A277</f>
        <v>13.2.1</v>
      </c>
      <c r="B218" s="508">
        <f>VLOOKUP(Tabela1[[#This Row],[Nº]],PO!$A$8:$K$421,3,FALSE)</f>
        <v>89582</v>
      </c>
      <c r="C218" s="485" t="str">
        <f>VLOOKUP(Tabela1[[#This Row],[Nº]],PO!$A$8:$K$421,4,FALSE)</f>
        <v xml:space="preserve">Joelho 45 graus, PVC, serie R, água pluvial, DN 75 mm, junta elástica, fornecido e instalado em condutores verticais de águas pluviais. </v>
      </c>
      <c r="D218" s="486">
        <f>VLOOKUP(Tabela1[[#This Row],[Nº]],PO!$A$8:$K$421,11,FALSE)</f>
        <v>74.400000000000006</v>
      </c>
      <c r="E218" s="500" t="e">
        <f>Tabela1[[#This Row],[TOTAL ITEM (R$)]]/Tabela1[[#Totals],[TOTAL ITEM (R$)]]</f>
        <v>#REF!</v>
      </c>
      <c r="F218" s="487" t="e">
        <f>F217+Tabela1[[#This Row],[%ITEM]]</f>
        <v>#REF!</v>
      </c>
      <c r="G218" s="501" t="e">
        <f t="shared" si="3"/>
        <v>#REF!</v>
      </c>
    </row>
    <row r="219" spans="1:7" ht="25.5" x14ac:dyDescent="0.25">
      <c r="A219" s="513" t="str">
        <f>PO!A229</f>
        <v>12.2.24</v>
      </c>
      <c r="B219" s="508">
        <f>VLOOKUP(Tabela1[[#This Row],[Nº]],PO!$A$8:$K$421,3,FALSE)</f>
        <v>89784</v>
      </c>
      <c r="C219" s="485" t="str">
        <f>VLOOKUP(Tabela1[[#This Row],[Nº]],PO!$A$8:$K$421,4,FALSE)</f>
        <v>TÊ, PVC, Serie Normal, Esgoto Predial, DN 50 X 50mm, Junta Elástica, Fornecido e Instalado em Ramal de Descarga ou Ramal de Esgoto Sanitário.</v>
      </c>
      <c r="D219" s="486">
        <f>VLOOKUP(Tabela1[[#This Row],[Nº]],PO!$A$8:$K$421,11,FALSE)</f>
        <v>67.72</v>
      </c>
      <c r="E219" s="500" t="e">
        <f>Tabela1[[#This Row],[TOTAL ITEM (R$)]]/Tabela1[[#Totals],[TOTAL ITEM (R$)]]</f>
        <v>#REF!</v>
      </c>
      <c r="F219" s="487" t="e">
        <f>F218+Tabela1[[#This Row],[%ITEM]]</f>
        <v>#REF!</v>
      </c>
      <c r="G219" s="501" t="e">
        <f t="shared" si="3"/>
        <v>#REF!</v>
      </c>
    </row>
    <row r="220" spans="1:7" x14ac:dyDescent="0.25">
      <c r="A220" s="513" t="str">
        <f>PO!A343</f>
        <v>14.3.14</v>
      </c>
      <c r="B220" s="508" t="str">
        <f>VLOOKUP(Tabela1[[#This Row],[Nº]],PO!$A$8:$K$421,3,FALSE)</f>
        <v>CPU-48</v>
      </c>
      <c r="C220" s="485" t="str">
        <f>VLOOKUP(Tabela1[[#This Row],[Nº]],PO!$A$8:$K$421,4,FALSE)</f>
        <v>Tomada de sobrepor (1 módulo), 2P+T 10 A, incluindo suporte e placa - fornecimento e instalação.</v>
      </c>
      <c r="D220" s="486">
        <f>VLOOKUP(Tabela1[[#This Row],[Nº]],PO!$A$8:$K$421,11,FALSE)</f>
        <v>66.52</v>
      </c>
      <c r="E220" s="500" t="e">
        <f>Tabela1[[#This Row],[TOTAL ITEM (R$)]]/Tabela1[[#Totals],[TOTAL ITEM (R$)]]</f>
        <v>#REF!</v>
      </c>
      <c r="F220" s="487" t="e">
        <f>F219+Tabela1[[#This Row],[%ITEM]]</f>
        <v>#REF!</v>
      </c>
      <c r="G220" s="501" t="e">
        <f t="shared" si="3"/>
        <v>#REF!</v>
      </c>
    </row>
    <row r="221" spans="1:7" ht="25.5" x14ac:dyDescent="0.25">
      <c r="A221" s="513" t="str">
        <f>PO!A104</f>
        <v>6.1.2</v>
      </c>
      <c r="B221" s="508" t="str">
        <f>VLOOKUP(Tabela1[[#This Row],[Nº]],PO!$A$8:$K$421,3,FALSE)</f>
        <v>CPU-17</v>
      </c>
      <c r="C221" s="485" t="str">
        <f>VLOOKUP(Tabela1[[#This Row],[Nº]],PO!$A$8:$K$421,4,FALSE)</f>
        <v>Tela de aço soldada galvanizada/zincada para alvenaria, fio d = *1,20 a 1,70* mm, malha 15 x 15 mm, (c x l) *50 x 6* cm</v>
      </c>
      <c r="D221" s="486">
        <f>VLOOKUP(Tabela1[[#This Row],[Nº]],PO!$A$8:$K$421,11,FALSE)</f>
        <v>149.25</v>
      </c>
      <c r="E221" s="500" t="e">
        <f>Tabela1[[#This Row],[TOTAL ITEM (R$)]]/Tabela1[[#Totals],[TOTAL ITEM (R$)]]</f>
        <v>#REF!</v>
      </c>
      <c r="F221" s="487" t="e">
        <f>F220+Tabela1[[#This Row],[%ITEM]]</f>
        <v>#REF!</v>
      </c>
      <c r="G221" s="501" t="e">
        <f t="shared" si="3"/>
        <v>#REF!</v>
      </c>
    </row>
    <row r="222" spans="1:7" x14ac:dyDescent="0.25">
      <c r="A222" s="513" t="str">
        <f>PO!A347</f>
        <v>14.4.2</v>
      </c>
      <c r="B222" s="508">
        <f>VLOOKUP(Tabela1[[#This Row],[Nº]],PO!$A$8:$K$421,3,FALSE)</f>
        <v>93654</v>
      </c>
      <c r="C222" s="485" t="str">
        <f>VLOOKUP(Tabela1[[#This Row],[Nº]],PO!$A$8:$K$421,4,FALSE)</f>
        <v>Disjuntor monopolar tipo DIN, corrente nominal de 16A - fornecimento e instalação.</v>
      </c>
      <c r="D222" s="486">
        <f>VLOOKUP(Tabela1[[#This Row],[Nº]],PO!$A$8:$K$421,11,FALSE)</f>
        <v>68.819999999999993</v>
      </c>
      <c r="E222" s="500" t="e">
        <f>Tabela1[[#This Row],[TOTAL ITEM (R$)]]/Tabela1[[#Totals],[TOTAL ITEM (R$)]]</f>
        <v>#REF!</v>
      </c>
      <c r="F222" s="487" t="e">
        <f>F221+Tabela1[[#This Row],[%ITEM]]</f>
        <v>#REF!</v>
      </c>
      <c r="G222" s="501" t="e">
        <f t="shared" si="3"/>
        <v>#REF!</v>
      </c>
    </row>
    <row r="223" spans="1:7" ht="25.5" x14ac:dyDescent="0.25">
      <c r="A223" s="513" t="str">
        <f>PO!A243</f>
        <v>12.4.5</v>
      </c>
      <c r="B223" s="508">
        <f>VLOOKUP(Tabela1[[#This Row],[Nº]],PO!$A$8:$K$421,3,FALSE)</f>
        <v>86913</v>
      </c>
      <c r="C223" s="485" t="str">
        <f>VLOOKUP(Tabela1[[#This Row],[Nº]],PO!$A$8:$K$421,4,FALSE)</f>
        <v>Vaso Sanitario Sinfonado com Caixa Acoplada Louça Branca - Padrão Medio, Incluso Engate Flexivel em Plastico Branco, 1/2" X 40 cm - Fornecimento e Insatalação.</v>
      </c>
      <c r="D223" s="486">
        <f>VLOOKUP(Tabela1[[#This Row],[Nº]],PO!$A$8:$K$421,11,FALSE)</f>
        <v>64.98</v>
      </c>
      <c r="E223" s="500" t="e">
        <f>Tabela1[[#This Row],[TOTAL ITEM (R$)]]/Tabela1[[#Totals],[TOTAL ITEM (R$)]]</f>
        <v>#REF!</v>
      </c>
      <c r="F223" s="487" t="e">
        <f>F222+Tabela1[[#This Row],[%ITEM]]</f>
        <v>#REF!</v>
      </c>
      <c r="G223" s="501" t="e">
        <f t="shared" si="3"/>
        <v>#REF!</v>
      </c>
    </row>
    <row r="224" spans="1:7" ht="25.5" x14ac:dyDescent="0.25">
      <c r="A224" s="513" t="str">
        <f>PO!A379</f>
        <v>14.8.4</v>
      </c>
      <c r="B224" s="508" t="str">
        <f>VLOOKUP(Tabela1[[#This Row],[Nº]],PO!$A$8:$K$421,3,FALSE)</f>
        <v>CPU-62</v>
      </c>
      <c r="C224" s="485" t="str">
        <f>VLOOKUP(Tabela1[[#This Row],[Nº]],PO!$A$8:$K$421,4,FALSE)</f>
        <v>Enchimento de rasgo em alvenaria com argamassa mista de cal hidratada e areia traço 1:4, para eletroduto Ø 32 mm - 1 1/4" a 50 mm - 2"</v>
      </c>
      <c r="D224" s="486">
        <f>VLOOKUP(Tabela1[[#This Row],[Nº]],PO!$A$8:$K$421,11,FALSE)</f>
        <v>59.52</v>
      </c>
      <c r="E224" s="500" t="e">
        <f>Tabela1[[#This Row],[TOTAL ITEM (R$)]]/Tabela1[[#Totals],[TOTAL ITEM (R$)]]</f>
        <v>#REF!</v>
      </c>
      <c r="F224" s="487" t="e">
        <f>F223+Tabela1[[#This Row],[%ITEM]]</f>
        <v>#REF!</v>
      </c>
      <c r="G224" s="501" t="e">
        <f t="shared" si="3"/>
        <v>#REF!</v>
      </c>
    </row>
    <row r="225" spans="1:7" x14ac:dyDescent="0.25">
      <c r="A225" s="513" t="str">
        <f>PO!A307</f>
        <v>14.1.8</v>
      </c>
      <c r="B225" s="508">
        <f>VLOOKUP(Tabela1[[#This Row],[Nº]],PO!$A$8:$K$421,3,FALSE)</f>
        <v>93008</v>
      </c>
      <c r="C225" s="485" t="str">
        <f>VLOOKUP(Tabela1[[#This Row],[Nº]],PO!$A$8:$K$421,4,FALSE)</f>
        <v>Eletroduto rígido roscável, PVC, DN 50 mm (1 1/2") - fornecimento e instalação.</v>
      </c>
      <c r="D225" s="486">
        <f>VLOOKUP(Tabela1[[#This Row],[Nº]],PO!$A$8:$K$421,11,FALSE)</f>
        <v>61.38</v>
      </c>
      <c r="E225" s="500" t="e">
        <f>Tabela1[[#This Row],[TOTAL ITEM (R$)]]/Tabela1[[#Totals],[TOTAL ITEM (R$)]]</f>
        <v>#REF!</v>
      </c>
      <c r="F225" s="487" t="e">
        <f>F224+Tabela1[[#This Row],[%ITEM]]</f>
        <v>#REF!</v>
      </c>
      <c r="G225" s="501" t="e">
        <f t="shared" si="3"/>
        <v>#REF!</v>
      </c>
    </row>
    <row r="226" spans="1:7" x14ac:dyDescent="0.25">
      <c r="A226" s="513" t="str">
        <f>PO!A349</f>
        <v>14.4.4</v>
      </c>
      <c r="B226" s="508">
        <f>VLOOKUP(Tabela1[[#This Row],[Nº]],PO!$A$8:$K$421,3,FALSE)</f>
        <v>93662</v>
      </c>
      <c r="C226" s="485" t="str">
        <f>VLOOKUP(Tabela1[[#This Row],[Nº]],PO!$A$8:$K$421,4,FALSE)</f>
        <v>Disjuntor bipolar tipo DIN, corrente nominal de 20A - fornecimento e instalação.</v>
      </c>
      <c r="D226" s="486">
        <f>VLOOKUP(Tabela1[[#This Row],[Nº]],PO!$A$8:$K$421,11,FALSE)</f>
        <v>57.17</v>
      </c>
      <c r="E226" s="500" t="e">
        <f>Tabela1[[#This Row],[TOTAL ITEM (R$)]]/Tabela1[[#Totals],[TOTAL ITEM (R$)]]</f>
        <v>#REF!</v>
      </c>
      <c r="F226" s="487" t="e">
        <f>F225+Tabela1[[#This Row],[%ITEM]]</f>
        <v>#REF!</v>
      </c>
      <c r="G226" s="501" t="e">
        <f t="shared" si="3"/>
        <v>#REF!</v>
      </c>
    </row>
    <row r="227" spans="1:7" x14ac:dyDescent="0.25">
      <c r="A227" s="513" t="str">
        <f>PO!A350</f>
        <v>14.4.5</v>
      </c>
      <c r="B227" s="508">
        <f>VLOOKUP(Tabela1[[#This Row],[Nº]],PO!$A$8:$K$421,3,FALSE)</f>
        <v>93663</v>
      </c>
      <c r="C227" s="485" t="str">
        <f>VLOOKUP(Tabela1[[#This Row],[Nº]],PO!$A$8:$K$421,4,FALSE)</f>
        <v>Disjuntor bipolar tipo DIN, corrente nominal de 25A - fornecimento e instalação.</v>
      </c>
      <c r="D227" s="486">
        <f>VLOOKUP(Tabela1[[#This Row],[Nº]],PO!$A$8:$K$421,11,FALSE)</f>
        <v>57.17</v>
      </c>
      <c r="E227" s="500" t="e">
        <f>Tabela1[[#This Row],[TOTAL ITEM (R$)]]/Tabela1[[#Totals],[TOTAL ITEM (R$)]]</f>
        <v>#REF!</v>
      </c>
      <c r="F227" s="487" t="e">
        <f>F226+Tabela1[[#This Row],[%ITEM]]</f>
        <v>#REF!</v>
      </c>
      <c r="G227" s="501" t="e">
        <f t="shared" si="3"/>
        <v>#REF!</v>
      </c>
    </row>
    <row r="228" spans="1:7" x14ac:dyDescent="0.25">
      <c r="A228" s="513" t="str">
        <f>PO!A384</f>
        <v>14.9.2</v>
      </c>
      <c r="B228" s="508">
        <f>VLOOKUP(Tabela1[[#This Row],[Nº]],PO!$A$8:$K$421,3,FALSE)</f>
        <v>93382</v>
      </c>
      <c r="C228" s="485" t="str">
        <f>VLOOKUP(Tabela1[[#This Row],[Nº]],PO!$A$8:$K$421,4,FALSE)</f>
        <v>Reaterro manual de valas com compactação mecanizada.</v>
      </c>
      <c r="D228" s="486">
        <f>VLOOKUP(Tabela1[[#This Row],[Nº]],PO!$A$8:$K$421,11,FALSE)</f>
        <v>55.32</v>
      </c>
      <c r="E228" s="500" t="e">
        <f>Tabela1[[#This Row],[TOTAL ITEM (R$)]]/Tabela1[[#Totals],[TOTAL ITEM (R$)]]</f>
        <v>#REF!</v>
      </c>
      <c r="F228" s="487" t="e">
        <f>F227+Tabela1[[#This Row],[%ITEM]]</f>
        <v>#REF!</v>
      </c>
      <c r="G228" s="501" t="e">
        <f t="shared" si="3"/>
        <v>#REF!</v>
      </c>
    </row>
    <row r="229" spans="1:7" x14ac:dyDescent="0.25">
      <c r="A229" s="513" t="str">
        <f>PO!A335</f>
        <v>14.3.7</v>
      </c>
      <c r="B229" s="508">
        <f>VLOOKUP(Tabela1[[#This Row],[Nº]],PO!$A$8:$K$421,3,FALSE)</f>
        <v>91967</v>
      </c>
      <c r="C229" s="485" t="str">
        <f>VLOOKUP(Tabela1[[#This Row],[Nº]],PO!$A$8:$K$421,4,FALSE)</f>
        <v>Interruptor simples (3 módulos), 10A/250V, incluindo suporte e placa - fornecimento e instalação</v>
      </c>
      <c r="D229" s="486">
        <f>VLOOKUP(Tabela1[[#This Row],[Nº]],PO!$A$8:$K$421,11,FALSE)</f>
        <v>54.69</v>
      </c>
      <c r="E229" s="500" t="e">
        <f>Tabela1[[#This Row],[TOTAL ITEM (R$)]]/Tabela1[[#Totals],[TOTAL ITEM (R$)]]</f>
        <v>#REF!</v>
      </c>
      <c r="F229" s="487" t="e">
        <f>F228+Tabela1[[#This Row],[%ITEM]]</f>
        <v>#REF!</v>
      </c>
      <c r="G229" s="501" t="e">
        <f t="shared" si="3"/>
        <v>#REF!</v>
      </c>
    </row>
    <row r="230" spans="1:7" x14ac:dyDescent="0.25">
      <c r="A230" s="513" t="str">
        <f>PO!A236</f>
        <v>12.3.4</v>
      </c>
      <c r="B230" s="508">
        <f>VLOOKUP(Tabela1[[#This Row],[Nº]],PO!$A$8:$K$421,3,FALSE)</f>
        <v>94492</v>
      </c>
      <c r="C230" s="485" t="str">
        <f>VLOOKUP(Tabela1[[#This Row],[Nº]],PO!$A$8:$K$421,4,FALSE)</f>
        <v>Registro de esfera em PVC soldável Ø 50 mm - Fornecimento e instalação</v>
      </c>
      <c r="D230" s="486">
        <f>VLOOKUP(Tabela1[[#This Row],[Nº]],PO!$A$8:$K$421,11,FALSE)</f>
        <v>54.43</v>
      </c>
      <c r="E230" s="500" t="e">
        <f>Tabela1[[#This Row],[TOTAL ITEM (R$)]]/Tabela1[[#Totals],[TOTAL ITEM (R$)]]</f>
        <v>#REF!</v>
      </c>
      <c r="F230" s="487" t="e">
        <f>F229+Tabela1[[#This Row],[%ITEM]]</f>
        <v>#REF!</v>
      </c>
      <c r="G230" s="501" t="e">
        <f t="shared" si="3"/>
        <v>#REF!</v>
      </c>
    </row>
    <row r="231" spans="1:7" ht="25.5" x14ac:dyDescent="0.25">
      <c r="A231" s="513" t="str">
        <f>PO!A223</f>
        <v>12.2.18</v>
      </c>
      <c r="B231" s="508">
        <f>VLOOKUP(Tabela1[[#This Row],[Nº]],PO!$A$8:$K$421,3,FALSE)</f>
        <v>89724</v>
      </c>
      <c r="C231" s="485" t="str">
        <f>VLOOKUP(Tabela1[[#This Row],[Nº]],PO!$A$8:$K$421,4,FALSE)</f>
        <v xml:space="preserve">Joelho 90 graus, PVC, serie normal, esgoto predial, DN 40 mm, junta soldável, fornecido e instalado em ramal de descarga ou ramal de esgoto sanitário. </v>
      </c>
      <c r="D231" s="486">
        <f>VLOOKUP(Tabela1[[#This Row],[Nº]],PO!$A$8:$K$421,11,FALSE)</f>
        <v>51.18</v>
      </c>
      <c r="E231" s="500" t="e">
        <f>Tabela1[[#This Row],[TOTAL ITEM (R$)]]/Tabela1[[#Totals],[TOTAL ITEM (R$)]]</f>
        <v>#REF!</v>
      </c>
      <c r="F231" s="487" t="e">
        <f>F230+Tabela1[[#This Row],[%ITEM]]</f>
        <v>#REF!</v>
      </c>
      <c r="G231" s="501" t="e">
        <f t="shared" si="3"/>
        <v>#REF!</v>
      </c>
    </row>
    <row r="232" spans="1:7" ht="25.5" x14ac:dyDescent="0.25">
      <c r="A232" s="513" t="str">
        <f>PO!A224</f>
        <v>12.2.19</v>
      </c>
      <c r="B232" s="508">
        <f>VLOOKUP(Tabela1[[#This Row],[Nº]],PO!$A$8:$K$421,3,FALSE)</f>
        <v>89801</v>
      </c>
      <c r="C232" s="485" t="str">
        <f>VLOOKUP(Tabela1[[#This Row],[Nº]],PO!$A$8:$K$421,4,FALSE)</f>
        <v xml:space="preserve">Joelho 90 graus, PVC, serie normal, esgoto predial, DN 50 mm, junta soldável, fornecido e instalado em prumada de esgoto sanitário ou ventilação. </v>
      </c>
      <c r="D232" s="486">
        <f>VLOOKUP(Tabela1[[#This Row],[Nº]],PO!$A$8:$K$421,11,FALSE)</f>
        <v>51.84</v>
      </c>
      <c r="E232" s="500" t="e">
        <f>Tabela1[[#This Row],[TOTAL ITEM (R$)]]/Tabela1[[#Totals],[TOTAL ITEM (R$)]]</f>
        <v>#REF!</v>
      </c>
      <c r="F232" s="487" t="e">
        <f>F231+Tabela1[[#This Row],[%ITEM]]</f>
        <v>#REF!</v>
      </c>
      <c r="G232" s="501" t="e">
        <f t="shared" si="3"/>
        <v>#REF!</v>
      </c>
    </row>
    <row r="233" spans="1:7" x14ac:dyDescent="0.25">
      <c r="A233" s="513" t="str">
        <f>PO!A217</f>
        <v>12.2.13</v>
      </c>
      <c r="B233" s="508">
        <f>VLOOKUP(Tabela1[[#This Row],[Nº]],PO!$A$8:$K$421,3,FALSE)</f>
        <v>89398</v>
      </c>
      <c r="C233" s="485" t="str">
        <f>VLOOKUP(Tabela1[[#This Row],[Nº]],PO!$A$8:$K$421,4,FALSE)</f>
        <v>TÊ, PVC, Soldável, DN 32 mm Instalado em Ramal ou Sub-Ramal de Água Fornecimento e Instalação</v>
      </c>
      <c r="D233" s="486">
        <f>VLOOKUP(Tabela1[[#This Row],[Nº]],PO!$A$8:$K$421,11,FALSE)</f>
        <v>48.51</v>
      </c>
      <c r="E233" s="500" t="e">
        <f>Tabela1[[#This Row],[TOTAL ITEM (R$)]]/Tabela1[[#Totals],[TOTAL ITEM (R$)]]</f>
        <v>#REF!</v>
      </c>
      <c r="F233" s="487" t="e">
        <f>F232+Tabela1[[#This Row],[%ITEM]]</f>
        <v>#REF!</v>
      </c>
      <c r="G233" s="501" t="e">
        <f t="shared" si="3"/>
        <v>#REF!</v>
      </c>
    </row>
    <row r="234" spans="1:7" ht="25.5" x14ac:dyDescent="0.25">
      <c r="A234" s="513" t="str">
        <f>PO!A248</f>
        <v>12.5.2</v>
      </c>
      <c r="B234" s="508" t="str">
        <f>VLOOKUP(Tabela1[[#This Row],[Nº]],PO!$A$8:$K$421,3,FALSE)</f>
        <v>CPU-43</v>
      </c>
      <c r="C234" s="485" t="str">
        <f>VLOOKUP(Tabela1[[#This Row],[Nº]],PO!$A$8:$K$421,4,FALSE)</f>
        <v>Caixa Sifonada Montada com Grelha e Porta Grelha Quadrados 150 x 150 x 50mm, para esgoto sanitário - Fornecimento e instalação.</v>
      </c>
      <c r="D234" s="486">
        <f>VLOOKUP(Tabela1[[#This Row],[Nº]],PO!$A$8:$K$421,11,FALSE)</f>
        <v>51.09</v>
      </c>
      <c r="E234" s="500" t="e">
        <f>Tabela1[[#This Row],[TOTAL ITEM (R$)]]/Tabela1[[#Totals],[TOTAL ITEM (R$)]]</f>
        <v>#REF!</v>
      </c>
      <c r="F234" s="487" t="e">
        <f>F233+Tabela1[[#This Row],[%ITEM]]</f>
        <v>#REF!</v>
      </c>
      <c r="G234" s="501" t="e">
        <f t="shared" si="3"/>
        <v>#REF!</v>
      </c>
    </row>
    <row r="235" spans="1:7" x14ac:dyDescent="0.25">
      <c r="A235" s="513" t="str">
        <f>PO!A240</f>
        <v>12.4.2</v>
      </c>
      <c r="B235" s="508">
        <f>VLOOKUP(Tabela1[[#This Row],[Nº]],PO!$A$8:$K$421,3,FALSE)</f>
        <v>86911</v>
      </c>
      <c r="C235" s="485" t="str">
        <f>VLOOKUP(Tabela1[[#This Row],[Nº]],PO!$A$8:$K$421,4,FALSE)</f>
        <v xml:space="preserve">Torneira cromada longa, de parede, 1/2" ou 3/4", para pia de cozinha, padrão popular - fornecimento e instalação. </v>
      </c>
      <c r="D235" s="486">
        <f>VLOOKUP(Tabela1[[#This Row],[Nº]],PO!$A$8:$K$421,11,FALSE)</f>
        <v>48.02</v>
      </c>
      <c r="E235" s="500" t="e">
        <f>Tabela1[[#This Row],[TOTAL ITEM (R$)]]/Tabela1[[#Totals],[TOTAL ITEM (R$)]]</f>
        <v>#REF!</v>
      </c>
      <c r="F235" s="487" t="e">
        <f>F234+Tabela1[[#This Row],[%ITEM]]</f>
        <v>#REF!</v>
      </c>
      <c r="G235" s="501" t="e">
        <f t="shared" si="3"/>
        <v>#REF!</v>
      </c>
    </row>
    <row r="236" spans="1:7" ht="25.5" x14ac:dyDescent="0.25">
      <c r="A236" s="513" t="str">
        <f>PO!A225</f>
        <v>12.2.20</v>
      </c>
      <c r="B236" s="508">
        <f>VLOOKUP(Tabela1[[#This Row],[Nº]],PO!$A$8:$K$421,3,FALSE)</f>
        <v>89809</v>
      </c>
      <c r="C236" s="485" t="str">
        <f>VLOOKUP(Tabela1[[#This Row],[Nº]],PO!$A$8:$K$421,4,FALSE)</f>
        <v xml:space="preserve">Joelho 90 graus, PVC, serie normal, esgoto predial, DN 100 mm, junta elástica, fornecido e instalado em prumada de esgoto sanitário ou ventilação. </v>
      </c>
      <c r="D236" s="486">
        <f>VLOOKUP(Tabela1[[#This Row],[Nº]],PO!$A$8:$K$421,11,FALSE)</f>
        <v>46.53</v>
      </c>
      <c r="E236" s="500" t="e">
        <f>Tabela1[[#This Row],[TOTAL ITEM (R$)]]/Tabela1[[#Totals],[TOTAL ITEM (R$)]]</f>
        <v>#REF!</v>
      </c>
      <c r="F236" s="487" t="e">
        <f>F235+Tabela1[[#This Row],[%ITEM]]</f>
        <v>#REF!</v>
      </c>
      <c r="G236" s="501" t="e">
        <f t="shared" si="3"/>
        <v>#REF!</v>
      </c>
    </row>
    <row r="237" spans="1:7" ht="25.5" x14ac:dyDescent="0.25">
      <c r="A237" s="513" t="str">
        <f>PO!A279</f>
        <v>13.2.3</v>
      </c>
      <c r="B237" s="508">
        <f>VLOOKUP(Tabela1[[#This Row],[Nº]],PO!$A$8:$K$421,3,FALSE)</f>
        <v>89522</v>
      </c>
      <c r="C237" s="485" t="str">
        <f>VLOOKUP(Tabela1[[#This Row],[Nº]],PO!$A$8:$K$421,4,FALSE)</f>
        <v>Joelho 90 graus, PVC, serie R, água pluvial, DN 75 mm, junta elástica, fornecido e instalado em ramal de encaminhamento.</v>
      </c>
      <c r="D237" s="486">
        <f>VLOOKUP(Tabela1[[#This Row],[Nº]],PO!$A$8:$K$421,11,FALSE)</f>
        <v>45.64</v>
      </c>
      <c r="E237" s="500" t="e">
        <f>Tabela1[[#This Row],[TOTAL ITEM (R$)]]/Tabela1[[#Totals],[TOTAL ITEM (R$)]]</f>
        <v>#REF!</v>
      </c>
      <c r="F237" s="487" t="e">
        <f>F236+Tabela1[[#This Row],[%ITEM]]</f>
        <v>#REF!</v>
      </c>
      <c r="G237" s="501" t="e">
        <f t="shared" si="3"/>
        <v>#REF!</v>
      </c>
    </row>
    <row r="238" spans="1:7" x14ac:dyDescent="0.25">
      <c r="A238" s="513" t="str">
        <f>PO!A23</f>
        <v>2.1.6</v>
      </c>
      <c r="B238" s="508">
        <f>VLOOKUP(Tabela1[[#This Row],[Nº]],PO!$A$8:$K$421,3,FALSE)</f>
        <v>97665</v>
      </c>
      <c r="C238" s="485" t="str">
        <f>VLOOKUP(Tabela1[[#This Row],[Nº]],PO!$A$8:$K$421,4,FALSE)</f>
        <v>Remoção de luminárias, de forma manual, sem reaproveitamento.</v>
      </c>
      <c r="D238" s="486">
        <f>VLOOKUP(Tabela1[[#This Row],[Nº]],PO!$A$8:$K$421,11,FALSE)</f>
        <v>42.84</v>
      </c>
      <c r="E238" s="500" t="e">
        <f>Tabela1[[#This Row],[TOTAL ITEM (R$)]]/Tabela1[[#Totals],[TOTAL ITEM (R$)]]</f>
        <v>#REF!</v>
      </c>
      <c r="F238" s="487" t="e">
        <f>F237+Tabela1[[#This Row],[%ITEM]]</f>
        <v>#REF!</v>
      </c>
      <c r="G238" s="501" t="e">
        <f t="shared" si="3"/>
        <v>#REF!</v>
      </c>
    </row>
    <row r="239" spans="1:7" x14ac:dyDescent="0.25">
      <c r="A239" s="513" t="str">
        <f>PO!A33</f>
        <v>2.1.16</v>
      </c>
      <c r="B239" s="508" t="str">
        <f>VLOOKUP(Tabela1[[#This Row],[Nº]],PO!$A$8:$K$421,3,FALSE)</f>
        <v>CPU-03</v>
      </c>
      <c r="C239" s="485" t="str">
        <f>VLOOKUP(Tabela1[[#This Row],[Nº]],PO!$A$8:$K$421,4,FALSE)</f>
        <v>Remoção de peitoril em concreto</v>
      </c>
      <c r="D239" s="486">
        <f>VLOOKUP(Tabela1[[#This Row],[Nº]],PO!$A$8:$K$421,11,FALSE)</f>
        <v>42.09</v>
      </c>
      <c r="E239" s="500" t="e">
        <f>Tabela1[[#This Row],[TOTAL ITEM (R$)]]/Tabela1[[#Totals],[TOTAL ITEM (R$)]]</f>
        <v>#REF!</v>
      </c>
      <c r="F239" s="487" t="e">
        <f>F238+Tabela1[[#This Row],[%ITEM]]</f>
        <v>#REF!</v>
      </c>
      <c r="G239" s="501" t="e">
        <f t="shared" si="3"/>
        <v>#REF!</v>
      </c>
    </row>
    <row r="240" spans="1:7" ht="25.5" x14ac:dyDescent="0.25">
      <c r="A240" s="513" t="str">
        <f>PO!A220</f>
        <v>12.2.15</v>
      </c>
      <c r="B240" s="508">
        <f>VLOOKUP(Tabela1[[#This Row],[Nº]],PO!$A$8:$K$421,3,FALSE)</f>
        <v>89726</v>
      </c>
      <c r="C240" s="485" t="str">
        <f>VLOOKUP(Tabela1[[#This Row],[Nº]],PO!$A$8:$K$421,4,FALSE)</f>
        <v xml:space="preserve">Joelho 45 graus, PVC, serie normal, esgoto predial, DN 40 mm, junta soldável, fornecido e instalado em ramal de descarga ou ramal de esgoto sanitário. </v>
      </c>
      <c r="D240" s="486">
        <f>VLOOKUP(Tabela1[[#This Row],[Nº]],PO!$A$8:$K$421,11,FALSE)</f>
        <v>39.24</v>
      </c>
      <c r="E240" s="500" t="e">
        <f>Tabela1[[#This Row],[TOTAL ITEM (R$)]]/Tabela1[[#Totals],[TOTAL ITEM (R$)]]</f>
        <v>#REF!</v>
      </c>
      <c r="F240" s="487" t="e">
        <f>F239+Tabela1[[#This Row],[%ITEM]]</f>
        <v>#REF!</v>
      </c>
      <c r="G240" s="501" t="e">
        <f t="shared" si="3"/>
        <v>#REF!</v>
      </c>
    </row>
    <row r="241" spans="1:7" x14ac:dyDescent="0.25">
      <c r="A241" s="513" t="str">
        <f>PO!A24</f>
        <v>2.1.7</v>
      </c>
      <c r="B241" s="508">
        <f>VLOOKUP(Tabela1[[#This Row],[Nº]],PO!$A$8:$K$421,3,FALSE)</f>
        <v>97660</v>
      </c>
      <c r="C241" s="485" t="str">
        <f>VLOOKUP(Tabela1[[#This Row],[Nº]],PO!$A$8:$K$421,4,FALSE)</f>
        <v xml:space="preserve">Remoção de interruptores/tomadas elétricas, de forma manual, sem reaproveitamento. </v>
      </c>
      <c r="D241" s="486">
        <f>VLOOKUP(Tabela1[[#This Row],[Nº]],PO!$A$8:$K$421,11,FALSE)</f>
        <v>39.68</v>
      </c>
      <c r="E241" s="500" t="e">
        <f>Tabela1[[#This Row],[TOTAL ITEM (R$)]]/Tabela1[[#Totals],[TOTAL ITEM (R$)]]</f>
        <v>#REF!</v>
      </c>
      <c r="F241" s="487" t="e">
        <f>F240+Tabela1[[#This Row],[%ITEM]]</f>
        <v>#REF!</v>
      </c>
      <c r="G241" s="501" t="e">
        <f t="shared" si="3"/>
        <v>#REF!</v>
      </c>
    </row>
    <row r="242" spans="1:7" x14ac:dyDescent="0.25">
      <c r="A242" s="513" t="str">
        <f>PO!A235</f>
        <v>12.3.3</v>
      </c>
      <c r="B242" s="508">
        <f>VLOOKUP(Tabela1[[#This Row],[Nº]],PO!$A$8:$K$421,3,FALSE)</f>
        <v>94490</v>
      </c>
      <c r="C242" s="485" t="str">
        <f>VLOOKUP(Tabela1[[#This Row],[Nº]],PO!$A$8:$K$421,4,FALSE)</f>
        <v>Registro de esfera em PVC soldável Ø 32 mm - Fornecimento e instalação</v>
      </c>
      <c r="D242" s="486">
        <f>VLOOKUP(Tabela1[[#This Row],[Nº]],PO!$A$8:$K$421,11,FALSE)</f>
        <v>38.479999999999997</v>
      </c>
      <c r="E242" s="500" t="e">
        <f>Tabela1[[#This Row],[TOTAL ITEM (R$)]]/Tabela1[[#Totals],[TOTAL ITEM (R$)]]</f>
        <v>#REF!</v>
      </c>
      <c r="F242" s="487" t="e">
        <f>F241+Tabela1[[#This Row],[%ITEM]]</f>
        <v>#REF!</v>
      </c>
      <c r="G242" s="501" t="e">
        <f t="shared" si="3"/>
        <v>#REF!</v>
      </c>
    </row>
    <row r="243" spans="1:7" x14ac:dyDescent="0.25">
      <c r="A243" s="513" t="str">
        <f>PO!A37</f>
        <v>2.1.20</v>
      </c>
      <c r="B243" s="508" t="str">
        <f>VLOOKUP(Tabela1[[#This Row],[Nº]],PO!$A$8:$K$421,3,FALSE)</f>
        <v>CPU-05</v>
      </c>
      <c r="C243" s="485" t="str">
        <f>VLOOKUP(Tabela1[[#This Row],[Nº]],PO!$A$8:$K$421,4,FALSE)</f>
        <v>Retirada de torneiras</v>
      </c>
      <c r="D243" s="486">
        <f>VLOOKUP(Tabela1[[#This Row],[Nº]],PO!$A$8:$K$421,11,FALSE)</f>
        <v>31</v>
      </c>
      <c r="E243" s="500" t="e">
        <f>Tabela1[[#This Row],[TOTAL ITEM (R$)]]/Tabela1[[#Totals],[TOTAL ITEM (R$)]]</f>
        <v>#REF!</v>
      </c>
      <c r="F243" s="487" t="e">
        <f>F242+Tabela1[[#This Row],[%ITEM]]</f>
        <v>#REF!</v>
      </c>
      <c r="G243" s="501" t="e">
        <f t="shared" si="3"/>
        <v>#REF!</v>
      </c>
    </row>
    <row r="244" spans="1:7" x14ac:dyDescent="0.25">
      <c r="A244" s="513" t="str">
        <f>PO!A286</f>
        <v>13.2.9</v>
      </c>
      <c r="B244" s="508">
        <f>VLOOKUP(Tabela1[[#This Row],[Nº]],PO!$A$8:$K$421,3,FALSE)</f>
        <v>89398</v>
      </c>
      <c r="C244" s="485" t="str">
        <f>VLOOKUP(Tabela1[[#This Row],[Nº]],PO!$A$8:$K$421,4,FALSE)</f>
        <v xml:space="preserve">Te, pvc, soldável, dn 32mm, instalado em ramal ou sub-ramal de água - fornecimento e instalação. </v>
      </c>
      <c r="D244" s="486">
        <f>VLOOKUP(Tabela1[[#This Row],[Nº]],PO!$A$8:$K$421,11,FALSE)</f>
        <v>32.340000000000003</v>
      </c>
      <c r="E244" s="500" t="e">
        <f>Tabela1[[#This Row],[TOTAL ITEM (R$)]]/Tabela1[[#Totals],[TOTAL ITEM (R$)]]</f>
        <v>#REF!</v>
      </c>
      <c r="F244" s="487" t="e">
        <f>F243+Tabela1[[#This Row],[%ITEM]]</f>
        <v>#REF!</v>
      </c>
      <c r="G244" s="501" t="e">
        <f t="shared" si="3"/>
        <v>#REF!</v>
      </c>
    </row>
    <row r="245" spans="1:7" ht="25.5" x14ac:dyDescent="0.25">
      <c r="A245" s="513" t="str">
        <f>PO!A249</f>
        <v>12.5.3</v>
      </c>
      <c r="B245" s="508">
        <f>VLOOKUP(Tabela1[[#This Row],[Nº]],PO!$A$8:$K$421,3,FALSE)</f>
        <v>89709</v>
      </c>
      <c r="C245" s="485" t="str">
        <f>VLOOKUP(Tabela1[[#This Row],[Nº]],PO!$A$8:$K$421,4,FALSE)</f>
        <v>Ralo sifonado, PVC, DN 100 x 40 mm, junta soldável, fornecido e instalado em ramal de descarga ou em ramal de esgoto sanitário.</v>
      </c>
      <c r="D245" s="486">
        <f>VLOOKUP(Tabela1[[#This Row],[Nº]],PO!$A$8:$K$421,11,FALSE)</f>
        <v>31.08</v>
      </c>
      <c r="E245" s="500" t="e">
        <f>Tabela1[[#This Row],[TOTAL ITEM (R$)]]/Tabela1[[#Totals],[TOTAL ITEM (R$)]]</f>
        <v>#REF!</v>
      </c>
      <c r="F245" s="487" t="e">
        <f>F244+Tabela1[[#This Row],[%ITEM]]</f>
        <v>#REF!</v>
      </c>
      <c r="G245" s="501" t="e">
        <f t="shared" si="3"/>
        <v>#REF!</v>
      </c>
    </row>
    <row r="246" spans="1:7" x14ac:dyDescent="0.25">
      <c r="A246" s="513" t="str">
        <f>PO!A215</f>
        <v>12.2.11</v>
      </c>
      <c r="B246" s="508">
        <f>VLOOKUP(Tabela1[[#This Row],[Nº]],PO!$A$8:$K$421,3,FALSE)</f>
        <v>89626</v>
      </c>
      <c r="C246" s="485" t="str">
        <f>VLOOKUP(Tabela1[[#This Row],[Nº]],PO!$A$8:$K$421,4,FALSE)</f>
        <v>Tê de redução, PVC, soldável, DN 50mm x 40mm, instalado em prumada de água - fornecimento e instalação.</v>
      </c>
      <c r="D246" s="486">
        <f>VLOOKUP(Tabela1[[#This Row],[Nº]],PO!$A$8:$K$421,11,FALSE)</f>
        <v>27.23</v>
      </c>
      <c r="E246" s="500" t="e">
        <f>Tabela1[[#This Row],[TOTAL ITEM (R$)]]/Tabela1[[#Totals],[TOTAL ITEM (R$)]]</f>
        <v>#REF!</v>
      </c>
      <c r="F246" s="487" t="e">
        <f>F245+Tabela1[[#This Row],[%ITEM]]</f>
        <v>#REF!</v>
      </c>
      <c r="G246" s="501" t="e">
        <f t="shared" si="3"/>
        <v>#REF!</v>
      </c>
    </row>
    <row r="247" spans="1:7" x14ac:dyDescent="0.25">
      <c r="A247" s="513" t="str">
        <f>PO!A197</f>
        <v>12.1.4</v>
      </c>
      <c r="B247" s="508">
        <f>VLOOKUP(Tabela1[[#This Row],[Nº]],PO!$A$8:$K$421,3,FALSE)</f>
        <v>89449</v>
      </c>
      <c r="C247" s="485" t="str">
        <f>VLOOKUP(Tabela1[[#This Row],[Nº]],PO!$A$8:$K$421,4,FALSE)</f>
        <v xml:space="preserve">Tubo, PVC, soldável, DN 50mm, instalado em prumada de água - fornecimento e instalação. </v>
      </c>
      <c r="D247" s="486">
        <f>VLOOKUP(Tabela1[[#This Row],[Nº]],PO!$A$8:$K$421,11,FALSE)</f>
        <v>26.95</v>
      </c>
      <c r="E247" s="500" t="e">
        <f>Tabela1[[#This Row],[TOTAL ITEM (R$)]]/Tabela1[[#Totals],[TOTAL ITEM (R$)]]</f>
        <v>#REF!</v>
      </c>
      <c r="F247" s="487" t="e">
        <f>F246+Tabela1[[#This Row],[%ITEM]]</f>
        <v>#REF!</v>
      </c>
      <c r="G247" s="501" t="e">
        <f t="shared" si="3"/>
        <v>#REF!</v>
      </c>
    </row>
    <row r="248" spans="1:7" x14ac:dyDescent="0.25">
      <c r="A248" s="513" t="str">
        <f>PO!A213</f>
        <v>12.2.9</v>
      </c>
      <c r="B248" s="508" t="str">
        <f>VLOOKUP(Tabela1[[#This Row],[Nº]],PO!$A$8:$K$421,3,FALSE)</f>
        <v>CPU-36</v>
      </c>
      <c r="C248" s="485" t="str">
        <f>VLOOKUP(Tabela1[[#This Row],[Nº]],PO!$A$8:$K$421,4,FALSE)</f>
        <v>Joelho 90° de redução soldável PVC Ø 32 x 25 mm  - fornecimento e instalação.</v>
      </c>
      <c r="D248" s="486">
        <f>VLOOKUP(Tabela1[[#This Row],[Nº]],PO!$A$8:$K$421,11,FALSE)</f>
        <v>23.7</v>
      </c>
      <c r="E248" s="500" t="e">
        <f>Tabela1[[#This Row],[TOTAL ITEM (R$)]]/Tabela1[[#Totals],[TOTAL ITEM (R$)]]</f>
        <v>#REF!</v>
      </c>
      <c r="F248" s="487" t="e">
        <f>F247+Tabela1[[#This Row],[%ITEM]]</f>
        <v>#REF!</v>
      </c>
      <c r="G248" s="501" t="e">
        <f t="shared" si="3"/>
        <v>#REF!</v>
      </c>
    </row>
    <row r="249" spans="1:7" x14ac:dyDescent="0.25">
      <c r="A249" s="513" t="str">
        <f>PO!A284</f>
        <v>13.2.7</v>
      </c>
      <c r="B249" s="508">
        <f>VLOOKUP(Tabela1[[#This Row],[Nº]],PO!$A$8:$K$421,3,FALSE)</f>
        <v>89866</v>
      </c>
      <c r="C249" s="485" t="str">
        <f>VLOOKUP(Tabela1[[#This Row],[Nº]],PO!$A$8:$K$421,4,FALSE)</f>
        <v xml:space="preserve">Joelho 90 graus, pvc, soldável, dn 25mm, instalado em dreno de ar-condicionado - fornecimento e instalação. </v>
      </c>
      <c r="D249" s="486">
        <f>VLOOKUP(Tabela1[[#This Row],[Nº]],PO!$A$8:$K$421,11,FALSE)</f>
        <v>23.05</v>
      </c>
      <c r="E249" s="500" t="e">
        <f>Tabela1[[#This Row],[TOTAL ITEM (R$)]]/Tabela1[[#Totals],[TOTAL ITEM (R$)]]</f>
        <v>#REF!</v>
      </c>
      <c r="F249" s="487" t="e">
        <f>F248+Tabela1[[#This Row],[%ITEM]]</f>
        <v>#REF!</v>
      </c>
      <c r="G249" s="501" t="e">
        <f t="shared" si="3"/>
        <v>#REF!</v>
      </c>
    </row>
    <row r="250" spans="1:7" x14ac:dyDescent="0.25">
      <c r="A250" s="513" t="str">
        <f>PO!A254</f>
        <v>12.6.2</v>
      </c>
      <c r="B250" s="508">
        <f>VLOOKUP(Tabela1[[#This Row],[Nº]],PO!$A$8:$K$421,3,FALSE)</f>
        <v>94795</v>
      </c>
      <c r="C250" s="485" t="str">
        <f>VLOOKUP(Tabela1[[#This Row],[Nº]],PO!$A$8:$K$421,4,FALSE)</f>
        <v>Torneira de boia, roscável, ½", fornecida e instalada em reservação de água.</v>
      </c>
      <c r="D250" s="486">
        <f>VLOOKUP(Tabela1[[#This Row],[Nº]],PO!$A$8:$K$421,11,FALSE)</f>
        <v>22.96</v>
      </c>
      <c r="E250" s="500" t="e">
        <f>Tabela1[[#This Row],[TOTAL ITEM (R$)]]/Tabela1[[#Totals],[TOTAL ITEM (R$)]]</f>
        <v>#REF!</v>
      </c>
      <c r="F250" s="487" t="e">
        <f>F249+Tabela1[[#This Row],[%ITEM]]</f>
        <v>#REF!</v>
      </c>
      <c r="G250" s="501" t="e">
        <f t="shared" si="3"/>
        <v>#REF!</v>
      </c>
    </row>
    <row r="251" spans="1:7" ht="25.5" x14ac:dyDescent="0.25">
      <c r="A251" s="513" t="str">
        <f>PO!A218</f>
        <v>12.2.14</v>
      </c>
      <c r="B251" s="508">
        <f>VLOOKUP(Tabela1[[#This Row],[Nº]],PO!$A$8:$K$421,3,FALSE)</f>
        <v>90374</v>
      </c>
      <c r="C251" s="485" t="str">
        <f>VLOOKUP(Tabela1[[#This Row],[Nº]],PO!$A$8:$K$421,4,FALSE)</f>
        <v xml:space="preserve">Tê com bucha de latão na bolsa central, pvc, soldável, dn 25mm x ¾”, instalado em ramal ou sub-ramal de água - fornecimento e instalação. </v>
      </c>
      <c r="D251" s="486">
        <f>VLOOKUP(Tabela1[[#This Row],[Nº]],PO!$A$8:$K$421,11,FALSE)</f>
        <v>20.77</v>
      </c>
      <c r="E251" s="500" t="e">
        <f>Tabela1[[#This Row],[TOTAL ITEM (R$)]]/Tabela1[[#Totals],[TOTAL ITEM (R$)]]</f>
        <v>#REF!</v>
      </c>
      <c r="F251" s="487" t="e">
        <f>F250+Tabela1[[#This Row],[%ITEM]]</f>
        <v>#REF!</v>
      </c>
      <c r="G251" s="501" t="e">
        <f t="shared" si="3"/>
        <v>#REF!</v>
      </c>
    </row>
    <row r="252" spans="1:7" ht="25.5" x14ac:dyDescent="0.25">
      <c r="A252" s="513" t="str">
        <f>PO!A207</f>
        <v>12.2.3</v>
      </c>
      <c r="B252" s="508" t="str">
        <f>VLOOKUP(Tabela1[[#This Row],[Nº]],PO!$A$8:$K$421,3,FALSE)</f>
        <v>CPU-35</v>
      </c>
      <c r="C252" s="485" t="str">
        <f>VLOOKUP(Tabela1[[#This Row],[Nº]],PO!$A$8:$K$421,4,FALSE)</f>
        <v>Bucha de redução, PVC, soldável, DN 50mm x 40mm, instalado em ramal ou sub-ramal de água - fornecimento e instalação.</v>
      </c>
      <c r="D252" s="486">
        <f>VLOOKUP(Tabela1[[#This Row],[Nº]],PO!$A$8:$K$421,11,FALSE)</f>
        <v>19.059999999999999</v>
      </c>
      <c r="E252" s="500" t="e">
        <f>Tabela1[[#This Row],[TOTAL ITEM (R$)]]/Tabela1[[#Totals],[TOTAL ITEM (R$)]]</f>
        <v>#REF!</v>
      </c>
      <c r="F252" s="487" t="e">
        <f>F251+Tabela1[[#This Row],[%ITEM]]</f>
        <v>#REF!</v>
      </c>
      <c r="G252" s="501" t="e">
        <f t="shared" si="3"/>
        <v>#REF!</v>
      </c>
    </row>
    <row r="253" spans="1:7" x14ac:dyDescent="0.25">
      <c r="A253" s="513" t="str">
        <f>PO!A228</f>
        <v>12.2.23</v>
      </c>
      <c r="B253" s="508" t="str">
        <f>VLOOKUP(Tabela1[[#This Row],[Nº]],PO!$A$8:$K$421,3,FALSE)</f>
        <v>CPU-38</v>
      </c>
      <c r="C253" s="485" t="str">
        <f>VLOOKUP(Tabela1[[#This Row],[Nº]],PO!$A$8:$K$421,4,FALSE)</f>
        <v>Terminal de ventilacao, 50 mm, serie normal, esgoto predial - fornecimento e instalação.</v>
      </c>
      <c r="D253" s="486">
        <f>VLOOKUP(Tabela1[[#This Row],[Nº]],PO!$A$8:$K$421,11,FALSE)</f>
        <v>18</v>
      </c>
      <c r="E253" s="500" t="e">
        <f>Tabela1[[#This Row],[TOTAL ITEM (R$)]]/Tabela1[[#Totals],[TOTAL ITEM (R$)]]</f>
        <v>#REF!</v>
      </c>
      <c r="F253" s="487" t="e">
        <f>F252+Tabela1[[#This Row],[%ITEM]]</f>
        <v>#REF!</v>
      </c>
      <c r="G253" s="501" t="e">
        <f t="shared" si="3"/>
        <v>#REF!</v>
      </c>
    </row>
    <row r="254" spans="1:7" ht="25.5" x14ac:dyDescent="0.25">
      <c r="A254" s="513" t="str">
        <f>PO!A222</f>
        <v>12.2.17</v>
      </c>
      <c r="B254" s="508">
        <f>VLOOKUP(Tabela1[[#This Row],[Nº]],PO!$A$8:$K$421,3,FALSE)</f>
        <v>89810</v>
      </c>
      <c r="C254" s="485" t="str">
        <f>VLOOKUP(Tabela1[[#This Row],[Nº]],PO!$A$8:$K$421,4,FALSE)</f>
        <v xml:space="preserve">Joelho 45 graus, pvc, serie normal, esgoto predial, dn 100 mm, junta elástica, fornecido e instalado em prumada de esgoto sanitário ou ventilação. </v>
      </c>
      <c r="D254" s="486">
        <f>VLOOKUP(Tabela1[[#This Row],[Nº]],PO!$A$8:$K$421,11,FALSE)</f>
        <v>15.48</v>
      </c>
      <c r="E254" s="500" t="e">
        <f>Tabela1[[#This Row],[TOTAL ITEM (R$)]]/Tabela1[[#Totals],[TOTAL ITEM (R$)]]</f>
        <v>#REF!</v>
      </c>
      <c r="F254" s="487" t="e">
        <f>F253+Tabela1[[#This Row],[%ITEM]]</f>
        <v>#REF!</v>
      </c>
      <c r="G254" s="501" t="e">
        <f t="shared" si="3"/>
        <v>#REF!</v>
      </c>
    </row>
    <row r="255" spans="1:7" ht="25.5" x14ac:dyDescent="0.25">
      <c r="A255" s="513" t="str">
        <f>PO!A205</f>
        <v>12.2.1</v>
      </c>
      <c r="B255" s="508" t="str">
        <f>VLOOKUP(Tabela1[[#This Row],[Nº]],PO!$A$8:$K$421,3,FALSE)</f>
        <v>CPU-34</v>
      </c>
      <c r="C255" s="485" t="str">
        <f>VLOOKUP(Tabela1[[#This Row],[Nº]],PO!$A$8:$K$421,4,FALSE)</f>
        <v>Bucha de redução, PVC, soldável, DN 32mm x 25mm, instalado em ramal ou sub-ramal de água - fornecimento e instalação.</v>
      </c>
      <c r="D255" s="486">
        <f>VLOOKUP(Tabela1[[#This Row],[Nº]],PO!$A$8:$K$421,11,FALSE)</f>
        <v>14.54</v>
      </c>
      <c r="E255" s="500" t="e">
        <f>Tabela1[[#This Row],[TOTAL ITEM (R$)]]/Tabela1[[#Totals],[TOTAL ITEM (R$)]]</f>
        <v>#REF!</v>
      </c>
      <c r="F255" s="487" t="e">
        <f>F254+Tabela1[[#This Row],[%ITEM]]</f>
        <v>#REF!</v>
      </c>
      <c r="G255" s="501" t="e">
        <f t="shared" si="3"/>
        <v>#REF!</v>
      </c>
    </row>
    <row r="256" spans="1:7" x14ac:dyDescent="0.25">
      <c r="A256" s="513" t="str">
        <f>PO!A283</f>
        <v>13.2.6</v>
      </c>
      <c r="B256" s="508">
        <f>VLOOKUP(Tabela1[[#This Row],[Nº]],PO!$A$8:$K$421,3,FALSE)</f>
        <v>89368</v>
      </c>
      <c r="C256" s="485" t="str">
        <f>VLOOKUP(Tabela1[[#This Row],[Nº]],PO!$A$8:$K$421,4,FALSE)</f>
        <v xml:space="preserve">Joelho 45 graus, pvc, soldável, dn 32mm, instalado em ramal ou sub-ramal de água - fornecimento e instalação. </v>
      </c>
      <c r="D256" s="486">
        <f>VLOOKUP(Tabela1[[#This Row],[Nº]],PO!$A$8:$K$421,11,FALSE)</f>
        <v>13.14</v>
      </c>
      <c r="E256" s="500" t="e">
        <f>Tabela1[[#This Row],[TOTAL ITEM (R$)]]/Tabela1[[#Totals],[TOTAL ITEM (R$)]]</f>
        <v>#REF!</v>
      </c>
      <c r="F256" s="487" t="e">
        <f>F255+Tabela1[[#This Row],[%ITEM]]</f>
        <v>#REF!</v>
      </c>
      <c r="G256" s="501" t="e">
        <f t="shared" si="3"/>
        <v>#REF!</v>
      </c>
    </row>
    <row r="257" spans="1:7" x14ac:dyDescent="0.25">
      <c r="A257" s="513" t="str">
        <f>PO!A211</f>
        <v>12.2.7</v>
      </c>
      <c r="B257" s="508">
        <f>VLOOKUP(Tabela1[[#This Row],[Nº]],PO!$A$8:$K$421,3,FALSE)</f>
        <v>89501</v>
      </c>
      <c r="C257" s="485" t="str">
        <f>VLOOKUP(Tabela1[[#This Row],[Nº]],PO!$A$8:$K$421,4,FALSE)</f>
        <v>Joelho 90 graus, PVC, soldável, DN 50mm, instalado em prumada de água - fornecimento e instalação.</v>
      </c>
      <c r="D257" s="486">
        <f>VLOOKUP(Tabela1[[#This Row],[Nº]],PO!$A$8:$K$421,11,FALSE)</f>
        <v>12.53</v>
      </c>
      <c r="E257" s="500" t="e">
        <f>Tabela1[[#This Row],[TOTAL ITEM (R$)]]/Tabela1[[#Totals],[TOTAL ITEM (R$)]]</f>
        <v>#REF!</v>
      </c>
      <c r="F257" s="487" t="e">
        <f>F256+Tabela1[[#This Row],[%ITEM]]</f>
        <v>#REF!</v>
      </c>
      <c r="G257" s="501" t="e">
        <f t="shared" si="3"/>
        <v>#REF!</v>
      </c>
    </row>
    <row r="258" spans="1:7" x14ac:dyDescent="0.25">
      <c r="A258" s="513" t="str">
        <f>PO!A196</f>
        <v>12.1.3</v>
      </c>
      <c r="B258" s="508">
        <f>VLOOKUP(Tabela1[[#This Row],[Nº]],PO!$A$8:$K$421,3,FALSE)</f>
        <v>89448</v>
      </c>
      <c r="C258" s="485" t="str">
        <f>VLOOKUP(Tabela1[[#This Row],[Nº]],PO!$A$8:$K$421,4,FALSE)</f>
        <v xml:space="preserve">Tubo, PVC, soldável, DN 40mm, instalado em prumada de água - fornecimento e instalação. </v>
      </c>
      <c r="D258" s="486">
        <f>VLOOKUP(Tabela1[[#This Row],[Nº]],PO!$A$8:$K$421,11,FALSE)</f>
        <v>12.26</v>
      </c>
      <c r="E258" s="500" t="e">
        <f>Tabela1[[#This Row],[TOTAL ITEM (R$)]]/Tabela1[[#Totals],[TOTAL ITEM (R$)]]</f>
        <v>#REF!</v>
      </c>
      <c r="F258" s="487" t="e">
        <f>F257+Tabela1[[#This Row],[%ITEM]]</f>
        <v>#REF!</v>
      </c>
      <c r="G258" s="501" t="e">
        <f t="shared" si="3"/>
        <v>#REF!</v>
      </c>
    </row>
    <row r="259" spans="1:7" x14ac:dyDescent="0.25">
      <c r="A259" s="513" t="str">
        <f>PO!A282</f>
        <v>13.2.5</v>
      </c>
      <c r="B259" s="508">
        <f>VLOOKUP(Tabela1[[#This Row],[Nº]],PO!$A$8:$K$421,3,FALSE)</f>
        <v>89867</v>
      </c>
      <c r="C259" s="485" t="str">
        <f>VLOOKUP(Tabela1[[#This Row],[Nº]],PO!$A$8:$K$421,4,FALSE)</f>
        <v>Joelho 45 graus, pvc, soldável, dn 25mm, instalado em dreno de ar-condicionado - fornecimento e instalação.</v>
      </c>
      <c r="D259" s="486">
        <f>VLOOKUP(Tabela1[[#This Row],[Nº]],PO!$A$8:$K$421,11,FALSE)</f>
        <v>10.72</v>
      </c>
      <c r="E259" s="500" t="e">
        <f>Tabela1[[#This Row],[TOTAL ITEM (R$)]]/Tabela1[[#Totals],[TOTAL ITEM (R$)]]</f>
        <v>#REF!</v>
      </c>
      <c r="F259" s="487" t="e">
        <f>F258+Tabela1[[#This Row],[%ITEM]]</f>
        <v>#REF!</v>
      </c>
      <c r="G259" s="501" t="e">
        <f t="shared" si="3"/>
        <v>#REF!</v>
      </c>
    </row>
    <row r="260" spans="1:7" x14ac:dyDescent="0.25">
      <c r="A260" s="513" t="str">
        <f>PO!A210</f>
        <v>12.2.6</v>
      </c>
      <c r="B260" s="508">
        <f>VLOOKUP(Tabela1[[#This Row],[Nº]],PO!$A$8:$K$421,3,FALSE)</f>
        <v>89497</v>
      </c>
      <c r="C260" s="485" t="str">
        <f>VLOOKUP(Tabela1[[#This Row],[Nº]],PO!$A$8:$K$421,4,FALSE)</f>
        <v>Joelho 90 graus, PVC, soldável, DN 40mm, instalado em prumada de água - fornecimento e instalação.</v>
      </c>
      <c r="D260" s="486">
        <f>VLOOKUP(Tabela1[[#This Row],[Nº]],PO!$A$8:$K$421,11,FALSE)</f>
        <v>10.44</v>
      </c>
      <c r="E260" s="500" t="e">
        <f>Tabela1[[#This Row],[TOTAL ITEM (R$)]]/Tabela1[[#Totals],[TOTAL ITEM (R$)]]</f>
        <v>#REF!</v>
      </c>
      <c r="F260" s="487" t="e">
        <f>F259+Tabela1[[#This Row],[%ITEM]]</f>
        <v>#REF!</v>
      </c>
      <c r="G260" s="501" t="e">
        <f t="shared" si="3"/>
        <v>#REF!</v>
      </c>
    </row>
    <row r="261" spans="1:7" ht="25.5" x14ac:dyDescent="0.25">
      <c r="A261" s="513" t="str">
        <f>PO!A206</f>
        <v>12.2.2</v>
      </c>
      <c r="B261" s="508">
        <f>VLOOKUP(Tabela1[[#This Row],[Nº]],PO!$A$8:$K$421,3,FALSE)</f>
        <v>90375</v>
      </c>
      <c r="C261" s="485" t="str">
        <f>VLOOKUP(Tabela1[[#This Row],[Nº]],PO!$A$8:$K$421,4,FALSE)</f>
        <v>Bucha de redução, PVC, soldável, DN 40mm x 32mm, instalado em ramal ou sub-ramal de água - fornecimento e instalação.</v>
      </c>
      <c r="D261" s="486">
        <f>VLOOKUP(Tabela1[[#This Row],[Nº]],PO!$A$8:$K$421,11,FALSE)</f>
        <v>8.26</v>
      </c>
      <c r="E261" s="500" t="e">
        <f>Tabela1[[#This Row],[TOTAL ITEM (R$)]]/Tabela1[[#Totals],[TOTAL ITEM (R$)]]</f>
        <v>#REF!</v>
      </c>
      <c r="F261" s="487" t="e">
        <f>F260+Tabela1[[#This Row],[%ITEM]]</f>
        <v>#REF!</v>
      </c>
      <c r="G261" s="501" t="e">
        <f t="shared" si="3"/>
        <v>#REF!</v>
      </c>
    </row>
    <row r="262" spans="1:7" ht="25.5" x14ac:dyDescent="0.25">
      <c r="A262" s="513" t="str">
        <f>PO!A221</f>
        <v>12.2.16</v>
      </c>
      <c r="B262" s="508">
        <f>VLOOKUP(Tabela1[[#This Row],[Nº]],PO!$A$8:$K$421,3,FALSE)</f>
        <v>89802</v>
      </c>
      <c r="C262" s="485" t="str">
        <f>VLOOKUP(Tabela1[[#This Row],[Nº]],PO!$A$8:$K$421,4,FALSE)</f>
        <v xml:space="preserve">Joelho 45 graus, PVC, serie normal, esgoto predial, DN 50 mm, junta soldável, fornecido e instalado em prumada de esgoto sanitário ou ventilação. </v>
      </c>
      <c r="D262" s="486">
        <f>VLOOKUP(Tabela1[[#This Row],[Nº]],PO!$A$8:$K$421,11,FALSE)</f>
        <v>6.23</v>
      </c>
      <c r="E262" s="500" t="e">
        <f>Tabela1[[#This Row],[TOTAL ITEM (R$)]]/Tabela1[[#Totals],[TOTAL ITEM (R$)]]</f>
        <v>#REF!</v>
      </c>
      <c r="F262" s="487" t="e">
        <f>F261+Tabela1[[#This Row],[%ITEM]]</f>
        <v>#REF!</v>
      </c>
      <c r="G262" s="501" t="e">
        <f t="shared" si="3"/>
        <v>#REF!</v>
      </c>
    </row>
    <row r="263" spans="1:7" x14ac:dyDescent="0.25">
      <c r="A263" s="514" t="s">
        <v>14</v>
      </c>
      <c r="B263" s="509"/>
      <c r="C263" s="502"/>
      <c r="D263" s="503" t="e">
        <f>SUBTOTAL(109,Tabela1[TOTAL ITEM (R$)])</f>
        <v>#REF!</v>
      </c>
      <c r="E263" s="504"/>
      <c r="F263" s="505"/>
      <c r="G263" s="506"/>
    </row>
    <row r="264" spans="1:7" ht="15" x14ac:dyDescent="0.25">
      <c r="D264" s="800" t="s">
        <v>12205</v>
      </c>
      <c r="E264" s="801"/>
      <c r="F264" s="802"/>
    </row>
    <row r="265" spans="1:7" x14ac:dyDescent="0.2">
      <c r="D265" s="493" t="s">
        <v>12206</v>
      </c>
      <c r="E265" s="494" t="s">
        <v>12207</v>
      </c>
      <c r="F265" s="494" t="s">
        <v>12208</v>
      </c>
    </row>
    <row r="266" spans="1:7" x14ac:dyDescent="0.2">
      <c r="D266" s="495">
        <v>0.8</v>
      </c>
      <c r="E266" s="496">
        <v>0.15</v>
      </c>
      <c r="F266" s="496">
        <v>0.05</v>
      </c>
    </row>
    <row r="267" spans="1:7" x14ac:dyDescent="0.25">
      <c r="D267" s="497" t="s">
        <v>12209</v>
      </c>
      <c r="E267" s="498" t="s">
        <v>12210</v>
      </c>
      <c r="F267" s="498" t="s">
        <v>12211</v>
      </c>
    </row>
  </sheetData>
  <mergeCells count="4">
    <mergeCell ref="A6:G6"/>
    <mergeCell ref="D264:F264"/>
    <mergeCell ref="D4:E5"/>
    <mergeCell ref="F4:F5"/>
  </mergeCells>
  <conditionalFormatting sqref="K30">
    <cfRule type="cellIs" dxfId="20" priority="1" operator="greaterThan">
      <formula>0.000000001</formula>
    </cfRule>
  </conditionalFormatting>
  <printOptions horizontalCentered="1"/>
  <pageMargins left="0.15748031496062992" right="0.15748031496062992" top="0.81029411764705883" bottom="0.58526785714285712" header="0" footer="0"/>
  <pageSetup paperSize="9" scale="54" orientation="portrait" r:id="rId1"/>
  <headerFooter>
    <oddHeader>&amp;L&amp;"-,Regular"&amp;11
CNPJ: 27.651.907/0001-77&amp;C
&amp;G&amp;R&amp;"-,Regular"
&amp;11IE: 00000004780094</oddHeader>
    <oddFooter>&amp;C&amp;"-,Regular"&amp;11Av. Abunã, 2914 – Sala D – Liberdade – Porto Velho – Rondônia – Brasil – CEP 76.803-888
+55 69 99283 9999     +55 69 4141 6641
proj.nova@outlook.com</oddFooter>
  </headerFooter>
  <drawing r:id="rId2"/>
  <legacyDrawingHF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4"/>
  <dimension ref="A1:N53"/>
  <sheetViews>
    <sheetView view="pageBreakPreview" topLeftCell="A14" zoomScale="85" zoomScaleNormal="100" zoomScaleSheetLayoutView="85" workbookViewId="0">
      <selection activeCell="K22" sqref="K22"/>
    </sheetView>
  </sheetViews>
  <sheetFormatPr defaultColWidth="9.140625" defaultRowHeight="12.75" x14ac:dyDescent="0.25"/>
  <cols>
    <col min="1" max="1" width="12.85546875" style="52" customWidth="1"/>
    <col min="2" max="2" width="47.7109375" style="52" customWidth="1"/>
    <col min="3" max="3" width="6.28515625" style="53" bestFit="1" customWidth="1"/>
    <col min="4" max="4" width="6" style="52" customWidth="1"/>
    <col min="5" max="5" width="15.5703125" style="52" customWidth="1"/>
    <col min="6" max="8" width="13.28515625" style="52" bestFit="1" customWidth="1"/>
    <col min="9" max="9" width="14.28515625" style="52" bestFit="1" customWidth="1"/>
    <col min="10" max="10" width="13.28515625" style="52" bestFit="1" customWidth="1"/>
    <col min="11" max="11" width="13.5703125" style="52" bestFit="1" customWidth="1"/>
    <col min="12" max="16384" width="9.140625" style="52"/>
  </cols>
  <sheetData>
    <row r="1" spans="1:14" s="1" customFormat="1" ht="7.5" customHeight="1" x14ac:dyDescent="0.25"/>
    <row r="2" spans="1:14" s="10" customFormat="1" ht="15.75" x14ac:dyDescent="0.25">
      <c r="A2" s="7" t="s">
        <v>0</v>
      </c>
      <c r="B2" s="119" t="str">
        <f>PO!C2</f>
        <v>Reforma e Ampliação do Almoxarifado da Farmácia</v>
      </c>
      <c r="D2" s="6"/>
      <c r="E2" s="6"/>
      <c r="F2" s="6"/>
      <c r="G2" s="6"/>
    </row>
    <row r="3" spans="1:14" s="10" customFormat="1" ht="15" x14ac:dyDescent="0.25">
      <c r="A3" s="7" t="s">
        <v>1</v>
      </c>
      <c r="B3" s="3" t="str">
        <f>PO!C3</f>
        <v>BR - 364 - km 17 - Hospital Santa Marcelina</v>
      </c>
      <c r="D3" s="6"/>
      <c r="E3" s="9"/>
      <c r="G3" s="6"/>
    </row>
    <row r="4" spans="1:14" s="10" customFormat="1" ht="15" x14ac:dyDescent="0.25">
      <c r="A4" s="7" t="s">
        <v>2</v>
      </c>
      <c r="B4" s="3" t="s">
        <v>3</v>
      </c>
      <c r="D4" s="6"/>
      <c r="E4" s="9"/>
      <c r="G4" s="6"/>
    </row>
    <row r="5" spans="1:14" s="54" customFormat="1" ht="15" x14ac:dyDescent="0.25">
      <c r="A5" s="7" t="s">
        <v>4</v>
      </c>
      <c r="B5" s="11" t="str">
        <f>PO!C5</f>
        <v>07/2020</v>
      </c>
      <c r="D5" s="12"/>
      <c r="E5" s="12"/>
      <c r="F5" s="9"/>
      <c r="G5" s="12"/>
      <c r="K5" s="10"/>
      <c r="L5" s="10"/>
      <c r="M5" s="10"/>
      <c r="N5" s="10"/>
    </row>
    <row r="6" spans="1:14" s="54" customFormat="1" ht="9.75" customHeight="1" x14ac:dyDescent="0.25">
      <c r="A6" s="15"/>
      <c r="B6" s="15"/>
      <c r="C6" s="15"/>
      <c r="D6" s="15"/>
      <c r="E6" s="15"/>
      <c r="F6" s="15"/>
      <c r="G6" s="15"/>
      <c r="K6" s="10"/>
      <c r="L6" s="10"/>
      <c r="M6" s="10"/>
      <c r="N6" s="10"/>
    </row>
    <row r="7" spans="1:14" s="55" customFormat="1" ht="15" customHeight="1" x14ac:dyDescent="0.25">
      <c r="A7" s="815" t="s">
        <v>17</v>
      </c>
      <c r="B7" s="815"/>
      <c r="C7" s="815"/>
      <c r="D7" s="815"/>
      <c r="E7" s="815"/>
      <c r="F7" s="815"/>
      <c r="G7" s="815"/>
      <c r="H7" s="815"/>
      <c r="I7" s="815"/>
      <c r="J7" s="815"/>
      <c r="K7" s="815"/>
    </row>
    <row r="8" spans="1:14" s="55" customFormat="1" ht="13.5" thickBot="1" x14ac:dyDescent="0.3">
      <c r="C8" s="56"/>
    </row>
    <row r="9" spans="1:14" s="55" customFormat="1" ht="38.25" x14ac:dyDescent="0.25">
      <c r="A9" s="807" t="s">
        <v>6</v>
      </c>
      <c r="B9" s="809" t="s">
        <v>19</v>
      </c>
      <c r="C9" s="811" t="s">
        <v>20</v>
      </c>
      <c r="D9" s="809" t="s">
        <v>18</v>
      </c>
      <c r="E9" s="641" t="s">
        <v>11945</v>
      </c>
      <c r="F9" s="641" t="s">
        <v>11946</v>
      </c>
      <c r="G9" s="318" t="s">
        <v>11947</v>
      </c>
      <c r="H9" s="548"/>
      <c r="I9" s="548"/>
      <c r="J9" s="548"/>
      <c r="K9" s="813" t="s">
        <v>11944</v>
      </c>
    </row>
    <row r="10" spans="1:14" s="55" customFormat="1" x14ac:dyDescent="0.25">
      <c r="A10" s="808"/>
      <c r="B10" s="810"/>
      <c r="C10" s="812"/>
      <c r="D10" s="810"/>
      <c r="E10" s="319" t="s">
        <v>11948</v>
      </c>
      <c r="F10" s="319" t="s">
        <v>11949</v>
      </c>
      <c r="G10" s="319" t="s">
        <v>11950</v>
      </c>
      <c r="H10" s="549"/>
      <c r="I10" s="549"/>
      <c r="J10" s="549"/>
      <c r="K10" s="814"/>
    </row>
    <row r="11" spans="1:14" s="55" customFormat="1" x14ac:dyDescent="0.25">
      <c r="A11" s="538" t="s">
        <v>11951</v>
      </c>
      <c r="B11" s="214" t="s">
        <v>11943</v>
      </c>
      <c r="C11" s="58">
        <v>2</v>
      </c>
      <c r="D11" s="57" t="s">
        <v>10884</v>
      </c>
      <c r="E11" s="325">
        <v>42</v>
      </c>
      <c r="F11" s="59">
        <v>33.33</v>
      </c>
      <c r="G11" s="59">
        <v>33.65</v>
      </c>
      <c r="H11" s="59"/>
      <c r="I11" s="57"/>
      <c r="J11" s="59"/>
      <c r="K11" s="327">
        <f>AVERAGE(E11:G11)</f>
        <v>36.326666666666661</v>
      </c>
      <c r="N11" s="532"/>
    </row>
    <row r="12" spans="1:14" s="55" customFormat="1" x14ac:dyDescent="0.25">
      <c r="A12" s="538" t="s">
        <v>11942</v>
      </c>
      <c r="B12" s="214" t="s">
        <v>11957</v>
      </c>
      <c r="C12" s="58">
        <v>2</v>
      </c>
      <c r="D12" s="57" t="s">
        <v>10884</v>
      </c>
      <c r="E12" s="325">
        <v>285.39999999999998</v>
      </c>
      <c r="F12" s="59">
        <v>214.22</v>
      </c>
      <c r="G12" s="59">
        <v>205.21</v>
      </c>
      <c r="H12" s="59"/>
      <c r="I12" s="57"/>
      <c r="J12" s="59"/>
      <c r="K12" s="326">
        <f t="shared" ref="K12:K13" si="0">AVERAGE(E12:G12)</f>
        <v>234.94333333333336</v>
      </c>
      <c r="N12" s="533"/>
    </row>
    <row r="13" spans="1:14" s="55" customFormat="1" ht="13.5" thickBot="1" x14ac:dyDescent="0.3">
      <c r="A13" s="539" t="s">
        <v>11956</v>
      </c>
      <c r="B13" s="215" t="s">
        <v>11958</v>
      </c>
      <c r="C13" s="157">
        <v>2</v>
      </c>
      <c r="D13" s="158" t="s">
        <v>10884</v>
      </c>
      <c r="E13" s="328">
        <v>285.39999999999998</v>
      </c>
      <c r="F13" s="159">
        <v>214.22</v>
      </c>
      <c r="G13" s="159">
        <v>222.92</v>
      </c>
      <c r="H13" s="159"/>
      <c r="I13" s="158"/>
      <c r="J13" s="159"/>
      <c r="K13" s="329">
        <f t="shared" si="0"/>
        <v>240.84666666666666</v>
      </c>
    </row>
    <row r="14" spans="1:14" s="55" customFormat="1" ht="13.5" thickBot="1" x14ac:dyDescent="0.3">
      <c r="C14" s="56"/>
    </row>
    <row r="15" spans="1:14" s="55" customFormat="1" ht="25.5" x14ac:dyDescent="0.25">
      <c r="A15" s="807" t="s">
        <v>6</v>
      </c>
      <c r="B15" s="809" t="s">
        <v>19</v>
      </c>
      <c r="C15" s="811" t="s">
        <v>20</v>
      </c>
      <c r="D15" s="809" t="s">
        <v>18</v>
      </c>
      <c r="E15" s="641" t="s">
        <v>11945</v>
      </c>
      <c r="F15" s="318" t="s">
        <v>11946</v>
      </c>
      <c r="G15" s="548" t="s">
        <v>12212</v>
      </c>
      <c r="H15" s="548" t="s">
        <v>12214</v>
      </c>
      <c r="I15" s="548" t="s">
        <v>12216</v>
      </c>
      <c r="J15" s="548"/>
      <c r="K15" s="813" t="s">
        <v>11944</v>
      </c>
    </row>
    <row r="16" spans="1:14" s="55" customFormat="1" x14ac:dyDescent="0.25">
      <c r="A16" s="808"/>
      <c r="B16" s="810"/>
      <c r="C16" s="812"/>
      <c r="D16" s="810"/>
      <c r="E16" s="319" t="s">
        <v>11948</v>
      </c>
      <c r="F16" s="319" t="s">
        <v>11949</v>
      </c>
      <c r="G16" s="549" t="s">
        <v>12213</v>
      </c>
      <c r="H16" s="549" t="s">
        <v>12215</v>
      </c>
      <c r="I16" s="536" t="s">
        <v>12217</v>
      </c>
      <c r="J16" s="549"/>
      <c r="K16" s="814"/>
    </row>
    <row r="17" spans="1:11" s="55" customFormat="1" ht="38.25" x14ac:dyDescent="0.25">
      <c r="A17" s="538" t="s">
        <v>11964</v>
      </c>
      <c r="B17" s="214" t="s">
        <v>11967</v>
      </c>
      <c r="C17" s="58">
        <v>1</v>
      </c>
      <c r="D17" s="57" t="s">
        <v>10884</v>
      </c>
      <c r="E17" s="325">
        <v>855</v>
      </c>
      <c r="F17" s="535"/>
      <c r="G17" s="59">
        <f>875+493.8</f>
        <v>1368.8</v>
      </c>
      <c r="H17" s="534">
        <f>ROUND(580.9+330.1,2)</f>
        <v>911</v>
      </c>
      <c r="I17" s="534"/>
      <c r="J17" s="59"/>
      <c r="K17" s="326">
        <f>AVERAGE(E17,G17,H17)</f>
        <v>1044.9333333333334</v>
      </c>
    </row>
    <row r="18" spans="1:11" s="55" customFormat="1" ht="39" thickBot="1" x14ac:dyDescent="0.3">
      <c r="A18" s="539" t="s">
        <v>11965</v>
      </c>
      <c r="B18" s="215" t="s">
        <v>12246</v>
      </c>
      <c r="C18" s="157">
        <v>1</v>
      </c>
      <c r="D18" s="158" t="s">
        <v>10884</v>
      </c>
      <c r="E18" s="328">
        <v>218</v>
      </c>
      <c r="F18" s="159">
        <v>677.74</v>
      </c>
      <c r="G18" s="159">
        <f>ROUND(769+304.3,2)</f>
        <v>1073.3</v>
      </c>
      <c r="H18" s="159"/>
      <c r="I18" s="537">
        <f>ROUND(1115+307.52,2)</f>
        <v>1422.52</v>
      </c>
      <c r="J18" s="159"/>
      <c r="K18" s="329">
        <f>AVERAGE(F18,G18,I18)</f>
        <v>1057.8533333333332</v>
      </c>
    </row>
    <row r="19" spans="1:11" s="55" customFormat="1" ht="13.5" thickBot="1" x14ac:dyDescent="0.3">
      <c r="C19" s="56"/>
    </row>
    <row r="20" spans="1:11" s="55" customFormat="1" ht="38.25" x14ac:dyDescent="0.25">
      <c r="A20" s="807" t="s">
        <v>6</v>
      </c>
      <c r="B20" s="809" t="s">
        <v>19</v>
      </c>
      <c r="C20" s="811" t="s">
        <v>20</v>
      </c>
      <c r="D20" s="809" t="s">
        <v>18</v>
      </c>
      <c r="E20" s="641" t="s">
        <v>11945</v>
      </c>
      <c r="F20" s="318" t="s">
        <v>11946</v>
      </c>
      <c r="G20" s="318" t="s">
        <v>11947</v>
      </c>
      <c r="H20" s="548" t="s">
        <v>12218</v>
      </c>
      <c r="I20" s="548" t="s">
        <v>12219</v>
      </c>
      <c r="J20" s="548" t="s">
        <v>12220</v>
      </c>
      <c r="K20" s="813" t="s">
        <v>11944</v>
      </c>
    </row>
    <row r="21" spans="1:11" s="55" customFormat="1" x14ac:dyDescent="0.25">
      <c r="A21" s="808"/>
      <c r="B21" s="810"/>
      <c r="C21" s="812"/>
      <c r="D21" s="810"/>
      <c r="E21" s="319" t="s">
        <v>11948</v>
      </c>
      <c r="F21" s="319" t="s">
        <v>11949</v>
      </c>
      <c r="G21" s="319" t="s">
        <v>11950</v>
      </c>
      <c r="H21" s="549"/>
      <c r="I21" s="549"/>
      <c r="J21" s="549" t="s">
        <v>12221</v>
      </c>
      <c r="K21" s="814"/>
    </row>
    <row r="22" spans="1:11" s="55" customFormat="1" ht="25.5" x14ac:dyDescent="0.25">
      <c r="A22" s="538" t="s">
        <v>11966</v>
      </c>
      <c r="B22" s="214" t="s">
        <v>12057</v>
      </c>
      <c r="C22" s="58">
        <v>1</v>
      </c>
      <c r="D22" s="57" t="s">
        <v>10884</v>
      </c>
      <c r="E22" s="325">
        <v>356</v>
      </c>
      <c r="F22" s="59">
        <v>0</v>
      </c>
      <c r="G22" s="59">
        <v>0</v>
      </c>
      <c r="H22" s="59">
        <v>1299.9000000000001</v>
      </c>
      <c r="I22" s="534">
        <f>ROUND(1094.54+41.76,2)</f>
        <v>1136.3</v>
      </c>
      <c r="J22" s="59">
        <f>ROUND(1099.9+125.73,2)</f>
        <v>1225.6300000000001</v>
      </c>
      <c r="K22" s="326">
        <f>AVERAGE(E22:J22)</f>
        <v>669.63833333333332</v>
      </c>
    </row>
    <row r="23" spans="1:11" s="55" customFormat="1" x14ac:dyDescent="0.25">
      <c r="A23" s="538" t="s">
        <v>12055</v>
      </c>
      <c r="B23" s="214" t="s">
        <v>12053</v>
      </c>
      <c r="C23" s="58">
        <v>1</v>
      </c>
      <c r="D23" s="57" t="s">
        <v>10884</v>
      </c>
      <c r="E23" s="325">
        <v>25.15</v>
      </c>
      <c r="F23" s="59">
        <v>16.350000000000001</v>
      </c>
      <c r="G23" s="59">
        <v>15.9</v>
      </c>
      <c r="H23" s="59"/>
      <c r="I23" s="57"/>
      <c r="J23" s="59"/>
      <c r="K23" s="326">
        <f t="shared" ref="K23:K24" si="1">AVERAGE(E23:G23)</f>
        <v>19.133333333333333</v>
      </c>
    </row>
    <row r="24" spans="1:11" s="55" customFormat="1" ht="13.5" thickBot="1" x14ac:dyDescent="0.3">
      <c r="A24" s="539" t="s">
        <v>12056</v>
      </c>
      <c r="B24" s="215" t="s">
        <v>12054</v>
      </c>
      <c r="C24" s="157">
        <v>1</v>
      </c>
      <c r="D24" s="158" t="s">
        <v>10884</v>
      </c>
      <c r="E24" s="328">
        <v>41.83</v>
      </c>
      <c r="F24" s="159">
        <v>27.93</v>
      </c>
      <c r="G24" s="159">
        <v>27.24</v>
      </c>
      <c r="H24" s="159"/>
      <c r="I24" s="158"/>
      <c r="J24" s="159"/>
      <c r="K24" s="329">
        <f t="shared" si="1"/>
        <v>32.333333333333329</v>
      </c>
    </row>
    <row r="25" spans="1:11" s="55" customFormat="1" ht="13.5" thickBot="1" x14ac:dyDescent="0.3">
      <c r="C25" s="56"/>
    </row>
    <row r="26" spans="1:11" s="55" customFormat="1" ht="38.25" x14ac:dyDescent="0.25">
      <c r="A26" s="807" t="s">
        <v>6</v>
      </c>
      <c r="B26" s="809" t="s">
        <v>19</v>
      </c>
      <c r="C26" s="811" t="s">
        <v>20</v>
      </c>
      <c r="D26" s="809" t="s">
        <v>18</v>
      </c>
      <c r="E26" s="641" t="s">
        <v>11945</v>
      </c>
      <c r="F26" s="641" t="s">
        <v>11946</v>
      </c>
      <c r="G26" s="318" t="s">
        <v>11947</v>
      </c>
      <c r="H26" s="320" t="s">
        <v>12006</v>
      </c>
      <c r="I26" s="548"/>
      <c r="J26" s="548"/>
      <c r="K26" s="813" t="s">
        <v>11944</v>
      </c>
    </row>
    <row r="27" spans="1:11" s="55" customFormat="1" x14ac:dyDescent="0.25">
      <c r="A27" s="808"/>
      <c r="B27" s="810"/>
      <c r="C27" s="812"/>
      <c r="D27" s="810"/>
      <c r="E27" s="319" t="s">
        <v>12004</v>
      </c>
      <c r="F27" s="319" t="s">
        <v>11949</v>
      </c>
      <c r="G27" s="319" t="s">
        <v>12005</v>
      </c>
      <c r="H27" s="549" t="s">
        <v>12007</v>
      </c>
      <c r="I27" s="549"/>
      <c r="J27" s="549"/>
      <c r="K27" s="814"/>
    </row>
    <row r="28" spans="1:11" s="55" customFormat="1" x14ac:dyDescent="0.25">
      <c r="A28" s="538" t="s">
        <v>12000</v>
      </c>
      <c r="B28" s="214" t="s">
        <v>12002</v>
      </c>
      <c r="C28" s="58">
        <v>1</v>
      </c>
      <c r="D28" s="57" t="s">
        <v>10884</v>
      </c>
      <c r="E28" s="59">
        <v>10.43</v>
      </c>
      <c r="F28" s="59">
        <f>2.77+9.81</f>
        <v>12.58</v>
      </c>
      <c r="G28" s="59">
        <f>3.5+6.15</f>
        <v>9.65</v>
      </c>
      <c r="H28" s="59">
        <v>35</v>
      </c>
      <c r="I28" s="57"/>
      <c r="J28" s="59"/>
      <c r="K28" s="327">
        <f>AVERAGE(E28:H28)</f>
        <v>16.914999999999999</v>
      </c>
    </row>
    <row r="29" spans="1:11" s="55" customFormat="1" ht="13.5" thickBot="1" x14ac:dyDescent="0.3">
      <c r="A29" s="539" t="s">
        <v>12001</v>
      </c>
      <c r="B29" s="215" t="s">
        <v>12003</v>
      </c>
      <c r="C29" s="157">
        <v>1</v>
      </c>
      <c r="D29" s="158" t="s">
        <v>10884</v>
      </c>
      <c r="E29" s="159"/>
      <c r="F29" s="159">
        <f>3.62+(9.81*2)</f>
        <v>23.240000000000002</v>
      </c>
      <c r="G29" s="159">
        <f>4+6.15+6.15</f>
        <v>16.3</v>
      </c>
      <c r="H29" s="159">
        <v>65</v>
      </c>
      <c r="I29" s="158"/>
      <c r="J29" s="159"/>
      <c r="K29" s="329">
        <f>AVERAGE(E29:H29)</f>
        <v>34.846666666666671</v>
      </c>
    </row>
    <row r="30" spans="1:11" s="55" customFormat="1" ht="13.5" thickBot="1" x14ac:dyDescent="0.3">
      <c r="C30" s="56"/>
    </row>
    <row r="31" spans="1:11" s="55" customFormat="1" ht="38.25" x14ac:dyDescent="0.25">
      <c r="A31" s="807" t="s">
        <v>6</v>
      </c>
      <c r="B31" s="809" t="s">
        <v>19</v>
      </c>
      <c r="C31" s="811" t="s">
        <v>20</v>
      </c>
      <c r="D31" s="809" t="s">
        <v>18</v>
      </c>
      <c r="E31" s="318" t="s">
        <v>12222</v>
      </c>
      <c r="F31" s="318" t="s">
        <v>12224</v>
      </c>
      <c r="G31" s="318" t="s">
        <v>12226</v>
      </c>
      <c r="H31" s="320"/>
      <c r="I31" s="548"/>
      <c r="J31" s="548"/>
      <c r="K31" s="813" t="s">
        <v>11944</v>
      </c>
    </row>
    <row r="32" spans="1:11" s="55" customFormat="1" x14ac:dyDescent="0.25">
      <c r="A32" s="808"/>
      <c r="B32" s="810"/>
      <c r="C32" s="812"/>
      <c r="D32" s="810"/>
      <c r="E32" s="319" t="s">
        <v>12223</v>
      </c>
      <c r="F32" s="319" t="s">
        <v>12225</v>
      </c>
      <c r="G32" s="319" t="s">
        <v>12227</v>
      </c>
      <c r="H32" s="549"/>
      <c r="I32" s="549"/>
      <c r="J32" s="549"/>
      <c r="K32" s="814"/>
    </row>
    <row r="33" spans="1:11" s="55" customFormat="1" ht="13.5" thickBot="1" x14ac:dyDescent="0.3">
      <c r="A33" s="539" t="s">
        <v>12045</v>
      </c>
      <c r="B33" s="215" t="s">
        <v>12049</v>
      </c>
      <c r="C33" s="157">
        <v>1</v>
      </c>
      <c r="D33" s="158" t="s">
        <v>10884</v>
      </c>
      <c r="E33" s="159">
        <f>ROUND(462.92+275,2)</f>
        <v>737.92</v>
      </c>
      <c r="F33" s="159">
        <f>ROUND(391.4+150,2)</f>
        <v>541.4</v>
      </c>
      <c r="G33" s="159">
        <f>ROUND(470+163.97,2)</f>
        <v>633.97</v>
      </c>
      <c r="H33" s="159"/>
      <c r="I33" s="158"/>
      <c r="J33" s="159"/>
      <c r="K33" s="573">
        <f>AVERAGE(E33:G33)</f>
        <v>637.76333333333332</v>
      </c>
    </row>
    <row r="34" spans="1:11" s="55" customFormat="1" ht="13.5" thickBot="1" x14ac:dyDescent="0.3">
      <c r="C34" s="56"/>
    </row>
    <row r="35" spans="1:11" s="55" customFormat="1" ht="38.25" x14ac:dyDescent="0.25">
      <c r="A35" s="807" t="s">
        <v>6</v>
      </c>
      <c r="B35" s="809" t="s">
        <v>19</v>
      </c>
      <c r="C35" s="811" t="s">
        <v>20</v>
      </c>
      <c r="D35" s="809" t="s">
        <v>18</v>
      </c>
      <c r="E35" s="641" t="s">
        <v>11945</v>
      </c>
      <c r="F35" s="318" t="s">
        <v>11947</v>
      </c>
      <c r="G35" s="318" t="s">
        <v>12222</v>
      </c>
      <c r="H35" s="318" t="s">
        <v>12224</v>
      </c>
      <c r="I35" s="548"/>
      <c r="J35" s="548"/>
      <c r="K35" s="813" t="s">
        <v>11944</v>
      </c>
    </row>
    <row r="36" spans="1:11" s="55" customFormat="1" x14ac:dyDescent="0.25">
      <c r="A36" s="808"/>
      <c r="B36" s="810"/>
      <c r="C36" s="812"/>
      <c r="D36" s="810"/>
      <c r="E36" s="319" t="s">
        <v>12004</v>
      </c>
      <c r="F36" s="319" t="s">
        <v>12005</v>
      </c>
      <c r="G36" s="319" t="s">
        <v>12223</v>
      </c>
      <c r="H36" s="319" t="s">
        <v>12225</v>
      </c>
      <c r="I36" s="549"/>
      <c r="J36" s="549"/>
      <c r="K36" s="814"/>
    </row>
    <row r="37" spans="1:11" s="55" customFormat="1" x14ac:dyDescent="0.25">
      <c r="A37" s="538" t="s">
        <v>12046</v>
      </c>
      <c r="B37" s="214" t="s">
        <v>12050</v>
      </c>
      <c r="C37" s="58">
        <v>1</v>
      </c>
      <c r="D37" s="57" t="s">
        <v>10884</v>
      </c>
      <c r="E37" s="59"/>
      <c r="F37" s="59">
        <v>729.17</v>
      </c>
      <c r="G37" s="59">
        <v>1637</v>
      </c>
      <c r="H37" s="59"/>
      <c r="I37" s="57"/>
      <c r="J37" s="59"/>
      <c r="K37" s="327">
        <f>AVERAGE(E37:G37)</f>
        <v>1183.085</v>
      </c>
    </row>
    <row r="38" spans="1:11" s="55" customFormat="1" x14ac:dyDescent="0.25">
      <c r="A38" s="538" t="s">
        <v>12047</v>
      </c>
      <c r="B38" s="214" t="s">
        <v>12034</v>
      </c>
      <c r="C38" s="58">
        <v>1</v>
      </c>
      <c r="D38" s="57" t="s">
        <v>10884</v>
      </c>
      <c r="E38" s="59"/>
      <c r="F38" s="59">
        <v>218.75</v>
      </c>
      <c r="G38" s="59">
        <v>114.42</v>
      </c>
      <c r="H38" s="59">
        <f>ROUND(56.7+150,2)</f>
        <v>206.7</v>
      </c>
      <c r="I38" s="57"/>
      <c r="J38" s="59"/>
      <c r="K38" s="327">
        <f>AVERAGE(F38:H38)</f>
        <v>179.95666666666668</v>
      </c>
    </row>
    <row r="39" spans="1:11" s="55" customFormat="1" ht="13.5" thickBot="1" x14ac:dyDescent="0.3">
      <c r="A39" s="539" t="s">
        <v>12048</v>
      </c>
      <c r="B39" s="215" t="s">
        <v>12036</v>
      </c>
      <c r="C39" s="157">
        <v>1</v>
      </c>
      <c r="D39" s="158" t="s">
        <v>10884</v>
      </c>
      <c r="E39" s="159">
        <v>25.7</v>
      </c>
      <c r="F39" s="159"/>
      <c r="G39" s="159">
        <v>21</v>
      </c>
      <c r="H39" s="159">
        <v>10.8</v>
      </c>
      <c r="I39" s="158"/>
      <c r="J39" s="159"/>
      <c r="K39" s="573">
        <f>AVERAGE(E39,G39,H39)</f>
        <v>19.166666666666668</v>
      </c>
    </row>
    <row r="40" spans="1:11" s="55" customFormat="1" ht="13.5" thickBot="1" x14ac:dyDescent="0.3">
      <c r="C40" s="56"/>
    </row>
    <row r="41" spans="1:11" s="55" customFormat="1" ht="25.5" x14ac:dyDescent="0.25">
      <c r="A41" s="807" t="s">
        <v>6</v>
      </c>
      <c r="B41" s="809" t="s">
        <v>19</v>
      </c>
      <c r="C41" s="811" t="s">
        <v>20</v>
      </c>
      <c r="D41" s="809" t="s">
        <v>18</v>
      </c>
      <c r="E41" s="318" t="s">
        <v>12230</v>
      </c>
      <c r="F41" s="530" t="s">
        <v>12212</v>
      </c>
      <c r="G41" s="318" t="s">
        <v>12228</v>
      </c>
      <c r="H41" s="320" t="s">
        <v>12232</v>
      </c>
      <c r="I41" s="320" t="s">
        <v>12233</v>
      </c>
      <c r="J41" s="530" t="s">
        <v>12235</v>
      </c>
      <c r="K41" s="813" t="s">
        <v>11944</v>
      </c>
    </row>
    <row r="42" spans="1:11" s="55" customFormat="1" x14ac:dyDescent="0.25">
      <c r="A42" s="808"/>
      <c r="B42" s="810"/>
      <c r="C42" s="812"/>
      <c r="D42" s="810"/>
      <c r="E42" s="319" t="s">
        <v>12231</v>
      </c>
      <c r="F42" s="531" t="s">
        <v>12213</v>
      </c>
      <c r="G42" s="319" t="s">
        <v>12229</v>
      </c>
      <c r="H42" s="531"/>
      <c r="I42" s="531" t="s">
        <v>12234</v>
      </c>
      <c r="J42" s="531" t="s">
        <v>12236</v>
      </c>
      <c r="K42" s="814"/>
    </row>
    <row r="43" spans="1:11" s="55" customFormat="1" ht="13.5" thickBot="1" x14ac:dyDescent="0.3">
      <c r="A43" s="539" t="s">
        <v>12052</v>
      </c>
      <c r="B43" s="215" t="s">
        <v>12051</v>
      </c>
      <c r="C43" s="157">
        <v>1</v>
      </c>
      <c r="D43" s="158" t="s">
        <v>10884</v>
      </c>
      <c r="E43" s="159"/>
      <c r="F43" s="159"/>
      <c r="G43" s="159"/>
      <c r="H43" s="159">
        <f>ROUND(14.56+17.69,2)</f>
        <v>32.25</v>
      </c>
      <c r="I43" s="158">
        <f>ROUND(15.7+ 80.33,2)</f>
        <v>96.03</v>
      </c>
      <c r="J43" s="158">
        <f>ROUND(13+85.17,2)</f>
        <v>98.17</v>
      </c>
      <c r="K43" s="327">
        <f>AVERAGE(H43:J43)</f>
        <v>75.483333333333334</v>
      </c>
    </row>
    <row r="44" spans="1:11" s="55" customFormat="1" x14ac:dyDescent="0.25">
      <c r="C44" s="56"/>
    </row>
    <row r="45" spans="1:11" s="55" customFormat="1" ht="13.5" thickBot="1" x14ac:dyDescent="0.3">
      <c r="C45" s="56"/>
    </row>
    <row r="46" spans="1:11" s="55" customFormat="1" ht="38.25" x14ac:dyDescent="0.25">
      <c r="A46" s="807" t="s">
        <v>6</v>
      </c>
      <c r="B46" s="809" t="s">
        <v>19</v>
      </c>
      <c r="C46" s="811" t="s">
        <v>20</v>
      </c>
      <c r="D46" s="809" t="s">
        <v>18</v>
      </c>
      <c r="E46" s="643" t="s">
        <v>11151</v>
      </c>
      <c r="F46" s="320" t="s">
        <v>12063</v>
      </c>
      <c r="G46" s="645" t="s">
        <v>12064</v>
      </c>
      <c r="H46" s="316"/>
      <c r="I46" s="316"/>
      <c r="J46" s="316"/>
      <c r="K46" s="816" t="s">
        <v>11944</v>
      </c>
    </row>
    <row r="47" spans="1:11" s="55" customFormat="1" x14ac:dyDescent="0.25">
      <c r="A47" s="808"/>
      <c r="B47" s="810"/>
      <c r="C47" s="812"/>
      <c r="D47" s="810"/>
      <c r="E47" s="644" t="s">
        <v>13836</v>
      </c>
      <c r="F47" s="317" t="s">
        <v>13835</v>
      </c>
      <c r="G47" s="644" t="s">
        <v>12065</v>
      </c>
      <c r="H47" s="317"/>
      <c r="I47" s="317"/>
      <c r="J47" s="317"/>
      <c r="K47" s="817"/>
    </row>
    <row r="48" spans="1:11" s="55" customFormat="1" ht="51" x14ac:dyDescent="0.25">
      <c r="A48" s="538" t="s">
        <v>12058</v>
      </c>
      <c r="B48" s="214" t="s">
        <v>13837</v>
      </c>
      <c r="C48" s="58">
        <v>1</v>
      </c>
      <c r="D48" s="57" t="s">
        <v>10884</v>
      </c>
      <c r="E48" s="59">
        <v>4090</v>
      </c>
      <c r="F48" s="59">
        <v>5250</v>
      </c>
      <c r="G48" s="59">
        <v>2437</v>
      </c>
      <c r="H48" s="59"/>
      <c r="I48" s="59"/>
      <c r="J48" s="59"/>
      <c r="K48" s="326">
        <f>AVERAGE(E48:G48)</f>
        <v>3925.6666666666665</v>
      </c>
    </row>
    <row r="49" spans="1:11" s="55" customFormat="1" ht="51" x14ac:dyDescent="0.25">
      <c r="A49" s="538" t="s">
        <v>12059</v>
      </c>
      <c r="B49" s="214" t="s">
        <v>13838</v>
      </c>
      <c r="C49" s="58">
        <v>1</v>
      </c>
      <c r="D49" s="57" t="s">
        <v>10884</v>
      </c>
      <c r="E49" s="59">
        <v>3270</v>
      </c>
      <c r="F49" s="59">
        <v>4200</v>
      </c>
      <c r="G49" s="59">
        <v>1950</v>
      </c>
      <c r="H49" s="59"/>
      <c r="I49" s="59"/>
      <c r="J49" s="59"/>
      <c r="K49" s="326">
        <f t="shared" ref="K49:K52" si="2">AVERAGE(E49:G49)</f>
        <v>3140</v>
      </c>
    </row>
    <row r="50" spans="1:11" s="55" customFormat="1" ht="38.25" x14ac:dyDescent="0.25">
      <c r="A50" s="538" t="s">
        <v>12060</v>
      </c>
      <c r="B50" s="214" t="s">
        <v>11045</v>
      </c>
      <c r="C50" s="58">
        <v>1</v>
      </c>
      <c r="D50" s="57" t="s">
        <v>10884</v>
      </c>
      <c r="E50" s="59">
        <v>2060</v>
      </c>
      <c r="F50" s="59">
        <v>2646</v>
      </c>
      <c r="G50" s="59">
        <v>1228</v>
      </c>
      <c r="H50" s="59"/>
      <c r="I50" s="59"/>
      <c r="J50" s="59"/>
      <c r="K50" s="326">
        <f t="shared" si="2"/>
        <v>1978</v>
      </c>
    </row>
    <row r="51" spans="1:11" s="55" customFormat="1" ht="39" thickBot="1" x14ac:dyDescent="0.3">
      <c r="A51" s="538" t="s">
        <v>12061</v>
      </c>
      <c r="B51" s="214" t="s">
        <v>11046</v>
      </c>
      <c r="C51" s="58">
        <v>1</v>
      </c>
      <c r="D51" s="57" t="s">
        <v>10884</v>
      </c>
      <c r="E51" s="59">
        <v>1830</v>
      </c>
      <c r="F51" s="59">
        <v>2352</v>
      </c>
      <c r="G51" s="59">
        <v>1092</v>
      </c>
      <c r="H51" s="59"/>
      <c r="I51" s="59"/>
      <c r="J51" s="59"/>
      <c r="K51" s="326">
        <f t="shared" si="2"/>
        <v>1758</v>
      </c>
    </row>
    <row r="52" spans="1:11" s="55" customFormat="1" ht="51.75" thickBot="1" x14ac:dyDescent="0.3">
      <c r="A52" s="539" t="s">
        <v>12062</v>
      </c>
      <c r="B52" s="215" t="s">
        <v>13839</v>
      </c>
      <c r="C52" s="157">
        <v>1</v>
      </c>
      <c r="D52" s="158" t="s">
        <v>10884</v>
      </c>
      <c r="E52" s="159">
        <v>2750</v>
      </c>
      <c r="F52" s="159">
        <v>3528</v>
      </c>
      <c r="G52" s="159">
        <v>1638</v>
      </c>
      <c r="H52" s="159"/>
      <c r="I52" s="159"/>
      <c r="J52" s="159"/>
      <c r="K52" s="329">
        <f t="shared" si="2"/>
        <v>2638.6666666666665</v>
      </c>
    </row>
    <row r="53" spans="1:11" s="55" customFormat="1" x14ac:dyDescent="0.25">
      <c r="C53" s="56"/>
    </row>
  </sheetData>
  <mergeCells count="41">
    <mergeCell ref="A7:K7"/>
    <mergeCell ref="K46:K47"/>
    <mergeCell ref="A9:A10"/>
    <mergeCell ref="B9:B10"/>
    <mergeCell ref="C9:C10"/>
    <mergeCell ref="D9:D10"/>
    <mergeCell ref="K9:K10"/>
    <mergeCell ref="A26:A27"/>
    <mergeCell ref="B26:B27"/>
    <mergeCell ref="C26:C27"/>
    <mergeCell ref="D26:D27"/>
    <mergeCell ref="K26:K27"/>
    <mergeCell ref="A46:A47"/>
    <mergeCell ref="B46:B47"/>
    <mergeCell ref="C46:C47"/>
    <mergeCell ref="D46:D47"/>
    <mergeCell ref="A15:A16"/>
    <mergeCell ref="B15:B16"/>
    <mergeCell ref="C15:C16"/>
    <mergeCell ref="D15:D16"/>
    <mergeCell ref="K15:K16"/>
    <mergeCell ref="A20:A21"/>
    <mergeCell ref="B20:B21"/>
    <mergeCell ref="C20:C21"/>
    <mergeCell ref="D20:D21"/>
    <mergeCell ref="K20:K21"/>
    <mergeCell ref="A31:A32"/>
    <mergeCell ref="B31:B32"/>
    <mergeCell ref="C31:C32"/>
    <mergeCell ref="D31:D32"/>
    <mergeCell ref="K31:K32"/>
    <mergeCell ref="A41:A42"/>
    <mergeCell ref="B41:B42"/>
    <mergeCell ref="C41:C42"/>
    <mergeCell ref="D41:D42"/>
    <mergeCell ref="K41:K42"/>
    <mergeCell ref="A35:A36"/>
    <mergeCell ref="B35:B36"/>
    <mergeCell ref="C35:C36"/>
    <mergeCell ref="D35:D36"/>
    <mergeCell ref="K35:K36"/>
  </mergeCells>
  <phoneticPr fontId="34" type="noConversion"/>
  <printOptions horizontalCentered="1" verticalCentered="1"/>
  <pageMargins left="0.51181102362204722" right="0.51181102362204722" top="1.0833333333333333" bottom="0.78740157480314965" header="0.31496062992125984" footer="0.31496062992125984"/>
  <pageSetup paperSize="9" scale="74" orientation="landscape" r:id="rId1"/>
  <headerFooter>
    <oddHeader>&amp;L
CNPJ: 27.651.907/0001-77&amp;C&amp;G&amp;R
IE: 00000004780094</oddHeader>
    <oddFooter>&amp;CAv. Abunã, 2914 – Sala D – Liberdade – Porto Velho – Rondônia – Brasil – CEP 76.803-888
+55 69 99283 9999  +55 69 4141 6641
proj.nova@outlook.com&amp;RPágina &amp;P de &amp;N</oddFooter>
  </headerFooter>
  <rowBreaks count="1" manualBreakCount="1">
    <brk id="34" max="10"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6699"/>
  <sheetViews>
    <sheetView topLeftCell="A6662" workbookViewId="0">
      <selection activeCell="D6709" sqref="D6709"/>
    </sheetView>
  </sheetViews>
  <sheetFormatPr defaultRowHeight="12.75" x14ac:dyDescent="0.2"/>
  <cols>
    <col min="1" max="1" width="24.5703125" style="574" customWidth="1"/>
    <col min="2" max="2" width="48.7109375" style="574" customWidth="1"/>
    <col min="3" max="3" width="8.140625" style="574" customWidth="1"/>
    <col min="4" max="4" width="21.140625" style="574" customWidth="1"/>
    <col min="5" max="256" width="9.140625" style="574"/>
    <col min="257" max="257" width="24.5703125" style="574" customWidth="1"/>
    <col min="258" max="258" width="48.7109375" style="574" customWidth="1"/>
    <col min="259" max="259" width="8.140625" style="574" customWidth="1"/>
    <col min="260" max="260" width="21.140625" style="574" customWidth="1"/>
    <col min="261" max="512" width="9.140625" style="574"/>
    <col min="513" max="513" width="24.5703125" style="574" customWidth="1"/>
    <col min="514" max="514" width="48.7109375" style="574" customWidth="1"/>
    <col min="515" max="515" width="8.140625" style="574" customWidth="1"/>
    <col min="516" max="516" width="21.140625" style="574" customWidth="1"/>
    <col min="517" max="768" width="9.140625" style="574"/>
    <col min="769" max="769" width="24.5703125" style="574" customWidth="1"/>
    <col min="770" max="770" width="48.7109375" style="574" customWidth="1"/>
    <col min="771" max="771" width="8.140625" style="574" customWidth="1"/>
    <col min="772" max="772" width="21.140625" style="574" customWidth="1"/>
    <col min="773" max="1024" width="9.140625" style="574"/>
    <col min="1025" max="1025" width="24.5703125" style="574" customWidth="1"/>
    <col min="1026" max="1026" width="48.7109375" style="574" customWidth="1"/>
    <col min="1027" max="1027" width="8.140625" style="574" customWidth="1"/>
    <col min="1028" max="1028" width="21.140625" style="574" customWidth="1"/>
    <col min="1029" max="1280" width="9.140625" style="574"/>
    <col min="1281" max="1281" width="24.5703125" style="574" customWidth="1"/>
    <col min="1282" max="1282" width="48.7109375" style="574" customWidth="1"/>
    <col min="1283" max="1283" width="8.140625" style="574" customWidth="1"/>
    <col min="1284" max="1284" width="21.140625" style="574" customWidth="1"/>
    <col min="1285" max="1536" width="9.140625" style="574"/>
    <col min="1537" max="1537" width="24.5703125" style="574" customWidth="1"/>
    <col min="1538" max="1538" width="48.7109375" style="574" customWidth="1"/>
    <col min="1539" max="1539" width="8.140625" style="574" customWidth="1"/>
    <col min="1540" max="1540" width="21.140625" style="574" customWidth="1"/>
    <col min="1541" max="1792" width="9.140625" style="574"/>
    <col min="1793" max="1793" width="24.5703125" style="574" customWidth="1"/>
    <col min="1794" max="1794" width="48.7109375" style="574" customWidth="1"/>
    <col min="1795" max="1795" width="8.140625" style="574" customWidth="1"/>
    <col min="1796" max="1796" width="21.140625" style="574" customWidth="1"/>
    <col min="1797" max="2048" width="9.140625" style="574"/>
    <col min="2049" max="2049" width="24.5703125" style="574" customWidth="1"/>
    <col min="2050" max="2050" width="48.7109375" style="574" customWidth="1"/>
    <col min="2051" max="2051" width="8.140625" style="574" customWidth="1"/>
    <col min="2052" max="2052" width="21.140625" style="574" customWidth="1"/>
    <col min="2053" max="2304" width="9.140625" style="574"/>
    <col min="2305" max="2305" width="24.5703125" style="574" customWidth="1"/>
    <col min="2306" max="2306" width="48.7109375" style="574" customWidth="1"/>
    <col min="2307" max="2307" width="8.140625" style="574" customWidth="1"/>
    <col min="2308" max="2308" width="21.140625" style="574" customWidth="1"/>
    <col min="2309" max="2560" width="9.140625" style="574"/>
    <col min="2561" max="2561" width="24.5703125" style="574" customWidth="1"/>
    <col min="2562" max="2562" width="48.7109375" style="574" customWidth="1"/>
    <col min="2563" max="2563" width="8.140625" style="574" customWidth="1"/>
    <col min="2564" max="2564" width="21.140625" style="574" customWidth="1"/>
    <col min="2565" max="2816" width="9.140625" style="574"/>
    <col min="2817" max="2817" width="24.5703125" style="574" customWidth="1"/>
    <col min="2818" max="2818" width="48.7109375" style="574" customWidth="1"/>
    <col min="2819" max="2819" width="8.140625" style="574" customWidth="1"/>
    <col min="2820" max="2820" width="21.140625" style="574" customWidth="1"/>
    <col min="2821" max="3072" width="9.140625" style="574"/>
    <col min="3073" max="3073" width="24.5703125" style="574" customWidth="1"/>
    <col min="3074" max="3074" width="48.7109375" style="574" customWidth="1"/>
    <col min="3075" max="3075" width="8.140625" style="574" customWidth="1"/>
    <col min="3076" max="3076" width="21.140625" style="574" customWidth="1"/>
    <col min="3077" max="3328" width="9.140625" style="574"/>
    <col min="3329" max="3329" width="24.5703125" style="574" customWidth="1"/>
    <col min="3330" max="3330" width="48.7109375" style="574" customWidth="1"/>
    <col min="3331" max="3331" width="8.140625" style="574" customWidth="1"/>
    <col min="3332" max="3332" width="21.140625" style="574" customWidth="1"/>
    <col min="3333" max="3584" width="9.140625" style="574"/>
    <col min="3585" max="3585" width="24.5703125" style="574" customWidth="1"/>
    <col min="3586" max="3586" width="48.7109375" style="574" customWidth="1"/>
    <col min="3587" max="3587" width="8.140625" style="574" customWidth="1"/>
    <col min="3588" max="3588" width="21.140625" style="574" customWidth="1"/>
    <col min="3589" max="3840" width="9.140625" style="574"/>
    <col min="3841" max="3841" width="24.5703125" style="574" customWidth="1"/>
    <col min="3842" max="3842" width="48.7109375" style="574" customWidth="1"/>
    <col min="3843" max="3843" width="8.140625" style="574" customWidth="1"/>
    <col min="3844" max="3844" width="21.140625" style="574" customWidth="1"/>
    <col min="3845" max="4096" width="9.140625" style="574"/>
    <col min="4097" max="4097" width="24.5703125" style="574" customWidth="1"/>
    <col min="4098" max="4098" width="48.7109375" style="574" customWidth="1"/>
    <col min="4099" max="4099" width="8.140625" style="574" customWidth="1"/>
    <col min="4100" max="4100" width="21.140625" style="574" customWidth="1"/>
    <col min="4101" max="4352" width="9.140625" style="574"/>
    <col min="4353" max="4353" width="24.5703125" style="574" customWidth="1"/>
    <col min="4354" max="4354" width="48.7109375" style="574" customWidth="1"/>
    <col min="4355" max="4355" width="8.140625" style="574" customWidth="1"/>
    <col min="4356" max="4356" width="21.140625" style="574" customWidth="1"/>
    <col min="4357" max="4608" width="9.140625" style="574"/>
    <col min="4609" max="4609" width="24.5703125" style="574" customWidth="1"/>
    <col min="4610" max="4610" width="48.7109375" style="574" customWidth="1"/>
    <col min="4611" max="4611" width="8.140625" style="574" customWidth="1"/>
    <col min="4612" max="4612" width="21.140625" style="574" customWidth="1"/>
    <col min="4613" max="4864" width="9.140625" style="574"/>
    <col min="4865" max="4865" width="24.5703125" style="574" customWidth="1"/>
    <col min="4866" max="4866" width="48.7109375" style="574" customWidth="1"/>
    <col min="4867" max="4867" width="8.140625" style="574" customWidth="1"/>
    <col min="4868" max="4868" width="21.140625" style="574" customWidth="1"/>
    <col min="4869" max="5120" width="9.140625" style="574"/>
    <col min="5121" max="5121" width="24.5703125" style="574" customWidth="1"/>
    <col min="5122" max="5122" width="48.7109375" style="574" customWidth="1"/>
    <col min="5123" max="5123" width="8.140625" style="574" customWidth="1"/>
    <col min="5124" max="5124" width="21.140625" style="574" customWidth="1"/>
    <col min="5125" max="5376" width="9.140625" style="574"/>
    <col min="5377" max="5377" width="24.5703125" style="574" customWidth="1"/>
    <col min="5378" max="5378" width="48.7109375" style="574" customWidth="1"/>
    <col min="5379" max="5379" width="8.140625" style="574" customWidth="1"/>
    <col min="5380" max="5380" width="21.140625" style="574" customWidth="1"/>
    <col min="5381" max="5632" width="9.140625" style="574"/>
    <col min="5633" max="5633" width="24.5703125" style="574" customWidth="1"/>
    <col min="5634" max="5634" width="48.7109375" style="574" customWidth="1"/>
    <col min="5635" max="5635" width="8.140625" style="574" customWidth="1"/>
    <col min="5636" max="5636" width="21.140625" style="574" customWidth="1"/>
    <col min="5637" max="5888" width="9.140625" style="574"/>
    <col min="5889" max="5889" width="24.5703125" style="574" customWidth="1"/>
    <col min="5890" max="5890" width="48.7109375" style="574" customWidth="1"/>
    <col min="5891" max="5891" width="8.140625" style="574" customWidth="1"/>
    <col min="5892" max="5892" width="21.140625" style="574" customWidth="1"/>
    <col min="5893" max="6144" width="9.140625" style="574"/>
    <col min="6145" max="6145" width="24.5703125" style="574" customWidth="1"/>
    <col min="6146" max="6146" width="48.7109375" style="574" customWidth="1"/>
    <col min="6147" max="6147" width="8.140625" style="574" customWidth="1"/>
    <col min="6148" max="6148" width="21.140625" style="574" customWidth="1"/>
    <col min="6149" max="6400" width="9.140625" style="574"/>
    <col min="6401" max="6401" width="24.5703125" style="574" customWidth="1"/>
    <col min="6402" max="6402" width="48.7109375" style="574" customWidth="1"/>
    <col min="6403" max="6403" width="8.140625" style="574" customWidth="1"/>
    <col min="6404" max="6404" width="21.140625" style="574" customWidth="1"/>
    <col min="6405" max="6656" width="9.140625" style="574"/>
    <col min="6657" max="6657" width="24.5703125" style="574" customWidth="1"/>
    <col min="6658" max="6658" width="48.7109375" style="574" customWidth="1"/>
    <col min="6659" max="6659" width="8.140625" style="574" customWidth="1"/>
    <col min="6660" max="6660" width="21.140625" style="574" customWidth="1"/>
    <col min="6661" max="6912" width="9.140625" style="574"/>
    <col min="6913" max="6913" width="24.5703125" style="574" customWidth="1"/>
    <col min="6914" max="6914" width="48.7109375" style="574" customWidth="1"/>
    <col min="6915" max="6915" width="8.140625" style="574" customWidth="1"/>
    <col min="6916" max="6916" width="21.140625" style="574" customWidth="1"/>
    <col min="6917" max="7168" width="9.140625" style="574"/>
    <col min="7169" max="7169" width="24.5703125" style="574" customWidth="1"/>
    <col min="7170" max="7170" width="48.7109375" style="574" customWidth="1"/>
    <col min="7171" max="7171" width="8.140625" style="574" customWidth="1"/>
    <col min="7172" max="7172" width="21.140625" style="574" customWidth="1"/>
    <col min="7173" max="7424" width="9.140625" style="574"/>
    <col min="7425" max="7425" width="24.5703125" style="574" customWidth="1"/>
    <col min="7426" max="7426" width="48.7109375" style="574" customWidth="1"/>
    <col min="7427" max="7427" width="8.140625" style="574" customWidth="1"/>
    <col min="7428" max="7428" width="21.140625" style="574" customWidth="1"/>
    <col min="7429" max="7680" width="9.140625" style="574"/>
    <col min="7681" max="7681" width="24.5703125" style="574" customWidth="1"/>
    <col min="7682" max="7682" width="48.7109375" style="574" customWidth="1"/>
    <col min="7683" max="7683" width="8.140625" style="574" customWidth="1"/>
    <col min="7684" max="7684" width="21.140625" style="574" customWidth="1"/>
    <col min="7685" max="7936" width="9.140625" style="574"/>
    <col min="7937" max="7937" width="24.5703125" style="574" customWidth="1"/>
    <col min="7938" max="7938" width="48.7109375" style="574" customWidth="1"/>
    <col min="7939" max="7939" width="8.140625" style="574" customWidth="1"/>
    <col min="7940" max="7940" width="21.140625" style="574" customWidth="1"/>
    <col min="7941" max="8192" width="9.140625" style="574"/>
    <col min="8193" max="8193" width="24.5703125" style="574" customWidth="1"/>
    <col min="8194" max="8194" width="48.7109375" style="574" customWidth="1"/>
    <col min="8195" max="8195" width="8.140625" style="574" customWidth="1"/>
    <col min="8196" max="8196" width="21.140625" style="574" customWidth="1"/>
    <col min="8197" max="8448" width="9.140625" style="574"/>
    <col min="8449" max="8449" width="24.5703125" style="574" customWidth="1"/>
    <col min="8450" max="8450" width="48.7109375" style="574" customWidth="1"/>
    <col min="8451" max="8451" width="8.140625" style="574" customWidth="1"/>
    <col min="8452" max="8452" width="21.140625" style="574" customWidth="1"/>
    <col min="8453" max="8704" width="9.140625" style="574"/>
    <col min="8705" max="8705" width="24.5703125" style="574" customWidth="1"/>
    <col min="8706" max="8706" width="48.7109375" style="574" customWidth="1"/>
    <col min="8707" max="8707" width="8.140625" style="574" customWidth="1"/>
    <col min="8708" max="8708" width="21.140625" style="574" customWidth="1"/>
    <col min="8709" max="8960" width="9.140625" style="574"/>
    <col min="8961" max="8961" width="24.5703125" style="574" customWidth="1"/>
    <col min="8962" max="8962" width="48.7109375" style="574" customWidth="1"/>
    <col min="8963" max="8963" width="8.140625" style="574" customWidth="1"/>
    <col min="8964" max="8964" width="21.140625" style="574" customWidth="1"/>
    <col min="8965" max="9216" width="9.140625" style="574"/>
    <col min="9217" max="9217" width="24.5703125" style="574" customWidth="1"/>
    <col min="9218" max="9218" width="48.7109375" style="574" customWidth="1"/>
    <col min="9219" max="9219" width="8.140625" style="574" customWidth="1"/>
    <col min="9220" max="9220" width="21.140625" style="574" customWidth="1"/>
    <col min="9221" max="9472" width="9.140625" style="574"/>
    <col min="9473" max="9473" width="24.5703125" style="574" customWidth="1"/>
    <col min="9474" max="9474" width="48.7109375" style="574" customWidth="1"/>
    <col min="9475" max="9475" width="8.140625" style="574" customWidth="1"/>
    <col min="9476" max="9476" width="21.140625" style="574" customWidth="1"/>
    <col min="9477" max="9728" width="9.140625" style="574"/>
    <col min="9729" max="9729" width="24.5703125" style="574" customWidth="1"/>
    <col min="9730" max="9730" width="48.7109375" style="574" customWidth="1"/>
    <col min="9731" max="9731" width="8.140625" style="574" customWidth="1"/>
    <col min="9732" max="9732" width="21.140625" style="574" customWidth="1"/>
    <col min="9733" max="9984" width="9.140625" style="574"/>
    <col min="9985" max="9985" width="24.5703125" style="574" customWidth="1"/>
    <col min="9986" max="9986" width="48.7109375" style="574" customWidth="1"/>
    <col min="9987" max="9987" width="8.140625" style="574" customWidth="1"/>
    <col min="9988" max="9988" width="21.140625" style="574" customWidth="1"/>
    <col min="9989" max="10240" width="9.140625" style="574"/>
    <col min="10241" max="10241" width="24.5703125" style="574" customWidth="1"/>
    <col min="10242" max="10242" width="48.7109375" style="574" customWidth="1"/>
    <col min="10243" max="10243" width="8.140625" style="574" customWidth="1"/>
    <col min="10244" max="10244" width="21.140625" style="574" customWidth="1"/>
    <col min="10245" max="10496" width="9.140625" style="574"/>
    <col min="10497" max="10497" width="24.5703125" style="574" customWidth="1"/>
    <col min="10498" max="10498" width="48.7109375" style="574" customWidth="1"/>
    <col min="10499" max="10499" width="8.140625" style="574" customWidth="1"/>
    <col min="10500" max="10500" width="21.140625" style="574" customWidth="1"/>
    <col min="10501" max="10752" width="9.140625" style="574"/>
    <col min="10753" max="10753" width="24.5703125" style="574" customWidth="1"/>
    <col min="10754" max="10754" width="48.7109375" style="574" customWidth="1"/>
    <col min="10755" max="10755" width="8.140625" style="574" customWidth="1"/>
    <col min="10756" max="10756" width="21.140625" style="574" customWidth="1"/>
    <col min="10757" max="11008" width="9.140625" style="574"/>
    <col min="11009" max="11009" width="24.5703125" style="574" customWidth="1"/>
    <col min="11010" max="11010" width="48.7109375" style="574" customWidth="1"/>
    <col min="11011" max="11011" width="8.140625" style="574" customWidth="1"/>
    <col min="11012" max="11012" width="21.140625" style="574" customWidth="1"/>
    <col min="11013" max="11264" width="9.140625" style="574"/>
    <col min="11265" max="11265" width="24.5703125" style="574" customWidth="1"/>
    <col min="11266" max="11266" width="48.7109375" style="574" customWidth="1"/>
    <col min="11267" max="11267" width="8.140625" style="574" customWidth="1"/>
    <col min="11268" max="11268" width="21.140625" style="574" customWidth="1"/>
    <col min="11269" max="11520" width="9.140625" style="574"/>
    <col min="11521" max="11521" width="24.5703125" style="574" customWidth="1"/>
    <col min="11522" max="11522" width="48.7109375" style="574" customWidth="1"/>
    <col min="11523" max="11523" width="8.140625" style="574" customWidth="1"/>
    <col min="11524" max="11524" width="21.140625" style="574" customWidth="1"/>
    <col min="11525" max="11776" width="9.140625" style="574"/>
    <col min="11777" max="11777" width="24.5703125" style="574" customWidth="1"/>
    <col min="11778" max="11778" width="48.7109375" style="574" customWidth="1"/>
    <col min="11779" max="11779" width="8.140625" style="574" customWidth="1"/>
    <col min="11780" max="11780" width="21.140625" style="574" customWidth="1"/>
    <col min="11781" max="12032" width="9.140625" style="574"/>
    <col min="12033" max="12033" width="24.5703125" style="574" customWidth="1"/>
    <col min="12034" max="12034" width="48.7109375" style="574" customWidth="1"/>
    <col min="12035" max="12035" width="8.140625" style="574" customWidth="1"/>
    <col min="12036" max="12036" width="21.140625" style="574" customWidth="1"/>
    <col min="12037" max="12288" width="9.140625" style="574"/>
    <col min="12289" max="12289" width="24.5703125" style="574" customWidth="1"/>
    <col min="12290" max="12290" width="48.7109375" style="574" customWidth="1"/>
    <col min="12291" max="12291" width="8.140625" style="574" customWidth="1"/>
    <col min="12292" max="12292" width="21.140625" style="574" customWidth="1"/>
    <col min="12293" max="12544" width="9.140625" style="574"/>
    <col min="12545" max="12545" width="24.5703125" style="574" customWidth="1"/>
    <col min="12546" max="12546" width="48.7109375" style="574" customWidth="1"/>
    <col min="12547" max="12547" width="8.140625" style="574" customWidth="1"/>
    <col min="12548" max="12548" width="21.140625" style="574" customWidth="1"/>
    <col min="12549" max="12800" width="9.140625" style="574"/>
    <col min="12801" max="12801" width="24.5703125" style="574" customWidth="1"/>
    <col min="12802" max="12802" width="48.7109375" style="574" customWidth="1"/>
    <col min="12803" max="12803" width="8.140625" style="574" customWidth="1"/>
    <col min="12804" max="12804" width="21.140625" style="574" customWidth="1"/>
    <col min="12805" max="13056" width="9.140625" style="574"/>
    <col min="13057" max="13057" width="24.5703125" style="574" customWidth="1"/>
    <col min="13058" max="13058" width="48.7109375" style="574" customWidth="1"/>
    <col min="13059" max="13059" width="8.140625" style="574" customWidth="1"/>
    <col min="13060" max="13060" width="21.140625" style="574" customWidth="1"/>
    <col min="13061" max="13312" width="9.140625" style="574"/>
    <col min="13313" max="13313" width="24.5703125" style="574" customWidth="1"/>
    <col min="13314" max="13314" width="48.7109375" style="574" customWidth="1"/>
    <col min="13315" max="13315" width="8.140625" style="574" customWidth="1"/>
    <col min="13316" max="13316" width="21.140625" style="574" customWidth="1"/>
    <col min="13317" max="13568" width="9.140625" style="574"/>
    <col min="13569" max="13569" width="24.5703125" style="574" customWidth="1"/>
    <col min="13570" max="13570" width="48.7109375" style="574" customWidth="1"/>
    <col min="13571" max="13571" width="8.140625" style="574" customWidth="1"/>
    <col min="13572" max="13572" width="21.140625" style="574" customWidth="1"/>
    <col min="13573" max="13824" width="9.140625" style="574"/>
    <col min="13825" max="13825" width="24.5703125" style="574" customWidth="1"/>
    <col min="13826" max="13826" width="48.7109375" style="574" customWidth="1"/>
    <col min="13827" max="13827" width="8.140625" style="574" customWidth="1"/>
    <col min="13828" max="13828" width="21.140625" style="574" customWidth="1"/>
    <col min="13829" max="14080" width="9.140625" style="574"/>
    <col min="14081" max="14081" width="24.5703125" style="574" customWidth="1"/>
    <col min="14082" max="14082" width="48.7109375" style="574" customWidth="1"/>
    <col min="14083" max="14083" width="8.140625" style="574" customWidth="1"/>
    <col min="14084" max="14084" width="21.140625" style="574" customWidth="1"/>
    <col min="14085" max="14336" width="9.140625" style="574"/>
    <col min="14337" max="14337" width="24.5703125" style="574" customWidth="1"/>
    <col min="14338" max="14338" width="48.7109375" style="574" customWidth="1"/>
    <col min="14339" max="14339" width="8.140625" style="574" customWidth="1"/>
    <col min="14340" max="14340" width="21.140625" style="574" customWidth="1"/>
    <col min="14341" max="14592" width="9.140625" style="574"/>
    <col min="14593" max="14593" width="24.5703125" style="574" customWidth="1"/>
    <col min="14594" max="14594" width="48.7109375" style="574" customWidth="1"/>
    <col min="14595" max="14595" width="8.140625" style="574" customWidth="1"/>
    <col min="14596" max="14596" width="21.140625" style="574" customWidth="1"/>
    <col min="14597" max="14848" width="9.140625" style="574"/>
    <col min="14849" max="14849" width="24.5703125" style="574" customWidth="1"/>
    <col min="14850" max="14850" width="48.7109375" style="574" customWidth="1"/>
    <col min="14851" max="14851" width="8.140625" style="574" customWidth="1"/>
    <col min="14852" max="14852" width="21.140625" style="574" customWidth="1"/>
    <col min="14853" max="15104" width="9.140625" style="574"/>
    <col min="15105" max="15105" width="24.5703125" style="574" customWidth="1"/>
    <col min="15106" max="15106" width="48.7109375" style="574" customWidth="1"/>
    <col min="15107" max="15107" width="8.140625" style="574" customWidth="1"/>
    <col min="15108" max="15108" width="21.140625" style="574" customWidth="1"/>
    <col min="15109" max="15360" width="9.140625" style="574"/>
    <col min="15361" max="15361" width="24.5703125" style="574" customWidth="1"/>
    <col min="15362" max="15362" width="48.7109375" style="574" customWidth="1"/>
    <col min="15363" max="15363" width="8.140625" style="574" customWidth="1"/>
    <col min="15364" max="15364" width="21.140625" style="574" customWidth="1"/>
    <col min="15365" max="15616" width="9.140625" style="574"/>
    <col min="15617" max="15617" width="24.5703125" style="574" customWidth="1"/>
    <col min="15618" max="15618" width="48.7109375" style="574" customWidth="1"/>
    <col min="15619" max="15619" width="8.140625" style="574" customWidth="1"/>
    <col min="15620" max="15620" width="21.140625" style="574" customWidth="1"/>
    <col min="15621" max="15872" width="9.140625" style="574"/>
    <col min="15873" max="15873" width="24.5703125" style="574" customWidth="1"/>
    <col min="15874" max="15874" width="48.7109375" style="574" customWidth="1"/>
    <col min="15875" max="15875" width="8.140625" style="574" customWidth="1"/>
    <col min="15876" max="15876" width="21.140625" style="574" customWidth="1"/>
    <col min="15877" max="16128" width="9.140625" style="574"/>
    <col min="16129" max="16129" width="24.5703125" style="574" customWidth="1"/>
    <col min="16130" max="16130" width="48.7109375" style="574" customWidth="1"/>
    <col min="16131" max="16131" width="8.140625" style="574" customWidth="1"/>
    <col min="16132" max="16132" width="21.140625" style="574" customWidth="1"/>
    <col min="16133" max="16384" width="9.140625" style="574"/>
  </cols>
  <sheetData>
    <row r="1" spans="1:4" ht="13.5" x14ac:dyDescent="0.25">
      <c r="A1" s="305" t="s">
        <v>278</v>
      </c>
      <c r="B1" s="305" t="s">
        <v>279</v>
      </c>
      <c r="C1" s="305" t="s">
        <v>27</v>
      </c>
      <c r="D1" s="305" t="s">
        <v>280</v>
      </c>
    </row>
    <row r="3" spans="1:4" ht="13.5" x14ac:dyDescent="0.25">
      <c r="A3" s="306">
        <v>97141</v>
      </c>
      <c r="B3" s="305" t="s">
        <v>281</v>
      </c>
      <c r="C3" s="305" t="s">
        <v>282</v>
      </c>
      <c r="D3" s="575">
        <v>6.33</v>
      </c>
    </row>
    <row r="4" spans="1:4" ht="13.5" x14ac:dyDescent="0.25">
      <c r="A4" s="306">
        <v>97142</v>
      </c>
      <c r="B4" s="305" t="s">
        <v>283</v>
      </c>
      <c r="C4" s="305" t="s">
        <v>282</v>
      </c>
      <c r="D4" s="575">
        <v>7.08</v>
      </c>
    </row>
    <row r="5" spans="1:4" ht="13.5" x14ac:dyDescent="0.25">
      <c r="A5" s="306">
        <v>97143</v>
      </c>
      <c r="B5" s="305" t="s">
        <v>284</v>
      </c>
      <c r="C5" s="305" t="s">
        <v>282</v>
      </c>
      <c r="D5" s="575">
        <v>8.99</v>
      </c>
    </row>
    <row r="6" spans="1:4" ht="13.5" x14ac:dyDescent="0.25">
      <c r="A6" s="306">
        <v>97144</v>
      </c>
      <c r="B6" s="305" t="s">
        <v>285</v>
      </c>
      <c r="C6" s="305" t="s">
        <v>282</v>
      </c>
      <c r="D6" s="575">
        <v>10.88</v>
      </c>
    </row>
    <row r="7" spans="1:4" ht="13.5" x14ac:dyDescent="0.25">
      <c r="A7" s="305">
        <v>97145</v>
      </c>
      <c r="B7" s="305" t="s">
        <v>286</v>
      </c>
      <c r="C7" s="305" t="s">
        <v>282</v>
      </c>
      <c r="D7" s="575">
        <v>12.79</v>
      </c>
    </row>
    <row r="8" spans="1:4" ht="13.5" x14ac:dyDescent="0.25">
      <c r="A8" s="306">
        <v>97146</v>
      </c>
      <c r="B8" s="305" t="s">
        <v>287</v>
      </c>
      <c r="C8" s="305" t="s">
        <v>282</v>
      </c>
      <c r="D8" s="575">
        <v>14.7</v>
      </c>
    </row>
    <row r="9" spans="1:4" ht="13.5" x14ac:dyDescent="0.25">
      <c r="A9" s="306">
        <v>97147</v>
      </c>
      <c r="B9" s="305" t="s">
        <v>288</v>
      </c>
      <c r="C9" s="305" t="s">
        <v>282</v>
      </c>
      <c r="D9" s="575">
        <v>16.62</v>
      </c>
    </row>
    <row r="10" spans="1:4" ht="13.5" x14ac:dyDescent="0.25">
      <c r="A10" s="306">
        <v>97148</v>
      </c>
      <c r="B10" s="305" t="s">
        <v>289</v>
      </c>
      <c r="C10" s="305" t="s">
        <v>282</v>
      </c>
      <c r="D10" s="575">
        <v>18.52</v>
      </c>
    </row>
    <row r="11" spans="1:4" ht="13.5" x14ac:dyDescent="0.25">
      <c r="A11" s="306">
        <v>97149</v>
      </c>
      <c r="B11" s="305" t="s">
        <v>290</v>
      </c>
      <c r="C11" s="305" t="s">
        <v>282</v>
      </c>
      <c r="D11" s="575">
        <v>20.46</v>
      </c>
    </row>
    <row r="12" spans="1:4" ht="13.5" x14ac:dyDescent="0.25">
      <c r="A12" s="306">
        <v>97150</v>
      </c>
      <c r="B12" s="305" t="s">
        <v>291</v>
      </c>
      <c r="C12" s="305" t="s">
        <v>282</v>
      </c>
      <c r="D12" s="575">
        <v>25.71</v>
      </c>
    </row>
    <row r="13" spans="1:4" ht="13.5" x14ac:dyDescent="0.25">
      <c r="A13" s="306">
        <v>97151</v>
      </c>
      <c r="B13" s="305" t="s">
        <v>292</v>
      </c>
      <c r="C13" s="305" t="s">
        <v>282</v>
      </c>
      <c r="D13" s="575">
        <v>30.05</v>
      </c>
    </row>
    <row r="14" spans="1:4" ht="13.5" x14ac:dyDescent="0.25">
      <c r="A14" s="306">
        <v>97152</v>
      </c>
      <c r="B14" s="305" t="s">
        <v>293</v>
      </c>
      <c r="C14" s="305" t="s">
        <v>282</v>
      </c>
      <c r="D14" s="575">
        <v>34.19</v>
      </c>
    </row>
    <row r="15" spans="1:4" ht="13.5" x14ac:dyDescent="0.25">
      <c r="A15" s="306">
        <v>97153</v>
      </c>
      <c r="B15" s="305" t="s">
        <v>294</v>
      </c>
      <c r="C15" s="305" t="s">
        <v>282</v>
      </c>
      <c r="D15" s="575">
        <v>38.450000000000003</v>
      </c>
    </row>
    <row r="16" spans="1:4" ht="13.5" x14ac:dyDescent="0.25">
      <c r="A16" s="306">
        <v>97154</v>
      </c>
      <c r="B16" s="305" t="s">
        <v>295</v>
      </c>
      <c r="C16" s="305" t="s">
        <v>282</v>
      </c>
      <c r="D16" s="575">
        <v>42.73</v>
      </c>
    </row>
    <row r="17" spans="1:4" ht="13.5" x14ac:dyDescent="0.25">
      <c r="A17" s="306">
        <v>97155</v>
      </c>
      <c r="B17" s="305" t="s">
        <v>296</v>
      </c>
      <c r="C17" s="305" t="s">
        <v>282</v>
      </c>
      <c r="D17" s="575">
        <v>47.01</v>
      </c>
    </row>
    <row r="18" spans="1:4" ht="13.5" x14ac:dyDescent="0.25">
      <c r="A18" s="306">
        <v>97156</v>
      </c>
      <c r="B18" s="305" t="s">
        <v>297</v>
      </c>
      <c r="C18" s="305" t="s">
        <v>282</v>
      </c>
      <c r="D18" s="575">
        <v>55.91</v>
      </c>
    </row>
    <row r="19" spans="1:4" ht="13.5" x14ac:dyDescent="0.25">
      <c r="A19" s="306">
        <v>97157</v>
      </c>
      <c r="B19" s="305" t="s">
        <v>298</v>
      </c>
      <c r="C19" s="305" t="s">
        <v>282</v>
      </c>
      <c r="D19" s="575">
        <v>3.82</v>
      </c>
    </row>
    <row r="20" spans="1:4" ht="13.5" x14ac:dyDescent="0.25">
      <c r="A20" s="306">
        <v>97158</v>
      </c>
      <c r="B20" s="305" t="s">
        <v>299</v>
      </c>
      <c r="C20" s="305" t="s">
        <v>282</v>
      </c>
      <c r="D20" s="575">
        <v>4.28</v>
      </c>
    </row>
    <row r="21" spans="1:4" ht="13.5" x14ac:dyDescent="0.25">
      <c r="A21" s="306">
        <v>97159</v>
      </c>
      <c r="B21" s="305" t="s">
        <v>300</v>
      </c>
      <c r="C21" s="305" t="s">
        <v>282</v>
      </c>
      <c r="D21" s="575">
        <v>5.45</v>
      </c>
    </row>
    <row r="22" spans="1:4" ht="13.5" x14ac:dyDescent="0.25">
      <c r="A22" s="306">
        <v>97160</v>
      </c>
      <c r="B22" s="305" t="s">
        <v>301</v>
      </c>
      <c r="C22" s="305" t="s">
        <v>282</v>
      </c>
      <c r="D22" s="575">
        <v>6.6</v>
      </c>
    </row>
    <row r="23" spans="1:4" ht="13.5" x14ac:dyDescent="0.25">
      <c r="A23" s="306">
        <v>97161</v>
      </c>
      <c r="B23" s="305" t="s">
        <v>302</v>
      </c>
      <c r="C23" s="305" t="s">
        <v>282</v>
      </c>
      <c r="D23" s="575">
        <v>7.77</v>
      </c>
    </row>
    <row r="24" spans="1:4" ht="13.5" x14ac:dyDescent="0.25">
      <c r="A24" s="306">
        <v>97162</v>
      </c>
      <c r="B24" s="305" t="s">
        <v>303</v>
      </c>
      <c r="C24" s="305" t="s">
        <v>282</v>
      </c>
      <c r="D24" s="575">
        <v>8.94</v>
      </c>
    </row>
    <row r="25" spans="1:4" ht="13.5" x14ac:dyDescent="0.25">
      <c r="A25" s="306">
        <v>97163</v>
      </c>
      <c r="B25" s="305" t="s">
        <v>304</v>
      </c>
      <c r="C25" s="305" t="s">
        <v>282</v>
      </c>
      <c r="D25" s="575">
        <v>10.11</v>
      </c>
    </row>
    <row r="26" spans="1:4" ht="13.5" x14ac:dyDescent="0.25">
      <c r="A26" s="306">
        <v>97164</v>
      </c>
      <c r="B26" s="305" t="s">
        <v>305</v>
      </c>
      <c r="C26" s="305" t="s">
        <v>282</v>
      </c>
      <c r="D26" s="575">
        <v>11.28</v>
      </c>
    </row>
    <row r="27" spans="1:4" ht="13.5" x14ac:dyDescent="0.25">
      <c r="A27" s="306">
        <v>97165</v>
      </c>
      <c r="B27" s="305" t="s">
        <v>306</v>
      </c>
      <c r="C27" s="305" t="s">
        <v>282</v>
      </c>
      <c r="D27" s="575">
        <v>12.46</v>
      </c>
    </row>
    <row r="28" spans="1:4" ht="13.5" x14ac:dyDescent="0.25">
      <c r="A28" s="306">
        <v>97166</v>
      </c>
      <c r="B28" s="305" t="s">
        <v>307</v>
      </c>
      <c r="C28" s="305" t="s">
        <v>282</v>
      </c>
      <c r="D28" s="575">
        <v>15.65</v>
      </c>
    </row>
    <row r="29" spans="1:4" ht="13.5" x14ac:dyDescent="0.25">
      <c r="A29" s="306">
        <v>97167</v>
      </c>
      <c r="B29" s="305" t="s">
        <v>308</v>
      </c>
      <c r="C29" s="305" t="s">
        <v>282</v>
      </c>
      <c r="D29" s="575">
        <v>18.309999999999999</v>
      </c>
    </row>
    <row r="30" spans="1:4" ht="13.5" x14ac:dyDescent="0.25">
      <c r="A30" s="306">
        <v>97168</v>
      </c>
      <c r="B30" s="305" t="s">
        <v>309</v>
      </c>
      <c r="C30" s="305" t="s">
        <v>282</v>
      </c>
      <c r="D30" s="575">
        <v>20.78</v>
      </c>
    </row>
    <row r="31" spans="1:4" ht="13.5" x14ac:dyDescent="0.25">
      <c r="A31" s="306">
        <v>97169</v>
      </c>
      <c r="B31" s="305" t="s">
        <v>310</v>
      </c>
      <c r="C31" s="305" t="s">
        <v>282</v>
      </c>
      <c r="D31" s="575">
        <v>23.37</v>
      </c>
    </row>
    <row r="32" spans="1:4" ht="13.5" x14ac:dyDescent="0.25">
      <c r="A32" s="306">
        <v>97170</v>
      </c>
      <c r="B32" s="305" t="s">
        <v>311</v>
      </c>
      <c r="C32" s="305" t="s">
        <v>282</v>
      </c>
      <c r="D32" s="575">
        <v>25.98</v>
      </c>
    </row>
    <row r="33" spans="1:4" ht="13.5" x14ac:dyDescent="0.25">
      <c r="A33" s="306">
        <v>97171</v>
      </c>
      <c r="B33" s="305" t="s">
        <v>312</v>
      </c>
      <c r="C33" s="305" t="s">
        <v>282</v>
      </c>
      <c r="D33" s="575">
        <v>28.6</v>
      </c>
    </row>
    <row r="34" spans="1:4" ht="13.5" x14ac:dyDescent="0.25">
      <c r="A34" s="306">
        <v>97172</v>
      </c>
      <c r="B34" s="305" t="s">
        <v>313</v>
      </c>
      <c r="C34" s="305" t="s">
        <v>282</v>
      </c>
      <c r="D34" s="575">
        <v>34.15</v>
      </c>
    </row>
    <row r="35" spans="1:4" ht="13.5" x14ac:dyDescent="0.25">
      <c r="A35" s="306">
        <v>97173</v>
      </c>
      <c r="B35" s="305" t="s">
        <v>314</v>
      </c>
      <c r="C35" s="305" t="s">
        <v>282</v>
      </c>
      <c r="D35" s="575">
        <v>26.12</v>
      </c>
    </row>
    <row r="36" spans="1:4" ht="13.5" x14ac:dyDescent="0.25">
      <c r="A36" s="306">
        <v>97174</v>
      </c>
      <c r="B36" s="305" t="s">
        <v>315</v>
      </c>
      <c r="C36" s="305" t="s">
        <v>282</v>
      </c>
      <c r="D36" s="575">
        <v>30.15</v>
      </c>
    </row>
    <row r="37" spans="1:4" ht="13.5" x14ac:dyDescent="0.25">
      <c r="A37" s="306">
        <v>97175</v>
      </c>
      <c r="B37" s="305" t="s">
        <v>316</v>
      </c>
      <c r="C37" s="305" t="s">
        <v>282</v>
      </c>
      <c r="D37" s="575">
        <v>34.22</v>
      </c>
    </row>
    <row r="38" spans="1:4" ht="13.5" x14ac:dyDescent="0.25">
      <c r="A38" s="306">
        <v>97176</v>
      </c>
      <c r="B38" s="305" t="s">
        <v>317</v>
      </c>
      <c r="C38" s="305" t="s">
        <v>282</v>
      </c>
      <c r="D38" s="575">
        <v>38.26</v>
      </c>
    </row>
    <row r="39" spans="1:4" ht="13.5" x14ac:dyDescent="0.25">
      <c r="A39" s="306">
        <v>97177</v>
      </c>
      <c r="B39" s="305" t="s">
        <v>318</v>
      </c>
      <c r="C39" s="305" t="s">
        <v>282</v>
      </c>
      <c r="D39" s="575">
        <v>46.38</v>
      </c>
    </row>
    <row r="40" spans="1:4" ht="13.5" x14ac:dyDescent="0.25">
      <c r="A40" s="306">
        <v>97178</v>
      </c>
      <c r="B40" s="305" t="s">
        <v>319</v>
      </c>
      <c r="C40" s="305" t="s">
        <v>282</v>
      </c>
      <c r="D40" s="575">
        <v>54.51</v>
      </c>
    </row>
    <row r="41" spans="1:4" ht="13.5" x14ac:dyDescent="0.25">
      <c r="A41" s="306">
        <v>97179</v>
      </c>
      <c r="B41" s="305" t="s">
        <v>320</v>
      </c>
      <c r="C41" s="305" t="s">
        <v>282</v>
      </c>
      <c r="D41" s="575">
        <v>62.6</v>
      </c>
    </row>
    <row r="42" spans="1:4" ht="13.5" x14ac:dyDescent="0.25">
      <c r="A42" s="306">
        <v>97180</v>
      </c>
      <c r="B42" s="305" t="s">
        <v>321</v>
      </c>
      <c r="C42" s="305" t="s">
        <v>282</v>
      </c>
      <c r="D42" s="575">
        <v>70.709999999999994</v>
      </c>
    </row>
    <row r="43" spans="1:4" ht="13.5" x14ac:dyDescent="0.25">
      <c r="A43" s="306">
        <v>97181</v>
      </c>
      <c r="B43" s="305" t="s">
        <v>322</v>
      </c>
      <c r="C43" s="305" t="s">
        <v>282</v>
      </c>
      <c r="D43" s="575">
        <v>81.62</v>
      </c>
    </row>
    <row r="44" spans="1:4" ht="13.5" x14ac:dyDescent="0.25">
      <c r="A44" s="306">
        <v>97182</v>
      </c>
      <c r="B44" s="305" t="s">
        <v>323</v>
      </c>
      <c r="C44" s="305" t="s">
        <v>282</v>
      </c>
      <c r="D44" s="575">
        <v>90.03</v>
      </c>
    </row>
    <row r="45" spans="1:4" ht="13.5" x14ac:dyDescent="0.25">
      <c r="A45" s="306">
        <v>97183</v>
      </c>
      <c r="B45" s="305" t="s">
        <v>324</v>
      </c>
      <c r="C45" s="305" t="s">
        <v>282</v>
      </c>
      <c r="D45" s="575">
        <v>20.98</v>
      </c>
    </row>
    <row r="46" spans="1:4" ht="13.5" x14ac:dyDescent="0.25">
      <c r="A46" s="306">
        <v>97184</v>
      </c>
      <c r="B46" s="305" t="s">
        <v>325</v>
      </c>
      <c r="C46" s="305" t="s">
        <v>282</v>
      </c>
      <c r="D46" s="575">
        <v>24.26</v>
      </c>
    </row>
    <row r="47" spans="1:4" ht="13.5" x14ac:dyDescent="0.25">
      <c r="A47" s="306">
        <v>97185</v>
      </c>
      <c r="B47" s="305" t="s">
        <v>326</v>
      </c>
      <c r="C47" s="305" t="s">
        <v>282</v>
      </c>
      <c r="D47" s="575">
        <v>27.59</v>
      </c>
    </row>
    <row r="48" spans="1:4" ht="13.5" x14ac:dyDescent="0.25">
      <c r="A48" s="306">
        <v>97186</v>
      </c>
      <c r="B48" s="305" t="s">
        <v>327</v>
      </c>
      <c r="C48" s="305" t="s">
        <v>282</v>
      </c>
      <c r="D48" s="575">
        <v>30.9</v>
      </c>
    </row>
    <row r="49" spans="1:4" ht="13.5" x14ac:dyDescent="0.25">
      <c r="A49" s="306">
        <v>97187</v>
      </c>
      <c r="B49" s="305" t="s">
        <v>328</v>
      </c>
      <c r="C49" s="305" t="s">
        <v>282</v>
      </c>
      <c r="D49" s="575">
        <v>37.54</v>
      </c>
    </row>
    <row r="50" spans="1:4" ht="13.5" x14ac:dyDescent="0.25">
      <c r="A50" s="306">
        <v>97188</v>
      </c>
      <c r="B50" s="305" t="s">
        <v>329</v>
      </c>
      <c r="C50" s="305" t="s">
        <v>282</v>
      </c>
      <c r="D50" s="575">
        <v>44.19</v>
      </c>
    </row>
    <row r="51" spans="1:4" ht="13.5" x14ac:dyDescent="0.25">
      <c r="A51" s="306">
        <v>97189</v>
      </c>
      <c r="B51" s="305" t="s">
        <v>330</v>
      </c>
      <c r="C51" s="305" t="s">
        <v>282</v>
      </c>
      <c r="D51" s="575">
        <v>50.82</v>
      </c>
    </row>
    <row r="52" spans="1:4" ht="13.5" x14ac:dyDescent="0.25">
      <c r="A52" s="306">
        <v>97190</v>
      </c>
      <c r="B52" s="305" t="s">
        <v>331</v>
      </c>
      <c r="C52" s="305" t="s">
        <v>282</v>
      </c>
      <c r="D52" s="575">
        <v>57.44</v>
      </c>
    </row>
    <row r="53" spans="1:4" ht="13.5" x14ac:dyDescent="0.25">
      <c r="A53" s="306">
        <v>97191</v>
      </c>
      <c r="B53" s="305" t="s">
        <v>332</v>
      </c>
      <c r="C53" s="305" t="s">
        <v>282</v>
      </c>
      <c r="D53" s="575">
        <v>66.11</v>
      </c>
    </row>
    <row r="54" spans="1:4" ht="13.5" x14ac:dyDescent="0.25">
      <c r="A54" s="306">
        <v>97192</v>
      </c>
      <c r="B54" s="305" t="s">
        <v>333</v>
      </c>
      <c r="C54" s="305" t="s">
        <v>282</v>
      </c>
      <c r="D54" s="575">
        <v>72.959999999999994</v>
      </c>
    </row>
    <row r="55" spans="1:4" ht="13.5" x14ac:dyDescent="0.25">
      <c r="A55" s="306">
        <v>90694</v>
      </c>
      <c r="B55" s="305" t="s">
        <v>334</v>
      </c>
      <c r="C55" s="305" t="s">
        <v>282</v>
      </c>
      <c r="D55" s="575">
        <v>19.62</v>
      </c>
    </row>
    <row r="56" spans="1:4" ht="13.5" x14ac:dyDescent="0.25">
      <c r="A56" s="306">
        <v>90695</v>
      </c>
      <c r="B56" s="305" t="s">
        <v>335</v>
      </c>
      <c r="C56" s="305" t="s">
        <v>282</v>
      </c>
      <c r="D56" s="575">
        <v>39.94</v>
      </c>
    </row>
    <row r="57" spans="1:4" ht="13.5" x14ac:dyDescent="0.25">
      <c r="A57" s="306">
        <v>90696</v>
      </c>
      <c r="B57" s="305" t="s">
        <v>336</v>
      </c>
      <c r="C57" s="305" t="s">
        <v>282</v>
      </c>
      <c r="D57" s="575">
        <v>58.95</v>
      </c>
    </row>
    <row r="58" spans="1:4" ht="13.5" x14ac:dyDescent="0.25">
      <c r="A58" s="306">
        <v>90697</v>
      </c>
      <c r="B58" s="305" t="s">
        <v>337</v>
      </c>
      <c r="C58" s="305" t="s">
        <v>282</v>
      </c>
      <c r="D58" s="575">
        <v>98.49</v>
      </c>
    </row>
    <row r="59" spans="1:4" ht="13.5" x14ac:dyDescent="0.25">
      <c r="A59" s="306">
        <v>90698</v>
      </c>
      <c r="B59" s="305" t="s">
        <v>338</v>
      </c>
      <c r="C59" s="305" t="s">
        <v>282</v>
      </c>
      <c r="D59" s="575">
        <v>157</v>
      </c>
    </row>
    <row r="60" spans="1:4" ht="13.5" x14ac:dyDescent="0.25">
      <c r="A60" s="306">
        <v>90699</v>
      </c>
      <c r="B60" s="305" t="s">
        <v>339</v>
      </c>
      <c r="C60" s="305" t="s">
        <v>282</v>
      </c>
      <c r="D60" s="575">
        <v>193.87</v>
      </c>
    </row>
    <row r="61" spans="1:4" ht="13.5" x14ac:dyDescent="0.25">
      <c r="A61" s="306">
        <v>90700</v>
      </c>
      <c r="B61" s="305" t="s">
        <v>340</v>
      </c>
      <c r="C61" s="305" t="s">
        <v>282</v>
      </c>
      <c r="D61" s="575">
        <v>255.09</v>
      </c>
    </row>
    <row r="62" spans="1:4" ht="13.5" x14ac:dyDescent="0.25">
      <c r="A62" s="306">
        <v>90701</v>
      </c>
      <c r="B62" s="305" t="s">
        <v>341</v>
      </c>
      <c r="C62" s="305" t="s">
        <v>282</v>
      </c>
      <c r="D62" s="575">
        <v>35.549999999999997</v>
      </c>
    </row>
    <row r="63" spans="1:4" ht="13.5" x14ac:dyDescent="0.25">
      <c r="A63" s="306">
        <v>90702</v>
      </c>
      <c r="B63" s="305" t="s">
        <v>342</v>
      </c>
      <c r="C63" s="305" t="s">
        <v>282</v>
      </c>
      <c r="D63" s="575">
        <v>54.58</v>
      </c>
    </row>
    <row r="64" spans="1:4" ht="13.5" x14ac:dyDescent="0.25">
      <c r="A64" s="306">
        <v>90703</v>
      </c>
      <c r="B64" s="305" t="s">
        <v>343</v>
      </c>
      <c r="C64" s="305" t="s">
        <v>282</v>
      </c>
      <c r="D64" s="575">
        <v>87.4</v>
      </c>
    </row>
    <row r="65" spans="1:4" ht="13.5" x14ac:dyDescent="0.25">
      <c r="A65" s="306">
        <v>90704</v>
      </c>
      <c r="B65" s="305" t="s">
        <v>344</v>
      </c>
      <c r="C65" s="305" t="s">
        <v>282</v>
      </c>
      <c r="D65" s="575">
        <v>119.51</v>
      </c>
    </row>
    <row r="66" spans="1:4" ht="13.5" x14ac:dyDescent="0.25">
      <c r="A66" s="306">
        <v>90705</v>
      </c>
      <c r="B66" s="305" t="s">
        <v>345</v>
      </c>
      <c r="C66" s="305" t="s">
        <v>282</v>
      </c>
      <c r="D66" s="575">
        <v>166.8</v>
      </c>
    </row>
    <row r="67" spans="1:4" ht="13.5" x14ac:dyDescent="0.25">
      <c r="A67" s="306">
        <v>90706</v>
      </c>
      <c r="B67" s="305" t="s">
        <v>346</v>
      </c>
      <c r="C67" s="305" t="s">
        <v>282</v>
      </c>
      <c r="D67" s="575">
        <v>200.65</v>
      </c>
    </row>
    <row r="68" spans="1:4" ht="13.5" x14ac:dyDescent="0.25">
      <c r="A68" s="306">
        <v>90708</v>
      </c>
      <c r="B68" s="305" t="s">
        <v>347</v>
      </c>
      <c r="C68" s="305" t="s">
        <v>282</v>
      </c>
      <c r="D68" s="575">
        <v>531.9</v>
      </c>
    </row>
    <row r="69" spans="1:4" ht="13.5" x14ac:dyDescent="0.25">
      <c r="A69" s="306">
        <v>90709</v>
      </c>
      <c r="B69" s="305" t="s">
        <v>348</v>
      </c>
      <c r="C69" s="305" t="s">
        <v>282</v>
      </c>
      <c r="D69" s="575">
        <v>21.5</v>
      </c>
    </row>
    <row r="70" spans="1:4" ht="13.5" x14ac:dyDescent="0.25">
      <c r="A70" s="306">
        <v>90710</v>
      </c>
      <c r="B70" s="305" t="s">
        <v>349</v>
      </c>
      <c r="C70" s="305" t="s">
        <v>282</v>
      </c>
      <c r="D70" s="575">
        <v>41.83</v>
      </c>
    </row>
    <row r="71" spans="1:4" ht="13.5" x14ac:dyDescent="0.25">
      <c r="A71" s="306">
        <v>90711</v>
      </c>
      <c r="B71" s="305" t="s">
        <v>350</v>
      </c>
      <c r="C71" s="305" t="s">
        <v>282</v>
      </c>
      <c r="D71" s="575">
        <v>60.82</v>
      </c>
    </row>
    <row r="72" spans="1:4" ht="13.5" x14ac:dyDescent="0.25">
      <c r="A72" s="306">
        <v>90712</v>
      </c>
      <c r="B72" s="305" t="s">
        <v>351</v>
      </c>
      <c r="C72" s="305" t="s">
        <v>282</v>
      </c>
      <c r="D72" s="575">
        <v>100.37</v>
      </c>
    </row>
    <row r="73" spans="1:4" ht="13.5" x14ac:dyDescent="0.25">
      <c r="A73" s="306">
        <v>90713</v>
      </c>
      <c r="B73" s="305" t="s">
        <v>352</v>
      </c>
      <c r="C73" s="305" t="s">
        <v>282</v>
      </c>
      <c r="D73" s="575">
        <v>158.88</v>
      </c>
    </row>
    <row r="74" spans="1:4" ht="13.5" x14ac:dyDescent="0.25">
      <c r="A74" s="306">
        <v>90714</v>
      </c>
      <c r="B74" s="305" t="s">
        <v>353</v>
      </c>
      <c r="C74" s="305" t="s">
        <v>282</v>
      </c>
      <c r="D74" s="575">
        <v>195.74</v>
      </c>
    </row>
    <row r="75" spans="1:4" ht="13.5" x14ac:dyDescent="0.25">
      <c r="A75" s="306">
        <v>90715</v>
      </c>
      <c r="B75" s="305" t="s">
        <v>354</v>
      </c>
      <c r="C75" s="305" t="s">
        <v>282</v>
      </c>
      <c r="D75" s="575">
        <v>258.67</v>
      </c>
    </row>
    <row r="76" spans="1:4" ht="13.5" x14ac:dyDescent="0.25">
      <c r="A76" s="306">
        <v>90716</v>
      </c>
      <c r="B76" s="305" t="s">
        <v>355</v>
      </c>
      <c r="C76" s="305" t="s">
        <v>282</v>
      </c>
      <c r="D76" s="575">
        <v>37.43</v>
      </c>
    </row>
    <row r="77" spans="1:4" ht="13.5" x14ac:dyDescent="0.25">
      <c r="A77" s="306">
        <v>90717</v>
      </c>
      <c r="B77" s="305" t="s">
        <v>356</v>
      </c>
      <c r="C77" s="305" t="s">
        <v>282</v>
      </c>
      <c r="D77" s="575">
        <v>56.45</v>
      </c>
    </row>
    <row r="78" spans="1:4" ht="13.5" x14ac:dyDescent="0.25">
      <c r="A78" s="306">
        <v>90718</v>
      </c>
      <c r="B78" s="305" t="s">
        <v>357</v>
      </c>
      <c r="C78" s="305" t="s">
        <v>282</v>
      </c>
      <c r="D78" s="575">
        <v>89.28</v>
      </c>
    </row>
    <row r="79" spans="1:4" ht="13.5" x14ac:dyDescent="0.25">
      <c r="A79" s="306">
        <v>90719</v>
      </c>
      <c r="B79" s="305" t="s">
        <v>358</v>
      </c>
      <c r="C79" s="305" t="s">
        <v>282</v>
      </c>
      <c r="D79" s="575">
        <v>121.4</v>
      </c>
    </row>
    <row r="80" spans="1:4" ht="13.5" x14ac:dyDescent="0.25">
      <c r="A80" s="306">
        <v>90720</v>
      </c>
      <c r="B80" s="305" t="s">
        <v>359</v>
      </c>
      <c r="C80" s="305" t="s">
        <v>282</v>
      </c>
      <c r="D80" s="575">
        <v>168.67</v>
      </c>
    </row>
    <row r="81" spans="1:4" ht="13.5" x14ac:dyDescent="0.25">
      <c r="A81" s="306">
        <v>90721</v>
      </c>
      <c r="B81" s="305" t="s">
        <v>360</v>
      </c>
      <c r="C81" s="305" t="s">
        <v>282</v>
      </c>
      <c r="D81" s="575">
        <v>204.24</v>
      </c>
    </row>
    <row r="82" spans="1:4" ht="13.5" x14ac:dyDescent="0.25">
      <c r="A82" s="306">
        <v>90723</v>
      </c>
      <c r="B82" s="305" t="s">
        <v>361</v>
      </c>
      <c r="C82" s="305" t="s">
        <v>282</v>
      </c>
      <c r="D82" s="575">
        <v>534.23</v>
      </c>
    </row>
    <row r="83" spans="1:4" ht="13.5" x14ac:dyDescent="0.25">
      <c r="A83" s="306">
        <v>90724</v>
      </c>
      <c r="B83" s="305" t="s">
        <v>362</v>
      </c>
      <c r="C83" s="305" t="s">
        <v>363</v>
      </c>
      <c r="D83" s="575">
        <v>22.25</v>
      </c>
    </row>
    <row r="84" spans="1:4" ht="13.5" x14ac:dyDescent="0.25">
      <c r="A84" s="306">
        <v>90725</v>
      </c>
      <c r="B84" s="305" t="s">
        <v>364</v>
      </c>
      <c r="C84" s="305" t="s">
        <v>363</v>
      </c>
      <c r="D84" s="575">
        <v>27.53</v>
      </c>
    </row>
    <row r="85" spans="1:4" ht="13.5" x14ac:dyDescent="0.25">
      <c r="A85" s="306">
        <v>90726</v>
      </c>
      <c r="B85" s="305" t="s">
        <v>365</v>
      </c>
      <c r="C85" s="305" t="s">
        <v>363</v>
      </c>
      <c r="D85" s="575">
        <v>32.79</v>
      </c>
    </row>
    <row r="86" spans="1:4" ht="13.5" x14ac:dyDescent="0.25">
      <c r="A86" s="306">
        <v>90727</v>
      </c>
      <c r="B86" s="305" t="s">
        <v>366</v>
      </c>
      <c r="C86" s="305" t="s">
        <v>363</v>
      </c>
      <c r="D86" s="575">
        <v>38.08</v>
      </c>
    </row>
    <row r="87" spans="1:4" ht="13.5" x14ac:dyDescent="0.25">
      <c r="A87" s="306">
        <v>90728</v>
      </c>
      <c r="B87" s="305" t="s">
        <v>367</v>
      </c>
      <c r="C87" s="305" t="s">
        <v>363</v>
      </c>
      <c r="D87" s="575">
        <v>43.35</v>
      </c>
    </row>
    <row r="88" spans="1:4" ht="13.5" x14ac:dyDescent="0.25">
      <c r="A88" s="306">
        <v>90729</v>
      </c>
      <c r="B88" s="305" t="s">
        <v>368</v>
      </c>
      <c r="C88" s="305" t="s">
        <v>363</v>
      </c>
      <c r="D88" s="575">
        <v>48.63</v>
      </c>
    </row>
    <row r="89" spans="1:4" ht="13.5" x14ac:dyDescent="0.25">
      <c r="A89" s="306">
        <v>90730</v>
      </c>
      <c r="B89" s="305" t="s">
        <v>369</v>
      </c>
      <c r="C89" s="305" t="s">
        <v>363</v>
      </c>
      <c r="D89" s="575">
        <v>53.96</v>
      </c>
    </row>
    <row r="90" spans="1:4" ht="13.5" x14ac:dyDescent="0.25">
      <c r="A90" s="306">
        <v>90731</v>
      </c>
      <c r="B90" s="305" t="s">
        <v>370</v>
      </c>
      <c r="C90" s="305" t="s">
        <v>363</v>
      </c>
      <c r="D90" s="575">
        <v>59.23</v>
      </c>
    </row>
    <row r="91" spans="1:4" ht="13.5" x14ac:dyDescent="0.25">
      <c r="A91" s="306">
        <v>90732</v>
      </c>
      <c r="B91" s="305" t="s">
        <v>371</v>
      </c>
      <c r="C91" s="305" t="s">
        <v>363</v>
      </c>
      <c r="D91" s="575">
        <v>75.069999999999993</v>
      </c>
    </row>
    <row r="92" spans="1:4" ht="13.5" x14ac:dyDescent="0.25">
      <c r="A92" s="306">
        <v>90733</v>
      </c>
      <c r="B92" s="305" t="s">
        <v>372</v>
      </c>
      <c r="C92" s="305" t="s">
        <v>282</v>
      </c>
      <c r="D92" s="575">
        <v>2.37</v>
      </c>
    </row>
    <row r="93" spans="1:4" ht="13.5" x14ac:dyDescent="0.25">
      <c r="A93" s="306">
        <v>90734</v>
      </c>
      <c r="B93" s="305" t="s">
        <v>373</v>
      </c>
      <c r="C93" s="305" t="s">
        <v>282</v>
      </c>
      <c r="D93" s="575">
        <v>2.89</v>
      </c>
    </row>
    <row r="94" spans="1:4" ht="13.5" x14ac:dyDescent="0.25">
      <c r="A94" s="306">
        <v>90735</v>
      </c>
      <c r="B94" s="305" t="s">
        <v>374</v>
      </c>
      <c r="C94" s="305" t="s">
        <v>282</v>
      </c>
      <c r="D94" s="575">
        <v>3.43</v>
      </c>
    </row>
    <row r="95" spans="1:4" ht="13.5" x14ac:dyDescent="0.25">
      <c r="A95" s="306">
        <v>90736</v>
      </c>
      <c r="B95" s="305" t="s">
        <v>375</v>
      </c>
      <c r="C95" s="305" t="s">
        <v>282</v>
      </c>
      <c r="D95" s="575">
        <v>3.96</v>
      </c>
    </row>
    <row r="96" spans="1:4" ht="13.5" x14ac:dyDescent="0.25">
      <c r="A96" s="306">
        <v>90737</v>
      </c>
      <c r="B96" s="305" t="s">
        <v>376</v>
      </c>
      <c r="C96" s="305" t="s">
        <v>282</v>
      </c>
      <c r="D96" s="575">
        <v>4.49</v>
      </c>
    </row>
    <row r="97" spans="1:4" ht="13.5" x14ac:dyDescent="0.25">
      <c r="A97" s="306">
        <v>90738</v>
      </c>
      <c r="B97" s="305" t="s">
        <v>377</v>
      </c>
      <c r="C97" s="305" t="s">
        <v>282</v>
      </c>
      <c r="D97" s="575">
        <v>5.0199999999999996</v>
      </c>
    </row>
    <row r="98" spans="1:4" ht="13.5" x14ac:dyDescent="0.25">
      <c r="A98" s="306">
        <v>90739</v>
      </c>
      <c r="B98" s="305" t="s">
        <v>378</v>
      </c>
      <c r="C98" s="305" t="s">
        <v>282</v>
      </c>
      <c r="D98" s="575">
        <v>10.55</v>
      </c>
    </row>
    <row r="99" spans="1:4" ht="13.5" x14ac:dyDescent="0.25">
      <c r="A99" s="306">
        <v>90740</v>
      </c>
      <c r="B99" s="305" t="s">
        <v>379</v>
      </c>
      <c r="C99" s="305" t="s">
        <v>282</v>
      </c>
      <c r="D99" s="575">
        <v>5.29</v>
      </c>
    </row>
    <row r="100" spans="1:4" ht="13.5" x14ac:dyDescent="0.25">
      <c r="A100" s="306">
        <v>90741</v>
      </c>
      <c r="B100" s="305" t="s">
        <v>380</v>
      </c>
      <c r="C100" s="305" t="s">
        <v>282</v>
      </c>
      <c r="D100" s="575">
        <v>5.82</v>
      </c>
    </row>
    <row r="101" spans="1:4" ht="13.5" x14ac:dyDescent="0.25">
      <c r="A101" s="306">
        <v>90742</v>
      </c>
      <c r="B101" s="305" t="s">
        <v>381</v>
      </c>
      <c r="C101" s="305" t="s">
        <v>282</v>
      </c>
      <c r="D101" s="575">
        <v>6.35</v>
      </c>
    </row>
    <row r="102" spans="1:4" ht="13.5" x14ac:dyDescent="0.25">
      <c r="A102" s="306">
        <v>90743</v>
      </c>
      <c r="B102" s="305" t="s">
        <v>382</v>
      </c>
      <c r="C102" s="305" t="s">
        <v>282</v>
      </c>
      <c r="D102" s="575">
        <v>6.87</v>
      </c>
    </row>
    <row r="103" spans="1:4" ht="13.5" x14ac:dyDescent="0.25">
      <c r="A103" s="306">
        <v>90744</v>
      </c>
      <c r="B103" s="305" t="s">
        <v>383</v>
      </c>
      <c r="C103" s="305" t="s">
        <v>282</v>
      </c>
      <c r="D103" s="575">
        <v>7.41</v>
      </c>
    </row>
    <row r="104" spans="1:4" ht="13.5" x14ac:dyDescent="0.25">
      <c r="A104" s="306">
        <v>90745</v>
      </c>
      <c r="B104" s="305" t="s">
        <v>384</v>
      </c>
      <c r="C104" s="305" t="s">
        <v>282</v>
      </c>
      <c r="D104" s="575">
        <v>15.08</v>
      </c>
    </row>
    <row r="105" spans="1:4" ht="13.5" x14ac:dyDescent="0.25">
      <c r="A105" s="306">
        <v>90746</v>
      </c>
      <c r="B105" s="305" t="s">
        <v>385</v>
      </c>
      <c r="C105" s="305" t="s">
        <v>282</v>
      </c>
      <c r="D105" s="575">
        <v>3.22</v>
      </c>
    </row>
    <row r="106" spans="1:4" ht="13.5" x14ac:dyDescent="0.25">
      <c r="A106" s="306">
        <v>90747</v>
      </c>
      <c r="B106" s="305" t="s">
        <v>386</v>
      </c>
      <c r="C106" s="305" t="s">
        <v>282</v>
      </c>
      <c r="D106" s="575">
        <v>12.22</v>
      </c>
    </row>
    <row r="107" spans="1:4" ht="13.5" x14ac:dyDescent="0.25">
      <c r="A107" s="306">
        <v>90748</v>
      </c>
      <c r="B107" s="305" t="s">
        <v>387</v>
      </c>
      <c r="C107" s="305" t="s">
        <v>282</v>
      </c>
      <c r="D107" s="575">
        <v>4.25</v>
      </c>
    </row>
    <row r="108" spans="1:4" ht="13.5" x14ac:dyDescent="0.25">
      <c r="A108" s="306">
        <v>90749</v>
      </c>
      <c r="B108" s="305" t="s">
        <v>388</v>
      </c>
      <c r="C108" s="305" t="s">
        <v>282</v>
      </c>
      <c r="D108" s="575">
        <v>4.78</v>
      </c>
    </row>
    <row r="109" spans="1:4" ht="13.5" x14ac:dyDescent="0.25">
      <c r="A109" s="306">
        <v>90750</v>
      </c>
      <c r="B109" s="305" t="s">
        <v>389</v>
      </c>
      <c r="C109" s="305" t="s">
        <v>282</v>
      </c>
      <c r="D109" s="575">
        <v>5.3</v>
      </c>
    </row>
    <row r="110" spans="1:4" ht="13.5" x14ac:dyDescent="0.25">
      <c r="A110" s="306">
        <v>90751</v>
      </c>
      <c r="B110" s="305" t="s">
        <v>390</v>
      </c>
      <c r="C110" s="305" t="s">
        <v>282</v>
      </c>
      <c r="D110" s="575">
        <v>5.84</v>
      </c>
    </row>
    <row r="111" spans="1:4" ht="13.5" x14ac:dyDescent="0.25">
      <c r="A111" s="306">
        <v>90752</v>
      </c>
      <c r="B111" s="305" t="s">
        <v>391</v>
      </c>
      <c r="C111" s="305" t="s">
        <v>282</v>
      </c>
      <c r="D111" s="575">
        <v>6.37</v>
      </c>
    </row>
    <row r="112" spans="1:4" ht="13.5" x14ac:dyDescent="0.25">
      <c r="A112" s="306">
        <v>90753</v>
      </c>
      <c r="B112" s="305" t="s">
        <v>392</v>
      </c>
      <c r="C112" s="305" t="s">
        <v>282</v>
      </c>
      <c r="D112" s="575">
        <v>6.89</v>
      </c>
    </row>
    <row r="113" spans="1:4" ht="13.5" x14ac:dyDescent="0.25">
      <c r="A113" s="306">
        <v>90754</v>
      </c>
      <c r="B113" s="305" t="s">
        <v>393</v>
      </c>
      <c r="C113" s="305" t="s">
        <v>282</v>
      </c>
      <c r="D113" s="575">
        <v>14.13</v>
      </c>
    </row>
    <row r="114" spans="1:4" ht="13.5" x14ac:dyDescent="0.25">
      <c r="A114" s="306">
        <v>90755</v>
      </c>
      <c r="B114" s="305" t="s">
        <v>394</v>
      </c>
      <c r="C114" s="305" t="s">
        <v>282</v>
      </c>
      <c r="D114" s="575">
        <v>7.17</v>
      </c>
    </row>
    <row r="115" spans="1:4" ht="13.5" x14ac:dyDescent="0.25">
      <c r="A115" s="306">
        <v>90756</v>
      </c>
      <c r="B115" s="305" t="s">
        <v>395</v>
      </c>
      <c r="C115" s="305" t="s">
        <v>282</v>
      </c>
      <c r="D115" s="575">
        <v>7.69</v>
      </c>
    </row>
    <row r="116" spans="1:4" ht="13.5" x14ac:dyDescent="0.25">
      <c r="A116" s="306">
        <v>90757</v>
      </c>
      <c r="B116" s="305" t="s">
        <v>396</v>
      </c>
      <c r="C116" s="305" t="s">
        <v>282</v>
      </c>
      <c r="D116" s="575">
        <v>8.23</v>
      </c>
    </row>
    <row r="117" spans="1:4" ht="13.5" x14ac:dyDescent="0.25">
      <c r="A117" s="306">
        <v>90758</v>
      </c>
      <c r="B117" s="305" t="s">
        <v>397</v>
      </c>
      <c r="C117" s="305" t="s">
        <v>282</v>
      </c>
      <c r="D117" s="575">
        <v>8.76</v>
      </c>
    </row>
    <row r="118" spans="1:4" ht="13.5" x14ac:dyDescent="0.25">
      <c r="A118" s="306">
        <v>90759</v>
      </c>
      <c r="B118" s="305" t="s">
        <v>398</v>
      </c>
      <c r="C118" s="305" t="s">
        <v>282</v>
      </c>
      <c r="D118" s="575">
        <v>9.2799999999999994</v>
      </c>
    </row>
    <row r="119" spans="1:4" ht="13.5" x14ac:dyDescent="0.25">
      <c r="A119" s="306">
        <v>90760</v>
      </c>
      <c r="B119" s="305" t="s">
        <v>399</v>
      </c>
      <c r="C119" s="305" t="s">
        <v>282</v>
      </c>
      <c r="D119" s="575">
        <v>18.670000000000002</v>
      </c>
    </row>
    <row r="120" spans="1:4" ht="13.5" x14ac:dyDescent="0.25">
      <c r="A120" s="306">
        <v>90761</v>
      </c>
      <c r="B120" s="305" t="s">
        <v>400</v>
      </c>
      <c r="C120" s="305" t="s">
        <v>282</v>
      </c>
      <c r="D120" s="575">
        <v>3.94</v>
      </c>
    </row>
    <row r="121" spans="1:4" ht="13.5" x14ac:dyDescent="0.25">
      <c r="A121" s="306">
        <v>90762</v>
      </c>
      <c r="B121" s="305" t="s">
        <v>401</v>
      </c>
      <c r="C121" s="305" t="s">
        <v>282</v>
      </c>
      <c r="D121" s="575">
        <v>14.55</v>
      </c>
    </row>
    <row r="122" spans="1:4" ht="13.5" x14ac:dyDescent="0.25">
      <c r="A122" s="306">
        <v>94869</v>
      </c>
      <c r="B122" s="305" t="s">
        <v>402</v>
      </c>
      <c r="C122" s="305" t="s">
        <v>282</v>
      </c>
      <c r="D122" s="575">
        <v>107.83</v>
      </c>
    </row>
    <row r="123" spans="1:4" ht="13.5" x14ac:dyDescent="0.25">
      <c r="A123" s="306">
        <v>94870</v>
      </c>
      <c r="B123" s="305" t="s">
        <v>403</v>
      </c>
      <c r="C123" s="305" t="s">
        <v>282</v>
      </c>
      <c r="D123" s="575">
        <v>0.78</v>
      </c>
    </row>
    <row r="124" spans="1:4" ht="13.5" x14ac:dyDescent="0.25">
      <c r="A124" s="306">
        <v>94871</v>
      </c>
      <c r="B124" s="305" t="s">
        <v>404</v>
      </c>
      <c r="C124" s="305" t="s">
        <v>282</v>
      </c>
      <c r="D124" s="575">
        <v>127.92</v>
      </c>
    </row>
    <row r="125" spans="1:4" ht="13.5" x14ac:dyDescent="0.25">
      <c r="A125" s="306">
        <v>94872</v>
      </c>
      <c r="B125" s="305" t="s">
        <v>405</v>
      </c>
      <c r="C125" s="305" t="s">
        <v>282</v>
      </c>
      <c r="D125" s="575">
        <v>1.38</v>
      </c>
    </row>
    <row r="126" spans="1:4" ht="13.5" x14ac:dyDescent="0.25">
      <c r="A126" s="306">
        <v>94875</v>
      </c>
      <c r="B126" s="305" t="s">
        <v>406</v>
      </c>
      <c r="C126" s="305" t="s">
        <v>282</v>
      </c>
      <c r="D126" s="575">
        <v>752</v>
      </c>
    </row>
    <row r="127" spans="1:4" ht="13.5" x14ac:dyDescent="0.25">
      <c r="A127" s="306">
        <v>94876</v>
      </c>
      <c r="B127" s="305" t="s">
        <v>407</v>
      </c>
      <c r="C127" s="305" t="s">
        <v>282</v>
      </c>
      <c r="D127" s="575">
        <v>18.5</v>
      </c>
    </row>
    <row r="128" spans="1:4" ht="13.5" x14ac:dyDescent="0.25">
      <c r="A128" s="306">
        <v>94878</v>
      </c>
      <c r="B128" s="305" t="s">
        <v>408</v>
      </c>
      <c r="C128" s="305" t="s">
        <v>282</v>
      </c>
      <c r="D128" s="575">
        <v>21.72</v>
      </c>
    </row>
    <row r="129" spans="1:4" ht="13.5" x14ac:dyDescent="0.25">
      <c r="A129" s="306">
        <v>94879</v>
      </c>
      <c r="B129" s="305" t="s">
        <v>409</v>
      </c>
      <c r="C129" s="305" t="s">
        <v>282</v>
      </c>
      <c r="D129" s="576">
        <v>1002.92</v>
      </c>
    </row>
    <row r="130" spans="1:4" ht="13.5" x14ac:dyDescent="0.25">
      <c r="A130" s="306">
        <v>94880</v>
      </c>
      <c r="B130" s="305" t="s">
        <v>410</v>
      </c>
      <c r="C130" s="305" t="s">
        <v>282</v>
      </c>
      <c r="D130" s="575">
        <v>26.6</v>
      </c>
    </row>
    <row r="131" spans="1:4" ht="13.5" x14ac:dyDescent="0.25">
      <c r="A131" s="306">
        <v>94881</v>
      </c>
      <c r="B131" s="305" t="s">
        <v>411</v>
      </c>
      <c r="C131" s="305" t="s">
        <v>282</v>
      </c>
      <c r="D131" s="576">
        <v>1561.53</v>
      </c>
    </row>
    <row r="132" spans="1:4" ht="13.5" x14ac:dyDescent="0.25">
      <c r="A132" s="306">
        <v>94882</v>
      </c>
      <c r="B132" s="305" t="s">
        <v>412</v>
      </c>
      <c r="C132" s="305" t="s">
        <v>282</v>
      </c>
      <c r="D132" s="575">
        <v>31.54</v>
      </c>
    </row>
    <row r="133" spans="1:4" ht="13.5" x14ac:dyDescent="0.25">
      <c r="A133" s="306">
        <v>94884</v>
      </c>
      <c r="B133" s="305" t="s">
        <v>413</v>
      </c>
      <c r="C133" s="305" t="s">
        <v>282</v>
      </c>
      <c r="D133" s="575">
        <v>41.6</v>
      </c>
    </row>
    <row r="134" spans="1:4" ht="13.5" x14ac:dyDescent="0.25">
      <c r="A134" s="306">
        <v>94885</v>
      </c>
      <c r="B134" s="305" t="s">
        <v>414</v>
      </c>
      <c r="C134" s="305" t="s">
        <v>282</v>
      </c>
      <c r="D134" s="575">
        <v>108.06</v>
      </c>
    </row>
    <row r="135" spans="1:4" ht="13.5" x14ac:dyDescent="0.25">
      <c r="A135" s="306">
        <v>94886</v>
      </c>
      <c r="B135" s="305" t="s">
        <v>415</v>
      </c>
      <c r="C135" s="305" t="s">
        <v>282</v>
      </c>
      <c r="D135" s="575">
        <v>1.01</v>
      </c>
    </row>
    <row r="136" spans="1:4" ht="13.5" x14ac:dyDescent="0.25">
      <c r="A136" s="306">
        <v>94887</v>
      </c>
      <c r="B136" s="305" t="s">
        <v>416</v>
      </c>
      <c r="C136" s="305" t="s">
        <v>282</v>
      </c>
      <c r="D136" s="575">
        <v>128.29</v>
      </c>
    </row>
    <row r="137" spans="1:4" ht="13.5" x14ac:dyDescent="0.25">
      <c r="A137" s="306">
        <v>94888</v>
      </c>
      <c r="B137" s="305" t="s">
        <v>417</v>
      </c>
      <c r="C137" s="305" t="s">
        <v>282</v>
      </c>
      <c r="D137" s="575">
        <v>1.75</v>
      </c>
    </row>
    <row r="138" spans="1:4" ht="13.5" x14ac:dyDescent="0.25">
      <c r="A138" s="306">
        <v>94891</v>
      </c>
      <c r="B138" s="305" t="s">
        <v>418</v>
      </c>
      <c r="C138" s="305" t="s">
        <v>282</v>
      </c>
      <c r="D138" s="575">
        <v>754.98</v>
      </c>
    </row>
    <row r="139" spans="1:4" ht="13.5" x14ac:dyDescent="0.25">
      <c r="A139" s="306">
        <v>94892</v>
      </c>
      <c r="B139" s="305" t="s">
        <v>419</v>
      </c>
      <c r="C139" s="305" t="s">
        <v>282</v>
      </c>
      <c r="D139" s="575">
        <v>21.48</v>
      </c>
    </row>
    <row r="140" spans="1:4" ht="13.5" x14ac:dyDescent="0.25">
      <c r="A140" s="306">
        <v>94894</v>
      </c>
      <c r="B140" s="305" t="s">
        <v>420</v>
      </c>
      <c r="C140" s="305" t="s">
        <v>282</v>
      </c>
      <c r="D140" s="575">
        <v>24.95</v>
      </c>
    </row>
    <row r="141" spans="1:4" ht="13.5" x14ac:dyDescent="0.25">
      <c r="A141" s="306">
        <v>94895</v>
      </c>
      <c r="B141" s="305" t="s">
        <v>421</v>
      </c>
      <c r="C141" s="305" t="s">
        <v>282</v>
      </c>
      <c r="D141" s="576">
        <v>1006.48</v>
      </c>
    </row>
    <row r="142" spans="1:4" ht="13.5" x14ac:dyDescent="0.25">
      <c r="A142" s="306">
        <v>94896</v>
      </c>
      <c r="B142" s="305" t="s">
        <v>422</v>
      </c>
      <c r="C142" s="305" t="s">
        <v>282</v>
      </c>
      <c r="D142" s="575">
        <v>30.16</v>
      </c>
    </row>
    <row r="143" spans="1:4" ht="13.5" x14ac:dyDescent="0.25">
      <c r="A143" s="306">
        <v>94897</v>
      </c>
      <c r="B143" s="305" t="s">
        <v>423</v>
      </c>
      <c r="C143" s="305" t="s">
        <v>282</v>
      </c>
      <c r="D143" s="576">
        <v>1565.36</v>
      </c>
    </row>
    <row r="144" spans="1:4" ht="13.5" x14ac:dyDescent="0.25">
      <c r="A144" s="306">
        <v>94898</v>
      </c>
      <c r="B144" s="305" t="s">
        <v>424</v>
      </c>
      <c r="C144" s="305" t="s">
        <v>282</v>
      </c>
      <c r="D144" s="575">
        <v>35.369999999999997</v>
      </c>
    </row>
    <row r="145" spans="1:4" ht="13.5" x14ac:dyDescent="0.25">
      <c r="A145" s="306">
        <v>94900</v>
      </c>
      <c r="B145" s="305" t="s">
        <v>425</v>
      </c>
      <c r="C145" s="305" t="s">
        <v>282</v>
      </c>
      <c r="D145" s="575">
        <v>45.77</v>
      </c>
    </row>
    <row r="146" spans="1:4" ht="13.5" x14ac:dyDescent="0.25">
      <c r="A146" s="306">
        <v>97121</v>
      </c>
      <c r="B146" s="305" t="s">
        <v>426</v>
      </c>
      <c r="C146" s="305" t="s">
        <v>282</v>
      </c>
      <c r="D146" s="575">
        <v>1.76</v>
      </c>
    </row>
    <row r="147" spans="1:4" ht="13.5" x14ac:dyDescent="0.25">
      <c r="A147" s="306">
        <v>97122</v>
      </c>
      <c r="B147" s="305" t="s">
        <v>427</v>
      </c>
      <c r="C147" s="305" t="s">
        <v>282</v>
      </c>
      <c r="D147" s="575">
        <v>2.44</v>
      </c>
    </row>
    <row r="148" spans="1:4" ht="13.5" x14ac:dyDescent="0.25">
      <c r="A148" s="306">
        <v>97123</v>
      </c>
      <c r="B148" s="305" t="s">
        <v>428</v>
      </c>
      <c r="C148" s="305" t="s">
        <v>282</v>
      </c>
      <c r="D148" s="575">
        <v>3.1</v>
      </c>
    </row>
    <row r="149" spans="1:4" ht="13.5" x14ac:dyDescent="0.25">
      <c r="A149" s="306">
        <v>97124</v>
      </c>
      <c r="B149" s="305" t="s">
        <v>429</v>
      </c>
      <c r="C149" s="305" t="s">
        <v>282</v>
      </c>
      <c r="D149" s="575">
        <v>0.77</v>
      </c>
    </row>
    <row r="150" spans="1:4" ht="13.5" x14ac:dyDescent="0.25">
      <c r="A150" s="306">
        <v>97125</v>
      </c>
      <c r="B150" s="305" t="s">
        <v>430</v>
      </c>
      <c r="C150" s="305" t="s">
        <v>282</v>
      </c>
      <c r="D150" s="575">
        <v>1.08</v>
      </c>
    </row>
    <row r="151" spans="1:4" ht="13.5" x14ac:dyDescent="0.25">
      <c r="A151" s="306">
        <v>97126</v>
      </c>
      <c r="B151" s="305" t="s">
        <v>431</v>
      </c>
      <c r="C151" s="305" t="s">
        <v>282</v>
      </c>
      <c r="D151" s="575">
        <v>1.39</v>
      </c>
    </row>
    <row r="152" spans="1:4" ht="13.5" x14ac:dyDescent="0.25">
      <c r="A152" s="306">
        <v>92833</v>
      </c>
      <c r="B152" s="305" t="s">
        <v>432</v>
      </c>
      <c r="C152" s="305" t="s">
        <v>282</v>
      </c>
      <c r="D152" s="575">
        <v>142.37</v>
      </c>
    </row>
    <row r="153" spans="1:4" ht="13.5" x14ac:dyDescent="0.25">
      <c r="A153" s="306">
        <v>92834</v>
      </c>
      <c r="B153" s="305" t="s">
        <v>433</v>
      </c>
      <c r="C153" s="305" t="s">
        <v>282</v>
      </c>
      <c r="D153" s="575">
        <v>6.76</v>
      </c>
    </row>
    <row r="154" spans="1:4" ht="13.5" x14ac:dyDescent="0.25">
      <c r="A154" s="306">
        <v>92835</v>
      </c>
      <c r="B154" s="305" t="s">
        <v>434</v>
      </c>
      <c r="C154" s="305" t="s">
        <v>282</v>
      </c>
      <c r="D154" s="575">
        <v>153.30000000000001</v>
      </c>
    </row>
    <row r="155" spans="1:4" ht="13.5" x14ac:dyDescent="0.25">
      <c r="A155" s="306">
        <v>92836</v>
      </c>
      <c r="B155" s="305" t="s">
        <v>435</v>
      </c>
      <c r="C155" s="305" t="s">
        <v>282</v>
      </c>
      <c r="D155" s="575">
        <v>8.64</v>
      </c>
    </row>
    <row r="156" spans="1:4" ht="13.5" x14ac:dyDescent="0.25">
      <c r="A156" s="306">
        <v>92837</v>
      </c>
      <c r="B156" s="305" t="s">
        <v>436</v>
      </c>
      <c r="C156" s="305" t="s">
        <v>282</v>
      </c>
      <c r="D156" s="575">
        <v>254.17</v>
      </c>
    </row>
    <row r="157" spans="1:4" ht="13.5" x14ac:dyDescent="0.25">
      <c r="A157" s="306">
        <v>92838</v>
      </c>
      <c r="B157" s="305" t="s">
        <v>437</v>
      </c>
      <c r="C157" s="305" t="s">
        <v>282</v>
      </c>
      <c r="D157" s="575">
        <v>10.39</v>
      </c>
    </row>
    <row r="158" spans="1:4" ht="13.5" x14ac:dyDescent="0.25">
      <c r="A158" s="306">
        <v>92839</v>
      </c>
      <c r="B158" s="305" t="s">
        <v>438</v>
      </c>
      <c r="C158" s="305" t="s">
        <v>282</v>
      </c>
      <c r="D158" s="575">
        <v>311.3</v>
      </c>
    </row>
    <row r="159" spans="1:4" ht="13.5" x14ac:dyDescent="0.25">
      <c r="A159" s="306">
        <v>92840</v>
      </c>
      <c r="B159" s="305" t="s">
        <v>439</v>
      </c>
      <c r="C159" s="305" t="s">
        <v>282</v>
      </c>
      <c r="D159" s="575">
        <v>12.29</v>
      </c>
    </row>
    <row r="160" spans="1:4" ht="13.5" x14ac:dyDescent="0.25">
      <c r="A160" s="306">
        <v>92841</v>
      </c>
      <c r="B160" s="305" t="s">
        <v>440</v>
      </c>
      <c r="C160" s="305" t="s">
        <v>282</v>
      </c>
      <c r="D160" s="575">
        <v>389.07</v>
      </c>
    </row>
    <row r="161" spans="1:4" ht="13.5" x14ac:dyDescent="0.25">
      <c r="A161" s="306">
        <v>92842</v>
      </c>
      <c r="B161" s="305" t="s">
        <v>441</v>
      </c>
      <c r="C161" s="305" t="s">
        <v>282</v>
      </c>
      <c r="D161" s="575">
        <v>14.04</v>
      </c>
    </row>
    <row r="162" spans="1:4" ht="13.5" x14ac:dyDescent="0.25">
      <c r="A162" s="306">
        <v>92843</v>
      </c>
      <c r="B162" s="305" t="s">
        <v>12252</v>
      </c>
      <c r="C162" s="305" t="s">
        <v>282</v>
      </c>
      <c r="D162" s="575">
        <v>411.16</v>
      </c>
    </row>
    <row r="163" spans="1:4" ht="13.5" x14ac:dyDescent="0.25">
      <c r="A163" s="306">
        <v>92844</v>
      </c>
      <c r="B163" s="305" t="s">
        <v>442</v>
      </c>
      <c r="C163" s="305" t="s">
        <v>282</v>
      </c>
      <c r="D163" s="575">
        <v>15.94</v>
      </c>
    </row>
    <row r="164" spans="1:4" ht="13.5" x14ac:dyDescent="0.25">
      <c r="A164" s="306">
        <v>92845</v>
      </c>
      <c r="B164" s="305" t="s">
        <v>12253</v>
      </c>
      <c r="C164" s="305" t="s">
        <v>282</v>
      </c>
      <c r="D164" s="575">
        <v>570.65</v>
      </c>
    </row>
    <row r="165" spans="1:4" ht="13.5" x14ac:dyDescent="0.25">
      <c r="A165" s="306">
        <v>92846</v>
      </c>
      <c r="B165" s="305" t="s">
        <v>443</v>
      </c>
      <c r="C165" s="305" t="s">
        <v>282</v>
      </c>
      <c r="D165" s="575">
        <v>17.690000000000001</v>
      </c>
    </row>
    <row r="166" spans="1:4" ht="13.5" x14ac:dyDescent="0.25">
      <c r="A166" s="306">
        <v>92847</v>
      </c>
      <c r="B166" s="305" t="s">
        <v>444</v>
      </c>
      <c r="C166" s="305" t="s">
        <v>282</v>
      </c>
      <c r="D166" s="575">
        <v>600.88</v>
      </c>
    </row>
    <row r="167" spans="1:4" ht="13.5" x14ac:dyDescent="0.25">
      <c r="A167" s="306">
        <v>92848</v>
      </c>
      <c r="B167" s="305" t="s">
        <v>445</v>
      </c>
      <c r="C167" s="305" t="s">
        <v>282</v>
      </c>
      <c r="D167" s="575">
        <v>19.61</v>
      </c>
    </row>
    <row r="168" spans="1:4" ht="13.5" x14ac:dyDescent="0.25">
      <c r="A168" s="306">
        <v>92849</v>
      </c>
      <c r="B168" s="305" t="s">
        <v>446</v>
      </c>
      <c r="C168" s="305" t="s">
        <v>282</v>
      </c>
      <c r="D168" s="575">
        <v>149.53</v>
      </c>
    </row>
    <row r="169" spans="1:4" ht="13.5" x14ac:dyDescent="0.25">
      <c r="A169" s="306">
        <v>92850</v>
      </c>
      <c r="B169" s="305" t="s">
        <v>447</v>
      </c>
      <c r="C169" s="305" t="s">
        <v>282</v>
      </c>
      <c r="D169" s="575">
        <v>12.79</v>
      </c>
    </row>
    <row r="170" spans="1:4" ht="13.5" x14ac:dyDescent="0.25">
      <c r="A170" s="306">
        <v>92851</v>
      </c>
      <c r="B170" s="305" t="s">
        <v>448</v>
      </c>
      <c r="C170" s="305" t="s">
        <v>282</v>
      </c>
      <c r="D170" s="575">
        <v>162.25</v>
      </c>
    </row>
    <row r="171" spans="1:4" ht="13.5" x14ac:dyDescent="0.25">
      <c r="A171" s="306">
        <v>92852</v>
      </c>
      <c r="B171" s="305" t="s">
        <v>449</v>
      </c>
      <c r="C171" s="305" t="s">
        <v>282</v>
      </c>
      <c r="D171" s="575">
        <v>16.170000000000002</v>
      </c>
    </row>
    <row r="172" spans="1:4" ht="13.5" x14ac:dyDescent="0.25">
      <c r="A172" s="306">
        <v>92853</v>
      </c>
      <c r="B172" s="305" t="s">
        <v>450</v>
      </c>
      <c r="C172" s="305" t="s">
        <v>282</v>
      </c>
      <c r="D172" s="575">
        <v>265.2</v>
      </c>
    </row>
    <row r="173" spans="1:4" ht="13.5" x14ac:dyDescent="0.25">
      <c r="A173" s="306">
        <v>92854</v>
      </c>
      <c r="B173" s="305" t="s">
        <v>451</v>
      </c>
      <c r="C173" s="305" t="s">
        <v>282</v>
      </c>
      <c r="D173" s="575">
        <v>19.690000000000001</v>
      </c>
    </row>
    <row r="174" spans="1:4" ht="13.5" x14ac:dyDescent="0.25">
      <c r="A174" s="306">
        <v>92855</v>
      </c>
      <c r="B174" s="305" t="s">
        <v>452</v>
      </c>
      <c r="C174" s="305" t="s">
        <v>282</v>
      </c>
      <c r="D174" s="575">
        <v>324.27999999999997</v>
      </c>
    </row>
    <row r="175" spans="1:4" ht="13.5" x14ac:dyDescent="0.25">
      <c r="A175" s="306">
        <v>92856</v>
      </c>
      <c r="B175" s="305" t="s">
        <v>453</v>
      </c>
      <c r="C175" s="305" t="s">
        <v>282</v>
      </c>
      <c r="D175" s="575">
        <v>23.21</v>
      </c>
    </row>
    <row r="176" spans="1:4" ht="13.5" x14ac:dyDescent="0.25">
      <c r="A176" s="306">
        <v>92857</v>
      </c>
      <c r="B176" s="305" t="s">
        <v>454</v>
      </c>
      <c r="C176" s="305" t="s">
        <v>282</v>
      </c>
      <c r="D176" s="575">
        <v>403.95</v>
      </c>
    </row>
    <row r="177" spans="1:4" ht="13.5" x14ac:dyDescent="0.25">
      <c r="A177" s="306">
        <v>92858</v>
      </c>
      <c r="B177" s="305" t="s">
        <v>455</v>
      </c>
      <c r="C177" s="305" t="s">
        <v>282</v>
      </c>
      <c r="D177" s="575">
        <v>26.56</v>
      </c>
    </row>
    <row r="178" spans="1:4" ht="13.5" x14ac:dyDescent="0.25">
      <c r="A178" s="306">
        <v>92859</v>
      </c>
      <c r="B178" s="305" t="s">
        <v>12254</v>
      </c>
      <c r="C178" s="305" t="s">
        <v>282</v>
      </c>
      <c r="D178" s="575">
        <v>425.38</v>
      </c>
    </row>
    <row r="179" spans="1:4" ht="13.5" x14ac:dyDescent="0.25">
      <c r="A179" s="306">
        <v>92860</v>
      </c>
      <c r="B179" s="305" t="s">
        <v>456</v>
      </c>
      <c r="C179" s="305" t="s">
        <v>282</v>
      </c>
      <c r="D179" s="575">
        <v>30.16</v>
      </c>
    </row>
    <row r="180" spans="1:4" ht="13.5" x14ac:dyDescent="0.25">
      <c r="A180" s="306">
        <v>92861</v>
      </c>
      <c r="B180" s="305" t="s">
        <v>12255</v>
      </c>
      <c r="C180" s="305" t="s">
        <v>282</v>
      </c>
      <c r="D180" s="575">
        <v>586.62</v>
      </c>
    </row>
    <row r="181" spans="1:4" ht="13.5" x14ac:dyDescent="0.25">
      <c r="A181" s="306">
        <v>92862</v>
      </c>
      <c r="B181" s="305" t="s">
        <v>457</v>
      </c>
      <c r="C181" s="305" t="s">
        <v>282</v>
      </c>
      <c r="D181" s="575">
        <v>33.659999999999997</v>
      </c>
    </row>
    <row r="182" spans="1:4" ht="13.5" x14ac:dyDescent="0.25">
      <c r="A182" s="306">
        <v>92863</v>
      </c>
      <c r="B182" s="305" t="s">
        <v>458</v>
      </c>
      <c r="C182" s="305" t="s">
        <v>282</v>
      </c>
      <c r="D182" s="575">
        <v>621.71</v>
      </c>
    </row>
    <row r="183" spans="1:4" ht="13.5" x14ac:dyDescent="0.25">
      <c r="A183" s="306">
        <v>92864</v>
      </c>
      <c r="B183" s="305" t="s">
        <v>459</v>
      </c>
      <c r="C183" s="305" t="s">
        <v>282</v>
      </c>
      <c r="D183" s="575">
        <v>37.17</v>
      </c>
    </row>
    <row r="184" spans="1:4" ht="13.5" x14ac:dyDescent="0.25">
      <c r="A184" s="306">
        <v>92210</v>
      </c>
      <c r="B184" s="305" t="s">
        <v>460</v>
      </c>
      <c r="C184" s="305" t="s">
        <v>282</v>
      </c>
      <c r="D184" s="575">
        <v>103.16</v>
      </c>
    </row>
    <row r="185" spans="1:4" ht="13.5" x14ac:dyDescent="0.25">
      <c r="A185" s="306">
        <v>92211</v>
      </c>
      <c r="B185" s="305" t="s">
        <v>461</v>
      </c>
      <c r="C185" s="305" t="s">
        <v>282</v>
      </c>
      <c r="D185" s="575">
        <v>124.22</v>
      </c>
    </row>
    <row r="186" spans="1:4" ht="13.5" x14ac:dyDescent="0.25">
      <c r="A186" s="306">
        <v>92212</v>
      </c>
      <c r="B186" s="305" t="s">
        <v>462</v>
      </c>
      <c r="C186" s="305" t="s">
        <v>282</v>
      </c>
      <c r="D186" s="575">
        <v>180.76</v>
      </c>
    </row>
    <row r="187" spans="1:4" ht="13.5" x14ac:dyDescent="0.25">
      <c r="A187" s="306">
        <v>92213</v>
      </c>
      <c r="B187" s="305" t="s">
        <v>463</v>
      </c>
      <c r="C187" s="305" t="s">
        <v>282</v>
      </c>
      <c r="D187" s="575">
        <v>234.78</v>
      </c>
    </row>
    <row r="188" spans="1:4" ht="13.5" x14ac:dyDescent="0.25">
      <c r="A188" s="306">
        <v>92214</v>
      </c>
      <c r="B188" s="305" t="s">
        <v>464</v>
      </c>
      <c r="C188" s="305" t="s">
        <v>282</v>
      </c>
      <c r="D188" s="575">
        <v>282.92</v>
      </c>
    </row>
    <row r="189" spans="1:4" ht="13.5" x14ac:dyDescent="0.25">
      <c r="A189" s="306">
        <v>92215</v>
      </c>
      <c r="B189" s="305" t="s">
        <v>465</v>
      </c>
      <c r="C189" s="305" t="s">
        <v>282</v>
      </c>
      <c r="D189" s="575">
        <v>325.11</v>
      </c>
    </row>
    <row r="190" spans="1:4" ht="13.5" x14ac:dyDescent="0.25">
      <c r="A190" s="306">
        <v>92216</v>
      </c>
      <c r="B190" s="305" t="s">
        <v>466</v>
      </c>
      <c r="C190" s="305" t="s">
        <v>282</v>
      </c>
      <c r="D190" s="575">
        <v>343.35</v>
      </c>
    </row>
    <row r="191" spans="1:4" ht="13.5" x14ac:dyDescent="0.25">
      <c r="A191" s="306">
        <v>92219</v>
      </c>
      <c r="B191" s="305" t="s">
        <v>467</v>
      </c>
      <c r="C191" s="305" t="s">
        <v>282</v>
      </c>
      <c r="D191" s="575">
        <v>110.7</v>
      </c>
    </row>
    <row r="192" spans="1:4" ht="13.5" x14ac:dyDescent="0.25">
      <c r="A192" s="306">
        <v>92220</v>
      </c>
      <c r="B192" s="305" t="s">
        <v>468</v>
      </c>
      <c r="C192" s="305" t="s">
        <v>282</v>
      </c>
      <c r="D192" s="575">
        <v>133.53</v>
      </c>
    </row>
    <row r="193" spans="1:4" ht="13.5" x14ac:dyDescent="0.25">
      <c r="A193" s="306">
        <v>92221</v>
      </c>
      <c r="B193" s="305" t="s">
        <v>469</v>
      </c>
      <c r="C193" s="305" t="s">
        <v>282</v>
      </c>
      <c r="D193" s="575">
        <v>191.68</v>
      </c>
    </row>
    <row r="194" spans="1:4" ht="13.5" x14ac:dyDescent="0.25">
      <c r="A194" s="306">
        <v>92222</v>
      </c>
      <c r="B194" s="305" t="s">
        <v>470</v>
      </c>
      <c r="C194" s="305" t="s">
        <v>282</v>
      </c>
      <c r="D194" s="575">
        <v>247.46</v>
      </c>
    </row>
    <row r="195" spans="1:4" ht="13.5" x14ac:dyDescent="0.25">
      <c r="A195" s="306">
        <v>92223</v>
      </c>
      <c r="B195" s="305" t="s">
        <v>471</v>
      </c>
      <c r="C195" s="305" t="s">
        <v>282</v>
      </c>
      <c r="D195" s="575">
        <v>297.13</v>
      </c>
    </row>
    <row r="196" spans="1:4" ht="13.5" x14ac:dyDescent="0.25">
      <c r="A196" s="306">
        <v>92224</v>
      </c>
      <c r="B196" s="305" t="s">
        <v>472</v>
      </c>
      <c r="C196" s="305" t="s">
        <v>282</v>
      </c>
      <c r="D196" s="575">
        <v>340.88</v>
      </c>
    </row>
    <row r="197" spans="1:4" ht="13.5" x14ac:dyDescent="0.25">
      <c r="A197" s="306">
        <v>92226</v>
      </c>
      <c r="B197" s="305" t="s">
        <v>473</v>
      </c>
      <c r="C197" s="305" t="s">
        <v>282</v>
      </c>
      <c r="D197" s="575">
        <v>360.98</v>
      </c>
    </row>
    <row r="198" spans="1:4" ht="13.5" x14ac:dyDescent="0.25">
      <c r="A198" s="306">
        <v>92808</v>
      </c>
      <c r="B198" s="305" t="s">
        <v>474</v>
      </c>
      <c r="C198" s="305" t="s">
        <v>282</v>
      </c>
      <c r="D198" s="575">
        <v>30.59</v>
      </c>
    </row>
    <row r="199" spans="1:4" ht="13.5" x14ac:dyDescent="0.25">
      <c r="A199" s="306">
        <v>92809</v>
      </c>
      <c r="B199" s="305" t="s">
        <v>475</v>
      </c>
      <c r="C199" s="305" t="s">
        <v>282</v>
      </c>
      <c r="D199" s="575">
        <v>39.29</v>
      </c>
    </row>
    <row r="200" spans="1:4" ht="13.5" x14ac:dyDescent="0.25">
      <c r="A200" s="306">
        <v>92810</v>
      </c>
      <c r="B200" s="305" t="s">
        <v>476</v>
      </c>
      <c r="C200" s="305" t="s">
        <v>282</v>
      </c>
      <c r="D200" s="575">
        <v>47.89</v>
      </c>
    </row>
    <row r="201" spans="1:4" ht="13.5" x14ac:dyDescent="0.25">
      <c r="A201" s="306">
        <v>92811</v>
      </c>
      <c r="B201" s="305" t="s">
        <v>477</v>
      </c>
      <c r="C201" s="305" t="s">
        <v>282</v>
      </c>
      <c r="D201" s="575">
        <v>57.16</v>
      </c>
    </row>
    <row r="202" spans="1:4" ht="13.5" x14ac:dyDescent="0.25">
      <c r="A202" s="306">
        <v>92812</v>
      </c>
      <c r="B202" s="305" t="s">
        <v>478</v>
      </c>
      <c r="C202" s="305" t="s">
        <v>282</v>
      </c>
      <c r="D202" s="575">
        <v>66.319999999999993</v>
      </c>
    </row>
    <row r="203" spans="1:4" ht="13.5" x14ac:dyDescent="0.25">
      <c r="A203" s="306">
        <v>92813</v>
      </c>
      <c r="B203" s="305" t="s">
        <v>479</v>
      </c>
      <c r="C203" s="305" t="s">
        <v>282</v>
      </c>
      <c r="D203" s="575">
        <v>77.28</v>
      </c>
    </row>
    <row r="204" spans="1:4" ht="13.5" x14ac:dyDescent="0.25">
      <c r="A204" s="306">
        <v>92814</v>
      </c>
      <c r="B204" s="305" t="s">
        <v>480</v>
      </c>
      <c r="C204" s="305" t="s">
        <v>282</v>
      </c>
      <c r="D204" s="575">
        <v>88.82</v>
      </c>
    </row>
    <row r="205" spans="1:4" ht="13.5" x14ac:dyDescent="0.25">
      <c r="A205" s="306">
        <v>92815</v>
      </c>
      <c r="B205" s="305" t="s">
        <v>481</v>
      </c>
      <c r="C205" s="305" t="s">
        <v>282</v>
      </c>
      <c r="D205" s="575">
        <v>102.4</v>
      </c>
    </row>
    <row r="206" spans="1:4" ht="13.5" x14ac:dyDescent="0.25">
      <c r="A206" s="306">
        <v>92816</v>
      </c>
      <c r="B206" s="305" t="s">
        <v>482</v>
      </c>
      <c r="C206" s="305" t="s">
        <v>282</v>
      </c>
      <c r="D206" s="575">
        <v>488.01</v>
      </c>
    </row>
    <row r="207" spans="1:4" ht="13.5" x14ac:dyDescent="0.25">
      <c r="A207" s="306">
        <v>92817</v>
      </c>
      <c r="B207" s="305" t="s">
        <v>483</v>
      </c>
      <c r="C207" s="305" t="s">
        <v>282</v>
      </c>
      <c r="D207" s="575">
        <v>128.12</v>
      </c>
    </row>
    <row r="208" spans="1:4" ht="13.5" x14ac:dyDescent="0.25">
      <c r="A208" s="306">
        <v>92818</v>
      </c>
      <c r="B208" s="305" t="s">
        <v>484</v>
      </c>
      <c r="C208" s="305" t="s">
        <v>282</v>
      </c>
      <c r="D208" s="575">
        <v>693.87</v>
      </c>
    </row>
    <row r="209" spans="1:4" ht="13.5" x14ac:dyDescent="0.25">
      <c r="A209" s="306">
        <v>92819</v>
      </c>
      <c r="B209" s="305" t="s">
        <v>485</v>
      </c>
      <c r="C209" s="305" t="s">
        <v>282</v>
      </c>
      <c r="D209" s="575">
        <v>172.48</v>
      </c>
    </row>
    <row r="210" spans="1:4" ht="13.5" x14ac:dyDescent="0.25">
      <c r="A210" s="306">
        <v>92820</v>
      </c>
      <c r="B210" s="305" t="s">
        <v>486</v>
      </c>
      <c r="C210" s="305" t="s">
        <v>282</v>
      </c>
      <c r="D210" s="575">
        <v>36.479999999999997</v>
      </c>
    </row>
    <row r="211" spans="1:4" ht="13.5" x14ac:dyDescent="0.25">
      <c r="A211" s="306">
        <v>92821</v>
      </c>
      <c r="B211" s="305" t="s">
        <v>487</v>
      </c>
      <c r="C211" s="305" t="s">
        <v>282</v>
      </c>
      <c r="D211" s="575">
        <v>46.83</v>
      </c>
    </row>
    <row r="212" spans="1:4" ht="13.5" x14ac:dyDescent="0.25">
      <c r="A212" s="306">
        <v>92822</v>
      </c>
      <c r="B212" s="305" t="s">
        <v>488</v>
      </c>
      <c r="C212" s="305" t="s">
        <v>282</v>
      </c>
      <c r="D212" s="575">
        <v>57.2</v>
      </c>
    </row>
    <row r="213" spans="1:4" ht="13.5" x14ac:dyDescent="0.25">
      <c r="A213" s="306">
        <v>92824</v>
      </c>
      <c r="B213" s="305" t="s">
        <v>489</v>
      </c>
      <c r="C213" s="305" t="s">
        <v>282</v>
      </c>
      <c r="D213" s="575">
        <v>68.08</v>
      </c>
    </row>
    <row r="214" spans="1:4" ht="13.5" x14ac:dyDescent="0.25">
      <c r="A214" s="306">
        <v>92825</v>
      </c>
      <c r="B214" s="305" t="s">
        <v>490</v>
      </c>
      <c r="C214" s="305" t="s">
        <v>282</v>
      </c>
      <c r="D214" s="575">
        <v>79</v>
      </c>
    </row>
    <row r="215" spans="1:4" ht="13.5" x14ac:dyDescent="0.25">
      <c r="A215" s="306">
        <v>92826</v>
      </c>
      <c r="B215" s="305" t="s">
        <v>491</v>
      </c>
      <c r="C215" s="305" t="s">
        <v>282</v>
      </c>
      <c r="D215" s="575">
        <v>91.49</v>
      </c>
    </row>
    <row r="216" spans="1:4" ht="13.5" x14ac:dyDescent="0.25">
      <c r="A216" s="306">
        <v>92827</v>
      </c>
      <c r="B216" s="305" t="s">
        <v>492</v>
      </c>
      <c r="C216" s="305" t="s">
        <v>282</v>
      </c>
      <c r="D216" s="575">
        <v>104.59</v>
      </c>
    </row>
    <row r="217" spans="1:4" ht="13.5" x14ac:dyDescent="0.25">
      <c r="A217" s="306">
        <v>92828</v>
      </c>
      <c r="B217" s="305" t="s">
        <v>493</v>
      </c>
      <c r="C217" s="305" t="s">
        <v>282</v>
      </c>
      <c r="D217" s="575">
        <v>120.03</v>
      </c>
    </row>
    <row r="218" spans="1:4" ht="13.5" x14ac:dyDescent="0.25">
      <c r="A218" s="306">
        <v>92829</v>
      </c>
      <c r="B218" s="305" t="s">
        <v>494</v>
      </c>
      <c r="C218" s="305" t="s">
        <v>282</v>
      </c>
      <c r="D218" s="575">
        <v>508.79</v>
      </c>
    </row>
    <row r="219" spans="1:4" ht="13.5" x14ac:dyDescent="0.25">
      <c r="A219" s="306">
        <v>92830</v>
      </c>
      <c r="B219" s="305" t="s">
        <v>495</v>
      </c>
      <c r="C219" s="305" t="s">
        <v>282</v>
      </c>
      <c r="D219" s="575">
        <v>148.9</v>
      </c>
    </row>
    <row r="220" spans="1:4" ht="13.5" x14ac:dyDescent="0.25">
      <c r="A220" s="306">
        <v>92831</v>
      </c>
      <c r="B220" s="305" t="s">
        <v>496</v>
      </c>
      <c r="C220" s="305" t="s">
        <v>282</v>
      </c>
      <c r="D220" s="575">
        <v>719.32</v>
      </c>
    </row>
    <row r="221" spans="1:4" ht="13.5" x14ac:dyDescent="0.25">
      <c r="A221" s="306">
        <v>92832</v>
      </c>
      <c r="B221" s="305" t="s">
        <v>497</v>
      </c>
      <c r="C221" s="305" t="s">
        <v>282</v>
      </c>
      <c r="D221" s="575">
        <v>197.93</v>
      </c>
    </row>
    <row r="222" spans="1:4" ht="13.5" x14ac:dyDescent="0.25">
      <c r="A222" s="306">
        <v>95565</v>
      </c>
      <c r="B222" s="305" t="s">
        <v>498</v>
      </c>
      <c r="C222" s="305" t="s">
        <v>282</v>
      </c>
      <c r="D222" s="575">
        <v>92.81</v>
      </c>
    </row>
    <row r="223" spans="1:4" ht="13.5" x14ac:dyDescent="0.25">
      <c r="A223" s="306">
        <v>95566</v>
      </c>
      <c r="B223" s="305" t="s">
        <v>499</v>
      </c>
      <c r="C223" s="305" t="s">
        <v>282</v>
      </c>
      <c r="D223" s="575">
        <v>99.81</v>
      </c>
    </row>
    <row r="224" spans="1:4" ht="13.5" x14ac:dyDescent="0.25">
      <c r="A224" s="306">
        <v>95567</v>
      </c>
      <c r="B224" s="305" t="s">
        <v>500</v>
      </c>
      <c r="C224" s="305" t="s">
        <v>282</v>
      </c>
      <c r="D224" s="575">
        <v>78.239999999999995</v>
      </c>
    </row>
    <row r="225" spans="1:4" ht="13.5" x14ac:dyDescent="0.25">
      <c r="A225" s="306">
        <v>95568</v>
      </c>
      <c r="B225" s="305" t="s">
        <v>501</v>
      </c>
      <c r="C225" s="305" t="s">
        <v>282</v>
      </c>
      <c r="D225" s="575">
        <v>96.07</v>
      </c>
    </row>
    <row r="226" spans="1:4" ht="13.5" x14ac:dyDescent="0.25">
      <c r="A226" s="306">
        <v>95569</v>
      </c>
      <c r="B226" s="305" t="s">
        <v>502</v>
      </c>
      <c r="C226" s="305" t="s">
        <v>282</v>
      </c>
      <c r="D226" s="575">
        <v>130.44</v>
      </c>
    </row>
    <row r="227" spans="1:4" ht="13.5" x14ac:dyDescent="0.25">
      <c r="A227" s="306">
        <v>95570</v>
      </c>
      <c r="B227" s="305" t="s">
        <v>503</v>
      </c>
      <c r="C227" s="305" t="s">
        <v>282</v>
      </c>
      <c r="D227" s="575">
        <v>85.24</v>
      </c>
    </row>
    <row r="228" spans="1:4" ht="13.5" x14ac:dyDescent="0.25">
      <c r="A228" s="306">
        <v>95571</v>
      </c>
      <c r="B228" s="305" t="s">
        <v>504</v>
      </c>
      <c r="C228" s="305" t="s">
        <v>282</v>
      </c>
      <c r="D228" s="575">
        <v>105.04</v>
      </c>
    </row>
    <row r="229" spans="1:4" ht="13.5" x14ac:dyDescent="0.25">
      <c r="A229" s="306">
        <v>95572</v>
      </c>
      <c r="B229" s="305" t="s">
        <v>505</v>
      </c>
      <c r="C229" s="305" t="s">
        <v>282</v>
      </c>
      <c r="D229" s="575">
        <v>141.47999999999999</v>
      </c>
    </row>
    <row r="230" spans="1:4" ht="13.5" x14ac:dyDescent="0.25">
      <c r="A230" s="306">
        <v>97127</v>
      </c>
      <c r="B230" s="305" t="s">
        <v>507</v>
      </c>
      <c r="C230" s="305" t="s">
        <v>282</v>
      </c>
      <c r="D230" s="575">
        <v>4.4400000000000004</v>
      </c>
    </row>
    <row r="231" spans="1:4" ht="13.5" x14ac:dyDescent="0.25">
      <c r="A231" s="306">
        <v>97128</v>
      </c>
      <c r="B231" s="305" t="s">
        <v>508</v>
      </c>
      <c r="C231" s="305" t="s">
        <v>282</v>
      </c>
      <c r="D231" s="575">
        <v>8.08</v>
      </c>
    </row>
    <row r="232" spans="1:4" ht="13.5" x14ac:dyDescent="0.25">
      <c r="A232" s="306">
        <v>97129</v>
      </c>
      <c r="B232" s="305" t="s">
        <v>509</v>
      </c>
      <c r="C232" s="305" t="s">
        <v>282</v>
      </c>
      <c r="D232" s="575">
        <v>9.92</v>
      </c>
    </row>
    <row r="233" spans="1:4" ht="13.5" x14ac:dyDescent="0.25">
      <c r="A233" s="306">
        <v>97130</v>
      </c>
      <c r="B233" s="305" t="s">
        <v>510</v>
      </c>
      <c r="C233" s="305" t="s">
        <v>282</v>
      </c>
      <c r="D233" s="575">
        <v>11.79</v>
      </c>
    </row>
    <row r="234" spans="1:4" ht="13.5" x14ac:dyDescent="0.25">
      <c r="A234" s="306">
        <v>97131</v>
      </c>
      <c r="B234" s="305" t="s">
        <v>511</v>
      </c>
      <c r="C234" s="305" t="s">
        <v>282</v>
      </c>
      <c r="D234" s="575">
        <v>13.63</v>
      </c>
    </row>
    <row r="235" spans="1:4" ht="13.5" x14ac:dyDescent="0.25">
      <c r="A235" s="306">
        <v>97132</v>
      </c>
      <c r="B235" s="305" t="s">
        <v>512</v>
      </c>
      <c r="C235" s="305" t="s">
        <v>282</v>
      </c>
      <c r="D235" s="575">
        <v>15.48</v>
      </c>
    </row>
    <row r="236" spans="1:4" ht="13.5" x14ac:dyDescent="0.25">
      <c r="A236" s="306">
        <v>97133</v>
      </c>
      <c r="B236" s="305" t="s">
        <v>513</v>
      </c>
      <c r="C236" s="305" t="s">
        <v>282</v>
      </c>
      <c r="D236" s="575">
        <v>19.2</v>
      </c>
    </row>
    <row r="237" spans="1:4" ht="13.5" x14ac:dyDescent="0.25">
      <c r="A237" s="306">
        <v>97134</v>
      </c>
      <c r="B237" s="305" t="s">
        <v>514</v>
      </c>
      <c r="C237" s="305" t="s">
        <v>282</v>
      </c>
      <c r="D237" s="575">
        <v>2</v>
      </c>
    </row>
    <row r="238" spans="1:4" ht="13.5" x14ac:dyDescent="0.25">
      <c r="A238" s="306">
        <v>97135</v>
      </c>
      <c r="B238" s="305" t="s">
        <v>515</v>
      </c>
      <c r="C238" s="305" t="s">
        <v>282</v>
      </c>
      <c r="D238" s="575">
        <v>3.96</v>
      </c>
    </row>
    <row r="239" spans="1:4" ht="13.5" x14ac:dyDescent="0.25">
      <c r="A239" s="306">
        <v>97136</v>
      </c>
      <c r="B239" s="305" t="s">
        <v>516</v>
      </c>
      <c r="C239" s="305" t="s">
        <v>282</v>
      </c>
      <c r="D239" s="575">
        <v>4.87</v>
      </c>
    </row>
    <row r="240" spans="1:4" ht="13.5" x14ac:dyDescent="0.25">
      <c r="A240" s="306">
        <v>97137</v>
      </c>
      <c r="B240" s="305" t="s">
        <v>517</v>
      </c>
      <c r="C240" s="305" t="s">
        <v>282</v>
      </c>
      <c r="D240" s="575">
        <v>5.8</v>
      </c>
    </row>
    <row r="241" spans="1:4" ht="13.5" x14ac:dyDescent="0.25">
      <c r="A241" s="306">
        <v>97138</v>
      </c>
      <c r="B241" s="305" t="s">
        <v>518</v>
      </c>
      <c r="C241" s="305" t="s">
        <v>282</v>
      </c>
      <c r="D241" s="575">
        <v>6.71</v>
      </c>
    </row>
    <row r="242" spans="1:4" ht="13.5" x14ac:dyDescent="0.25">
      <c r="A242" s="306">
        <v>97139</v>
      </c>
      <c r="B242" s="305" t="s">
        <v>519</v>
      </c>
      <c r="C242" s="305" t="s">
        <v>282</v>
      </c>
      <c r="D242" s="575">
        <v>7.62</v>
      </c>
    </row>
    <row r="243" spans="1:4" ht="13.5" x14ac:dyDescent="0.25">
      <c r="A243" s="306">
        <v>97140</v>
      </c>
      <c r="B243" s="305" t="s">
        <v>520</v>
      </c>
      <c r="C243" s="305" t="s">
        <v>282</v>
      </c>
      <c r="D243" s="575">
        <v>9.44</v>
      </c>
    </row>
    <row r="244" spans="1:4" ht="13.5" x14ac:dyDescent="0.25">
      <c r="A244" s="306">
        <v>93206</v>
      </c>
      <c r="B244" s="305" t="s">
        <v>522</v>
      </c>
      <c r="C244" s="305" t="s">
        <v>521</v>
      </c>
      <c r="D244" s="575">
        <v>857.99</v>
      </c>
    </row>
    <row r="245" spans="1:4" ht="13.5" x14ac:dyDescent="0.25">
      <c r="A245" s="306">
        <v>93207</v>
      </c>
      <c r="B245" s="305" t="s">
        <v>523</v>
      </c>
      <c r="C245" s="305" t="s">
        <v>521</v>
      </c>
      <c r="D245" s="575">
        <v>737.94</v>
      </c>
    </row>
    <row r="246" spans="1:4" ht="13.5" x14ac:dyDescent="0.25">
      <c r="A246" s="306">
        <v>93208</v>
      </c>
      <c r="B246" s="305" t="s">
        <v>524</v>
      </c>
      <c r="C246" s="305" t="s">
        <v>521</v>
      </c>
      <c r="D246" s="575">
        <v>559.04999999999995</v>
      </c>
    </row>
    <row r="247" spans="1:4" ht="13.5" x14ac:dyDescent="0.25">
      <c r="A247" s="306">
        <v>93209</v>
      </c>
      <c r="B247" s="305" t="s">
        <v>525</v>
      </c>
      <c r="C247" s="305" t="s">
        <v>521</v>
      </c>
      <c r="D247" s="575">
        <v>676.21</v>
      </c>
    </row>
    <row r="248" spans="1:4" ht="13.5" x14ac:dyDescent="0.25">
      <c r="A248" s="306">
        <v>93210</v>
      </c>
      <c r="B248" s="305" t="s">
        <v>526</v>
      </c>
      <c r="C248" s="305" t="s">
        <v>521</v>
      </c>
      <c r="D248" s="575">
        <v>396.27</v>
      </c>
    </row>
    <row r="249" spans="1:4" ht="13.5" x14ac:dyDescent="0.25">
      <c r="A249" s="306">
        <v>93211</v>
      </c>
      <c r="B249" s="305" t="s">
        <v>527</v>
      </c>
      <c r="C249" s="305" t="s">
        <v>521</v>
      </c>
      <c r="D249" s="575">
        <v>412.38</v>
      </c>
    </row>
    <row r="250" spans="1:4" ht="13.5" x14ac:dyDescent="0.25">
      <c r="A250" s="306">
        <v>93212</v>
      </c>
      <c r="B250" s="305" t="s">
        <v>528</v>
      </c>
      <c r="C250" s="305" t="s">
        <v>521</v>
      </c>
      <c r="D250" s="575">
        <v>669.49</v>
      </c>
    </row>
    <row r="251" spans="1:4" ht="13.5" x14ac:dyDescent="0.25">
      <c r="A251" s="306">
        <v>93213</v>
      </c>
      <c r="B251" s="305" t="s">
        <v>529</v>
      </c>
      <c r="C251" s="305" t="s">
        <v>521</v>
      </c>
      <c r="D251" s="575">
        <v>758.88</v>
      </c>
    </row>
    <row r="252" spans="1:4" ht="13.5" x14ac:dyDescent="0.25">
      <c r="A252" s="306">
        <v>93214</v>
      </c>
      <c r="B252" s="305" t="s">
        <v>530</v>
      </c>
      <c r="C252" s="305" t="s">
        <v>363</v>
      </c>
      <c r="D252" s="576">
        <v>3461.78</v>
      </c>
    </row>
    <row r="253" spans="1:4" ht="13.5" x14ac:dyDescent="0.25">
      <c r="A253" s="306">
        <v>93243</v>
      </c>
      <c r="B253" s="305" t="s">
        <v>531</v>
      </c>
      <c r="C253" s="305" t="s">
        <v>363</v>
      </c>
      <c r="D253" s="576">
        <v>5251.66</v>
      </c>
    </row>
    <row r="254" spans="1:4" ht="13.5" x14ac:dyDescent="0.25">
      <c r="A254" s="306">
        <v>93582</v>
      </c>
      <c r="B254" s="305" t="s">
        <v>532</v>
      </c>
      <c r="C254" s="305" t="s">
        <v>521</v>
      </c>
      <c r="D254" s="575">
        <v>180.4</v>
      </c>
    </row>
    <row r="255" spans="1:4" ht="13.5" x14ac:dyDescent="0.25">
      <c r="A255" s="306">
        <v>93583</v>
      </c>
      <c r="B255" s="305" t="s">
        <v>533</v>
      </c>
      <c r="C255" s="305" t="s">
        <v>521</v>
      </c>
      <c r="D255" s="575">
        <v>305.66000000000003</v>
      </c>
    </row>
    <row r="256" spans="1:4" ht="13.5" x14ac:dyDescent="0.25">
      <c r="A256" s="306">
        <v>93584</v>
      </c>
      <c r="B256" s="305" t="s">
        <v>534</v>
      </c>
      <c r="C256" s="305" t="s">
        <v>521</v>
      </c>
      <c r="D256" s="575">
        <v>589.66999999999996</v>
      </c>
    </row>
    <row r="257" spans="1:4" ht="13.5" x14ac:dyDescent="0.25">
      <c r="A257" s="306">
        <v>93585</v>
      </c>
      <c r="B257" s="305" t="s">
        <v>535</v>
      </c>
      <c r="C257" s="305" t="s">
        <v>521</v>
      </c>
      <c r="D257" s="575">
        <v>740.74</v>
      </c>
    </row>
    <row r="258" spans="1:4" ht="13.5" x14ac:dyDescent="0.25">
      <c r="A258" s="306">
        <v>98441</v>
      </c>
      <c r="B258" s="305" t="s">
        <v>536</v>
      </c>
      <c r="C258" s="305" t="s">
        <v>521</v>
      </c>
      <c r="D258" s="575">
        <v>76.739999999999995</v>
      </c>
    </row>
    <row r="259" spans="1:4" ht="13.5" x14ac:dyDescent="0.25">
      <c r="A259" s="306">
        <v>98442</v>
      </c>
      <c r="B259" s="305" t="s">
        <v>537</v>
      </c>
      <c r="C259" s="305" t="s">
        <v>521</v>
      </c>
      <c r="D259" s="575">
        <v>79.2</v>
      </c>
    </row>
    <row r="260" spans="1:4" ht="13.5" x14ac:dyDescent="0.25">
      <c r="A260" s="306">
        <v>98443</v>
      </c>
      <c r="B260" s="305" t="s">
        <v>538</v>
      </c>
      <c r="C260" s="305" t="s">
        <v>521</v>
      </c>
      <c r="D260" s="575">
        <v>65.2</v>
      </c>
    </row>
    <row r="261" spans="1:4" ht="13.5" x14ac:dyDescent="0.25">
      <c r="A261" s="306">
        <v>98444</v>
      </c>
      <c r="B261" s="305" t="s">
        <v>539</v>
      </c>
      <c r="C261" s="305" t="s">
        <v>521</v>
      </c>
      <c r="D261" s="575">
        <v>66.95</v>
      </c>
    </row>
    <row r="262" spans="1:4" ht="13.5" x14ac:dyDescent="0.25">
      <c r="A262" s="306">
        <v>98445</v>
      </c>
      <c r="B262" s="305" t="s">
        <v>540</v>
      </c>
      <c r="C262" s="305" t="s">
        <v>521</v>
      </c>
      <c r="D262" s="575">
        <v>92.26</v>
      </c>
    </row>
    <row r="263" spans="1:4" ht="13.5" x14ac:dyDescent="0.25">
      <c r="A263" s="306">
        <v>98446</v>
      </c>
      <c r="B263" s="305" t="s">
        <v>541</v>
      </c>
      <c r="C263" s="305" t="s">
        <v>521</v>
      </c>
      <c r="D263" s="575">
        <v>120.13</v>
      </c>
    </row>
    <row r="264" spans="1:4" ht="13.5" x14ac:dyDescent="0.25">
      <c r="A264" s="306">
        <v>98447</v>
      </c>
      <c r="B264" s="305" t="s">
        <v>542</v>
      </c>
      <c r="C264" s="305" t="s">
        <v>521</v>
      </c>
      <c r="D264" s="575">
        <v>76.37</v>
      </c>
    </row>
    <row r="265" spans="1:4" ht="13.5" x14ac:dyDescent="0.25">
      <c r="A265" s="306">
        <v>98448</v>
      </c>
      <c r="B265" s="305" t="s">
        <v>543</v>
      </c>
      <c r="C265" s="305" t="s">
        <v>521</v>
      </c>
      <c r="D265" s="575">
        <v>97.31</v>
      </c>
    </row>
    <row r="266" spans="1:4" ht="13.5" x14ac:dyDescent="0.25">
      <c r="A266" s="306">
        <v>98449</v>
      </c>
      <c r="B266" s="305" t="s">
        <v>544</v>
      </c>
      <c r="C266" s="305" t="s">
        <v>521</v>
      </c>
      <c r="D266" s="575">
        <v>99.65</v>
      </c>
    </row>
    <row r="267" spans="1:4" ht="13.5" x14ac:dyDescent="0.25">
      <c r="A267" s="306">
        <v>98450</v>
      </c>
      <c r="B267" s="305" t="s">
        <v>545</v>
      </c>
      <c r="C267" s="305" t="s">
        <v>521</v>
      </c>
      <c r="D267" s="575">
        <v>103.24</v>
      </c>
    </row>
    <row r="268" spans="1:4" ht="13.5" x14ac:dyDescent="0.25">
      <c r="A268" s="306">
        <v>98451</v>
      </c>
      <c r="B268" s="305" t="s">
        <v>546</v>
      </c>
      <c r="C268" s="305" t="s">
        <v>521</v>
      </c>
      <c r="D268" s="575">
        <v>85.98</v>
      </c>
    </row>
    <row r="269" spans="1:4" ht="13.5" x14ac:dyDescent="0.25">
      <c r="A269" s="306">
        <v>98452</v>
      </c>
      <c r="B269" s="305" t="s">
        <v>547</v>
      </c>
      <c r="C269" s="305" t="s">
        <v>521</v>
      </c>
      <c r="D269" s="575">
        <v>88.15</v>
      </c>
    </row>
    <row r="270" spans="1:4" ht="13.5" x14ac:dyDescent="0.25">
      <c r="A270" s="306">
        <v>98453</v>
      </c>
      <c r="B270" s="305" t="s">
        <v>548</v>
      </c>
      <c r="C270" s="305" t="s">
        <v>521</v>
      </c>
      <c r="D270" s="575">
        <v>119.41</v>
      </c>
    </row>
    <row r="271" spans="1:4" ht="13.5" x14ac:dyDescent="0.25">
      <c r="A271" s="306">
        <v>98454</v>
      </c>
      <c r="B271" s="305" t="s">
        <v>549</v>
      </c>
      <c r="C271" s="305" t="s">
        <v>521</v>
      </c>
      <c r="D271" s="575">
        <v>157.58000000000001</v>
      </c>
    </row>
    <row r="272" spans="1:4" ht="13.5" x14ac:dyDescent="0.25">
      <c r="A272" s="306">
        <v>98455</v>
      </c>
      <c r="B272" s="305" t="s">
        <v>550</v>
      </c>
      <c r="C272" s="305" t="s">
        <v>521</v>
      </c>
      <c r="D272" s="575">
        <v>101.38</v>
      </c>
    </row>
    <row r="273" spans="1:4" ht="13.5" x14ac:dyDescent="0.25">
      <c r="A273" s="306">
        <v>98456</v>
      </c>
      <c r="B273" s="305" t="s">
        <v>551</v>
      </c>
      <c r="C273" s="305" t="s">
        <v>521</v>
      </c>
      <c r="D273" s="575">
        <v>131.93</v>
      </c>
    </row>
    <row r="274" spans="1:4" ht="13.5" x14ac:dyDescent="0.25">
      <c r="A274" s="306">
        <v>98458</v>
      </c>
      <c r="B274" s="305" t="s">
        <v>552</v>
      </c>
      <c r="C274" s="305" t="s">
        <v>521</v>
      </c>
      <c r="D274" s="575">
        <v>72.569999999999993</v>
      </c>
    </row>
    <row r="275" spans="1:4" ht="13.5" x14ac:dyDescent="0.25">
      <c r="A275" s="306">
        <v>98459</v>
      </c>
      <c r="B275" s="305" t="s">
        <v>553</v>
      </c>
      <c r="C275" s="305" t="s">
        <v>521</v>
      </c>
      <c r="D275" s="575">
        <v>61.47</v>
      </c>
    </row>
    <row r="276" spans="1:4" ht="13.5" x14ac:dyDescent="0.25">
      <c r="A276" s="306">
        <v>98460</v>
      </c>
      <c r="B276" s="305" t="s">
        <v>554</v>
      </c>
      <c r="C276" s="305" t="s">
        <v>521</v>
      </c>
      <c r="D276" s="575">
        <v>61.81</v>
      </c>
    </row>
    <row r="277" spans="1:4" ht="13.5" x14ac:dyDescent="0.25">
      <c r="A277" s="306">
        <v>98461</v>
      </c>
      <c r="B277" s="305" t="s">
        <v>12256</v>
      </c>
      <c r="C277" s="305" t="s">
        <v>363</v>
      </c>
      <c r="D277" s="576">
        <v>2896.61</v>
      </c>
    </row>
    <row r="278" spans="1:4" ht="13.5" x14ac:dyDescent="0.25">
      <c r="A278" s="306">
        <v>98462</v>
      </c>
      <c r="B278" s="305" t="s">
        <v>12257</v>
      </c>
      <c r="C278" s="305" t="s">
        <v>363</v>
      </c>
      <c r="D278" s="576">
        <v>4276.93</v>
      </c>
    </row>
    <row r="279" spans="1:4" ht="13.5" x14ac:dyDescent="0.25">
      <c r="A279" s="306">
        <v>5631</v>
      </c>
      <c r="B279" s="305" t="s">
        <v>555</v>
      </c>
      <c r="C279" s="305" t="s">
        <v>556</v>
      </c>
      <c r="D279" s="575">
        <v>132.52000000000001</v>
      </c>
    </row>
    <row r="280" spans="1:4" ht="13.5" x14ac:dyDescent="0.25">
      <c r="A280" s="306">
        <v>5678</v>
      </c>
      <c r="B280" s="305" t="s">
        <v>557</v>
      </c>
      <c r="C280" s="305" t="s">
        <v>556</v>
      </c>
      <c r="D280" s="575">
        <v>86.72</v>
      </c>
    </row>
    <row r="281" spans="1:4" ht="13.5" x14ac:dyDescent="0.25">
      <c r="A281" s="306">
        <v>5680</v>
      </c>
      <c r="B281" s="305" t="s">
        <v>558</v>
      </c>
      <c r="C281" s="305" t="s">
        <v>556</v>
      </c>
      <c r="D281" s="575">
        <v>80.56</v>
      </c>
    </row>
    <row r="282" spans="1:4" ht="13.5" x14ac:dyDescent="0.25">
      <c r="A282" s="306">
        <v>5684</v>
      </c>
      <c r="B282" s="305" t="s">
        <v>559</v>
      </c>
      <c r="C282" s="305" t="s">
        <v>556</v>
      </c>
      <c r="D282" s="575">
        <v>91.76</v>
      </c>
    </row>
    <row r="283" spans="1:4" ht="13.5" x14ac:dyDescent="0.25">
      <c r="A283" s="306">
        <v>5689</v>
      </c>
      <c r="B283" s="305" t="s">
        <v>560</v>
      </c>
      <c r="C283" s="305" t="s">
        <v>556</v>
      </c>
      <c r="D283" s="575">
        <v>3.48</v>
      </c>
    </row>
    <row r="284" spans="1:4" ht="13.5" x14ac:dyDescent="0.25">
      <c r="A284" s="306">
        <v>5795</v>
      </c>
      <c r="B284" s="305" t="s">
        <v>561</v>
      </c>
      <c r="C284" s="305" t="s">
        <v>556</v>
      </c>
      <c r="D284" s="575">
        <v>21.64</v>
      </c>
    </row>
    <row r="285" spans="1:4" ht="13.5" x14ac:dyDescent="0.25">
      <c r="A285" s="306">
        <v>5811</v>
      </c>
      <c r="B285" s="305" t="s">
        <v>562</v>
      </c>
      <c r="C285" s="305" t="s">
        <v>556</v>
      </c>
      <c r="D285" s="575">
        <v>117.61</v>
      </c>
    </row>
    <row r="286" spans="1:4" ht="13.5" x14ac:dyDescent="0.25">
      <c r="A286" s="306">
        <v>5823</v>
      </c>
      <c r="B286" s="305" t="s">
        <v>563</v>
      </c>
      <c r="C286" s="305" t="s">
        <v>556</v>
      </c>
      <c r="D286" s="575">
        <v>176.43</v>
      </c>
    </row>
    <row r="287" spans="1:4" ht="13.5" x14ac:dyDescent="0.25">
      <c r="A287" s="306">
        <v>5824</v>
      </c>
      <c r="B287" s="305" t="s">
        <v>564</v>
      </c>
      <c r="C287" s="305" t="s">
        <v>556</v>
      </c>
      <c r="D287" s="575">
        <v>111.55</v>
      </c>
    </row>
    <row r="288" spans="1:4" ht="13.5" x14ac:dyDescent="0.25">
      <c r="A288" s="306">
        <v>5835</v>
      </c>
      <c r="B288" s="305" t="s">
        <v>565</v>
      </c>
      <c r="C288" s="305" t="s">
        <v>556</v>
      </c>
      <c r="D288" s="575">
        <v>251.24</v>
      </c>
    </row>
    <row r="289" spans="1:4" ht="13.5" x14ac:dyDescent="0.25">
      <c r="A289" s="306">
        <v>5839</v>
      </c>
      <c r="B289" s="305" t="s">
        <v>566</v>
      </c>
      <c r="C289" s="305" t="s">
        <v>556</v>
      </c>
      <c r="D289" s="575">
        <v>5.22</v>
      </c>
    </row>
    <row r="290" spans="1:4" ht="13.5" x14ac:dyDescent="0.25">
      <c r="A290" s="306">
        <v>5843</v>
      </c>
      <c r="B290" s="305" t="s">
        <v>567</v>
      </c>
      <c r="C290" s="305" t="s">
        <v>556</v>
      </c>
      <c r="D290" s="575">
        <v>140.33000000000001</v>
      </c>
    </row>
    <row r="291" spans="1:4" ht="13.5" x14ac:dyDescent="0.25">
      <c r="A291" s="306">
        <v>5847</v>
      </c>
      <c r="B291" s="305" t="s">
        <v>568</v>
      </c>
      <c r="C291" s="305" t="s">
        <v>556</v>
      </c>
      <c r="D291" s="575">
        <v>155.44</v>
      </c>
    </row>
    <row r="292" spans="1:4" ht="13.5" x14ac:dyDescent="0.25">
      <c r="A292" s="306">
        <v>5851</v>
      </c>
      <c r="B292" s="305" t="s">
        <v>569</v>
      </c>
      <c r="C292" s="305" t="s">
        <v>556</v>
      </c>
      <c r="D292" s="575">
        <v>148.72999999999999</v>
      </c>
    </row>
    <row r="293" spans="1:4" ht="13.5" x14ac:dyDescent="0.25">
      <c r="A293" s="306">
        <v>5855</v>
      </c>
      <c r="B293" s="305" t="s">
        <v>570</v>
      </c>
      <c r="C293" s="305" t="s">
        <v>556</v>
      </c>
      <c r="D293" s="575">
        <v>388.37</v>
      </c>
    </row>
    <row r="294" spans="1:4" ht="13.5" x14ac:dyDescent="0.25">
      <c r="A294" s="306">
        <v>5863</v>
      </c>
      <c r="B294" s="305" t="s">
        <v>571</v>
      </c>
      <c r="C294" s="305" t="s">
        <v>556</v>
      </c>
      <c r="D294" s="575">
        <v>11.47</v>
      </c>
    </row>
    <row r="295" spans="1:4" ht="13.5" x14ac:dyDescent="0.25">
      <c r="A295" s="306">
        <v>5867</v>
      </c>
      <c r="B295" s="305" t="s">
        <v>572</v>
      </c>
      <c r="C295" s="305" t="s">
        <v>556</v>
      </c>
      <c r="D295" s="575">
        <v>91.41</v>
      </c>
    </row>
    <row r="296" spans="1:4" ht="13.5" x14ac:dyDescent="0.25">
      <c r="A296" s="306">
        <v>5875</v>
      </c>
      <c r="B296" s="305" t="s">
        <v>573</v>
      </c>
      <c r="C296" s="305" t="s">
        <v>556</v>
      </c>
      <c r="D296" s="575">
        <v>80.84</v>
      </c>
    </row>
    <row r="297" spans="1:4" ht="13.5" x14ac:dyDescent="0.25">
      <c r="A297" s="306">
        <v>5879</v>
      </c>
      <c r="B297" s="305" t="s">
        <v>574</v>
      </c>
      <c r="C297" s="305" t="s">
        <v>556</v>
      </c>
      <c r="D297" s="575">
        <v>79.8</v>
      </c>
    </row>
    <row r="298" spans="1:4" ht="13.5" x14ac:dyDescent="0.25">
      <c r="A298" s="306">
        <v>5882</v>
      </c>
      <c r="B298" s="305" t="s">
        <v>575</v>
      </c>
      <c r="C298" s="305" t="s">
        <v>556</v>
      </c>
      <c r="D298" s="575">
        <v>77.64</v>
      </c>
    </row>
    <row r="299" spans="1:4" ht="13.5" x14ac:dyDescent="0.25">
      <c r="A299" s="306">
        <v>5890</v>
      </c>
      <c r="B299" s="305" t="s">
        <v>576</v>
      </c>
      <c r="C299" s="305" t="s">
        <v>556</v>
      </c>
      <c r="D299" s="575">
        <v>112.83</v>
      </c>
    </row>
    <row r="300" spans="1:4" ht="13.5" x14ac:dyDescent="0.25">
      <c r="A300" s="306">
        <v>5894</v>
      </c>
      <c r="B300" s="305" t="s">
        <v>577</v>
      </c>
      <c r="C300" s="305" t="s">
        <v>556</v>
      </c>
      <c r="D300" s="575">
        <v>109.64</v>
      </c>
    </row>
    <row r="301" spans="1:4" ht="13.5" x14ac:dyDescent="0.25">
      <c r="A301" s="306">
        <v>5901</v>
      </c>
      <c r="B301" s="305" t="s">
        <v>578</v>
      </c>
      <c r="C301" s="305" t="s">
        <v>556</v>
      </c>
      <c r="D301" s="575">
        <v>170.81</v>
      </c>
    </row>
    <row r="302" spans="1:4" ht="13.5" x14ac:dyDescent="0.25">
      <c r="A302" s="306">
        <v>5909</v>
      </c>
      <c r="B302" s="305" t="s">
        <v>579</v>
      </c>
      <c r="C302" s="305" t="s">
        <v>556</v>
      </c>
      <c r="D302" s="575">
        <v>24.81</v>
      </c>
    </row>
    <row r="303" spans="1:4" ht="13.5" x14ac:dyDescent="0.25">
      <c r="A303" s="306">
        <v>5921</v>
      </c>
      <c r="B303" s="305" t="s">
        <v>580</v>
      </c>
      <c r="C303" s="305" t="s">
        <v>556</v>
      </c>
      <c r="D303" s="575">
        <v>2.72</v>
      </c>
    </row>
    <row r="304" spans="1:4" ht="13.5" x14ac:dyDescent="0.25">
      <c r="A304" s="306">
        <v>5928</v>
      </c>
      <c r="B304" s="305" t="s">
        <v>581</v>
      </c>
      <c r="C304" s="305" t="s">
        <v>556</v>
      </c>
      <c r="D304" s="575">
        <v>145.46</v>
      </c>
    </row>
    <row r="305" spans="1:4" ht="13.5" x14ac:dyDescent="0.25">
      <c r="A305" s="306">
        <v>5932</v>
      </c>
      <c r="B305" s="305" t="s">
        <v>582</v>
      </c>
      <c r="C305" s="305" t="s">
        <v>556</v>
      </c>
      <c r="D305" s="575">
        <v>137.68</v>
      </c>
    </row>
    <row r="306" spans="1:4" ht="13.5" x14ac:dyDescent="0.25">
      <c r="A306" s="306">
        <v>5940</v>
      </c>
      <c r="B306" s="305" t="s">
        <v>583</v>
      </c>
      <c r="C306" s="305" t="s">
        <v>556</v>
      </c>
      <c r="D306" s="575">
        <v>118.43</v>
      </c>
    </row>
    <row r="307" spans="1:4" ht="13.5" x14ac:dyDescent="0.25">
      <c r="A307" s="306">
        <v>5944</v>
      </c>
      <c r="B307" s="305" t="s">
        <v>584</v>
      </c>
      <c r="C307" s="305" t="s">
        <v>556</v>
      </c>
      <c r="D307" s="575">
        <v>132.80000000000001</v>
      </c>
    </row>
    <row r="308" spans="1:4" ht="13.5" x14ac:dyDescent="0.25">
      <c r="A308" s="306">
        <v>5953</v>
      </c>
      <c r="B308" s="305" t="s">
        <v>585</v>
      </c>
      <c r="C308" s="305" t="s">
        <v>556</v>
      </c>
      <c r="D308" s="575">
        <v>33.61</v>
      </c>
    </row>
    <row r="309" spans="1:4" ht="13.5" x14ac:dyDescent="0.25">
      <c r="A309" s="306">
        <v>6259</v>
      </c>
      <c r="B309" s="305" t="s">
        <v>586</v>
      </c>
      <c r="C309" s="305" t="s">
        <v>556</v>
      </c>
      <c r="D309" s="575">
        <v>141.85</v>
      </c>
    </row>
    <row r="310" spans="1:4" ht="13.5" x14ac:dyDescent="0.25">
      <c r="A310" s="306">
        <v>6879</v>
      </c>
      <c r="B310" s="305" t="s">
        <v>587</v>
      </c>
      <c r="C310" s="305" t="s">
        <v>556</v>
      </c>
      <c r="D310" s="575">
        <v>117.36</v>
      </c>
    </row>
    <row r="311" spans="1:4" ht="13.5" x14ac:dyDescent="0.25">
      <c r="A311" s="306">
        <v>7030</v>
      </c>
      <c r="B311" s="305" t="s">
        <v>588</v>
      </c>
      <c r="C311" s="305" t="s">
        <v>556</v>
      </c>
      <c r="D311" s="575">
        <v>132.29</v>
      </c>
    </row>
    <row r="312" spans="1:4" ht="13.5" x14ac:dyDescent="0.25">
      <c r="A312" s="306">
        <v>7042</v>
      </c>
      <c r="B312" s="305" t="s">
        <v>589</v>
      </c>
      <c r="C312" s="305" t="s">
        <v>556</v>
      </c>
      <c r="D312" s="575">
        <v>7.42</v>
      </c>
    </row>
    <row r="313" spans="1:4" ht="13.5" x14ac:dyDescent="0.25">
      <c r="A313" s="306">
        <v>7049</v>
      </c>
      <c r="B313" s="305" t="s">
        <v>590</v>
      </c>
      <c r="C313" s="305" t="s">
        <v>556</v>
      </c>
      <c r="D313" s="575">
        <v>124.87</v>
      </c>
    </row>
    <row r="314" spans="1:4" ht="13.5" x14ac:dyDescent="0.25">
      <c r="A314" s="306">
        <v>67826</v>
      </c>
      <c r="B314" s="305" t="s">
        <v>591</v>
      </c>
      <c r="C314" s="305" t="s">
        <v>556</v>
      </c>
      <c r="D314" s="575">
        <v>104.35</v>
      </c>
    </row>
    <row r="315" spans="1:4" ht="13.5" x14ac:dyDescent="0.25">
      <c r="A315" s="306">
        <v>73417</v>
      </c>
      <c r="B315" s="305" t="s">
        <v>592</v>
      </c>
      <c r="C315" s="305" t="s">
        <v>556</v>
      </c>
      <c r="D315" s="575">
        <v>110.41</v>
      </c>
    </row>
    <row r="316" spans="1:4" ht="13.5" x14ac:dyDescent="0.25">
      <c r="A316" s="306">
        <v>73436</v>
      </c>
      <c r="B316" s="305" t="s">
        <v>593</v>
      </c>
      <c r="C316" s="305" t="s">
        <v>556</v>
      </c>
      <c r="D316" s="575">
        <v>135.21</v>
      </c>
    </row>
    <row r="317" spans="1:4" ht="13.5" x14ac:dyDescent="0.25">
      <c r="A317" s="306">
        <v>73467</v>
      </c>
      <c r="B317" s="305" t="s">
        <v>594</v>
      </c>
      <c r="C317" s="305" t="s">
        <v>556</v>
      </c>
      <c r="D317" s="575">
        <v>96.5</v>
      </c>
    </row>
    <row r="318" spans="1:4" ht="13.5" x14ac:dyDescent="0.25">
      <c r="A318" s="306">
        <v>73536</v>
      </c>
      <c r="B318" s="305" t="s">
        <v>595</v>
      </c>
      <c r="C318" s="305" t="s">
        <v>556</v>
      </c>
      <c r="D318" s="575">
        <v>6.28</v>
      </c>
    </row>
    <row r="319" spans="1:4" ht="13.5" x14ac:dyDescent="0.25">
      <c r="A319" s="306">
        <v>83362</v>
      </c>
      <c r="B319" s="305" t="s">
        <v>596</v>
      </c>
      <c r="C319" s="305" t="s">
        <v>556</v>
      </c>
      <c r="D319" s="575">
        <v>170.59</v>
      </c>
    </row>
    <row r="320" spans="1:4" ht="13.5" x14ac:dyDescent="0.25">
      <c r="A320" s="306">
        <v>83765</v>
      </c>
      <c r="B320" s="305" t="s">
        <v>597</v>
      </c>
      <c r="C320" s="305" t="s">
        <v>556</v>
      </c>
      <c r="D320" s="575">
        <v>72.400000000000006</v>
      </c>
    </row>
    <row r="321" spans="1:4" ht="13.5" x14ac:dyDescent="0.25">
      <c r="A321" s="306">
        <v>87445</v>
      </c>
      <c r="B321" s="305" t="s">
        <v>598</v>
      </c>
      <c r="C321" s="305" t="s">
        <v>556</v>
      </c>
      <c r="D321" s="575">
        <v>3.02</v>
      </c>
    </row>
    <row r="322" spans="1:4" ht="13.5" x14ac:dyDescent="0.25">
      <c r="A322" s="306">
        <v>88386</v>
      </c>
      <c r="B322" s="305" t="s">
        <v>599</v>
      </c>
      <c r="C322" s="305" t="s">
        <v>556</v>
      </c>
      <c r="D322" s="575">
        <v>3.77</v>
      </c>
    </row>
    <row r="323" spans="1:4" ht="13.5" x14ac:dyDescent="0.25">
      <c r="A323" s="306">
        <v>88393</v>
      </c>
      <c r="B323" s="305" t="s">
        <v>600</v>
      </c>
      <c r="C323" s="305" t="s">
        <v>556</v>
      </c>
      <c r="D323" s="575">
        <v>5.24</v>
      </c>
    </row>
    <row r="324" spans="1:4" ht="13.5" x14ac:dyDescent="0.25">
      <c r="A324" s="306">
        <v>88399</v>
      </c>
      <c r="B324" s="305" t="s">
        <v>601</v>
      </c>
      <c r="C324" s="305" t="s">
        <v>556</v>
      </c>
      <c r="D324" s="575">
        <v>2.72</v>
      </c>
    </row>
    <row r="325" spans="1:4" ht="13.5" x14ac:dyDescent="0.25">
      <c r="A325" s="306">
        <v>88418</v>
      </c>
      <c r="B325" s="305" t="s">
        <v>602</v>
      </c>
      <c r="C325" s="305" t="s">
        <v>556</v>
      </c>
      <c r="D325" s="575">
        <v>11.54</v>
      </c>
    </row>
    <row r="326" spans="1:4" ht="13.5" x14ac:dyDescent="0.25">
      <c r="A326" s="306">
        <v>88433</v>
      </c>
      <c r="B326" s="305" t="s">
        <v>603</v>
      </c>
      <c r="C326" s="305" t="s">
        <v>556</v>
      </c>
      <c r="D326" s="575">
        <v>14.12</v>
      </c>
    </row>
    <row r="327" spans="1:4" ht="13.5" x14ac:dyDescent="0.25">
      <c r="A327" s="306">
        <v>88830</v>
      </c>
      <c r="B327" s="305" t="s">
        <v>604</v>
      </c>
      <c r="C327" s="305" t="s">
        <v>556</v>
      </c>
      <c r="D327" s="575">
        <v>1.39</v>
      </c>
    </row>
    <row r="328" spans="1:4" ht="13.5" x14ac:dyDescent="0.25">
      <c r="A328" s="306">
        <v>88843</v>
      </c>
      <c r="B328" s="305" t="s">
        <v>605</v>
      </c>
      <c r="C328" s="305" t="s">
        <v>556</v>
      </c>
      <c r="D328" s="575">
        <v>125.46</v>
      </c>
    </row>
    <row r="329" spans="1:4" ht="13.5" x14ac:dyDescent="0.25">
      <c r="A329" s="306">
        <v>88907</v>
      </c>
      <c r="B329" s="305" t="s">
        <v>606</v>
      </c>
      <c r="C329" s="305" t="s">
        <v>556</v>
      </c>
      <c r="D329" s="575">
        <v>155.47</v>
      </c>
    </row>
    <row r="330" spans="1:4" ht="13.5" x14ac:dyDescent="0.25">
      <c r="A330" s="306">
        <v>89021</v>
      </c>
      <c r="B330" s="305" t="s">
        <v>607</v>
      </c>
      <c r="C330" s="305" t="s">
        <v>556</v>
      </c>
      <c r="D330" s="575">
        <v>2.0699999999999998</v>
      </c>
    </row>
    <row r="331" spans="1:4" ht="13.5" x14ac:dyDescent="0.25">
      <c r="A331" s="306">
        <v>89028</v>
      </c>
      <c r="B331" s="305" t="s">
        <v>608</v>
      </c>
      <c r="C331" s="305" t="s">
        <v>556</v>
      </c>
      <c r="D331" s="575">
        <v>122.11</v>
      </c>
    </row>
    <row r="332" spans="1:4" ht="13.5" x14ac:dyDescent="0.25">
      <c r="A332" s="306">
        <v>89032</v>
      </c>
      <c r="B332" s="305" t="s">
        <v>609</v>
      </c>
      <c r="C332" s="305" t="s">
        <v>556</v>
      </c>
      <c r="D332" s="575">
        <v>113.8</v>
      </c>
    </row>
    <row r="333" spans="1:4" ht="13.5" x14ac:dyDescent="0.25">
      <c r="A333" s="306">
        <v>89035</v>
      </c>
      <c r="B333" s="305" t="s">
        <v>610</v>
      </c>
      <c r="C333" s="305" t="s">
        <v>556</v>
      </c>
      <c r="D333" s="575">
        <v>104.8</v>
      </c>
    </row>
    <row r="334" spans="1:4" ht="13.5" x14ac:dyDescent="0.25">
      <c r="A334" s="306">
        <v>89225</v>
      </c>
      <c r="B334" s="305" t="s">
        <v>611</v>
      </c>
      <c r="C334" s="305" t="s">
        <v>556</v>
      </c>
      <c r="D334" s="575">
        <v>3.74</v>
      </c>
    </row>
    <row r="335" spans="1:4" ht="13.5" x14ac:dyDescent="0.25">
      <c r="A335" s="306">
        <v>89234</v>
      </c>
      <c r="B335" s="305" t="s">
        <v>612</v>
      </c>
      <c r="C335" s="305" t="s">
        <v>556</v>
      </c>
      <c r="D335" s="575">
        <v>380.79</v>
      </c>
    </row>
    <row r="336" spans="1:4" ht="13.5" x14ac:dyDescent="0.25">
      <c r="A336" s="306">
        <v>89242</v>
      </c>
      <c r="B336" s="305" t="s">
        <v>613</v>
      </c>
      <c r="C336" s="305" t="s">
        <v>556</v>
      </c>
      <c r="D336" s="575">
        <v>891.5</v>
      </c>
    </row>
    <row r="337" spans="1:4" ht="13.5" x14ac:dyDescent="0.25">
      <c r="A337" s="306">
        <v>89250</v>
      </c>
      <c r="B337" s="305" t="s">
        <v>614</v>
      </c>
      <c r="C337" s="305" t="s">
        <v>556</v>
      </c>
      <c r="D337" s="575">
        <v>773.18</v>
      </c>
    </row>
    <row r="338" spans="1:4" ht="13.5" x14ac:dyDescent="0.25">
      <c r="A338" s="306">
        <v>89257</v>
      </c>
      <c r="B338" s="305" t="s">
        <v>615</v>
      </c>
      <c r="C338" s="305" t="s">
        <v>556</v>
      </c>
      <c r="D338" s="575">
        <v>216.4</v>
      </c>
    </row>
    <row r="339" spans="1:4" ht="13.5" x14ac:dyDescent="0.25">
      <c r="A339" s="306">
        <v>89272</v>
      </c>
      <c r="B339" s="305" t="s">
        <v>616</v>
      </c>
      <c r="C339" s="305" t="s">
        <v>556</v>
      </c>
      <c r="D339" s="575">
        <v>118.34</v>
      </c>
    </row>
    <row r="340" spans="1:4" ht="13.5" x14ac:dyDescent="0.25">
      <c r="A340" s="306">
        <v>89278</v>
      </c>
      <c r="B340" s="305" t="s">
        <v>617</v>
      </c>
      <c r="C340" s="305" t="s">
        <v>556</v>
      </c>
      <c r="D340" s="575">
        <v>7.08</v>
      </c>
    </row>
    <row r="341" spans="1:4" ht="13.5" x14ac:dyDescent="0.25">
      <c r="A341" s="306">
        <v>89843</v>
      </c>
      <c r="B341" s="305" t="s">
        <v>618</v>
      </c>
      <c r="C341" s="305" t="s">
        <v>556</v>
      </c>
      <c r="D341" s="575">
        <v>131.28</v>
      </c>
    </row>
    <row r="342" spans="1:4" ht="13.5" x14ac:dyDescent="0.25">
      <c r="A342" s="306">
        <v>89876</v>
      </c>
      <c r="B342" s="305" t="s">
        <v>619</v>
      </c>
      <c r="C342" s="305" t="s">
        <v>556</v>
      </c>
      <c r="D342" s="575">
        <v>178.57</v>
      </c>
    </row>
    <row r="343" spans="1:4" ht="13.5" x14ac:dyDescent="0.25">
      <c r="A343" s="306">
        <v>89883</v>
      </c>
      <c r="B343" s="305" t="s">
        <v>620</v>
      </c>
      <c r="C343" s="305" t="s">
        <v>556</v>
      </c>
      <c r="D343" s="575">
        <v>197.53</v>
      </c>
    </row>
    <row r="344" spans="1:4" ht="13.5" x14ac:dyDescent="0.25">
      <c r="A344" s="306">
        <v>90586</v>
      </c>
      <c r="B344" s="305" t="s">
        <v>621</v>
      </c>
      <c r="C344" s="305" t="s">
        <v>556</v>
      </c>
      <c r="D344" s="575">
        <v>1.53</v>
      </c>
    </row>
    <row r="345" spans="1:4" ht="13.5" x14ac:dyDescent="0.25">
      <c r="A345" s="306">
        <v>90625</v>
      </c>
      <c r="B345" s="305" t="s">
        <v>622</v>
      </c>
      <c r="C345" s="305" t="s">
        <v>556</v>
      </c>
      <c r="D345" s="575">
        <v>5.89</v>
      </c>
    </row>
    <row r="346" spans="1:4" ht="13.5" x14ac:dyDescent="0.25">
      <c r="A346" s="306">
        <v>90631</v>
      </c>
      <c r="B346" s="305" t="s">
        <v>623</v>
      </c>
      <c r="C346" s="305" t="s">
        <v>556</v>
      </c>
      <c r="D346" s="575">
        <v>107.62</v>
      </c>
    </row>
    <row r="347" spans="1:4" ht="13.5" x14ac:dyDescent="0.25">
      <c r="A347" s="306">
        <v>90637</v>
      </c>
      <c r="B347" s="305" t="s">
        <v>624</v>
      </c>
      <c r="C347" s="305" t="s">
        <v>556</v>
      </c>
      <c r="D347" s="575">
        <v>10.88</v>
      </c>
    </row>
    <row r="348" spans="1:4" ht="13.5" x14ac:dyDescent="0.25">
      <c r="A348" s="306">
        <v>90643</v>
      </c>
      <c r="B348" s="305" t="s">
        <v>625</v>
      </c>
      <c r="C348" s="305" t="s">
        <v>556</v>
      </c>
      <c r="D348" s="575">
        <v>14.33</v>
      </c>
    </row>
    <row r="349" spans="1:4" ht="13.5" x14ac:dyDescent="0.25">
      <c r="A349" s="306">
        <v>90650</v>
      </c>
      <c r="B349" s="305" t="s">
        <v>626</v>
      </c>
      <c r="C349" s="305" t="s">
        <v>556</v>
      </c>
      <c r="D349" s="575">
        <v>8.77</v>
      </c>
    </row>
    <row r="350" spans="1:4" ht="13.5" x14ac:dyDescent="0.25">
      <c r="A350" s="306">
        <v>90656</v>
      </c>
      <c r="B350" s="305" t="s">
        <v>627</v>
      </c>
      <c r="C350" s="305" t="s">
        <v>556</v>
      </c>
      <c r="D350" s="575">
        <v>10.82</v>
      </c>
    </row>
    <row r="351" spans="1:4" ht="13.5" x14ac:dyDescent="0.25">
      <c r="A351" s="306">
        <v>90662</v>
      </c>
      <c r="B351" s="305" t="s">
        <v>628</v>
      </c>
      <c r="C351" s="305" t="s">
        <v>556</v>
      </c>
      <c r="D351" s="575">
        <v>11.24</v>
      </c>
    </row>
    <row r="352" spans="1:4" ht="13.5" x14ac:dyDescent="0.25">
      <c r="A352" s="306">
        <v>90668</v>
      </c>
      <c r="B352" s="305" t="s">
        <v>629</v>
      </c>
      <c r="C352" s="305" t="s">
        <v>556</v>
      </c>
      <c r="D352" s="575">
        <v>18.39</v>
      </c>
    </row>
    <row r="353" spans="1:4" ht="13.5" x14ac:dyDescent="0.25">
      <c r="A353" s="306">
        <v>90674</v>
      </c>
      <c r="B353" s="305" t="s">
        <v>630</v>
      </c>
      <c r="C353" s="305" t="s">
        <v>556</v>
      </c>
      <c r="D353" s="575">
        <v>437.75</v>
      </c>
    </row>
    <row r="354" spans="1:4" ht="13.5" x14ac:dyDescent="0.25">
      <c r="A354" s="306">
        <v>90680</v>
      </c>
      <c r="B354" s="305" t="s">
        <v>631</v>
      </c>
      <c r="C354" s="305" t="s">
        <v>556</v>
      </c>
      <c r="D354" s="575">
        <v>252.69</v>
      </c>
    </row>
    <row r="355" spans="1:4" ht="13.5" x14ac:dyDescent="0.25">
      <c r="A355" s="306">
        <v>90686</v>
      </c>
      <c r="B355" s="305" t="s">
        <v>632</v>
      </c>
      <c r="C355" s="305" t="s">
        <v>556</v>
      </c>
      <c r="D355" s="575">
        <v>106.48</v>
      </c>
    </row>
    <row r="356" spans="1:4" ht="13.5" x14ac:dyDescent="0.25">
      <c r="A356" s="306">
        <v>90692</v>
      </c>
      <c r="B356" s="305" t="s">
        <v>633</v>
      </c>
      <c r="C356" s="305" t="s">
        <v>556</v>
      </c>
      <c r="D356" s="575">
        <v>83.33</v>
      </c>
    </row>
    <row r="357" spans="1:4" ht="13.5" x14ac:dyDescent="0.25">
      <c r="A357" s="306">
        <v>90964</v>
      </c>
      <c r="B357" s="305" t="s">
        <v>634</v>
      </c>
      <c r="C357" s="305" t="s">
        <v>556</v>
      </c>
      <c r="D357" s="575">
        <v>17.37</v>
      </c>
    </row>
    <row r="358" spans="1:4" ht="13.5" x14ac:dyDescent="0.25">
      <c r="A358" s="306">
        <v>90972</v>
      </c>
      <c r="B358" s="305" t="s">
        <v>635</v>
      </c>
      <c r="C358" s="305" t="s">
        <v>556</v>
      </c>
      <c r="D358" s="575">
        <v>43.56</v>
      </c>
    </row>
    <row r="359" spans="1:4" ht="13.5" x14ac:dyDescent="0.25">
      <c r="A359" s="306">
        <v>90979</v>
      </c>
      <c r="B359" s="305" t="s">
        <v>636</v>
      </c>
      <c r="C359" s="305" t="s">
        <v>556</v>
      </c>
      <c r="D359" s="575">
        <v>112.58</v>
      </c>
    </row>
    <row r="360" spans="1:4" ht="13.5" x14ac:dyDescent="0.25">
      <c r="A360" s="306">
        <v>90991</v>
      </c>
      <c r="B360" s="305" t="s">
        <v>637</v>
      </c>
      <c r="C360" s="305" t="s">
        <v>556</v>
      </c>
      <c r="D360" s="575">
        <v>128.76</v>
      </c>
    </row>
    <row r="361" spans="1:4" ht="13.5" x14ac:dyDescent="0.25">
      <c r="A361" s="306">
        <v>90999</v>
      </c>
      <c r="B361" s="305" t="s">
        <v>638</v>
      </c>
      <c r="C361" s="305" t="s">
        <v>556</v>
      </c>
      <c r="D361" s="575">
        <v>57.65</v>
      </c>
    </row>
    <row r="362" spans="1:4" ht="13.5" x14ac:dyDescent="0.25">
      <c r="A362" s="306">
        <v>91031</v>
      </c>
      <c r="B362" s="305" t="s">
        <v>639</v>
      </c>
      <c r="C362" s="305" t="s">
        <v>556</v>
      </c>
      <c r="D362" s="575">
        <v>137.44</v>
      </c>
    </row>
    <row r="363" spans="1:4" ht="13.5" x14ac:dyDescent="0.25">
      <c r="A363" s="306">
        <v>91277</v>
      </c>
      <c r="B363" s="305" t="s">
        <v>640</v>
      </c>
      <c r="C363" s="305" t="s">
        <v>556</v>
      </c>
      <c r="D363" s="575">
        <v>6.74</v>
      </c>
    </row>
    <row r="364" spans="1:4" ht="13.5" x14ac:dyDescent="0.25">
      <c r="A364" s="306">
        <v>91283</v>
      </c>
      <c r="B364" s="305" t="s">
        <v>641</v>
      </c>
      <c r="C364" s="305" t="s">
        <v>556</v>
      </c>
      <c r="D364" s="575">
        <v>15.59</v>
      </c>
    </row>
    <row r="365" spans="1:4" ht="13.5" x14ac:dyDescent="0.25">
      <c r="A365" s="306">
        <v>91386</v>
      </c>
      <c r="B365" s="305" t="s">
        <v>642</v>
      </c>
      <c r="C365" s="305" t="s">
        <v>556</v>
      </c>
      <c r="D365" s="575">
        <v>146.28</v>
      </c>
    </row>
    <row r="366" spans="1:4" ht="13.5" x14ac:dyDescent="0.25">
      <c r="A366" s="306">
        <v>91533</v>
      </c>
      <c r="B366" s="305" t="s">
        <v>643</v>
      </c>
      <c r="C366" s="305" t="s">
        <v>556</v>
      </c>
      <c r="D366" s="575">
        <v>27.66</v>
      </c>
    </row>
    <row r="367" spans="1:4" ht="13.5" x14ac:dyDescent="0.25">
      <c r="A367" s="306">
        <v>91634</v>
      </c>
      <c r="B367" s="305" t="s">
        <v>644</v>
      </c>
      <c r="C367" s="305" t="s">
        <v>556</v>
      </c>
      <c r="D367" s="575">
        <v>129.13999999999999</v>
      </c>
    </row>
    <row r="368" spans="1:4" ht="13.5" x14ac:dyDescent="0.25">
      <c r="A368" s="306">
        <v>91645</v>
      </c>
      <c r="B368" s="305" t="s">
        <v>645</v>
      </c>
      <c r="C368" s="305" t="s">
        <v>556</v>
      </c>
      <c r="D368" s="575">
        <v>259.17</v>
      </c>
    </row>
    <row r="369" spans="1:4" ht="13.5" x14ac:dyDescent="0.25">
      <c r="A369" s="306">
        <v>91692</v>
      </c>
      <c r="B369" s="305" t="s">
        <v>646</v>
      </c>
      <c r="C369" s="305" t="s">
        <v>556</v>
      </c>
      <c r="D369" s="575">
        <v>24.7</v>
      </c>
    </row>
    <row r="370" spans="1:4" ht="13.5" x14ac:dyDescent="0.25">
      <c r="A370" s="306">
        <v>92043</v>
      </c>
      <c r="B370" s="305" t="s">
        <v>647</v>
      </c>
      <c r="C370" s="305" t="s">
        <v>556</v>
      </c>
      <c r="D370" s="575">
        <v>8</v>
      </c>
    </row>
    <row r="371" spans="1:4" ht="13.5" x14ac:dyDescent="0.25">
      <c r="A371" s="306">
        <v>92106</v>
      </c>
      <c r="B371" s="305" t="s">
        <v>648</v>
      </c>
      <c r="C371" s="305" t="s">
        <v>556</v>
      </c>
      <c r="D371" s="575">
        <v>175.53</v>
      </c>
    </row>
    <row r="372" spans="1:4" ht="13.5" x14ac:dyDescent="0.25">
      <c r="A372" s="306">
        <v>92112</v>
      </c>
      <c r="B372" s="305" t="s">
        <v>649</v>
      </c>
      <c r="C372" s="305" t="s">
        <v>556</v>
      </c>
      <c r="D372" s="575">
        <v>2.17</v>
      </c>
    </row>
    <row r="373" spans="1:4" ht="13.5" x14ac:dyDescent="0.25">
      <c r="A373" s="306">
        <v>92118</v>
      </c>
      <c r="B373" s="305" t="s">
        <v>650</v>
      </c>
      <c r="C373" s="305" t="s">
        <v>556</v>
      </c>
      <c r="D373" s="575">
        <v>0.16</v>
      </c>
    </row>
    <row r="374" spans="1:4" ht="13.5" x14ac:dyDescent="0.25">
      <c r="A374" s="306">
        <v>92138</v>
      </c>
      <c r="B374" s="305" t="s">
        <v>651</v>
      </c>
      <c r="C374" s="305" t="s">
        <v>556</v>
      </c>
      <c r="D374" s="575">
        <v>61.82</v>
      </c>
    </row>
    <row r="375" spans="1:4" ht="13.5" x14ac:dyDescent="0.25">
      <c r="A375" s="306">
        <v>92145</v>
      </c>
      <c r="B375" s="305" t="s">
        <v>652</v>
      </c>
      <c r="C375" s="305" t="s">
        <v>556</v>
      </c>
      <c r="D375" s="575">
        <v>53.49</v>
      </c>
    </row>
    <row r="376" spans="1:4" ht="13.5" x14ac:dyDescent="0.25">
      <c r="A376" s="306">
        <v>92242</v>
      </c>
      <c r="B376" s="305" t="s">
        <v>653</v>
      </c>
      <c r="C376" s="305" t="s">
        <v>556</v>
      </c>
      <c r="D376" s="575">
        <v>227.84</v>
      </c>
    </row>
    <row r="377" spans="1:4" ht="13.5" x14ac:dyDescent="0.25">
      <c r="A377" s="306">
        <v>92716</v>
      </c>
      <c r="B377" s="305" t="s">
        <v>654</v>
      </c>
      <c r="C377" s="305" t="s">
        <v>556</v>
      </c>
      <c r="D377" s="575">
        <v>18.3</v>
      </c>
    </row>
    <row r="378" spans="1:4" ht="13.5" x14ac:dyDescent="0.25">
      <c r="A378" s="306">
        <v>92960</v>
      </c>
      <c r="B378" s="305" t="s">
        <v>655</v>
      </c>
      <c r="C378" s="305" t="s">
        <v>556</v>
      </c>
      <c r="D378" s="575">
        <v>13.61</v>
      </c>
    </row>
    <row r="379" spans="1:4" ht="13.5" x14ac:dyDescent="0.25">
      <c r="A379" s="306">
        <v>92966</v>
      </c>
      <c r="B379" s="305" t="s">
        <v>656</v>
      </c>
      <c r="C379" s="305" t="s">
        <v>556</v>
      </c>
      <c r="D379" s="575">
        <v>21.72</v>
      </c>
    </row>
    <row r="380" spans="1:4" ht="13.5" x14ac:dyDescent="0.25">
      <c r="A380" s="306">
        <v>93224</v>
      </c>
      <c r="B380" s="305" t="s">
        <v>657</v>
      </c>
      <c r="C380" s="305" t="s">
        <v>556</v>
      </c>
      <c r="D380" s="575">
        <v>651.32000000000005</v>
      </c>
    </row>
    <row r="381" spans="1:4" ht="13.5" x14ac:dyDescent="0.25">
      <c r="A381" s="306">
        <v>93233</v>
      </c>
      <c r="B381" s="305" t="s">
        <v>658</v>
      </c>
      <c r="C381" s="305" t="s">
        <v>556</v>
      </c>
      <c r="D381" s="575">
        <v>6.56</v>
      </c>
    </row>
    <row r="382" spans="1:4" ht="13.5" x14ac:dyDescent="0.25">
      <c r="A382" s="306">
        <v>93272</v>
      </c>
      <c r="B382" s="305" t="s">
        <v>659</v>
      </c>
      <c r="C382" s="305" t="s">
        <v>556</v>
      </c>
      <c r="D382" s="575">
        <v>86.14</v>
      </c>
    </row>
    <row r="383" spans="1:4" ht="13.5" x14ac:dyDescent="0.25">
      <c r="A383" s="306">
        <v>93281</v>
      </c>
      <c r="B383" s="305" t="s">
        <v>660</v>
      </c>
      <c r="C383" s="305" t="s">
        <v>556</v>
      </c>
      <c r="D383" s="575">
        <v>20.3</v>
      </c>
    </row>
    <row r="384" spans="1:4" ht="13.5" x14ac:dyDescent="0.25">
      <c r="A384" s="306">
        <v>93287</v>
      </c>
      <c r="B384" s="305" t="s">
        <v>661</v>
      </c>
      <c r="C384" s="305" t="s">
        <v>556</v>
      </c>
      <c r="D384" s="575">
        <v>344.49</v>
      </c>
    </row>
    <row r="385" spans="1:4" ht="13.5" x14ac:dyDescent="0.25">
      <c r="A385" s="306">
        <v>93402</v>
      </c>
      <c r="B385" s="305" t="s">
        <v>662</v>
      </c>
      <c r="C385" s="305" t="s">
        <v>556</v>
      </c>
      <c r="D385" s="575">
        <v>143.07</v>
      </c>
    </row>
    <row r="386" spans="1:4" ht="13.5" x14ac:dyDescent="0.25">
      <c r="A386" s="306">
        <v>93408</v>
      </c>
      <c r="B386" s="305" t="s">
        <v>12258</v>
      </c>
      <c r="C386" s="305" t="s">
        <v>556</v>
      </c>
      <c r="D386" s="575">
        <v>58.86</v>
      </c>
    </row>
    <row r="387" spans="1:4" ht="13.5" x14ac:dyDescent="0.25">
      <c r="A387" s="306">
        <v>93415</v>
      </c>
      <c r="B387" s="305" t="s">
        <v>663</v>
      </c>
      <c r="C387" s="305" t="s">
        <v>556</v>
      </c>
      <c r="D387" s="575">
        <v>10.79</v>
      </c>
    </row>
    <row r="388" spans="1:4" ht="13.5" x14ac:dyDescent="0.25">
      <c r="A388" s="306">
        <v>93421</v>
      </c>
      <c r="B388" s="305" t="s">
        <v>664</v>
      </c>
      <c r="C388" s="305" t="s">
        <v>556</v>
      </c>
      <c r="D388" s="575">
        <v>44.16</v>
      </c>
    </row>
    <row r="389" spans="1:4" ht="13.5" x14ac:dyDescent="0.25">
      <c r="A389" s="306">
        <v>93427</v>
      </c>
      <c r="B389" s="305" t="s">
        <v>665</v>
      </c>
      <c r="C389" s="305" t="s">
        <v>556</v>
      </c>
      <c r="D389" s="575">
        <v>99.97</v>
      </c>
    </row>
    <row r="390" spans="1:4" ht="13.5" x14ac:dyDescent="0.25">
      <c r="A390" s="306">
        <v>93433</v>
      </c>
      <c r="B390" s="305" t="s">
        <v>666</v>
      </c>
      <c r="C390" s="305" t="s">
        <v>556</v>
      </c>
      <c r="D390" s="576">
        <v>1916.45</v>
      </c>
    </row>
    <row r="391" spans="1:4" ht="13.5" x14ac:dyDescent="0.25">
      <c r="A391" s="306">
        <v>93439</v>
      </c>
      <c r="B391" s="305" t="s">
        <v>667</v>
      </c>
      <c r="C391" s="305" t="s">
        <v>556</v>
      </c>
      <c r="D391" s="575">
        <v>114.1</v>
      </c>
    </row>
    <row r="392" spans="1:4" ht="13.5" x14ac:dyDescent="0.25">
      <c r="A392" s="306">
        <v>95121</v>
      </c>
      <c r="B392" s="305" t="s">
        <v>668</v>
      </c>
      <c r="C392" s="305" t="s">
        <v>556</v>
      </c>
      <c r="D392" s="575">
        <v>217.87</v>
      </c>
    </row>
    <row r="393" spans="1:4" ht="13.5" x14ac:dyDescent="0.25">
      <c r="A393" s="306">
        <v>95127</v>
      </c>
      <c r="B393" s="305" t="s">
        <v>669</v>
      </c>
      <c r="C393" s="305" t="s">
        <v>556</v>
      </c>
      <c r="D393" s="575">
        <v>132.21</v>
      </c>
    </row>
    <row r="394" spans="1:4" ht="13.5" x14ac:dyDescent="0.25">
      <c r="A394" s="306">
        <v>95133</v>
      </c>
      <c r="B394" s="305" t="s">
        <v>670</v>
      </c>
      <c r="C394" s="305" t="s">
        <v>556</v>
      </c>
      <c r="D394" s="575">
        <v>100.17</v>
      </c>
    </row>
    <row r="395" spans="1:4" ht="13.5" x14ac:dyDescent="0.25">
      <c r="A395" s="306">
        <v>95139</v>
      </c>
      <c r="B395" s="305" t="s">
        <v>671</v>
      </c>
      <c r="C395" s="305" t="s">
        <v>556</v>
      </c>
      <c r="D395" s="575">
        <v>0.06</v>
      </c>
    </row>
    <row r="396" spans="1:4" ht="13.5" x14ac:dyDescent="0.25">
      <c r="A396" s="306">
        <v>95212</v>
      </c>
      <c r="B396" s="305" t="s">
        <v>672</v>
      </c>
      <c r="C396" s="305" t="s">
        <v>556</v>
      </c>
      <c r="D396" s="575">
        <v>93.5</v>
      </c>
    </row>
    <row r="397" spans="1:4" ht="13.5" x14ac:dyDescent="0.25">
      <c r="A397" s="306">
        <v>95218</v>
      </c>
      <c r="B397" s="305" t="s">
        <v>673</v>
      </c>
      <c r="C397" s="305" t="s">
        <v>556</v>
      </c>
      <c r="D397" s="575">
        <v>22.02</v>
      </c>
    </row>
    <row r="398" spans="1:4" ht="13.5" x14ac:dyDescent="0.25">
      <c r="A398" s="306">
        <v>95258</v>
      </c>
      <c r="B398" s="305" t="s">
        <v>674</v>
      </c>
      <c r="C398" s="305" t="s">
        <v>556</v>
      </c>
      <c r="D398" s="575">
        <v>21.35</v>
      </c>
    </row>
    <row r="399" spans="1:4" ht="13.5" x14ac:dyDescent="0.25">
      <c r="A399" s="306">
        <v>95264</v>
      </c>
      <c r="B399" s="305" t="s">
        <v>675</v>
      </c>
      <c r="C399" s="305" t="s">
        <v>556</v>
      </c>
      <c r="D399" s="575">
        <v>4.75</v>
      </c>
    </row>
    <row r="400" spans="1:4" ht="13.5" x14ac:dyDescent="0.25">
      <c r="A400" s="306">
        <v>95270</v>
      </c>
      <c r="B400" s="305" t="s">
        <v>676</v>
      </c>
      <c r="C400" s="305" t="s">
        <v>556</v>
      </c>
      <c r="D400" s="575">
        <v>6.86</v>
      </c>
    </row>
    <row r="401" spans="1:4" ht="13.5" x14ac:dyDescent="0.25">
      <c r="A401" s="306">
        <v>95276</v>
      </c>
      <c r="B401" s="305" t="s">
        <v>677</v>
      </c>
      <c r="C401" s="305" t="s">
        <v>556</v>
      </c>
      <c r="D401" s="575">
        <v>2.7</v>
      </c>
    </row>
    <row r="402" spans="1:4" ht="13.5" x14ac:dyDescent="0.25">
      <c r="A402" s="306">
        <v>95282</v>
      </c>
      <c r="B402" s="305" t="s">
        <v>678</v>
      </c>
      <c r="C402" s="305" t="s">
        <v>556</v>
      </c>
      <c r="D402" s="575">
        <v>6.84</v>
      </c>
    </row>
    <row r="403" spans="1:4" ht="13.5" x14ac:dyDescent="0.25">
      <c r="A403" s="306">
        <v>95620</v>
      </c>
      <c r="B403" s="305" t="s">
        <v>679</v>
      </c>
      <c r="C403" s="305" t="s">
        <v>556</v>
      </c>
      <c r="D403" s="575">
        <v>20.93</v>
      </c>
    </row>
    <row r="404" spans="1:4" ht="13.5" x14ac:dyDescent="0.25">
      <c r="A404" s="306">
        <v>95631</v>
      </c>
      <c r="B404" s="305" t="s">
        <v>680</v>
      </c>
      <c r="C404" s="305" t="s">
        <v>556</v>
      </c>
      <c r="D404" s="575">
        <v>129.04</v>
      </c>
    </row>
    <row r="405" spans="1:4" ht="13.5" x14ac:dyDescent="0.25">
      <c r="A405" s="306">
        <v>95702</v>
      </c>
      <c r="B405" s="305" t="s">
        <v>681</v>
      </c>
      <c r="C405" s="305" t="s">
        <v>556</v>
      </c>
      <c r="D405" s="575">
        <v>32.29</v>
      </c>
    </row>
    <row r="406" spans="1:4" ht="13.5" x14ac:dyDescent="0.25">
      <c r="A406" s="306">
        <v>95708</v>
      </c>
      <c r="B406" s="305" t="s">
        <v>682</v>
      </c>
      <c r="C406" s="305" t="s">
        <v>556</v>
      </c>
      <c r="D406" s="575">
        <v>121.57</v>
      </c>
    </row>
    <row r="407" spans="1:4" ht="13.5" x14ac:dyDescent="0.25">
      <c r="A407" s="306">
        <v>95714</v>
      </c>
      <c r="B407" s="305" t="s">
        <v>683</v>
      </c>
      <c r="C407" s="305" t="s">
        <v>556</v>
      </c>
      <c r="D407" s="575">
        <v>159.91999999999999</v>
      </c>
    </row>
    <row r="408" spans="1:4" ht="13.5" x14ac:dyDescent="0.25">
      <c r="A408" s="306">
        <v>95720</v>
      </c>
      <c r="B408" s="305" t="s">
        <v>684</v>
      </c>
      <c r="C408" s="305" t="s">
        <v>556</v>
      </c>
      <c r="D408" s="575">
        <v>156.68</v>
      </c>
    </row>
    <row r="409" spans="1:4" ht="13.5" x14ac:dyDescent="0.25">
      <c r="A409" s="306">
        <v>95872</v>
      </c>
      <c r="B409" s="305" t="s">
        <v>685</v>
      </c>
      <c r="C409" s="305" t="s">
        <v>556</v>
      </c>
      <c r="D409" s="575">
        <v>169.47</v>
      </c>
    </row>
    <row r="410" spans="1:4" ht="13.5" x14ac:dyDescent="0.25">
      <c r="A410" s="306">
        <v>96013</v>
      </c>
      <c r="B410" s="305" t="s">
        <v>686</v>
      </c>
      <c r="C410" s="305" t="s">
        <v>556</v>
      </c>
      <c r="D410" s="575">
        <v>144.97999999999999</v>
      </c>
    </row>
    <row r="411" spans="1:4" ht="13.5" x14ac:dyDescent="0.25">
      <c r="A411" s="306">
        <v>96020</v>
      </c>
      <c r="B411" s="305" t="s">
        <v>687</v>
      </c>
      <c r="C411" s="305" t="s">
        <v>556</v>
      </c>
      <c r="D411" s="575">
        <v>144.72</v>
      </c>
    </row>
    <row r="412" spans="1:4" ht="13.5" x14ac:dyDescent="0.25">
      <c r="A412" s="306">
        <v>96028</v>
      </c>
      <c r="B412" s="305" t="s">
        <v>688</v>
      </c>
      <c r="C412" s="305" t="s">
        <v>556</v>
      </c>
      <c r="D412" s="575">
        <v>109.19</v>
      </c>
    </row>
    <row r="413" spans="1:4" ht="13.5" x14ac:dyDescent="0.25">
      <c r="A413" s="306">
        <v>96035</v>
      </c>
      <c r="B413" s="305" t="s">
        <v>689</v>
      </c>
      <c r="C413" s="305" t="s">
        <v>556</v>
      </c>
      <c r="D413" s="575">
        <v>153.44999999999999</v>
      </c>
    </row>
    <row r="414" spans="1:4" ht="13.5" x14ac:dyDescent="0.25">
      <c r="A414" s="306">
        <v>96157</v>
      </c>
      <c r="B414" s="305" t="s">
        <v>690</v>
      </c>
      <c r="C414" s="305" t="s">
        <v>556</v>
      </c>
      <c r="D414" s="575">
        <v>109.45</v>
      </c>
    </row>
    <row r="415" spans="1:4" ht="13.5" x14ac:dyDescent="0.25">
      <c r="A415" s="306">
        <v>96158</v>
      </c>
      <c r="B415" s="305" t="s">
        <v>691</v>
      </c>
      <c r="C415" s="305" t="s">
        <v>556</v>
      </c>
      <c r="D415" s="575">
        <v>90.69</v>
      </c>
    </row>
    <row r="416" spans="1:4" ht="13.5" x14ac:dyDescent="0.25">
      <c r="A416" s="306">
        <v>96245</v>
      </c>
      <c r="B416" s="305" t="s">
        <v>692</v>
      </c>
      <c r="C416" s="305" t="s">
        <v>556</v>
      </c>
      <c r="D416" s="575">
        <v>66.06</v>
      </c>
    </row>
    <row r="417" spans="1:4" ht="13.5" x14ac:dyDescent="0.25">
      <c r="A417" s="306">
        <v>96303</v>
      </c>
      <c r="B417" s="305" t="s">
        <v>693</v>
      </c>
      <c r="C417" s="305" t="s">
        <v>556</v>
      </c>
      <c r="D417" s="575">
        <v>163.43</v>
      </c>
    </row>
    <row r="418" spans="1:4" ht="13.5" x14ac:dyDescent="0.25">
      <c r="A418" s="306">
        <v>96309</v>
      </c>
      <c r="B418" s="305" t="s">
        <v>694</v>
      </c>
      <c r="C418" s="305" t="s">
        <v>556</v>
      </c>
      <c r="D418" s="575">
        <v>1.28</v>
      </c>
    </row>
    <row r="419" spans="1:4" ht="13.5" x14ac:dyDescent="0.25">
      <c r="A419" s="306">
        <v>96463</v>
      </c>
      <c r="B419" s="305" t="s">
        <v>695</v>
      </c>
      <c r="C419" s="305" t="s">
        <v>556</v>
      </c>
      <c r="D419" s="575">
        <v>120.66</v>
      </c>
    </row>
    <row r="420" spans="1:4" ht="13.5" x14ac:dyDescent="0.25">
      <c r="A420" s="306">
        <v>98764</v>
      </c>
      <c r="B420" s="305" t="s">
        <v>696</v>
      </c>
      <c r="C420" s="305" t="s">
        <v>556</v>
      </c>
      <c r="D420" s="575">
        <v>3.72</v>
      </c>
    </row>
    <row r="421" spans="1:4" ht="13.5" x14ac:dyDescent="0.25">
      <c r="A421" s="306">
        <v>99833</v>
      </c>
      <c r="B421" s="305" t="s">
        <v>697</v>
      </c>
      <c r="C421" s="305" t="s">
        <v>556</v>
      </c>
      <c r="D421" s="575">
        <v>1.19</v>
      </c>
    </row>
    <row r="422" spans="1:4" ht="13.5" x14ac:dyDescent="0.25">
      <c r="A422" s="306">
        <v>100641</v>
      </c>
      <c r="B422" s="305" t="s">
        <v>12259</v>
      </c>
      <c r="C422" s="305" t="s">
        <v>556</v>
      </c>
      <c r="D422" s="575">
        <v>427.54</v>
      </c>
    </row>
    <row r="423" spans="1:4" ht="13.5" x14ac:dyDescent="0.25">
      <c r="A423" s="306">
        <v>100647</v>
      </c>
      <c r="B423" s="305" t="s">
        <v>12260</v>
      </c>
      <c r="C423" s="305" t="s">
        <v>556</v>
      </c>
      <c r="D423" s="575">
        <v>875.11</v>
      </c>
    </row>
    <row r="424" spans="1:4" ht="13.5" x14ac:dyDescent="0.25">
      <c r="A424" s="306">
        <v>5632</v>
      </c>
      <c r="B424" s="305" t="s">
        <v>698</v>
      </c>
      <c r="C424" s="305" t="s">
        <v>699</v>
      </c>
      <c r="D424" s="575">
        <v>56.73</v>
      </c>
    </row>
    <row r="425" spans="1:4" ht="13.5" x14ac:dyDescent="0.25">
      <c r="A425" s="306">
        <v>5679</v>
      </c>
      <c r="B425" s="305" t="s">
        <v>700</v>
      </c>
      <c r="C425" s="305" t="s">
        <v>699</v>
      </c>
      <c r="D425" s="575">
        <v>37.950000000000003</v>
      </c>
    </row>
    <row r="426" spans="1:4" ht="13.5" x14ac:dyDescent="0.25">
      <c r="A426" s="306">
        <v>5681</v>
      </c>
      <c r="B426" s="305" t="s">
        <v>701</v>
      </c>
      <c r="C426" s="305" t="s">
        <v>699</v>
      </c>
      <c r="D426" s="575">
        <v>36.130000000000003</v>
      </c>
    </row>
    <row r="427" spans="1:4" ht="13.5" x14ac:dyDescent="0.25">
      <c r="A427" s="306">
        <v>5685</v>
      </c>
      <c r="B427" s="305" t="s">
        <v>702</v>
      </c>
      <c r="C427" s="305" t="s">
        <v>699</v>
      </c>
      <c r="D427" s="575">
        <v>39.090000000000003</v>
      </c>
    </row>
    <row r="428" spans="1:4" ht="13.5" x14ac:dyDescent="0.25">
      <c r="A428" s="306">
        <v>5690</v>
      </c>
      <c r="B428" s="305" t="s">
        <v>703</v>
      </c>
      <c r="C428" s="305" t="s">
        <v>699</v>
      </c>
      <c r="D428" s="575">
        <v>2.16</v>
      </c>
    </row>
    <row r="429" spans="1:4" ht="13.5" x14ac:dyDescent="0.25">
      <c r="A429" s="306">
        <v>5806</v>
      </c>
      <c r="B429" s="305" t="s">
        <v>704</v>
      </c>
      <c r="C429" s="305" t="s">
        <v>699</v>
      </c>
      <c r="D429" s="575">
        <v>0.17</v>
      </c>
    </row>
    <row r="430" spans="1:4" ht="13.5" x14ac:dyDescent="0.25">
      <c r="A430" s="306">
        <v>5826</v>
      </c>
      <c r="B430" s="305" t="s">
        <v>705</v>
      </c>
      <c r="C430" s="305" t="s">
        <v>699</v>
      </c>
      <c r="D430" s="575">
        <v>29.07</v>
      </c>
    </row>
    <row r="431" spans="1:4" ht="13.5" x14ac:dyDescent="0.25">
      <c r="A431" s="306">
        <v>5829</v>
      </c>
      <c r="B431" s="305" t="s">
        <v>706</v>
      </c>
      <c r="C431" s="305" t="s">
        <v>699</v>
      </c>
      <c r="D431" s="575">
        <v>123.11</v>
      </c>
    </row>
    <row r="432" spans="1:4" ht="13.5" x14ac:dyDescent="0.25">
      <c r="A432" s="306">
        <v>5837</v>
      </c>
      <c r="B432" s="305" t="s">
        <v>707</v>
      </c>
      <c r="C432" s="305" t="s">
        <v>699</v>
      </c>
      <c r="D432" s="575">
        <v>96.67</v>
      </c>
    </row>
    <row r="433" spans="1:4" ht="13.5" x14ac:dyDescent="0.25">
      <c r="A433" s="306">
        <v>5841</v>
      </c>
      <c r="B433" s="305" t="s">
        <v>708</v>
      </c>
      <c r="C433" s="305" t="s">
        <v>699</v>
      </c>
      <c r="D433" s="575">
        <v>2.48</v>
      </c>
    </row>
    <row r="434" spans="1:4" ht="13.5" x14ac:dyDescent="0.25">
      <c r="A434" s="306">
        <v>5845</v>
      </c>
      <c r="B434" s="305" t="s">
        <v>709</v>
      </c>
      <c r="C434" s="305" t="s">
        <v>699</v>
      </c>
      <c r="D434" s="575">
        <v>31.45</v>
      </c>
    </row>
    <row r="435" spans="1:4" ht="13.5" x14ac:dyDescent="0.25">
      <c r="A435" s="306">
        <v>5849</v>
      </c>
      <c r="B435" s="305" t="s">
        <v>710</v>
      </c>
      <c r="C435" s="305" t="s">
        <v>699</v>
      </c>
      <c r="D435" s="575">
        <v>50.71</v>
      </c>
    </row>
    <row r="436" spans="1:4" ht="13.5" x14ac:dyDescent="0.25">
      <c r="A436" s="306">
        <v>5853</v>
      </c>
      <c r="B436" s="305" t="s">
        <v>711</v>
      </c>
      <c r="C436" s="305" t="s">
        <v>699</v>
      </c>
      <c r="D436" s="575">
        <v>50.9</v>
      </c>
    </row>
    <row r="437" spans="1:4" ht="13.5" x14ac:dyDescent="0.25">
      <c r="A437" s="306">
        <v>5857</v>
      </c>
      <c r="B437" s="305" t="s">
        <v>712</v>
      </c>
      <c r="C437" s="305" t="s">
        <v>699</v>
      </c>
      <c r="D437" s="575">
        <v>119.65</v>
      </c>
    </row>
    <row r="438" spans="1:4" ht="13.5" x14ac:dyDescent="0.25">
      <c r="A438" s="306">
        <v>5865</v>
      </c>
      <c r="B438" s="305" t="s">
        <v>713</v>
      </c>
      <c r="C438" s="305" t="s">
        <v>699</v>
      </c>
      <c r="D438" s="575">
        <v>5.46</v>
      </c>
    </row>
    <row r="439" spans="1:4" ht="13.5" x14ac:dyDescent="0.25">
      <c r="A439" s="306">
        <v>5869</v>
      </c>
      <c r="B439" s="305" t="s">
        <v>714</v>
      </c>
      <c r="C439" s="305" t="s">
        <v>699</v>
      </c>
      <c r="D439" s="575">
        <v>43.22</v>
      </c>
    </row>
    <row r="440" spans="1:4" ht="13.5" x14ac:dyDescent="0.25">
      <c r="A440" s="306">
        <v>5877</v>
      </c>
      <c r="B440" s="305" t="s">
        <v>715</v>
      </c>
      <c r="C440" s="305" t="s">
        <v>699</v>
      </c>
      <c r="D440" s="575">
        <v>37.369999999999997</v>
      </c>
    </row>
    <row r="441" spans="1:4" ht="13.5" x14ac:dyDescent="0.25">
      <c r="A441" s="306">
        <v>5881</v>
      </c>
      <c r="B441" s="305" t="s">
        <v>716</v>
      </c>
      <c r="C441" s="305" t="s">
        <v>699</v>
      </c>
      <c r="D441" s="575">
        <v>45.73</v>
      </c>
    </row>
    <row r="442" spans="1:4" ht="13.5" x14ac:dyDescent="0.25">
      <c r="A442" s="306">
        <v>5884</v>
      </c>
      <c r="B442" s="305" t="s">
        <v>717</v>
      </c>
      <c r="C442" s="305" t="s">
        <v>699</v>
      </c>
      <c r="D442" s="575">
        <v>34.54</v>
      </c>
    </row>
    <row r="443" spans="1:4" ht="13.5" x14ac:dyDescent="0.25">
      <c r="A443" s="306">
        <v>5892</v>
      </c>
      <c r="B443" s="305" t="s">
        <v>718</v>
      </c>
      <c r="C443" s="305" t="s">
        <v>699</v>
      </c>
      <c r="D443" s="575">
        <v>30.18</v>
      </c>
    </row>
    <row r="444" spans="1:4" ht="13.5" x14ac:dyDescent="0.25">
      <c r="A444" s="306">
        <v>5896</v>
      </c>
      <c r="B444" s="305" t="s">
        <v>719</v>
      </c>
      <c r="C444" s="305" t="s">
        <v>699</v>
      </c>
      <c r="D444" s="575">
        <v>28.3</v>
      </c>
    </row>
    <row r="445" spans="1:4" ht="13.5" x14ac:dyDescent="0.25">
      <c r="A445" s="306">
        <v>5903</v>
      </c>
      <c r="B445" s="305" t="s">
        <v>720</v>
      </c>
      <c r="C445" s="305" t="s">
        <v>699</v>
      </c>
      <c r="D445" s="575">
        <v>35.49</v>
      </c>
    </row>
    <row r="446" spans="1:4" ht="13.5" x14ac:dyDescent="0.25">
      <c r="A446" s="306">
        <v>5911</v>
      </c>
      <c r="B446" s="305" t="s">
        <v>721</v>
      </c>
      <c r="C446" s="305" t="s">
        <v>699</v>
      </c>
      <c r="D446" s="575">
        <v>19.93</v>
      </c>
    </row>
    <row r="447" spans="1:4" ht="13.5" x14ac:dyDescent="0.25">
      <c r="A447" s="306">
        <v>5923</v>
      </c>
      <c r="B447" s="305" t="s">
        <v>722</v>
      </c>
      <c r="C447" s="305" t="s">
        <v>699</v>
      </c>
      <c r="D447" s="575">
        <v>1.69</v>
      </c>
    </row>
    <row r="448" spans="1:4" ht="13.5" x14ac:dyDescent="0.25">
      <c r="A448" s="306">
        <v>5930</v>
      </c>
      <c r="B448" s="305" t="s">
        <v>723</v>
      </c>
      <c r="C448" s="305" t="s">
        <v>699</v>
      </c>
      <c r="D448" s="575">
        <v>35.380000000000003</v>
      </c>
    </row>
    <row r="449" spans="1:4" ht="13.5" x14ac:dyDescent="0.25">
      <c r="A449" s="306">
        <v>5934</v>
      </c>
      <c r="B449" s="305" t="s">
        <v>724</v>
      </c>
      <c r="C449" s="305" t="s">
        <v>699</v>
      </c>
      <c r="D449" s="575">
        <v>51.7</v>
      </c>
    </row>
    <row r="450" spans="1:4" ht="13.5" x14ac:dyDescent="0.25">
      <c r="A450" s="306">
        <v>5942</v>
      </c>
      <c r="B450" s="305" t="s">
        <v>725</v>
      </c>
      <c r="C450" s="305" t="s">
        <v>699</v>
      </c>
      <c r="D450" s="575">
        <v>45.64</v>
      </c>
    </row>
    <row r="451" spans="1:4" ht="13.5" x14ac:dyDescent="0.25">
      <c r="A451" s="306">
        <v>5946</v>
      </c>
      <c r="B451" s="305" t="s">
        <v>726</v>
      </c>
      <c r="C451" s="305" t="s">
        <v>699</v>
      </c>
      <c r="D451" s="575">
        <v>55.11</v>
      </c>
    </row>
    <row r="452" spans="1:4" ht="13.5" x14ac:dyDescent="0.25">
      <c r="A452" s="306">
        <v>5952</v>
      </c>
      <c r="B452" s="305" t="s">
        <v>727</v>
      </c>
      <c r="C452" s="305" t="s">
        <v>699</v>
      </c>
      <c r="D452" s="575">
        <v>20.260000000000002</v>
      </c>
    </row>
    <row r="453" spans="1:4" ht="13.5" x14ac:dyDescent="0.25">
      <c r="A453" s="306">
        <v>5954</v>
      </c>
      <c r="B453" s="305" t="s">
        <v>728</v>
      </c>
      <c r="C453" s="305" t="s">
        <v>699</v>
      </c>
      <c r="D453" s="575">
        <v>3.14</v>
      </c>
    </row>
    <row r="454" spans="1:4" ht="13.5" x14ac:dyDescent="0.25">
      <c r="A454" s="306">
        <v>5961</v>
      </c>
      <c r="B454" s="305" t="s">
        <v>729</v>
      </c>
      <c r="C454" s="305" t="s">
        <v>699</v>
      </c>
      <c r="D454" s="575">
        <v>34.340000000000003</v>
      </c>
    </row>
    <row r="455" spans="1:4" ht="13.5" x14ac:dyDescent="0.25">
      <c r="A455" s="306">
        <v>6260</v>
      </c>
      <c r="B455" s="305" t="s">
        <v>730</v>
      </c>
      <c r="C455" s="305" t="s">
        <v>699</v>
      </c>
      <c r="D455" s="575">
        <v>31.7</v>
      </c>
    </row>
    <row r="456" spans="1:4" ht="13.5" x14ac:dyDescent="0.25">
      <c r="A456" s="306">
        <v>6880</v>
      </c>
      <c r="B456" s="305" t="s">
        <v>731</v>
      </c>
      <c r="C456" s="305" t="s">
        <v>699</v>
      </c>
      <c r="D456" s="575">
        <v>49.29</v>
      </c>
    </row>
    <row r="457" spans="1:4" ht="13.5" x14ac:dyDescent="0.25">
      <c r="A457" s="306">
        <v>7031</v>
      </c>
      <c r="B457" s="305" t="s">
        <v>732</v>
      </c>
      <c r="C457" s="305" t="s">
        <v>699</v>
      </c>
      <c r="D457" s="575">
        <v>3.75</v>
      </c>
    </row>
    <row r="458" spans="1:4" ht="13.5" x14ac:dyDescent="0.25">
      <c r="A458" s="306">
        <v>7043</v>
      </c>
      <c r="B458" s="305" t="s">
        <v>733</v>
      </c>
      <c r="C458" s="305" t="s">
        <v>699</v>
      </c>
      <c r="D458" s="575">
        <v>0.22</v>
      </c>
    </row>
    <row r="459" spans="1:4" ht="13.5" x14ac:dyDescent="0.25">
      <c r="A459" s="306">
        <v>7050</v>
      </c>
      <c r="B459" s="305" t="s">
        <v>734</v>
      </c>
      <c r="C459" s="305" t="s">
        <v>699</v>
      </c>
      <c r="D459" s="575">
        <v>46.09</v>
      </c>
    </row>
    <row r="460" spans="1:4" ht="13.5" x14ac:dyDescent="0.25">
      <c r="A460" s="306">
        <v>67827</v>
      </c>
      <c r="B460" s="305" t="s">
        <v>735</v>
      </c>
      <c r="C460" s="305" t="s">
        <v>699</v>
      </c>
      <c r="D460" s="575">
        <v>33.58</v>
      </c>
    </row>
    <row r="461" spans="1:4" ht="13.5" x14ac:dyDescent="0.25">
      <c r="A461" s="306">
        <v>73395</v>
      </c>
      <c r="B461" s="305" t="s">
        <v>736</v>
      </c>
      <c r="C461" s="305" t="s">
        <v>699</v>
      </c>
      <c r="D461" s="575">
        <v>5.18</v>
      </c>
    </row>
    <row r="462" spans="1:4" ht="13.5" x14ac:dyDescent="0.25">
      <c r="A462" s="306">
        <v>83766</v>
      </c>
      <c r="B462" s="305" t="s">
        <v>737</v>
      </c>
      <c r="C462" s="305" t="s">
        <v>699</v>
      </c>
      <c r="D462" s="575">
        <v>31.93</v>
      </c>
    </row>
    <row r="463" spans="1:4" ht="13.5" x14ac:dyDescent="0.25">
      <c r="A463" s="306">
        <v>84013</v>
      </c>
      <c r="B463" s="305" t="s">
        <v>738</v>
      </c>
      <c r="C463" s="305" t="s">
        <v>699</v>
      </c>
      <c r="D463" s="575">
        <v>55.11</v>
      </c>
    </row>
    <row r="464" spans="1:4" ht="13.5" x14ac:dyDescent="0.25">
      <c r="A464" s="306">
        <v>87446</v>
      </c>
      <c r="B464" s="305" t="s">
        <v>739</v>
      </c>
      <c r="C464" s="305" t="s">
        <v>699</v>
      </c>
      <c r="D464" s="575">
        <v>0.32</v>
      </c>
    </row>
    <row r="465" spans="1:4" ht="13.5" x14ac:dyDescent="0.25">
      <c r="A465" s="306">
        <v>88392</v>
      </c>
      <c r="B465" s="305" t="s">
        <v>740</v>
      </c>
      <c r="C465" s="305" t="s">
        <v>699</v>
      </c>
      <c r="D465" s="575">
        <v>0.64</v>
      </c>
    </row>
    <row r="466" spans="1:4" ht="13.5" x14ac:dyDescent="0.25">
      <c r="A466" s="306">
        <v>88398</v>
      </c>
      <c r="B466" s="305" t="s">
        <v>741</v>
      </c>
      <c r="C466" s="305" t="s">
        <v>699</v>
      </c>
      <c r="D466" s="575">
        <v>0.77</v>
      </c>
    </row>
    <row r="467" spans="1:4" ht="13.5" x14ac:dyDescent="0.25">
      <c r="A467" s="306">
        <v>88404</v>
      </c>
      <c r="B467" s="305" t="s">
        <v>742</v>
      </c>
      <c r="C467" s="305" t="s">
        <v>699</v>
      </c>
      <c r="D467" s="575">
        <v>0.6</v>
      </c>
    </row>
    <row r="468" spans="1:4" ht="13.5" x14ac:dyDescent="0.25">
      <c r="A468" s="306">
        <v>88430</v>
      </c>
      <c r="B468" s="305" t="s">
        <v>743</v>
      </c>
      <c r="C468" s="305" t="s">
        <v>699</v>
      </c>
      <c r="D468" s="575">
        <v>3.98</v>
      </c>
    </row>
    <row r="469" spans="1:4" ht="13.5" x14ac:dyDescent="0.25">
      <c r="A469" s="306">
        <v>88438</v>
      </c>
      <c r="B469" s="305" t="s">
        <v>744</v>
      </c>
      <c r="C469" s="305" t="s">
        <v>699</v>
      </c>
      <c r="D469" s="575">
        <v>5.29</v>
      </c>
    </row>
    <row r="470" spans="1:4" ht="13.5" x14ac:dyDescent="0.25">
      <c r="A470" s="306">
        <v>88831</v>
      </c>
      <c r="B470" s="305" t="s">
        <v>745</v>
      </c>
      <c r="C470" s="305" t="s">
        <v>699</v>
      </c>
      <c r="D470" s="575">
        <v>0.23</v>
      </c>
    </row>
    <row r="471" spans="1:4" ht="13.5" x14ac:dyDescent="0.25">
      <c r="A471" s="306">
        <v>88844</v>
      </c>
      <c r="B471" s="305" t="s">
        <v>746</v>
      </c>
      <c r="C471" s="305" t="s">
        <v>699</v>
      </c>
      <c r="D471" s="575">
        <v>45.08</v>
      </c>
    </row>
    <row r="472" spans="1:4" ht="13.5" x14ac:dyDescent="0.25">
      <c r="A472" s="306">
        <v>88908</v>
      </c>
      <c r="B472" s="305" t="s">
        <v>747</v>
      </c>
      <c r="C472" s="305" t="s">
        <v>699</v>
      </c>
      <c r="D472" s="575">
        <v>60.7</v>
      </c>
    </row>
    <row r="473" spans="1:4" ht="13.5" x14ac:dyDescent="0.25">
      <c r="A473" s="306">
        <v>89022</v>
      </c>
      <c r="B473" s="305" t="s">
        <v>748</v>
      </c>
      <c r="C473" s="305" t="s">
        <v>699</v>
      </c>
      <c r="D473" s="575">
        <v>0.3</v>
      </c>
    </row>
    <row r="474" spans="1:4" ht="13.5" x14ac:dyDescent="0.25">
      <c r="A474" s="306">
        <v>89027</v>
      </c>
      <c r="B474" s="305" t="s">
        <v>749</v>
      </c>
      <c r="C474" s="305" t="s">
        <v>699</v>
      </c>
      <c r="D474" s="575">
        <v>3.05</v>
      </c>
    </row>
    <row r="475" spans="1:4" ht="13.5" x14ac:dyDescent="0.25">
      <c r="A475" s="306">
        <v>89031</v>
      </c>
      <c r="B475" s="305" t="s">
        <v>750</v>
      </c>
      <c r="C475" s="305" t="s">
        <v>699</v>
      </c>
      <c r="D475" s="575">
        <v>43.99</v>
      </c>
    </row>
    <row r="476" spans="1:4" ht="13.5" x14ac:dyDescent="0.25">
      <c r="A476" s="306">
        <v>89036</v>
      </c>
      <c r="B476" s="305" t="s">
        <v>751</v>
      </c>
      <c r="C476" s="305" t="s">
        <v>699</v>
      </c>
      <c r="D476" s="575">
        <v>28.57</v>
      </c>
    </row>
    <row r="477" spans="1:4" ht="13.5" x14ac:dyDescent="0.25">
      <c r="A477" s="306">
        <v>89218</v>
      </c>
      <c r="B477" s="305" t="s">
        <v>752</v>
      </c>
      <c r="C477" s="305" t="s">
        <v>699</v>
      </c>
      <c r="D477" s="575">
        <v>63.32</v>
      </c>
    </row>
    <row r="478" spans="1:4" ht="13.5" x14ac:dyDescent="0.25">
      <c r="A478" s="306">
        <v>89226</v>
      </c>
      <c r="B478" s="305" t="s">
        <v>753</v>
      </c>
      <c r="C478" s="305" t="s">
        <v>699</v>
      </c>
      <c r="D478" s="575">
        <v>0.99</v>
      </c>
    </row>
    <row r="479" spans="1:4" ht="13.5" x14ac:dyDescent="0.25">
      <c r="A479" s="306">
        <v>89235</v>
      </c>
      <c r="B479" s="305" t="s">
        <v>754</v>
      </c>
      <c r="C479" s="305" t="s">
        <v>699</v>
      </c>
      <c r="D479" s="575">
        <v>124.74</v>
      </c>
    </row>
    <row r="480" spans="1:4" ht="13.5" x14ac:dyDescent="0.25">
      <c r="A480" s="306">
        <v>89243</v>
      </c>
      <c r="B480" s="305" t="s">
        <v>755</v>
      </c>
      <c r="C480" s="305" t="s">
        <v>699</v>
      </c>
      <c r="D480" s="575">
        <v>263.8</v>
      </c>
    </row>
    <row r="481" spans="1:4" ht="13.5" x14ac:dyDescent="0.25">
      <c r="A481" s="306">
        <v>89251</v>
      </c>
      <c r="B481" s="305" t="s">
        <v>756</v>
      </c>
      <c r="C481" s="305" t="s">
        <v>699</v>
      </c>
      <c r="D481" s="575">
        <v>231.93</v>
      </c>
    </row>
    <row r="482" spans="1:4" ht="13.5" x14ac:dyDescent="0.25">
      <c r="A482" s="306">
        <v>89258</v>
      </c>
      <c r="B482" s="305" t="s">
        <v>757</v>
      </c>
      <c r="C482" s="305" t="s">
        <v>699</v>
      </c>
      <c r="D482" s="575">
        <v>82.95</v>
      </c>
    </row>
    <row r="483" spans="1:4" ht="13.5" x14ac:dyDescent="0.25">
      <c r="A483" s="306">
        <v>89273</v>
      </c>
      <c r="B483" s="305" t="s">
        <v>758</v>
      </c>
      <c r="C483" s="305" t="s">
        <v>699</v>
      </c>
      <c r="D483" s="575">
        <v>57.79</v>
      </c>
    </row>
    <row r="484" spans="1:4" ht="13.5" x14ac:dyDescent="0.25">
      <c r="A484" s="306">
        <v>89279</v>
      </c>
      <c r="B484" s="305" t="s">
        <v>759</v>
      </c>
      <c r="C484" s="305" t="s">
        <v>699</v>
      </c>
      <c r="D484" s="575">
        <v>1.2</v>
      </c>
    </row>
    <row r="485" spans="1:4" ht="13.5" x14ac:dyDescent="0.25">
      <c r="A485" s="306">
        <v>89877</v>
      </c>
      <c r="B485" s="305" t="s">
        <v>760</v>
      </c>
      <c r="C485" s="305" t="s">
        <v>699</v>
      </c>
      <c r="D485" s="575">
        <v>41.54</v>
      </c>
    </row>
    <row r="486" spans="1:4" ht="13.5" x14ac:dyDescent="0.25">
      <c r="A486" s="306">
        <v>89884</v>
      </c>
      <c r="B486" s="305" t="s">
        <v>761</v>
      </c>
      <c r="C486" s="305" t="s">
        <v>699</v>
      </c>
      <c r="D486" s="575">
        <v>42.92</v>
      </c>
    </row>
    <row r="487" spans="1:4" ht="13.5" x14ac:dyDescent="0.25">
      <c r="A487" s="306">
        <v>90587</v>
      </c>
      <c r="B487" s="305" t="s">
        <v>762</v>
      </c>
      <c r="C487" s="305" t="s">
        <v>699</v>
      </c>
      <c r="D487" s="575">
        <v>0.33</v>
      </c>
    </row>
    <row r="488" spans="1:4" ht="13.5" x14ac:dyDescent="0.25">
      <c r="A488" s="306">
        <v>90626</v>
      </c>
      <c r="B488" s="305" t="s">
        <v>763</v>
      </c>
      <c r="C488" s="305" t="s">
        <v>699</v>
      </c>
      <c r="D488" s="575">
        <v>1.64</v>
      </c>
    </row>
    <row r="489" spans="1:4" ht="13.5" x14ac:dyDescent="0.25">
      <c r="A489" s="306">
        <v>90632</v>
      </c>
      <c r="B489" s="305" t="s">
        <v>764</v>
      </c>
      <c r="C489" s="305" t="s">
        <v>699</v>
      </c>
      <c r="D489" s="575">
        <v>58.28</v>
      </c>
    </row>
    <row r="490" spans="1:4" ht="13.5" x14ac:dyDescent="0.25">
      <c r="A490" s="306">
        <v>90638</v>
      </c>
      <c r="B490" s="305" t="s">
        <v>765</v>
      </c>
      <c r="C490" s="305" t="s">
        <v>699</v>
      </c>
      <c r="D490" s="575">
        <v>3.06</v>
      </c>
    </row>
    <row r="491" spans="1:4" ht="13.5" x14ac:dyDescent="0.25">
      <c r="A491" s="306">
        <v>90644</v>
      </c>
      <c r="B491" s="305" t="s">
        <v>766</v>
      </c>
      <c r="C491" s="305" t="s">
        <v>699</v>
      </c>
      <c r="D491" s="575">
        <v>4.57</v>
      </c>
    </row>
    <row r="492" spans="1:4" ht="13.5" x14ac:dyDescent="0.25">
      <c r="A492" s="306">
        <v>90651</v>
      </c>
      <c r="B492" s="305" t="s">
        <v>767</v>
      </c>
      <c r="C492" s="305" t="s">
        <v>699</v>
      </c>
      <c r="D492" s="575">
        <v>0.63</v>
      </c>
    </row>
    <row r="493" spans="1:4" ht="13.5" x14ac:dyDescent="0.25">
      <c r="A493" s="306">
        <v>90657</v>
      </c>
      <c r="B493" s="305" t="s">
        <v>768</v>
      </c>
      <c r="C493" s="305" t="s">
        <v>699</v>
      </c>
      <c r="D493" s="575">
        <v>2.97</v>
      </c>
    </row>
    <row r="494" spans="1:4" ht="13.5" x14ac:dyDescent="0.25">
      <c r="A494" s="306">
        <v>90663</v>
      </c>
      <c r="B494" s="305" t="s">
        <v>769</v>
      </c>
      <c r="C494" s="305" t="s">
        <v>699</v>
      </c>
      <c r="D494" s="575">
        <v>3.18</v>
      </c>
    </row>
    <row r="495" spans="1:4" ht="13.5" x14ac:dyDescent="0.25">
      <c r="A495" s="306">
        <v>90669</v>
      </c>
      <c r="B495" s="305" t="s">
        <v>770</v>
      </c>
      <c r="C495" s="305" t="s">
        <v>699</v>
      </c>
      <c r="D495" s="575">
        <v>4.95</v>
      </c>
    </row>
    <row r="496" spans="1:4" ht="13.5" x14ac:dyDescent="0.25">
      <c r="A496" s="306">
        <v>90675</v>
      </c>
      <c r="B496" s="305" t="s">
        <v>771</v>
      </c>
      <c r="C496" s="305" t="s">
        <v>699</v>
      </c>
      <c r="D496" s="575">
        <v>187.47</v>
      </c>
    </row>
    <row r="497" spans="1:4" ht="13.5" x14ac:dyDescent="0.25">
      <c r="A497" s="306">
        <v>90681</v>
      </c>
      <c r="B497" s="305" t="s">
        <v>772</v>
      </c>
      <c r="C497" s="305" t="s">
        <v>699</v>
      </c>
      <c r="D497" s="575">
        <v>109</v>
      </c>
    </row>
    <row r="498" spans="1:4" ht="13.5" x14ac:dyDescent="0.25">
      <c r="A498" s="306">
        <v>90687</v>
      </c>
      <c r="B498" s="305" t="s">
        <v>773</v>
      </c>
      <c r="C498" s="305" t="s">
        <v>699</v>
      </c>
      <c r="D498" s="575">
        <v>47.81</v>
      </c>
    </row>
    <row r="499" spans="1:4" ht="13.5" x14ac:dyDescent="0.25">
      <c r="A499" s="306">
        <v>90693</v>
      </c>
      <c r="B499" s="305" t="s">
        <v>774</v>
      </c>
      <c r="C499" s="305" t="s">
        <v>699</v>
      </c>
      <c r="D499" s="575">
        <v>36.21</v>
      </c>
    </row>
    <row r="500" spans="1:4" ht="13.5" x14ac:dyDescent="0.25">
      <c r="A500" s="306">
        <v>90965</v>
      </c>
      <c r="B500" s="305" t="s">
        <v>775</v>
      </c>
      <c r="C500" s="305" t="s">
        <v>699</v>
      </c>
      <c r="D500" s="575">
        <v>4.1900000000000004</v>
      </c>
    </row>
    <row r="501" spans="1:4" ht="13.5" x14ac:dyDescent="0.25">
      <c r="A501" s="306">
        <v>90973</v>
      </c>
      <c r="B501" s="305" t="s">
        <v>776</v>
      </c>
      <c r="C501" s="305" t="s">
        <v>699</v>
      </c>
      <c r="D501" s="575">
        <v>4.2</v>
      </c>
    </row>
    <row r="502" spans="1:4" ht="13.5" x14ac:dyDescent="0.25">
      <c r="A502" s="306">
        <v>90982</v>
      </c>
      <c r="B502" s="305" t="s">
        <v>777</v>
      </c>
      <c r="C502" s="305" t="s">
        <v>699</v>
      </c>
      <c r="D502" s="575">
        <v>10.69</v>
      </c>
    </row>
    <row r="503" spans="1:4" ht="13.5" x14ac:dyDescent="0.25">
      <c r="A503" s="306">
        <v>91001</v>
      </c>
      <c r="B503" s="305" t="s">
        <v>778</v>
      </c>
      <c r="C503" s="305" t="s">
        <v>699</v>
      </c>
      <c r="D503" s="575">
        <v>4.9800000000000004</v>
      </c>
    </row>
    <row r="504" spans="1:4" ht="13.5" x14ac:dyDescent="0.25">
      <c r="A504" s="306">
        <v>91032</v>
      </c>
      <c r="B504" s="305" t="s">
        <v>779</v>
      </c>
      <c r="C504" s="305" t="s">
        <v>699</v>
      </c>
      <c r="D504" s="575">
        <v>33.58</v>
      </c>
    </row>
    <row r="505" spans="1:4" ht="13.5" x14ac:dyDescent="0.25">
      <c r="A505" s="306">
        <v>91278</v>
      </c>
      <c r="B505" s="305" t="s">
        <v>780</v>
      </c>
      <c r="C505" s="305" t="s">
        <v>699</v>
      </c>
      <c r="D505" s="575">
        <v>0.38</v>
      </c>
    </row>
    <row r="506" spans="1:4" ht="13.5" x14ac:dyDescent="0.25">
      <c r="A506" s="306">
        <v>91285</v>
      </c>
      <c r="B506" s="305" t="s">
        <v>781</v>
      </c>
      <c r="C506" s="305" t="s">
        <v>699</v>
      </c>
      <c r="D506" s="575">
        <v>0.65</v>
      </c>
    </row>
    <row r="507" spans="1:4" ht="13.5" x14ac:dyDescent="0.25">
      <c r="A507" s="306">
        <v>91387</v>
      </c>
      <c r="B507" s="305" t="s">
        <v>782</v>
      </c>
      <c r="C507" s="305" t="s">
        <v>699</v>
      </c>
      <c r="D507" s="575">
        <v>36.53</v>
      </c>
    </row>
    <row r="508" spans="1:4" ht="13.5" x14ac:dyDescent="0.25">
      <c r="A508" s="306">
        <v>91395</v>
      </c>
      <c r="B508" s="305" t="s">
        <v>783</v>
      </c>
      <c r="C508" s="305" t="s">
        <v>699</v>
      </c>
      <c r="D508" s="575">
        <v>31.12</v>
      </c>
    </row>
    <row r="509" spans="1:4" ht="13.5" x14ac:dyDescent="0.25">
      <c r="A509" s="306">
        <v>91486</v>
      </c>
      <c r="B509" s="305" t="s">
        <v>784</v>
      </c>
      <c r="C509" s="305" t="s">
        <v>699</v>
      </c>
      <c r="D509" s="575">
        <v>36.49</v>
      </c>
    </row>
    <row r="510" spans="1:4" ht="13.5" x14ac:dyDescent="0.25">
      <c r="A510" s="306">
        <v>91534</v>
      </c>
      <c r="B510" s="305" t="s">
        <v>785</v>
      </c>
      <c r="C510" s="305" t="s">
        <v>699</v>
      </c>
      <c r="D510" s="575">
        <v>22.72</v>
      </c>
    </row>
    <row r="511" spans="1:4" ht="13.5" x14ac:dyDescent="0.25">
      <c r="A511" s="306">
        <v>91635</v>
      </c>
      <c r="B511" s="305" t="s">
        <v>786</v>
      </c>
      <c r="C511" s="305" t="s">
        <v>699</v>
      </c>
      <c r="D511" s="575">
        <v>34.4</v>
      </c>
    </row>
    <row r="512" spans="1:4" ht="13.5" x14ac:dyDescent="0.25">
      <c r="A512" s="306">
        <v>91646</v>
      </c>
      <c r="B512" s="305" t="s">
        <v>787</v>
      </c>
      <c r="C512" s="305" t="s">
        <v>699</v>
      </c>
      <c r="D512" s="575">
        <v>48.94</v>
      </c>
    </row>
    <row r="513" spans="1:4" ht="13.5" x14ac:dyDescent="0.25">
      <c r="A513" s="306">
        <v>91693</v>
      </c>
      <c r="B513" s="305" t="s">
        <v>788</v>
      </c>
      <c r="C513" s="305" t="s">
        <v>699</v>
      </c>
      <c r="D513" s="575">
        <v>22.22</v>
      </c>
    </row>
    <row r="514" spans="1:4" ht="13.5" x14ac:dyDescent="0.25">
      <c r="A514" s="306">
        <v>92044</v>
      </c>
      <c r="B514" s="305" t="s">
        <v>789</v>
      </c>
      <c r="C514" s="305" t="s">
        <v>699</v>
      </c>
      <c r="D514" s="575">
        <v>4.5599999999999996</v>
      </c>
    </row>
    <row r="515" spans="1:4" ht="13.5" x14ac:dyDescent="0.25">
      <c r="A515" s="306">
        <v>92107</v>
      </c>
      <c r="B515" s="305" t="s">
        <v>790</v>
      </c>
      <c r="C515" s="305" t="s">
        <v>699</v>
      </c>
      <c r="D515" s="575">
        <v>37.409999999999997</v>
      </c>
    </row>
    <row r="516" spans="1:4" ht="13.5" x14ac:dyDescent="0.25">
      <c r="A516" s="306">
        <v>92113</v>
      </c>
      <c r="B516" s="305" t="s">
        <v>791</v>
      </c>
      <c r="C516" s="305" t="s">
        <v>699</v>
      </c>
      <c r="D516" s="575">
        <v>0.71</v>
      </c>
    </row>
    <row r="517" spans="1:4" ht="13.5" x14ac:dyDescent="0.25">
      <c r="A517" s="306">
        <v>92119</v>
      </c>
      <c r="B517" s="305" t="s">
        <v>792</v>
      </c>
      <c r="C517" s="305" t="s">
        <v>699</v>
      </c>
      <c r="D517" s="575">
        <v>7.0000000000000007E-2</v>
      </c>
    </row>
    <row r="518" spans="1:4" ht="13.5" x14ac:dyDescent="0.25">
      <c r="A518" s="306">
        <v>92139</v>
      </c>
      <c r="B518" s="305" t="s">
        <v>793</v>
      </c>
      <c r="C518" s="305" t="s">
        <v>699</v>
      </c>
      <c r="D518" s="575">
        <v>29.23</v>
      </c>
    </row>
    <row r="519" spans="1:4" ht="13.5" x14ac:dyDescent="0.25">
      <c r="A519" s="306">
        <v>92146</v>
      </c>
      <c r="B519" s="305" t="s">
        <v>794</v>
      </c>
      <c r="C519" s="305" t="s">
        <v>699</v>
      </c>
      <c r="D519" s="575">
        <v>22.52</v>
      </c>
    </row>
    <row r="520" spans="1:4" ht="13.5" x14ac:dyDescent="0.25">
      <c r="A520" s="306">
        <v>92243</v>
      </c>
      <c r="B520" s="305" t="s">
        <v>795</v>
      </c>
      <c r="C520" s="305" t="s">
        <v>699</v>
      </c>
      <c r="D520" s="575">
        <v>42.02</v>
      </c>
    </row>
    <row r="521" spans="1:4" ht="13.5" x14ac:dyDescent="0.25">
      <c r="A521" s="306">
        <v>92717</v>
      </c>
      <c r="B521" s="305" t="s">
        <v>796</v>
      </c>
      <c r="C521" s="305" t="s">
        <v>699</v>
      </c>
      <c r="D521" s="575">
        <v>0.23</v>
      </c>
    </row>
    <row r="522" spans="1:4" ht="13.5" x14ac:dyDescent="0.25">
      <c r="A522" s="306">
        <v>92961</v>
      </c>
      <c r="B522" s="305" t="s">
        <v>797</v>
      </c>
      <c r="C522" s="305" t="s">
        <v>699</v>
      </c>
      <c r="D522" s="575">
        <v>4.1900000000000004</v>
      </c>
    </row>
    <row r="523" spans="1:4" ht="13.5" x14ac:dyDescent="0.25">
      <c r="A523" s="306">
        <v>92967</v>
      </c>
      <c r="B523" s="305" t="s">
        <v>798</v>
      </c>
      <c r="C523" s="305" t="s">
        <v>699</v>
      </c>
      <c r="D523" s="575">
        <v>20.3</v>
      </c>
    </row>
    <row r="524" spans="1:4" ht="13.5" x14ac:dyDescent="0.25">
      <c r="A524" s="306">
        <v>93225</v>
      </c>
      <c r="B524" s="305" t="s">
        <v>799</v>
      </c>
      <c r="C524" s="305" t="s">
        <v>699</v>
      </c>
      <c r="D524" s="575">
        <v>279.23</v>
      </c>
    </row>
    <row r="525" spans="1:4" ht="13.5" x14ac:dyDescent="0.25">
      <c r="A525" s="306">
        <v>93234</v>
      </c>
      <c r="B525" s="305" t="s">
        <v>800</v>
      </c>
      <c r="C525" s="305" t="s">
        <v>699</v>
      </c>
      <c r="D525" s="575">
        <v>0.3</v>
      </c>
    </row>
    <row r="526" spans="1:4" ht="13.5" x14ac:dyDescent="0.25">
      <c r="A526" s="306">
        <v>93244</v>
      </c>
      <c r="B526" s="305" t="s">
        <v>801</v>
      </c>
      <c r="C526" s="305" t="s">
        <v>699</v>
      </c>
      <c r="D526" s="575">
        <v>39.81</v>
      </c>
    </row>
    <row r="527" spans="1:4" ht="13.5" x14ac:dyDescent="0.25">
      <c r="A527" s="306">
        <v>93274</v>
      </c>
      <c r="B527" s="305" t="s">
        <v>802</v>
      </c>
      <c r="C527" s="305" t="s">
        <v>699</v>
      </c>
      <c r="D527" s="575">
        <v>51.61</v>
      </c>
    </row>
    <row r="528" spans="1:4" ht="13.5" x14ac:dyDescent="0.25">
      <c r="A528" s="306">
        <v>93282</v>
      </c>
      <c r="B528" s="305" t="s">
        <v>803</v>
      </c>
      <c r="C528" s="305" t="s">
        <v>699</v>
      </c>
      <c r="D528" s="575">
        <v>19.43</v>
      </c>
    </row>
    <row r="529" spans="1:4" ht="13.5" x14ac:dyDescent="0.25">
      <c r="A529" s="306">
        <v>93288</v>
      </c>
      <c r="B529" s="305" t="s">
        <v>804</v>
      </c>
      <c r="C529" s="305" t="s">
        <v>699</v>
      </c>
      <c r="D529" s="575">
        <v>89.85</v>
      </c>
    </row>
    <row r="530" spans="1:4" ht="13.5" x14ac:dyDescent="0.25">
      <c r="A530" s="306">
        <v>93403</v>
      </c>
      <c r="B530" s="305" t="s">
        <v>805</v>
      </c>
      <c r="C530" s="305" t="s">
        <v>699</v>
      </c>
      <c r="D530" s="575">
        <v>34.4</v>
      </c>
    </row>
    <row r="531" spans="1:4" ht="13.5" x14ac:dyDescent="0.25">
      <c r="A531" s="306">
        <v>93409</v>
      </c>
      <c r="B531" s="305" t="s">
        <v>12261</v>
      </c>
      <c r="C531" s="305" t="s">
        <v>699</v>
      </c>
      <c r="D531" s="575">
        <v>25.34</v>
      </c>
    </row>
    <row r="532" spans="1:4" ht="13.5" x14ac:dyDescent="0.25">
      <c r="A532" s="306">
        <v>93416</v>
      </c>
      <c r="B532" s="305" t="s">
        <v>806</v>
      </c>
      <c r="C532" s="305" t="s">
        <v>699</v>
      </c>
      <c r="D532" s="575">
        <v>0.24</v>
      </c>
    </row>
    <row r="533" spans="1:4" ht="13.5" x14ac:dyDescent="0.25">
      <c r="A533" s="306">
        <v>93422</v>
      </c>
      <c r="B533" s="305" t="s">
        <v>807</v>
      </c>
      <c r="C533" s="305" t="s">
        <v>699</v>
      </c>
      <c r="D533" s="575">
        <v>3.25</v>
      </c>
    </row>
    <row r="534" spans="1:4" ht="13.5" x14ac:dyDescent="0.25">
      <c r="A534" s="306">
        <v>93428</v>
      </c>
      <c r="B534" s="305" t="s">
        <v>808</v>
      </c>
      <c r="C534" s="305" t="s">
        <v>699</v>
      </c>
      <c r="D534" s="575">
        <v>4.6100000000000003</v>
      </c>
    </row>
    <row r="535" spans="1:4" ht="13.5" x14ac:dyDescent="0.25">
      <c r="A535" s="306">
        <v>93434</v>
      </c>
      <c r="B535" s="305" t="s">
        <v>809</v>
      </c>
      <c r="C535" s="305" t="s">
        <v>699</v>
      </c>
      <c r="D535" s="575">
        <v>163.96</v>
      </c>
    </row>
    <row r="536" spans="1:4" ht="13.5" x14ac:dyDescent="0.25">
      <c r="A536" s="306">
        <v>93440</v>
      </c>
      <c r="B536" s="305" t="s">
        <v>810</v>
      </c>
      <c r="C536" s="305" t="s">
        <v>699</v>
      </c>
      <c r="D536" s="575">
        <v>90.4</v>
      </c>
    </row>
    <row r="537" spans="1:4" ht="13.5" x14ac:dyDescent="0.25">
      <c r="A537" s="306">
        <v>95122</v>
      </c>
      <c r="B537" s="305" t="s">
        <v>811</v>
      </c>
      <c r="C537" s="305" t="s">
        <v>699</v>
      </c>
      <c r="D537" s="575">
        <v>126.24</v>
      </c>
    </row>
    <row r="538" spans="1:4" ht="13.5" x14ac:dyDescent="0.25">
      <c r="A538" s="306">
        <v>95128</v>
      </c>
      <c r="B538" s="305" t="s">
        <v>812</v>
      </c>
      <c r="C538" s="305" t="s">
        <v>699</v>
      </c>
      <c r="D538" s="575">
        <v>35.33</v>
      </c>
    </row>
    <row r="539" spans="1:4" ht="13.5" x14ac:dyDescent="0.25">
      <c r="A539" s="306">
        <v>95140</v>
      </c>
      <c r="B539" s="305" t="s">
        <v>813</v>
      </c>
      <c r="C539" s="305" t="s">
        <v>699</v>
      </c>
      <c r="D539" s="575">
        <v>0.04</v>
      </c>
    </row>
    <row r="540" spans="1:4" ht="13.5" x14ac:dyDescent="0.25">
      <c r="A540" s="306">
        <v>95213</v>
      </c>
      <c r="B540" s="305" t="s">
        <v>814</v>
      </c>
      <c r="C540" s="305" t="s">
        <v>699</v>
      </c>
      <c r="D540" s="575">
        <v>55.33</v>
      </c>
    </row>
    <row r="541" spans="1:4" ht="13.5" x14ac:dyDescent="0.25">
      <c r="A541" s="306">
        <v>95219</v>
      </c>
      <c r="B541" s="305" t="s">
        <v>815</v>
      </c>
      <c r="C541" s="305" t="s">
        <v>699</v>
      </c>
      <c r="D541" s="575">
        <v>21.4</v>
      </c>
    </row>
    <row r="542" spans="1:4" ht="13.5" x14ac:dyDescent="0.25">
      <c r="A542" s="306">
        <v>95259</v>
      </c>
      <c r="B542" s="305" t="s">
        <v>816</v>
      </c>
      <c r="C542" s="305" t="s">
        <v>699</v>
      </c>
      <c r="D542" s="575">
        <v>20.12</v>
      </c>
    </row>
    <row r="543" spans="1:4" ht="13.5" x14ac:dyDescent="0.25">
      <c r="A543" s="306">
        <v>95265</v>
      </c>
      <c r="B543" s="305" t="s">
        <v>817</v>
      </c>
      <c r="C543" s="305" t="s">
        <v>699</v>
      </c>
      <c r="D543" s="575">
        <v>0.52</v>
      </c>
    </row>
    <row r="544" spans="1:4" ht="13.5" x14ac:dyDescent="0.25">
      <c r="A544" s="306">
        <v>95271</v>
      </c>
      <c r="B544" s="305" t="s">
        <v>818</v>
      </c>
      <c r="C544" s="305" t="s">
        <v>699</v>
      </c>
      <c r="D544" s="575">
        <v>0.45</v>
      </c>
    </row>
    <row r="545" spans="1:4" ht="13.5" x14ac:dyDescent="0.25">
      <c r="A545" s="306">
        <v>95277</v>
      </c>
      <c r="B545" s="305" t="s">
        <v>819</v>
      </c>
      <c r="C545" s="305" t="s">
        <v>699</v>
      </c>
      <c r="D545" s="575">
        <v>0.44</v>
      </c>
    </row>
    <row r="546" spans="1:4" ht="13.5" x14ac:dyDescent="0.25">
      <c r="A546" s="306">
        <v>95283</v>
      </c>
      <c r="B546" s="305" t="s">
        <v>820</v>
      </c>
      <c r="C546" s="305" t="s">
        <v>699</v>
      </c>
      <c r="D546" s="575">
        <v>0.49</v>
      </c>
    </row>
    <row r="547" spans="1:4" ht="13.5" x14ac:dyDescent="0.25">
      <c r="A547" s="306">
        <v>95621</v>
      </c>
      <c r="B547" s="305" t="s">
        <v>821</v>
      </c>
      <c r="C547" s="305" t="s">
        <v>699</v>
      </c>
      <c r="D547" s="575">
        <v>19.920000000000002</v>
      </c>
    </row>
    <row r="548" spans="1:4" ht="13.5" x14ac:dyDescent="0.25">
      <c r="A548" s="306">
        <v>95632</v>
      </c>
      <c r="B548" s="305" t="s">
        <v>822</v>
      </c>
      <c r="C548" s="305" t="s">
        <v>699</v>
      </c>
      <c r="D548" s="575">
        <v>48.08</v>
      </c>
    </row>
    <row r="549" spans="1:4" ht="13.5" x14ac:dyDescent="0.25">
      <c r="A549" s="306">
        <v>95703</v>
      </c>
      <c r="B549" s="305" t="s">
        <v>823</v>
      </c>
      <c r="C549" s="305" t="s">
        <v>699</v>
      </c>
      <c r="D549" s="575">
        <v>25.79</v>
      </c>
    </row>
    <row r="550" spans="1:4" ht="13.5" x14ac:dyDescent="0.25">
      <c r="A550" s="306">
        <v>95709</v>
      </c>
      <c r="B550" s="305" t="s">
        <v>824</v>
      </c>
      <c r="C550" s="305" t="s">
        <v>699</v>
      </c>
      <c r="D550" s="575">
        <v>56.78</v>
      </c>
    </row>
    <row r="551" spans="1:4" ht="13.5" x14ac:dyDescent="0.25">
      <c r="A551" s="306">
        <v>95715</v>
      </c>
      <c r="B551" s="305" t="s">
        <v>825</v>
      </c>
      <c r="C551" s="305" t="s">
        <v>699</v>
      </c>
      <c r="D551" s="575">
        <v>62.82</v>
      </c>
    </row>
    <row r="552" spans="1:4" ht="13.5" x14ac:dyDescent="0.25">
      <c r="A552" s="306">
        <v>95721</v>
      </c>
      <c r="B552" s="305" t="s">
        <v>826</v>
      </c>
      <c r="C552" s="305" t="s">
        <v>699</v>
      </c>
      <c r="D552" s="575">
        <v>61.28</v>
      </c>
    </row>
    <row r="553" spans="1:4" ht="13.5" x14ac:dyDescent="0.25">
      <c r="A553" s="306">
        <v>95873</v>
      </c>
      <c r="B553" s="305" t="s">
        <v>827</v>
      </c>
      <c r="C553" s="305" t="s">
        <v>699</v>
      </c>
      <c r="D553" s="575">
        <v>7.36</v>
      </c>
    </row>
    <row r="554" spans="1:4" ht="13.5" x14ac:dyDescent="0.25">
      <c r="A554" s="306">
        <v>96014</v>
      </c>
      <c r="B554" s="305" t="s">
        <v>828</v>
      </c>
      <c r="C554" s="305" t="s">
        <v>699</v>
      </c>
      <c r="D554" s="575">
        <v>33.82</v>
      </c>
    </row>
    <row r="555" spans="1:4" ht="13.5" x14ac:dyDescent="0.25">
      <c r="A555" s="306">
        <v>96021</v>
      </c>
      <c r="B555" s="305" t="s">
        <v>829</v>
      </c>
      <c r="C555" s="305" t="s">
        <v>699</v>
      </c>
      <c r="D555" s="575">
        <v>33.69</v>
      </c>
    </row>
    <row r="556" spans="1:4" ht="13.5" x14ac:dyDescent="0.25">
      <c r="A556" s="306">
        <v>96029</v>
      </c>
      <c r="B556" s="305" t="s">
        <v>830</v>
      </c>
      <c r="C556" s="305" t="s">
        <v>699</v>
      </c>
      <c r="D556" s="575">
        <v>30.81</v>
      </c>
    </row>
    <row r="557" spans="1:4" ht="13.5" x14ac:dyDescent="0.25">
      <c r="A557" s="306">
        <v>96036</v>
      </c>
      <c r="B557" s="305" t="s">
        <v>831</v>
      </c>
      <c r="C557" s="305" t="s">
        <v>699</v>
      </c>
      <c r="D557" s="575">
        <v>39.4</v>
      </c>
    </row>
    <row r="558" spans="1:4" ht="13.5" x14ac:dyDescent="0.25">
      <c r="A558" s="306">
        <v>96155</v>
      </c>
      <c r="B558" s="305" t="s">
        <v>832</v>
      </c>
      <c r="C558" s="305" t="s">
        <v>699</v>
      </c>
      <c r="D558" s="575">
        <v>30.94</v>
      </c>
    </row>
    <row r="559" spans="1:4" ht="13.5" x14ac:dyDescent="0.25">
      <c r="A559" s="306">
        <v>96156</v>
      </c>
      <c r="B559" s="305" t="s">
        <v>833</v>
      </c>
      <c r="C559" s="305" t="s">
        <v>699</v>
      </c>
      <c r="D559" s="575">
        <v>39.65</v>
      </c>
    </row>
    <row r="560" spans="1:4" ht="13.5" x14ac:dyDescent="0.25">
      <c r="A560" s="306">
        <v>96159</v>
      </c>
      <c r="B560" s="305" t="s">
        <v>834</v>
      </c>
      <c r="C560" s="305" t="s">
        <v>699</v>
      </c>
      <c r="D560" s="575">
        <v>43.75</v>
      </c>
    </row>
    <row r="561" spans="1:4" ht="13.5" x14ac:dyDescent="0.25">
      <c r="A561" s="306">
        <v>96246</v>
      </c>
      <c r="B561" s="305" t="s">
        <v>835</v>
      </c>
      <c r="C561" s="305" t="s">
        <v>699</v>
      </c>
      <c r="D561" s="575">
        <v>37.93</v>
      </c>
    </row>
    <row r="562" spans="1:4" ht="13.5" x14ac:dyDescent="0.25">
      <c r="A562" s="306">
        <v>96302</v>
      </c>
      <c r="B562" s="305" t="s">
        <v>836</v>
      </c>
      <c r="C562" s="305" t="s">
        <v>699</v>
      </c>
      <c r="D562" s="575">
        <v>76.040000000000006</v>
      </c>
    </row>
    <row r="563" spans="1:4" ht="13.5" x14ac:dyDescent="0.25">
      <c r="A563" s="306">
        <v>96308</v>
      </c>
      <c r="B563" s="305" t="s">
        <v>837</v>
      </c>
      <c r="C563" s="305" t="s">
        <v>699</v>
      </c>
      <c r="D563" s="575">
        <v>0.14000000000000001</v>
      </c>
    </row>
    <row r="564" spans="1:4" ht="13.5" x14ac:dyDescent="0.25">
      <c r="A564" s="306">
        <v>96464</v>
      </c>
      <c r="B564" s="305" t="s">
        <v>838</v>
      </c>
      <c r="C564" s="305" t="s">
        <v>699</v>
      </c>
      <c r="D564" s="575">
        <v>51.03</v>
      </c>
    </row>
    <row r="565" spans="1:4" ht="13.5" x14ac:dyDescent="0.25">
      <c r="A565" s="306">
        <v>98765</v>
      </c>
      <c r="B565" s="305" t="s">
        <v>839</v>
      </c>
      <c r="C565" s="305" t="s">
        <v>699</v>
      </c>
      <c r="D565" s="575">
        <v>0.09</v>
      </c>
    </row>
    <row r="566" spans="1:4" ht="13.5" x14ac:dyDescent="0.25">
      <c r="A566" s="306">
        <v>99834</v>
      </c>
      <c r="B566" s="305" t="s">
        <v>840</v>
      </c>
      <c r="C566" s="305" t="s">
        <v>699</v>
      </c>
      <c r="D566" s="575">
        <v>0.12</v>
      </c>
    </row>
    <row r="567" spans="1:4" ht="13.5" x14ac:dyDescent="0.25">
      <c r="A567" s="306">
        <v>100642</v>
      </c>
      <c r="B567" s="305" t="s">
        <v>12262</v>
      </c>
      <c r="C567" s="305" t="s">
        <v>699</v>
      </c>
      <c r="D567" s="575">
        <v>113.97</v>
      </c>
    </row>
    <row r="568" spans="1:4" ht="13.5" x14ac:dyDescent="0.25">
      <c r="A568" s="306">
        <v>100648</v>
      </c>
      <c r="B568" s="305" t="s">
        <v>12263</v>
      </c>
      <c r="C568" s="305" t="s">
        <v>699</v>
      </c>
      <c r="D568" s="575">
        <v>270.19</v>
      </c>
    </row>
    <row r="569" spans="1:4" ht="13.5" x14ac:dyDescent="0.25">
      <c r="A569" s="306">
        <v>5089</v>
      </c>
      <c r="B569" s="305" t="s">
        <v>841</v>
      </c>
      <c r="C569" s="305" t="s">
        <v>43</v>
      </c>
      <c r="D569" s="575">
        <v>20.71</v>
      </c>
    </row>
    <row r="570" spans="1:4" ht="13.5" x14ac:dyDescent="0.25">
      <c r="A570" s="306">
        <v>5627</v>
      </c>
      <c r="B570" s="305" t="s">
        <v>842</v>
      </c>
      <c r="C570" s="305" t="s">
        <v>43</v>
      </c>
      <c r="D570" s="575">
        <v>31.08</v>
      </c>
    </row>
    <row r="571" spans="1:4" ht="13.5" x14ac:dyDescent="0.25">
      <c r="A571" s="306">
        <v>5628</v>
      </c>
      <c r="B571" s="305" t="s">
        <v>843</v>
      </c>
      <c r="C571" s="305" t="s">
        <v>43</v>
      </c>
      <c r="D571" s="575">
        <v>4.21</v>
      </c>
    </row>
    <row r="572" spans="1:4" ht="13.5" x14ac:dyDescent="0.25">
      <c r="A572" s="306">
        <v>5629</v>
      </c>
      <c r="B572" s="305" t="s">
        <v>844</v>
      </c>
      <c r="C572" s="305" t="s">
        <v>43</v>
      </c>
      <c r="D572" s="575">
        <v>38.85</v>
      </c>
    </row>
    <row r="573" spans="1:4" ht="13.5" x14ac:dyDescent="0.25">
      <c r="A573" s="306">
        <v>5630</v>
      </c>
      <c r="B573" s="305" t="s">
        <v>845</v>
      </c>
      <c r="C573" s="305" t="s">
        <v>43</v>
      </c>
      <c r="D573" s="575">
        <v>36.94</v>
      </c>
    </row>
    <row r="574" spans="1:4" ht="13.5" x14ac:dyDescent="0.25">
      <c r="A574" s="306">
        <v>5658</v>
      </c>
      <c r="B574" s="305" t="s">
        <v>846</v>
      </c>
      <c r="C574" s="305" t="s">
        <v>43</v>
      </c>
      <c r="D574" s="575">
        <v>1.32</v>
      </c>
    </row>
    <row r="575" spans="1:4" ht="13.5" x14ac:dyDescent="0.25">
      <c r="A575" s="306">
        <v>5664</v>
      </c>
      <c r="B575" s="305" t="s">
        <v>847</v>
      </c>
      <c r="C575" s="305" t="s">
        <v>43</v>
      </c>
      <c r="D575" s="575">
        <v>18.18</v>
      </c>
    </row>
    <row r="576" spans="1:4" ht="13.5" x14ac:dyDescent="0.25">
      <c r="A576" s="306">
        <v>5667</v>
      </c>
      <c r="B576" s="305" t="s">
        <v>848</v>
      </c>
      <c r="C576" s="305" t="s">
        <v>43</v>
      </c>
      <c r="D576" s="575">
        <v>16.170000000000002</v>
      </c>
    </row>
    <row r="577" spans="1:4" ht="13.5" x14ac:dyDescent="0.25">
      <c r="A577" s="306">
        <v>5668</v>
      </c>
      <c r="B577" s="305" t="s">
        <v>849</v>
      </c>
      <c r="C577" s="305" t="s">
        <v>43</v>
      </c>
      <c r="D577" s="575">
        <v>28.26</v>
      </c>
    </row>
    <row r="578" spans="1:4" ht="13.5" x14ac:dyDescent="0.25">
      <c r="A578" s="306">
        <v>5674</v>
      </c>
      <c r="B578" s="305" t="s">
        <v>850</v>
      </c>
      <c r="C578" s="305" t="s">
        <v>43</v>
      </c>
      <c r="D578" s="575">
        <v>19.920000000000002</v>
      </c>
    </row>
    <row r="579" spans="1:4" ht="13.5" x14ac:dyDescent="0.25">
      <c r="A579" s="306">
        <v>5692</v>
      </c>
      <c r="B579" s="305" t="s">
        <v>851</v>
      </c>
      <c r="C579" s="305" t="s">
        <v>43</v>
      </c>
      <c r="D579" s="575">
        <v>0.18</v>
      </c>
    </row>
    <row r="580" spans="1:4" ht="13.5" x14ac:dyDescent="0.25">
      <c r="A580" s="306">
        <v>5693</v>
      </c>
      <c r="B580" s="305" t="s">
        <v>852</v>
      </c>
      <c r="C580" s="305" t="s">
        <v>43</v>
      </c>
      <c r="D580" s="575">
        <v>5.93</v>
      </c>
    </row>
    <row r="581" spans="1:4" ht="13.5" x14ac:dyDescent="0.25">
      <c r="A581" s="306">
        <v>5695</v>
      </c>
      <c r="B581" s="305" t="s">
        <v>853</v>
      </c>
      <c r="C581" s="305" t="s">
        <v>43</v>
      </c>
      <c r="D581" s="575">
        <v>25.21</v>
      </c>
    </row>
    <row r="582" spans="1:4" ht="13.5" x14ac:dyDescent="0.25">
      <c r="A582" s="306">
        <v>5703</v>
      </c>
      <c r="B582" s="305" t="s">
        <v>854</v>
      </c>
      <c r="C582" s="305" t="s">
        <v>43</v>
      </c>
      <c r="D582" s="575">
        <v>18.32</v>
      </c>
    </row>
    <row r="583" spans="1:4" ht="13.5" x14ac:dyDescent="0.25">
      <c r="A583" s="306">
        <v>5705</v>
      </c>
      <c r="B583" s="305" t="s">
        <v>855</v>
      </c>
      <c r="C583" s="305" t="s">
        <v>43</v>
      </c>
      <c r="D583" s="575">
        <v>15.7</v>
      </c>
    </row>
    <row r="584" spans="1:4" ht="13.5" x14ac:dyDescent="0.25">
      <c r="A584" s="306">
        <v>5707</v>
      </c>
      <c r="B584" s="305" t="s">
        <v>856</v>
      </c>
      <c r="C584" s="305" t="s">
        <v>43</v>
      </c>
      <c r="D584" s="575">
        <v>42.55</v>
      </c>
    </row>
    <row r="585" spans="1:4" ht="13.5" x14ac:dyDescent="0.25">
      <c r="A585" s="306">
        <v>5710</v>
      </c>
      <c r="B585" s="305" t="s">
        <v>857</v>
      </c>
      <c r="C585" s="305" t="s">
        <v>43</v>
      </c>
      <c r="D585" s="575">
        <v>103.54</v>
      </c>
    </row>
    <row r="586" spans="1:4" ht="13.5" x14ac:dyDescent="0.25">
      <c r="A586" s="306">
        <v>5711</v>
      </c>
      <c r="B586" s="305" t="s">
        <v>858</v>
      </c>
      <c r="C586" s="305" t="s">
        <v>43</v>
      </c>
      <c r="D586" s="575">
        <v>51.03</v>
      </c>
    </row>
    <row r="587" spans="1:4" ht="13.5" x14ac:dyDescent="0.25">
      <c r="A587" s="306">
        <v>5714</v>
      </c>
      <c r="B587" s="305" t="s">
        <v>859</v>
      </c>
      <c r="C587" s="305" t="s">
        <v>43</v>
      </c>
      <c r="D587" s="575">
        <v>7.57</v>
      </c>
    </row>
    <row r="588" spans="1:4" ht="13.5" x14ac:dyDescent="0.25">
      <c r="A588" s="306">
        <v>5715</v>
      </c>
      <c r="B588" s="305" t="s">
        <v>860</v>
      </c>
      <c r="C588" s="305" t="s">
        <v>43</v>
      </c>
      <c r="D588" s="575">
        <v>68.66</v>
      </c>
    </row>
    <row r="589" spans="1:4" ht="13.5" x14ac:dyDescent="0.25">
      <c r="A589" s="306">
        <v>5718</v>
      </c>
      <c r="B589" s="305" t="s">
        <v>861</v>
      </c>
      <c r="C589" s="305" t="s">
        <v>43</v>
      </c>
      <c r="D589" s="575">
        <v>60.91</v>
      </c>
    </row>
    <row r="590" spans="1:4" ht="13.5" x14ac:dyDescent="0.25">
      <c r="A590" s="306">
        <v>5721</v>
      </c>
      <c r="B590" s="305" t="s">
        <v>862</v>
      </c>
      <c r="C590" s="305" t="s">
        <v>43</v>
      </c>
      <c r="D590" s="575">
        <v>53.74</v>
      </c>
    </row>
    <row r="591" spans="1:4" ht="13.5" x14ac:dyDescent="0.25">
      <c r="A591" s="306">
        <v>5722</v>
      </c>
      <c r="B591" s="305" t="s">
        <v>863</v>
      </c>
      <c r="C591" s="305" t="s">
        <v>43</v>
      </c>
      <c r="D591" s="575">
        <v>124.3</v>
      </c>
    </row>
    <row r="592" spans="1:4" ht="13.5" x14ac:dyDescent="0.25">
      <c r="A592" s="306">
        <v>5724</v>
      </c>
      <c r="B592" s="305" t="s">
        <v>864</v>
      </c>
      <c r="C592" s="305" t="s">
        <v>43</v>
      </c>
      <c r="D592" s="575">
        <v>34.01</v>
      </c>
    </row>
    <row r="593" spans="1:4" ht="13.5" x14ac:dyDescent="0.25">
      <c r="A593" s="306">
        <v>5727</v>
      </c>
      <c r="B593" s="305" t="s">
        <v>865</v>
      </c>
      <c r="C593" s="305" t="s">
        <v>43</v>
      </c>
      <c r="D593" s="575">
        <v>6.01</v>
      </c>
    </row>
    <row r="594" spans="1:4" ht="13.5" x14ac:dyDescent="0.25">
      <c r="A594" s="306">
        <v>5729</v>
      </c>
      <c r="B594" s="305" t="s">
        <v>866</v>
      </c>
      <c r="C594" s="305" t="s">
        <v>43</v>
      </c>
      <c r="D594" s="575">
        <v>24.46</v>
      </c>
    </row>
    <row r="595" spans="1:4" ht="13.5" x14ac:dyDescent="0.25">
      <c r="A595" s="306">
        <v>5730</v>
      </c>
      <c r="B595" s="305" t="s">
        <v>867</v>
      </c>
      <c r="C595" s="305" t="s">
        <v>43</v>
      </c>
      <c r="D595" s="575">
        <v>23.73</v>
      </c>
    </row>
    <row r="596" spans="1:4" ht="13.5" x14ac:dyDescent="0.25">
      <c r="A596" s="306">
        <v>5735</v>
      </c>
      <c r="B596" s="305" t="s">
        <v>868</v>
      </c>
      <c r="C596" s="305" t="s">
        <v>43</v>
      </c>
      <c r="D596" s="575">
        <v>17.54</v>
      </c>
    </row>
    <row r="597" spans="1:4" ht="13.5" x14ac:dyDescent="0.25">
      <c r="A597" s="306">
        <v>5736</v>
      </c>
      <c r="B597" s="305" t="s">
        <v>869</v>
      </c>
      <c r="C597" s="305" t="s">
        <v>43</v>
      </c>
      <c r="D597" s="575">
        <v>25.93</v>
      </c>
    </row>
    <row r="598" spans="1:4" ht="13.5" x14ac:dyDescent="0.25">
      <c r="A598" s="306">
        <v>5738</v>
      </c>
      <c r="B598" s="305" t="s">
        <v>870</v>
      </c>
      <c r="C598" s="305" t="s">
        <v>43</v>
      </c>
      <c r="D598" s="575">
        <v>21.75</v>
      </c>
    </row>
    <row r="599" spans="1:4" ht="13.5" x14ac:dyDescent="0.25">
      <c r="A599" s="306">
        <v>5739</v>
      </c>
      <c r="B599" s="305" t="s">
        <v>871</v>
      </c>
      <c r="C599" s="305" t="s">
        <v>43</v>
      </c>
      <c r="D599" s="575">
        <v>27.21</v>
      </c>
    </row>
    <row r="600" spans="1:4" ht="13.5" x14ac:dyDescent="0.25">
      <c r="A600" s="306">
        <v>5741</v>
      </c>
      <c r="B600" s="305" t="s">
        <v>872</v>
      </c>
      <c r="C600" s="305" t="s">
        <v>43</v>
      </c>
      <c r="D600" s="575">
        <v>27.29</v>
      </c>
    </row>
    <row r="601" spans="1:4" ht="13.5" x14ac:dyDescent="0.25">
      <c r="A601" s="306">
        <v>5742</v>
      </c>
      <c r="B601" s="305" t="s">
        <v>873</v>
      </c>
      <c r="C601" s="305" t="s">
        <v>43</v>
      </c>
      <c r="D601" s="575">
        <v>15.81</v>
      </c>
    </row>
    <row r="602" spans="1:4" ht="13.5" x14ac:dyDescent="0.25">
      <c r="A602" s="306">
        <v>5747</v>
      </c>
      <c r="B602" s="305" t="s">
        <v>874</v>
      </c>
      <c r="C602" s="305" t="s">
        <v>43</v>
      </c>
      <c r="D602" s="575">
        <v>90.65</v>
      </c>
    </row>
    <row r="603" spans="1:4" ht="13.5" x14ac:dyDescent="0.25">
      <c r="A603" s="306">
        <v>5751</v>
      </c>
      <c r="B603" s="305" t="s">
        <v>875</v>
      </c>
      <c r="C603" s="305" t="s">
        <v>43</v>
      </c>
      <c r="D603" s="575">
        <v>17.28</v>
      </c>
    </row>
    <row r="604" spans="1:4" ht="13.5" x14ac:dyDescent="0.25">
      <c r="A604" s="306">
        <v>5754</v>
      </c>
      <c r="B604" s="305" t="s">
        <v>876</v>
      </c>
      <c r="C604" s="305" t="s">
        <v>43</v>
      </c>
      <c r="D604" s="575">
        <v>14.56</v>
      </c>
    </row>
    <row r="605" spans="1:4" ht="13.5" x14ac:dyDescent="0.25">
      <c r="A605" s="306">
        <v>5763</v>
      </c>
      <c r="B605" s="305" t="s">
        <v>877</v>
      </c>
      <c r="C605" s="305" t="s">
        <v>43</v>
      </c>
      <c r="D605" s="575">
        <v>25.02</v>
      </c>
    </row>
    <row r="606" spans="1:4" ht="13.5" x14ac:dyDescent="0.25">
      <c r="A606" s="306">
        <v>5765</v>
      </c>
      <c r="B606" s="305" t="s">
        <v>878</v>
      </c>
      <c r="C606" s="305" t="s">
        <v>43</v>
      </c>
      <c r="D606" s="575">
        <v>1.92</v>
      </c>
    </row>
    <row r="607" spans="1:4" ht="13.5" x14ac:dyDescent="0.25">
      <c r="A607" s="306">
        <v>5766</v>
      </c>
      <c r="B607" s="305" t="s">
        <v>879</v>
      </c>
      <c r="C607" s="305" t="s">
        <v>43</v>
      </c>
      <c r="D607" s="575">
        <v>2.96</v>
      </c>
    </row>
    <row r="608" spans="1:4" ht="13.5" x14ac:dyDescent="0.25">
      <c r="A608" s="306">
        <v>5779</v>
      </c>
      <c r="B608" s="305" t="s">
        <v>880</v>
      </c>
      <c r="C608" s="305" t="s">
        <v>43</v>
      </c>
      <c r="D608" s="575">
        <v>38</v>
      </c>
    </row>
    <row r="609" spans="1:4" ht="13.5" x14ac:dyDescent="0.25">
      <c r="A609" s="306">
        <v>5787</v>
      </c>
      <c r="B609" s="305" t="s">
        <v>881</v>
      </c>
      <c r="C609" s="305" t="s">
        <v>43</v>
      </c>
      <c r="D609" s="575">
        <v>40.33</v>
      </c>
    </row>
    <row r="610" spans="1:4" ht="13.5" x14ac:dyDescent="0.25">
      <c r="A610" s="306">
        <v>5797</v>
      </c>
      <c r="B610" s="305" t="s">
        <v>882</v>
      </c>
      <c r="C610" s="305" t="s">
        <v>43</v>
      </c>
      <c r="D610" s="575">
        <v>3.45</v>
      </c>
    </row>
    <row r="611" spans="1:4" ht="13.5" x14ac:dyDescent="0.25">
      <c r="A611" s="306">
        <v>5800</v>
      </c>
      <c r="B611" s="305" t="s">
        <v>883</v>
      </c>
      <c r="C611" s="305" t="s">
        <v>43</v>
      </c>
      <c r="D611" s="575">
        <v>0.28999999999999998</v>
      </c>
    </row>
    <row r="612" spans="1:4" ht="13.5" x14ac:dyDescent="0.25">
      <c r="A612" s="306">
        <v>7032</v>
      </c>
      <c r="B612" s="305" t="s">
        <v>884</v>
      </c>
      <c r="C612" s="305" t="s">
        <v>43</v>
      </c>
      <c r="D612" s="575">
        <v>3.22</v>
      </c>
    </row>
    <row r="613" spans="1:4" ht="13.5" x14ac:dyDescent="0.25">
      <c r="A613" s="306">
        <v>7033</v>
      </c>
      <c r="B613" s="305" t="s">
        <v>885</v>
      </c>
      <c r="C613" s="305" t="s">
        <v>43</v>
      </c>
      <c r="D613" s="575">
        <v>0.53</v>
      </c>
    </row>
    <row r="614" spans="1:4" ht="13.5" x14ac:dyDescent="0.25">
      <c r="A614" s="306">
        <v>7034</v>
      </c>
      <c r="B614" s="305" t="s">
        <v>886</v>
      </c>
      <c r="C614" s="305" t="s">
        <v>43</v>
      </c>
      <c r="D614" s="575">
        <v>6.04</v>
      </c>
    </row>
    <row r="615" spans="1:4" ht="13.5" x14ac:dyDescent="0.25">
      <c r="A615" s="306">
        <v>7035</v>
      </c>
      <c r="B615" s="305" t="s">
        <v>887</v>
      </c>
      <c r="C615" s="305" t="s">
        <v>43</v>
      </c>
      <c r="D615" s="575">
        <v>122.5</v>
      </c>
    </row>
    <row r="616" spans="1:4" ht="13.5" x14ac:dyDescent="0.25">
      <c r="A616" s="306">
        <v>7038</v>
      </c>
      <c r="B616" s="305" t="s">
        <v>888</v>
      </c>
      <c r="C616" s="305" t="s">
        <v>43</v>
      </c>
      <c r="D616" s="575">
        <v>24.87</v>
      </c>
    </row>
    <row r="617" spans="1:4" ht="13.5" x14ac:dyDescent="0.25">
      <c r="A617" s="306">
        <v>7039</v>
      </c>
      <c r="B617" s="305" t="s">
        <v>889</v>
      </c>
      <c r="C617" s="305" t="s">
        <v>43</v>
      </c>
      <c r="D617" s="575">
        <v>3.45</v>
      </c>
    </row>
    <row r="618" spans="1:4" ht="13.5" x14ac:dyDescent="0.25">
      <c r="A618" s="306">
        <v>7040</v>
      </c>
      <c r="B618" s="305" t="s">
        <v>890</v>
      </c>
      <c r="C618" s="305" t="s">
        <v>43</v>
      </c>
      <c r="D618" s="575">
        <v>31.13</v>
      </c>
    </row>
    <row r="619" spans="1:4" ht="13.5" x14ac:dyDescent="0.25">
      <c r="A619" s="306">
        <v>7044</v>
      </c>
      <c r="B619" s="305" t="s">
        <v>891</v>
      </c>
      <c r="C619" s="305" t="s">
        <v>43</v>
      </c>
      <c r="D619" s="575">
        <v>0.2</v>
      </c>
    </row>
    <row r="620" spans="1:4" ht="13.5" x14ac:dyDescent="0.25">
      <c r="A620" s="306">
        <v>7045</v>
      </c>
      <c r="B620" s="305" t="s">
        <v>892</v>
      </c>
      <c r="C620" s="305" t="s">
        <v>43</v>
      </c>
      <c r="D620" s="575">
        <v>0.02</v>
      </c>
    </row>
    <row r="621" spans="1:4" ht="13.5" x14ac:dyDescent="0.25">
      <c r="A621" s="306">
        <v>7046</v>
      </c>
      <c r="B621" s="305" t="s">
        <v>893</v>
      </c>
      <c r="C621" s="305" t="s">
        <v>43</v>
      </c>
      <c r="D621" s="575">
        <v>0.22</v>
      </c>
    </row>
    <row r="622" spans="1:4" ht="13.5" x14ac:dyDescent="0.25">
      <c r="A622" s="306">
        <v>7047</v>
      </c>
      <c r="B622" s="305" t="s">
        <v>894</v>
      </c>
      <c r="C622" s="305" t="s">
        <v>43</v>
      </c>
      <c r="D622" s="575">
        <v>6.98</v>
      </c>
    </row>
    <row r="623" spans="1:4" ht="13.5" x14ac:dyDescent="0.25">
      <c r="A623" s="306">
        <v>7051</v>
      </c>
      <c r="B623" s="305" t="s">
        <v>895</v>
      </c>
      <c r="C623" s="305" t="s">
        <v>43</v>
      </c>
      <c r="D623" s="575">
        <v>22.06</v>
      </c>
    </row>
    <row r="624" spans="1:4" ht="13.5" x14ac:dyDescent="0.25">
      <c r="A624" s="306">
        <v>7052</v>
      </c>
      <c r="B624" s="305" t="s">
        <v>896</v>
      </c>
      <c r="C624" s="305" t="s">
        <v>43</v>
      </c>
      <c r="D624" s="575">
        <v>3.06</v>
      </c>
    </row>
    <row r="625" spans="1:4" ht="13.5" x14ac:dyDescent="0.25">
      <c r="A625" s="306">
        <v>7053</v>
      </c>
      <c r="B625" s="305" t="s">
        <v>897</v>
      </c>
      <c r="C625" s="305" t="s">
        <v>43</v>
      </c>
      <c r="D625" s="575">
        <v>27.61</v>
      </c>
    </row>
    <row r="626" spans="1:4" ht="13.5" x14ac:dyDescent="0.25">
      <c r="A626" s="306">
        <v>7054</v>
      </c>
      <c r="B626" s="305" t="s">
        <v>898</v>
      </c>
      <c r="C626" s="305" t="s">
        <v>43</v>
      </c>
      <c r="D626" s="575">
        <v>51.17</v>
      </c>
    </row>
    <row r="627" spans="1:4" ht="13.5" x14ac:dyDescent="0.25">
      <c r="A627" s="306">
        <v>7058</v>
      </c>
      <c r="B627" s="305" t="s">
        <v>899</v>
      </c>
      <c r="C627" s="305" t="s">
        <v>43</v>
      </c>
      <c r="D627" s="575">
        <v>12.83</v>
      </c>
    </row>
    <row r="628" spans="1:4" ht="13.5" x14ac:dyDescent="0.25">
      <c r="A628" s="306">
        <v>7059</v>
      </c>
      <c r="B628" s="305" t="s">
        <v>900</v>
      </c>
      <c r="C628" s="305" t="s">
        <v>43</v>
      </c>
      <c r="D628" s="575">
        <v>2.37</v>
      </c>
    </row>
    <row r="629" spans="1:4" ht="13.5" x14ac:dyDescent="0.25">
      <c r="A629" s="306">
        <v>7060</v>
      </c>
      <c r="B629" s="305" t="s">
        <v>901</v>
      </c>
      <c r="C629" s="305" t="s">
        <v>43</v>
      </c>
      <c r="D629" s="575">
        <v>24.06</v>
      </c>
    </row>
    <row r="630" spans="1:4" ht="13.5" x14ac:dyDescent="0.25">
      <c r="A630" s="306">
        <v>7061</v>
      </c>
      <c r="B630" s="305" t="s">
        <v>902</v>
      </c>
      <c r="C630" s="305" t="s">
        <v>43</v>
      </c>
      <c r="D630" s="575">
        <v>46.71</v>
      </c>
    </row>
    <row r="631" spans="1:4" ht="13.5" x14ac:dyDescent="0.25">
      <c r="A631" s="306">
        <v>7063</v>
      </c>
      <c r="B631" s="305" t="s">
        <v>903</v>
      </c>
      <c r="C631" s="305" t="s">
        <v>43</v>
      </c>
      <c r="D631" s="575">
        <v>9.4499999999999993</v>
      </c>
    </row>
    <row r="632" spans="1:4" ht="13.5" x14ac:dyDescent="0.25">
      <c r="A632" s="306">
        <v>7064</v>
      </c>
      <c r="B632" s="305" t="s">
        <v>904</v>
      </c>
      <c r="C632" s="305" t="s">
        <v>43</v>
      </c>
      <c r="D632" s="575">
        <v>1.31</v>
      </c>
    </row>
    <row r="633" spans="1:4" ht="13.5" x14ac:dyDescent="0.25">
      <c r="A633" s="306">
        <v>7065</v>
      </c>
      <c r="B633" s="305" t="s">
        <v>905</v>
      </c>
      <c r="C633" s="305" t="s">
        <v>43</v>
      </c>
      <c r="D633" s="575">
        <v>10.34</v>
      </c>
    </row>
    <row r="634" spans="1:4" ht="13.5" x14ac:dyDescent="0.25">
      <c r="A634" s="306">
        <v>7066</v>
      </c>
      <c r="B634" s="305" t="s">
        <v>906</v>
      </c>
      <c r="C634" s="305" t="s">
        <v>43</v>
      </c>
      <c r="D634" s="575">
        <v>98.54</v>
      </c>
    </row>
    <row r="635" spans="1:4" ht="13.5" x14ac:dyDescent="0.25">
      <c r="A635" s="306">
        <v>53786</v>
      </c>
      <c r="B635" s="305" t="s">
        <v>907</v>
      </c>
      <c r="C635" s="305" t="s">
        <v>43</v>
      </c>
      <c r="D635" s="575">
        <v>30.59</v>
      </c>
    </row>
    <row r="636" spans="1:4" ht="13.5" x14ac:dyDescent="0.25">
      <c r="A636" s="306">
        <v>53788</v>
      </c>
      <c r="B636" s="305" t="s">
        <v>908</v>
      </c>
      <c r="C636" s="305" t="s">
        <v>43</v>
      </c>
      <c r="D636" s="575">
        <v>32.75</v>
      </c>
    </row>
    <row r="637" spans="1:4" ht="13.5" x14ac:dyDescent="0.25">
      <c r="A637" s="306">
        <v>53792</v>
      </c>
      <c r="B637" s="305" t="s">
        <v>909</v>
      </c>
      <c r="C637" s="305" t="s">
        <v>43</v>
      </c>
      <c r="D637" s="575">
        <v>58.06</v>
      </c>
    </row>
    <row r="638" spans="1:4" ht="13.5" x14ac:dyDescent="0.25">
      <c r="A638" s="306">
        <v>53794</v>
      </c>
      <c r="B638" s="305" t="s">
        <v>910</v>
      </c>
      <c r="C638" s="305" t="s">
        <v>43</v>
      </c>
      <c r="D638" s="575">
        <v>35</v>
      </c>
    </row>
    <row r="639" spans="1:4" ht="13.5" x14ac:dyDescent="0.25">
      <c r="A639" s="306">
        <v>53797</v>
      </c>
      <c r="B639" s="305" t="s">
        <v>911</v>
      </c>
      <c r="C639" s="305" t="s">
        <v>43</v>
      </c>
      <c r="D639" s="575">
        <v>66.78</v>
      </c>
    </row>
    <row r="640" spans="1:4" ht="13.5" x14ac:dyDescent="0.25">
      <c r="A640" s="306">
        <v>53804</v>
      </c>
      <c r="B640" s="305" t="s">
        <v>912</v>
      </c>
      <c r="C640" s="305" t="s">
        <v>43</v>
      </c>
      <c r="D640" s="575">
        <v>2.74</v>
      </c>
    </row>
    <row r="641" spans="1:4" ht="13.5" x14ac:dyDescent="0.25">
      <c r="A641" s="306">
        <v>53806</v>
      </c>
      <c r="B641" s="305" t="s">
        <v>913</v>
      </c>
      <c r="C641" s="305" t="s">
        <v>43</v>
      </c>
      <c r="D641" s="575">
        <v>43.82</v>
      </c>
    </row>
    <row r="642" spans="1:4" ht="13.5" x14ac:dyDescent="0.25">
      <c r="A642" s="306">
        <v>53810</v>
      </c>
      <c r="B642" s="305" t="s">
        <v>914</v>
      </c>
      <c r="C642" s="305" t="s">
        <v>43</v>
      </c>
      <c r="D642" s="575">
        <v>44.09</v>
      </c>
    </row>
    <row r="643" spans="1:4" ht="13.5" x14ac:dyDescent="0.25">
      <c r="A643" s="306">
        <v>53814</v>
      </c>
      <c r="B643" s="305" t="s">
        <v>915</v>
      </c>
      <c r="C643" s="305" t="s">
        <v>43</v>
      </c>
      <c r="D643" s="575">
        <v>144.41999999999999</v>
      </c>
    </row>
    <row r="644" spans="1:4" ht="13.5" x14ac:dyDescent="0.25">
      <c r="A644" s="306">
        <v>53817</v>
      </c>
      <c r="B644" s="305" t="s">
        <v>916</v>
      </c>
      <c r="C644" s="305" t="s">
        <v>43</v>
      </c>
      <c r="D644" s="575">
        <v>35.799999999999997</v>
      </c>
    </row>
    <row r="645" spans="1:4" ht="13.5" x14ac:dyDescent="0.25">
      <c r="A645" s="306">
        <v>53818</v>
      </c>
      <c r="B645" s="305" t="s">
        <v>917</v>
      </c>
      <c r="C645" s="305" t="s">
        <v>43</v>
      </c>
      <c r="D645" s="575">
        <v>4.8</v>
      </c>
    </row>
    <row r="646" spans="1:4" ht="13.5" x14ac:dyDescent="0.25">
      <c r="A646" s="306">
        <v>53827</v>
      </c>
      <c r="B646" s="305" t="s">
        <v>918</v>
      </c>
      <c r="C646" s="305" t="s">
        <v>43</v>
      </c>
      <c r="D646" s="575">
        <v>65.37</v>
      </c>
    </row>
    <row r="647" spans="1:4" ht="13.5" x14ac:dyDescent="0.25">
      <c r="A647" s="306">
        <v>53829</v>
      </c>
      <c r="B647" s="305" t="s">
        <v>919</v>
      </c>
      <c r="C647" s="305" t="s">
        <v>43</v>
      </c>
      <c r="D647" s="575">
        <v>66.78</v>
      </c>
    </row>
    <row r="648" spans="1:4" ht="13.5" x14ac:dyDescent="0.25">
      <c r="A648" s="306">
        <v>53831</v>
      </c>
      <c r="B648" s="305" t="s">
        <v>920</v>
      </c>
      <c r="C648" s="305" t="s">
        <v>43</v>
      </c>
      <c r="D648" s="575">
        <v>110.3</v>
      </c>
    </row>
    <row r="649" spans="1:4" ht="13.5" x14ac:dyDescent="0.25">
      <c r="A649" s="306">
        <v>53840</v>
      </c>
      <c r="B649" s="305" t="s">
        <v>921</v>
      </c>
      <c r="C649" s="305" t="s">
        <v>43</v>
      </c>
      <c r="D649" s="575">
        <v>1.49</v>
      </c>
    </row>
    <row r="650" spans="1:4" ht="13.5" x14ac:dyDescent="0.25">
      <c r="A650" s="306">
        <v>53841</v>
      </c>
      <c r="B650" s="305" t="s">
        <v>922</v>
      </c>
      <c r="C650" s="305" t="s">
        <v>43</v>
      </c>
      <c r="D650" s="575">
        <v>1.03</v>
      </c>
    </row>
    <row r="651" spans="1:4" ht="13.5" x14ac:dyDescent="0.25">
      <c r="A651" s="306">
        <v>53849</v>
      </c>
      <c r="B651" s="305" t="s">
        <v>923</v>
      </c>
      <c r="C651" s="305" t="s">
        <v>43</v>
      </c>
      <c r="D651" s="575">
        <v>47.98</v>
      </c>
    </row>
    <row r="652" spans="1:4" ht="13.5" x14ac:dyDescent="0.25">
      <c r="A652" s="306">
        <v>53857</v>
      </c>
      <c r="B652" s="305" t="s">
        <v>924</v>
      </c>
      <c r="C652" s="305" t="s">
        <v>43</v>
      </c>
      <c r="D652" s="575">
        <v>26.94</v>
      </c>
    </row>
    <row r="653" spans="1:4" ht="13.5" x14ac:dyDescent="0.25">
      <c r="A653" s="306">
        <v>53858</v>
      </c>
      <c r="B653" s="305" t="s">
        <v>925</v>
      </c>
      <c r="C653" s="305" t="s">
        <v>43</v>
      </c>
      <c r="D653" s="575">
        <v>45.85</v>
      </c>
    </row>
    <row r="654" spans="1:4" ht="13.5" x14ac:dyDescent="0.25">
      <c r="A654" s="306">
        <v>53861</v>
      </c>
      <c r="B654" s="305" t="s">
        <v>926</v>
      </c>
      <c r="C654" s="305" t="s">
        <v>43</v>
      </c>
      <c r="D654" s="575">
        <v>37.36</v>
      </c>
    </row>
    <row r="655" spans="1:4" ht="13.5" x14ac:dyDescent="0.25">
      <c r="A655" s="306">
        <v>53863</v>
      </c>
      <c r="B655" s="305" t="s">
        <v>927</v>
      </c>
      <c r="C655" s="305" t="s">
        <v>43</v>
      </c>
      <c r="D655" s="575">
        <v>1.38</v>
      </c>
    </row>
    <row r="656" spans="1:4" ht="13.5" x14ac:dyDescent="0.25">
      <c r="A656" s="306">
        <v>53865</v>
      </c>
      <c r="B656" s="305" t="s">
        <v>928</v>
      </c>
      <c r="C656" s="305" t="s">
        <v>43</v>
      </c>
      <c r="D656" s="575">
        <v>27.02</v>
      </c>
    </row>
    <row r="657" spans="1:4" ht="13.5" x14ac:dyDescent="0.25">
      <c r="A657" s="306">
        <v>53866</v>
      </c>
      <c r="B657" s="305" t="s">
        <v>929</v>
      </c>
      <c r="C657" s="305" t="s">
        <v>43</v>
      </c>
      <c r="D657" s="575">
        <v>1.48</v>
      </c>
    </row>
    <row r="658" spans="1:4" ht="13.5" x14ac:dyDescent="0.25">
      <c r="A658" s="306">
        <v>53882</v>
      </c>
      <c r="B658" s="305" t="s">
        <v>930</v>
      </c>
      <c r="C658" s="305" t="s">
        <v>43</v>
      </c>
      <c r="D658" s="575">
        <v>19.5</v>
      </c>
    </row>
    <row r="659" spans="1:4" ht="13.5" x14ac:dyDescent="0.25">
      <c r="A659" s="306">
        <v>55263</v>
      </c>
      <c r="B659" s="305" t="s">
        <v>931</v>
      </c>
      <c r="C659" s="305" t="s">
        <v>43</v>
      </c>
      <c r="D659" s="575">
        <v>36.94</v>
      </c>
    </row>
    <row r="660" spans="1:4" ht="13.5" x14ac:dyDescent="0.25">
      <c r="A660" s="306">
        <v>73303</v>
      </c>
      <c r="B660" s="305" t="s">
        <v>932</v>
      </c>
      <c r="C660" s="305" t="s">
        <v>43</v>
      </c>
      <c r="D660" s="575">
        <v>4.3899999999999997</v>
      </c>
    </row>
    <row r="661" spans="1:4" ht="13.5" x14ac:dyDescent="0.25">
      <c r="A661" s="306">
        <v>73307</v>
      </c>
      <c r="B661" s="305" t="s">
        <v>933</v>
      </c>
      <c r="C661" s="305" t="s">
        <v>43</v>
      </c>
      <c r="D661" s="575">
        <v>3.91</v>
      </c>
    </row>
    <row r="662" spans="1:4" ht="13.5" x14ac:dyDescent="0.25">
      <c r="A662" s="306">
        <v>73309</v>
      </c>
      <c r="B662" s="305" t="s">
        <v>934</v>
      </c>
      <c r="C662" s="305" t="s">
        <v>43</v>
      </c>
      <c r="D662" s="575">
        <v>16.55</v>
      </c>
    </row>
    <row r="663" spans="1:4" ht="13.5" x14ac:dyDescent="0.25">
      <c r="A663" s="306">
        <v>73311</v>
      </c>
      <c r="B663" s="305" t="s">
        <v>935</v>
      </c>
      <c r="C663" s="305" t="s">
        <v>43</v>
      </c>
      <c r="D663" s="575">
        <v>102.11</v>
      </c>
    </row>
    <row r="664" spans="1:4" ht="13.5" x14ac:dyDescent="0.25">
      <c r="A664" s="306">
        <v>73313</v>
      </c>
      <c r="B664" s="305" t="s">
        <v>936</v>
      </c>
      <c r="C664" s="305" t="s">
        <v>43</v>
      </c>
      <c r="D664" s="575">
        <v>2.29</v>
      </c>
    </row>
    <row r="665" spans="1:4" ht="13.5" x14ac:dyDescent="0.25">
      <c r="A665" s="306">
        <v>73315</v>
      </c>
      <c r="B665" s="305" t="s">
        <v>937</v>
      </c>
      <c r="C665" s="305" t="s">
        <v>43</v>
      </c>
      <c r="D665" s="575">
        <v>32.75</v>
      </c>
    </row>
    <row r="666" spans="1:4" ht="13.5" x14ac:dyDescent="0.25">
      <c r="A666" s="306">
        <v>73335</v>
      </c>
      <c r="B666" s="305" t="s">
        <v>938</v>
      </c>
      <c r="C666" s="305" t="s">
        <v>43</v>
      </c>
      <c r="D666" s="575">
        <v>18.670000000000002</v>
      </c>
    </row>
    <row r="667" spans="1:4" ht="13.5" x14ac:dyDescent="0.25">
      <c r="A667" s="306">
        <v>73340</v>
      </c>
      <c r="B667" s="305" t="s">
        <v>939</v>
      </c>
      <c r="C667" s="305" t="s">
        <v>43</v>
      </c>
      <c r="D667" s="575">
        <v>46.71</v>
      </c>
    </row>
    <row r="668" spans="1:4" ht="13.5" x14ac:dyDescent="0.25">
      <c r="A668" s="306">
        <v>83361</v>
      </c>
      <c r="B668" s="305" t="s">
        <v>940</v>
      </c>
      <c r="C668" s="305" t="s">
        <v>43</v>
      </c>
      <c r="D668" s="575">
        <v>11.07</v>
      </c>
    </row>
    <row r="669" spans="1:4" ht="13.5" x14ac:dyDescent="0.25">
      <c r="A669" s="306">
        <v>83761</v>
      </c>
      <c r="B669" s="305" t="s">
        <v>941</v>
      </c>
      <c r="C669" s="305" t="s">
        <v>43</v>
      </c>
      <c r="D669" s="575">
        <v>9.36</v>
      </c>
    </row>
    <row r="670" spans="1:4" ht="13.5" x14ac:dyDescent="0.25">
      <c r="A670" s="306">
        <v>83762</v>
      </c>
      <c r="B670" s="305" t="s">
        <v>942</v>
      </c>
      <c r="C670" s="305" t="s">
        <v>43</v>
      </c>
      <c r="D670" s="575">
        <v>11.7</v>
      </c>
    </row>
    <row r="671" spans="1:4" ht="13.5" x14ac:dyDescent="0.25">
      <c r="A671" s="306">
        <v>83763</v>
      </c>
      <c r="B671" s="305" t="s">
        <v>943</v>
      </c>
      <c r="C671" s="305" t="s">
        <v>43</v>
      </c>
      <c r="D671" s="575">
        <v>28.77</v>
      </c>
    </row>
    <row r="672" spans="1:4" ht="13.5" x14ac:dyDescent="0.25">
      <c r="A672" s="306">
        <v>83764</v>
      </c>
      <c r="B672" s="305" t="s">
        <v>944</v>
      </c>
      <c r="C672" s="305" t="s">
        <v>43</v>
      </c>
      <c r="D672" s="575">
        <v>1.05</v>
      </c>
    </row>
    <row r="673" spans="1:4" ht="13.5" x14ac:dyDescent="0.25">
      <c r="A673" s="306">
        <v>87026</v>
      </c>
      <c r="B673" s="305" t="s">
        <v>945</v>
      </c>
      <c r="C673" s="305" t="s">
        <v>43</v>
      </c>
      <c r="D673" s="575">
        <v>0.2</v>
      </c>
    </row>
    <row r="674" spans="1:4" ht="13.5" x14ac:dyDescent="0.25">
      <c r="A674" s="306">
        <v>87441</v>
      </c>
      <c r="B674" s="305" t="s">
        <v>946</v>
      </c>
      <c r="C674" s="305" t="s">
        <v>43</v>
      </c>
      <c r="D674" s="575">
        <v>0.28999999999999998</v>
      </c>
    </row>
    <row r="675" spans="1:4" ht="13.5" x14ac:dyDescent="0.25">
      <c r="A675" s="306">
        <v>87442</v>
      </c>
      <c r="B675" s="305" t="s">
        <v>947</v>
      </c>
      <c r="C675" s="305" t="s">
        <v>43</v>
      </c>
      <c r="D675" s="575">
        <v>0.03</v>
      </c>
    </row>
    <row r="676" spans="1:4" ht="13.5" x14ac:dyDescent="0.25">
      <c r="A676" s="306">
        <v>87443</v>
      </c>
      <c r="B676" s="305" t="s">
        <v>948</v>
      </c>
      <c r="C676" s="305" t="s">
        <v>43</v>
      </c>
      <c r="D676" s="575">
        <v>0.27</v>
      </c>
    </row>
    <row r="677" spans="1:4" ht="13.5" x14ac:dyDescent="0.25">
      <c r="A677" s="306">
        <v>87444</v>
      </c>
      <c r="B677" s="305" t="s">
        <v>949</v>
      </c>
      <c r="C677" s="305" t="s">
        <v>43</v>
      </c>
      <c r="D677" s="575">
        <v>2.4300000000000002</v>
      </c>
    </row>
    <row r="678" spans="1:4" ht="13.5" x14ac:dyDescent="0.25">
      <c r="A678" s="306">
        <v>88387</v>
      </c>
      <c r="B678" s="305" t="s">
        <v>950</v>
      </c>
      <c r="C678" s="305" t="s">
        <v>43</v>
      </c>
      <c r="D678" s="575">
        <v>0.57999999999999996</v>
      </c>
    </row>
    <row r="679" spans="1:4" ht="13.5" x14ac:dyDescent="0.25">
      <c r="A679" s="306">
        <v>88389</v>
      </c>
      <c r="B679" s="305" t="s">
        <v>951</v>
      </c>
      <c r="C679" s="305" t="s">
        <v>43</v>
      </c>
      <c r="D679" s="575">
        <v>0.06</v>
      </c>
    </row>
    <row r="680" spans="1:4" ht="13.5" x14ac:dyDescent="0.25">
      <c r="A680" s="306">
        <v>88390</v>
      </c>
      <c r="B680" s="305" t="s">
        <v>952</v>
      </c>
      <c r="C680" s="305" t="s">
        <v>43</v>
      </c>
      <c r="D680" s="575">
        <v>0.72</v>
      </c>
    </row>
    <row r="681" spans="1:4" ht="13.5" x14ac:dyDescent="0.25">
      <c r="A681" s="306">
        <v>88391</v>
      </c>
      <c r="B681" s="305" t="s">
        <v>953</v>
      </c>
      <c r="C681" s="305" t="s">
        <v>43</v>
      </c>
      <c r="D681" s="575">
        <v>2.41</v>
      </c>
    </row>
    <row r="682" spans="1:4" ht="13.5" x14ac:dyDescent="0.25">
      <c r="A682" s="306">
        <v>88394</v>
      </c>
      <c r="B682" s="305" t="s">
        <v>954</v>
      </c>
      <c r="C682" s="305" t="s">
        <v>43</v>
      </c>
      <c r="D682" s="575">
        <v>0.69</v>
      </c>
    </row>
    <row r="683" spans="1:4" ht="13.5" x14ac:dyDescent="0.25">
      <c r="A683" s="306">
        <v>88395</v>
      </c>
      <c r="B683" s="305" t="s">
        <v>955</v>
      </c>
      <c r="C683" s="305" t="s">
        <v>43</v>
      </c>
      <c r="D683" s="575">
        <v>0.08</v>
      </c>
    </row>
    <row r="684" spans="1:4" ht="13.5" x14ac:dyDescent="0.25">
      <c r="A684" s="306">
        <v>88396</v>
      </c>
      <c r="B684" s="305" t="s">
        <v>956</v>
      </c>
      <c r="C684" s="305" t="s">
        <v>43</v>
      </c>
      <c r="D684" s="575">
        <v>0.86</v>
      </c>
    </row>
    <row r="685" spans="1:4" ht="13.5" x14ac:dyDescent="0.25">
      <c r="A685" s="306">
        <v>88397</v>
      </c>
      <c r="B685" s="305" t="s">
        <v>957</v>
      </c>
      <c r="C685" s="305" t="s">
        <v>43</v>
      </c>
      <c r="D685" s="575">
        <v>3.61</v>
      </c>
    </row>
    <row r="686" spans="1:4" ht="13.5" x14ac:dyDescent="0.25">
      <c r="A686" s="306">
        <v>88400</v>
      </c>
      <c r="B686" s="305" t="s">
        <v>958</v>
      </c>
      <c r="C686" s="305" t="s">
        <v>43</v>
      </c>
      <c r="D686" s="575">
        <v>0.54</v>
      </c>
    </row>
    <row r="687" spans="1:4" ht="13.5" x14ac:dyDescent="0.25">
      <c r="A687" s="306">
        <v>88401</v>
      </c>
      <c r="B687" s="305" t="s">
        <v>959</v>
      </c>
      <c r="C687" s="305" t="s">
        <v>43</v>
      </c>
      <c r="D687" s="575">
        <v>0.06</v>
      </c>
    </row>
    <row r="688" spans="1:4" ht="13.5" x14ac:dyDescent="0.25">
      <c r="A688" s="306">
        <v>88402</v>
      </c>
      <c r="B688" s="305" t="s">
        <v>960</v>
      </c>
      <c r="C688" s="305" t="s">
        <v>43</v>
      </c>
      <c r="D688" s="575">
        <v>0.68</v>
      </c>
    </row>
    <row r="689" spans="1:4" ht="13.5" x14ac:dyDescent="0.25">
      <c r="A689" s="306">
        <v>88403</v>
      </c>
      <c r="B689" s="305" t="s">
        <v>961</v>
      </c>
      <c r="C689" s="305" t="s">
        <v>43</v>
      </c>
      <c r="D689" s="575">
        <v>1.44</v>
      </c>
    </row>
    <row r="690" spans="1:4" ht="13.5" x14ac:dyDescent="0.25">
      <c r="A690" s="306">
        <v>88419</v>
      </c>
      <c r="B690" s="305" t="s">
        <v>962</v>
      </c>
      <c r="C690" s="305" t="s">
        <v>43</v>
      </c>
      <c r="D690" s="575">
        <v>3.56</v>
      </c>
    </row>
    <row r="691" spans="1:4" ht="13.5" x14ac:dyDescent="0.25">
      <c r="A691" s="306">
        <v>88422</v>
      </c>
      <c r="B691" s="305" t="s">
        <v>963</v>
      </c>
      <c r="C691" s="305" t="s">
        <v>43</v>
      </c>
      <c r="D691" s="575">
        <v>0.42</v>
      </c>
    </row>
    <row r="692" spans="1:4" ht="13.5" x14ac:dyDescent="0.25">
      <c r="A692" s="306">
        <v>88425</v>
      </c>
      <c r="B692" s="305" t="s">
        <v>964</v>
      </c>
      <c r="C692" s="305" t="s">
        <v>43</v>
      </c>
      <c r="D692" s="575">
        <v>3.9</v>
      </c>
    </row>
    <row r="693" spans="1:4" ht="13.5" x14ac:dyDescent="0.25">
      <c r="A693" s="306">
        <v>88427</v>
      </c>
      <c r="B693" s="305" t="s">
        <v>965</v>
      </c>
      <c r="C693" s="305" t="s">
        <v>43</v>
      </c>
      <c r="D693" s="575">
        <v>3.66</v>
      </c>
    </row>
    <row r="694" spans="1:4" ht="13.5" x14ac:dyDescent="0.25">
      <c r="A694" s="306">
        <v>88434</v>
      </c>
      <c r="B694" s="305" t="s">
        <v>966</v>
      </c>
      <c r="C694" s="305" t="s">
        <v>43</v>
      </c>
      <c r="D694" s="575">
        <v>4.7300000000000004</v>
      </c>
    </row>
    <row r="695" spans="1:4" ht="13.5" x14ac:dyDescent="0.25">
      <c r="A695" s="306">
        <v>88435</v>
      </c>
      <c r="B695" s="305" t="s">
        <v>967</v>
      </c>
      <c r="C695" s="305" t="s">
        <v>43</v>
      </c>
      <c r="D695" s="575">
        <v>0.56000000000000005</v>
      </c>
    </row>
    <row r="696" spans="1:4" ht="13.5" x14ac:dyDescent="0.25">
      <c r="A696" s="306">
        <v>88436</v>
      </c>
      <c r="B696" s="305" t="s">
        <v>968</v>
      </c>
      <c r="C696" s="305" t="s">
        <v>43</v>
      </c>
      <c r="D696" s="575">
        <v>5.17</v>
      </c>
    </row>
    <row r="697" spans="1:4" ht="13.5" x14ac:dyDescent="0.25">
      <c r="A697" s="306">
        <v>88437</v>
      </c>
      <c r="B697" s="305" t="s">
        <v>969</v>
      </c>
      <c r="C697" s="305" t="s">
        <v>43</v>
      </c>
      <c r="D697" s="575">
        <v>3.66</v>
      </c>
    </row>
    <row r="698" spans="1:4" ht="13.5" x14ac:dyDescent="0.25">
      <c r="A698" s="306">
        <v>88569</v>
      </c>
      <c r="B698" s="305" t="s">
        <v>970</v>
      </c>
      <c r="C698" s="305" t="s">
        <v>43</v>
      </c>
      <c r="D698" s="575">
        <v>2.46</v>
      </c>
    </row>
    <row r="699" spans="1:4" ht="13.5" x14ac:dyDescent="0.25">
      <c r="A699" s="306">
        <v>88570</v>
      </c>
      <c r="B699" s="305" t="s">
        <v>971</v>
      </c>
      <c r="C699" s="305" t="s">
        <v>43</v>
      </c>
      <c r="D699" s="575">
        <v>0.53</v>
      </c>
    </row>
    <row r="700" spans="1:4" ht="13.5" x14ac:dyDescent="0.25">
      <c r="A700" s="306">
        <v>88826</v>
      </c>
      <c r="B700" s="305" t="s">
        <v>972</v>
      </c>
      <c r="C700" s="305" t="s">
        <v>43</v>
      </c>
      <c r="D700" s="575">
        <v>0.21</v>
      </c>
    </row>
    <row r="701" spans="1:4" ht="13.5" x14ac:dyDescent="0.25">
      <c r="A701" s="306">
        <v>88827</v>
      </c>
      <c r="B701" s="305" t="s">
        <v>973</v>
      </c>
      <c r="C701" s="305" t="s">
        <v>43</v>
      </c>
      <c r="D701" s="575">
        <v>0.02</v>
      </c>
    </row>
    <row r="702" spans="1:4" ht="13.5" x14ac:dyDescent="0.25">
      <c r="A702" s="306">
        <v>88828</v>
      </c>
      <c r="B702" s="305" t="s">
        <v>974</v>
      </c>
      <c r="C702" s="305" t="s">
        <v>43</v>
      </c>
      <c r="D702" s="575">
        <v>0.2</v>
      </c>
    </row>
    <row r="703" spans="1:4" ht="13.5" x14ac:dyDescent="0.25">
      <c r="A703" s="306">
        <v>88829</v>
      </c>
      <c r="B703" s="305" t="s">
        <v>975</v>
      </c>
      <c r="C703" s="305" t="s">
        <v>43</v>
      </c>
      <c r="D703" s="575">
        <v>0.96</v>
      </c>
    </row>
    <row r="704" spans="1:4" ht="13.5" x14ac:dyDescent="0.25">
      <c r="A704" s="306">
        <v>88832</v>
      </c>
      <c r="B704" s="305" t="s">
        <v>976</v>
      </c>
      <c r="C704" s="305" t="s">
        <v>43</v>
      </c>
      <c r="D704" s="575">
        <v>29.65</v>
      </c>
    </row>
    <row r="705" spans="1:4" ht="13.5" x14ac:dyDescent="0.25">
      <c r="A705" s="306">
        <v>88834</v>
      </c>
      <c r="B705" s="305" t="s">
        <v>977</v>
      </c>
      <c r="C705" s="305" t="s">
        <v>43</v>
      </c>
      <c r="D705" s="575">
        <v>4.0199999999999996</v>
      </c>
    </row>
    <row r="706" spans="1:4" ht="13.5" x14ac:dyDescent="0.25">
      <c r="A706" s="306">
        <v>88835</v>
      </c>
      <c r="B706" s="305" t="s">
        <v>978</v>
      </c>
      <c r="C706" s="305" t="s">
        <v>43</v>
      </c>
      <c r="D706" s="575">
        <v>37.06</v>
      </c>
    </row>
    <row r="707" spans="1:4" ht="13.5" x14ac:dyDescent="0.25">
      <c r="A707" s="306">
        <v>88836</v>
      </c>
      <c r="B707" s="305" t="s">
        <v>979</v>
      </c>
      <c r="C707" s="305" t="s">
        <v>43</v>
      </c>
      <c r="D707" s="575">
        <v>36.590000000000003</v>
      </c>
    </row>
    <row r="708" spans="1:4" ht="13.5" x14ac:dyDescent="0.25">
      <c r="A708" s="306">
        <v>88839</v>
      </c>
      <c r="B708" s="305" t="s">
        <v>980</v>
      </c>
      <c r="C708" s="305" t="s">
        <v>43</v>
      </c>
      <c r="D708" s="575">
        <v>19.91</v>
      </c>
    </row>
    <row r="709" spans="1:4" ht="13.5" x14ac:dyDescent="0.25">
      <c r="A709" s="306">
        <v>88840</v>
      </c>
      <c r="B709" s="305" t="s">
        <v>981</v>
      </c>
      <c r="C709" s="305" t="s">
        <v>43</v>
      </c>
      <c r="D709" s="575">
        <v>4.4800000000000004</v>
      </c>
    </row>
    <row r="710" spans="1:4" ht="13.5" x14ac:dyDescent="0.25">
      <c r="A710" s="306">
        <v>88841</v>
      </c>
      <c r="B710" s="305" t="s">
        <v>982</v>
      </c>
      <c r="C710" s="305" t="s">
        <v>43</v>
      </c>
      <c r="D710" s="575">
        <v>35.590000000000003</v>
      </c>
    </row>
    <row r="711" spans="1:4" ht="13.5" x14ac:dyDescent="0.25">
      <c r="A711" s="306">
        <v>88842</v>
      </c>
      <c r="B711" s="305" t="s">
        <v>983</v>
      </c>
      <c r="C711" s="305" t="s">
        <v>43</v>
      </c>
      <c r="D711" s="575">
        <v>44.79</v>
      </c>
    </row>
    <row r="712" spans="1:4" ht="13.5" x14ac:dyDescent="0.25">
      <c r="A712" s="306">
        <v>88847</v>
      </c>
      <c r="B712" s="305" t="s">
        <v>984</v>
      </c>
      <c r="C712" s="305" t="s">
        <v>43</v>
      </c>
      <c r="D712" s="575">
        <v>14.55</v>
      </c>
    </row>
    <row r="713" spans="1:4" ht="13.5" x14ac:dyDescent="0.25">
      <c r="A713" s="306">
        <v>88848</v>
      </c>
      <c r="B713" s="305" t="s">
        <v>985</v>
      </c>
      <c r="C713" s="305" t="s">
        <v>43</v>
      </c>
      <c r="D713" s="575">
        <v>3.05</v>
      </c>
    </row>
    <row r="714" spans="1:4" ht="13.5" x14ac:dyDescent="0.25">
      <c r="A714" s="306">
        <v>88853</v>
      </c>
      <c r="B714" s="305" t="s">
        <v>986</v>
      </c>
      <c r="C714" s="305" t="s">
        <v>43</v>
      </c>
      <c r="D714" s="575">
        <v>0.16</v>
      </c>
    </row>
    <row r="715" spans="1:4" ht="13.5" x14ac:dyDescent="0.25">
      <c r="A715" s="306">
        <v>88854</v>
      </c>
      <c r="B715" s="305" t="s">
        <v>987</v>
      </c>
      <c r="C715" s="305" t="s">
        <v>43</v>
      </c>
      <c r="D715" s="575">
        <v>0.01</v>
      </c>
    </row>
    <row r="716" spans="1:4" ht="13.5" x14ac:dyDescent="0.25">
      <c r="A716" s="306">
        <v>88855</v>
      </c>
      <c r="B716" s="305" t="s">
        <v>988</v>
      </c>
      <c r="C716" s="305" t="s">
        <v>43</v>
      </c>
      <c r="D716" s="575">
        <v>1.9</v>
      </c>
    </row>
    <row r="717" spans="1:4" ht="13.5" x14ac:dyDescent="0.25">
      <c r="A717" s="306">
        <v>88856</v>
      </c>
      <c r="B717" s="305" t="s">
        <v>989</v>
      </c>
      <c r="C717" s="305" t="s">
        <v>43</v>
      </c>
      <c r="D717" s="575">
        <v>0.26</v>
      </c>
    </row>
    <row r="718" spans="1:4" ht="13.5" x14ac:dyDescent="0.25">
      <c r="A718" s="306">
        <v>88857</v>
      </c>
      <c r="B718" s="305" t="s">
        <v>990</v>
      </c>
      <c r="C718" s="305" t="s">
        <v>43</v>
      </c>
      <c r="D718" s="575">
        <v>14.54</v>
      </c>
    </row>
    <row r="719" spans="1:4" ht="13.5" x14ac:dyDescent="0.25">
      <c r="A719" s="306">
        <v>88858</v>
      </c>
      <c r="B719" s="305" t="s">
        <v>991</v>
      </c>
      <c r="C719" s="305" t="s">
        <v>43</v>
      </c>
      <c r="D719" s="575">
        <v>1.97</v>
      </c>
    </row>
    <row r="720" spans="1:4" ht="13.5" x14ac:dyDescent="0.25">
      <c r="A720" s="306">
        <v>88859</v>
      </c>
      <c r="B720" s="305" t="s">
        <v>992</v>
      </c>
      <c r="C720" s="305" t="s">
        <v>43</v>
      </c>
      <c r="D720" s="575">
        <v>12.94</v>
      </c>
    </row>
    <row r="721" spans="1:4" ht="13.5" x14ac:dyDescent="0.25">
      <c r="A721" s="306">
        <v>88860</v>
      </c>
      <c r="B721" s="305" t="s">
        <v>993</v>
      </c>
      <c r="C721" s="305" t="s">
        <v>43</v>
      </c>
      <c r="D721" s="575">
        <v>1.75</v>
      </c>
    </row>
    <row r="722" spans="1:4" ht="13.5" x14ac:dyDescent="0.25">
      <c r="A722" s="306">
        <v>88900</v>
      </c>
      <c r="B722" s="305" t="s">
        <v>994</v>
      </c>
      <c r="C722" s="305" t="s">
        <v>43</v>
      </c>
      <c r="D722" s="575">
        <v>34.57</v>
      </c>
    </row>
    <row r="723" spans="1:4" ht="13.5" x14ac:dyDescent="0.25">
      <c r="A723" s="306">
        <v>88902</v>
      </c>
      <c r="B723" s="305" t="s">
        <v>995</v>
      </c>
      <c r="C723" s="305" t="s">
        <v>43</v>
      </c>
      <c r="D723" s="575">
        <v>4.6900000000000004</v>
      </c>
    </row>
    <row r="724" spans="1:4" ht="13.5" x14ac:dyDescent="0.25">
      <c r="A724" s="306">
        <v>88903</v>
      </c>
      <c r="B724" s="305" t="s">
        <v>996</v>
      </c>
      <c r="C724" s="305" t="s">
        <v>43</v>
      </c>
      <c r="D724" s="575">
        <v>43.22</v>
      </c>
    </row>
    <row r="725" spans="1:4" ht="13.5" x14ac:dyDescent="0.25">
      <c r="A725" s="306">
        <v>88904</v>
      </c>
      <c r="B725" s="305" t="s">
        <v>997</v>
      </c>
      <c r="C725" s="305" t="s">
        <v>43</v>
      </c>
      <c r="D725" s="575">
        <v>51.55</v>
      </c>
    </row>
    <row r="726" spans="1:4" ht="13.5" x14ac:dyDescent="0.25">
      <c r="A726" s="306">
        <v>89009</v>
      </c>
      <c r="B726" s="305" t="s">
        <v>998</v>
      </c>
      <c r="C726" s="305" t="s">
        <v>43</v>
      </c>
      <c r="D726" s="575">
        <v>24.66</v>
      </c>
    </row>
    <row r="727" spans="1:4" ht="13.5" x14ac:dyDescent="0.25">
      <c r="A727" s="306">
        <v>89010</v>
      </c>
      <c r="B727" s="305" t="s">
        <v>999</v>
      </c>
      <c r="C727" s="305" t="s">
        <v>43</v>
      </c>
      <c r="D727" s="575">
        <v>5.55</v>
      </c>
    </row>
    <row r="728" spans="1:4" ht="13.5" x14ac:dyDescent="0.25">
      <c r="A728" s="306">
        <v>89011</v>
      </c>
      <c r="B728" s="305" t="s">
        <v>1000</v>
      </c>
      <c r="C728" s="305" t="s">
        <v>43</v>
      </c>
      <c r="D728" s="575">
        <v>14.03</v>
      </c>
    </row>
    <row r="729" spans="1:4" ht="13.5" x14ac:dyDescent="0.25">
      <c r="A729" s="306">
        <v>89012</v>
      </c>
      <c r="B729" s="305" t="s">
        <v>1001</v>
      </c>
      <c r="C729" s="305" t="s">
        <v>43</v>
      </c>
      <c r="D729" s="575">
        <v>1.9</v>
      </c>
    </row>
    <row r="730" spans="1:4" ht="13.5" x14ac:dyDescent="0.25">
      <c r="A730" s="306">
        <v>89013</v>
      </c>
      <c r="B730" s="305" t="s">
        <v>1002</v>
      </c>
      <c r="C730" s="305" t="s">
        <v>43</v>
      </c>
      <c r="D730" s="575">
        <v>80.78</v>
      </c>
    </row>
    <row r="731" spans="1:4" ht="13.5" x14ac:dyDescent="0.25">
      <c r="A731" s="306">
        <v>89014</v>
      </c>
      <c r="B731" s="305" t="s">
        <v>1003</v>
      </c>
      <c r="C731" s="305" t="s">
        <v>43</v>
      </c>
      <c r="D731" s="575">
        <v>18.18</v>
      </c>
    </row>
    <row r="732" spans="1:4" ht="13.5" x14ac:dyDescent="0.25">
      <c r="A732" s="306">
        <v>89015</v>
      </c>
      <c r="B732" s="305" t="s">
        <v>1004</v>
      </c>
      <c r="C732" s="305" t="s">
        <v>43</v>
      </c>
      <c r="D732" s="575">
        <v>2.19</v>
      </c>
    </row>
    <row r="733" spans="1:4" ht="13.5" x14ac:dyDescent="0.25">
      <c r="A733" s="306">
        <v>89016</v>
      </c>
      <c r="B733" s="305" t="s">
        <v>1005</v>
      </c>
      <c r="C733" s="305" t="s">
        <v>43</v>
      </c>
      <c r="D733" s="575">
        <v>0.28999999999999998</v>
      </c>
    </row>
    <row r="734" spans="1:4" ht="13.5" x14ac:dyDescent="0.25">
      <c r="A734" s="306">
        <v>89017</v>
      </c>
      <c r="B734" s="305" t="s">
        <v>1006</v>
      </c>
      <c r="C734" s="305" t="s">
        <v>43</v>
      </c>
      <c r="D734" s="575">
        <v>24.51</v>
      </c>
    </row>
    <row r="735" spans="1:4" ht="13.5" x14ac:dyDescent="0.25">
      <c r="A735" s="306">
        <v>89018</v>
      </c>
      <c r="B735" s="305" t="s">
        <v>1007</v>
      </c>
      <c r="C735" s="305" t="s">
        <v>43</v>
      </c>
      <c r="D735" s="575">
        <v>5.51</v>
      </c>
    </row>
    <row r="736" spans="1:4" ht="13.5" x14ac:dyDescent="0.25">
      <c r="A736" s="306">
        <v>89019</v>
      </c>
      <c r="B736" s="305" t="s">
        <v>1008</v>
      </c>
      <c r="C736" s="305" t="s">
        <v>43</v>
      </c>
      <c r="D736" s="575">
        <v>0.27</v>
      </c>
    </row>
    <row r="737" spans="1:4" ht="13.5" x14ac:dyDescent="0.25">
      <c r="A737" s="306">
        <v>89020</v>
      </c>
      <c r="B737" s="305" t="s">
        <v>1009</v>
      </c>
      <c r="C737" s="305" t="s">
        <v>43</v>
      </c>
      <c r="D737" s="575">
        <v>0.03</v>
      </c>
    </row>
    <row r="738" spans="1:4" ht="13.5" x14ac:dyDescent="0.25">
      <c r="A738" s="306">
        <v>89023</v>
      </c>
      <c r="B738" s="305" t="s">
        <v>1010</v>
      </c>
      <c r="C738" s="305" t="s">
        <v>43</v>
      </c>
      <c r="D738" s="575">
        <v>2.62</v>
      </c>
    </row>
    <row r="739" spans="1:4" ht="13.5" x14ac:dyDescent="0.25">
      <c r="A739" s="306">
        <v>89024</v>
      </c>
      <c r="B739" s="305" t="s">
        <v>1011</v>
      </c>
      <c r="C739" s="305" t="s">
        <v>43</v>
      </c>
      <c r="D739" s="575">
        <v>0.43</v>
      </c>
    </row>
    <row r="740" spans="1:4" ht="13.5" x14ac:dyDescent="0.25">
      <c r="A740" s="306">
        <v>89025</v>
      </c>
      <c r="B740" s="305" t="s">
        <v>1012</v>
      </c>
      <c r="C740" s="305" t="s">
        <v>43</v>
      </c>
      <c r="D740" s="575">
        <v>4.91</v>
      </c>
    </row>
    <row r="741" spans="1:4" ht="13.5" x14ac:dyDescent="0.25">
      <c r="A741" s="306">
        <v>89026</v>
      </c>
      <c r="B741" s="305" t="s">
        <v>1013</v>
      </c>
      <c r="C741" s="305" t="s">
        <v>43</v>
      </c>
      <c r="D741" s="575">
        <v>114.15</v>
      </c>
    </row>
    <row r="742" spans="1:4" ht="13.5" x14ac:dyDescent="0.25">
      <c r="A742" s="306">
        <v>89029</v>
      </c>
      <c r="B742" s="305" t="s">
        <v>1014</v>
      </c>
      <c r="C742" s="305" t="s">
        <v>43</v>
      </c>
      <c r="D742" s="575">
        <v>19.02</v>
      </c>
    </row>
    <row r="743" spans="1:4" ht="13.5" x14ac:dyDescent="0.25">
      <c r="A743" s="306">
        <v>89030</v>
      </c>
      <c r="B743" s="305" t="s">
        <v>1015</v>
      </c>
      <c r="C743" s="305" t="s">
        <v>43</v>
      </c>
      <c r="D743" s="575">
        <v>4.28</v>
      </c>
    </row>
    <row r="744" spans="1:4" ht="13.5" x14ac:dyDescent="0.25">
      <c r="A744" s="306">
        <v>89033</v>
      </c>
      <c r="B744" s="305" t="s">
        <v>1016</v>
      </c>
      <c r="C744" s="305" t="s">
        <v>43</v>
      </c>
      <c r="D744" s="575">
        <v>6.92</v>
      </c>
    </row>
    <row r="745" spans="1:4" ht="13.5" x14ac:dyDescent="0.25">
      <c r="A745" s="306">
        <v>89034</v>
      </c>
      <c r="B745" s="305" t="s">
        <v>1017</v>
      </c>
      <c r="C745" s="305" t="s">
        <v>43</v>
      </c>
      <c r="D745" s="575">
        <v>0.96</v>
      </c>
    </row>
    <row r="746" spans="1:4" ht="13.5" x14ac:dyDescent="0.25">
      <c r="A746" s="306">
        <v>89128</v>
      </c>
      <c r="B746" s="305" t="s">
        <v>1018</v>
      </c>
      <c r="C746" s="305" t="s">
        <v>43</v>
      </c>
      <c r="D746" s="575">
        <v>21.55</v>
      </c>
    </row>
    <row r="747" spans="1:4" ht="13.5" x14ac:dyDescent="0.25">
      <c r="A747" s="306">
        <v>89129</v>
      </c>
      <c r="B747" s="305" t="s">
        <v>1019</v>
      </c>
      <c r="C747" s="305" t="s">
        <v>43</v>
      </c>
      <c r="D747" s="575">
        <v>2.92</v>
      </c>
    </row>
    <row r="748" spans="1:4" ht="13.5" x14ac:dyDescent="0.25">
      <c r="A748" s="306">
        <v>89130</v>
      </c>
      <c r="B748" s="305" t="s">
        <v>1020</v>
      </c>
      <c r="C748" s="305" t="s">
        <v>43</v>
      </c>
      <c r="D748" s="575">
        <v>29.89</v>
      </c>
    </row>
    <row r="749" spans="1:4" ht="13.5" x14ac:dyDescent="0.25">
      <c r="A749" s="306">
        <v>89131</v>
      </c>
      <c r="B749" s="305" t="s">
        <v>1021</v>
      </c>
      <c r="C749" s="305" t="s">
        <v>43</v>
      </c>
      <c r="D749" s="575">
        <v>4.05</v>
      </c>
    </row>
    <row r="750" spans="1:4" ht="13.5" x14ac:dyDescent="0.25">
      <c r="A750" s="306">
        <v>89210</v>
      </c>
      <c r="B750" s="305" t="s">
        <v>1022</v>
      </c>
      <c r="C750" s="305" t="s">
        <v>43</v>
      </c>
      <c r="D750" s="575">
        <v>15.91</v>
      </c>
    </row>
    <row r="751" spans="1:4" ht="13.5" x14ac:dyDescent="0.25">
      <c r="A751" s="306">
        <v>89211</v>
      </c>
      <c r="B751" s="305" t="s">
        <v>1023</v>
      </c>
      <c r="C751" s="305" t="s">
        <v>43</v>
      </c>
      <c r="D751" s="575">
        <v>2.21</v>
      </c>
    </row>
    <row r="752" spans="1:4" ht="13.5" x14ac:dyDescent="0.25">
      <c r="A752" s="306">
        <v>89212</v>
      </c>
      <c r="B752" s="305" t="s">
        <v>1024</v>
      </c>
      <c r="C752" s="305" t="s">
        <v>43</v>
      </c>
      <c r="D752" s="575">
        <v>15.69</v>
      </c>
    </row>
    <row r="753" spans="1:4" ht="13.5" x14ac:dyDescent="0.25">
      <c r="A753" s="306">
        <v>89213</v>
      </c>
      <c r="B753" s="305" t="s">
        <v>1025</v>
      </c>
      <c r="C753" s="305" t="s">
        <v>43</v>
      </c>
      <c r="D753" s="575">
        <v>2.4700000000000002</v>
      </c>
    </row>
    <row r="754" spans="1:4" ht="13.5" x14ac:dyDescent="0.25">
      <c r="A754" s="306">
        <v>89214</v>
      </c>
      <c r="B754" s="305" t="s">
        <v>1026</v>
      </c>
      <c r="C754" s="305" t="s">
        <v>43</v>
      </c>
      <c r="D754" s="575">
        <v>14.73</v>
      </c>
    </row>
    <row r="755" spans="1:4" ht="13.5" x14ac:dyDescent="0.25">
      <c r="A755" s="306">
        <v>89215</v>
      </c>
      <c r="B755" s="305" t="s">
        <v>1027</v>
      </c>
      <c r="C755" s="305" t="s">
        <v>43</v>
      </c>
      <c r="D755" s="575">
        <v>53.23</v>
      </c>
    </row>
    <row r="756" spans="1:4" ht="13.5" x14ac:dyDescent="0.25">
      <c r="A756" s="306">
        <v>89221</v>
      </c>
      <c r="B756" s="305" t="s">
        <v>1028</v>
      </c>
      <c r="C756" s="305" t="s">
        <v>43</v>
      </c>
      <c r="D756" s="575">
        <v>0.89</v>
      </c>
    </row>
    <row r="757" spans="1:4" ht="13.5" x14ac:dyDescent="0.25">
      <c r="A757" s="306">
        <v>89222</v>
      </c>
      <c r="B757" s="305" t="s">
        <v>1029</v>
      </c>
      <c r="C757" s="305" t="s">
        <v>43</v>
      </c>
      <c r="D757" s="575">
        <v>0.1</v>
      </c>
    </row>
    <row r="758" spans="1:4" ht="13.5" x14ac:dyDescent="0.25">
      <c r="A758" s="306">
        <v>89223</v>
      </c>
      <c r="B758" s="305" t="s">
        <v>1030</v>
      </c>
      <c r="C758" s="305" t="s">
        <v>43</v>
      </c>
      <c r="D758" s="575">
        <v>0.83</v>
      </c>
    </row>
    <row r="759" spans="1:4" ht="13.5" x14ac:dyDescent="0.25">
      <c r="A759" s="306">
        <v>89224</v>
      </c>
      <c r="B759" s="305" t="s">
        <v>1031</v>
      </c>
      <c r="C759" s="305" t="s">
        <v>43</v>
      </c>
      <c r="D759" s="575">
        <v>1.92</v>
      </c>
    </row>
    <row r="760" spans="1:4" ht="13.5" x14ac:dyDescent="0.25">
      <c r="A760" s="306">
        <v>89228</v>
      </c>
      <c r="B760" s="305" t="s">
        <v>1032</v>
      </c>
      <c r="C760" s="305" t="s">
        <v>43</v>
      </c>
      <c r="D760" s="575">
        <v>23.64</v>
      </c>
    </row>
    <row r="761" spans="1:4" ht="13.5" x14ac:dyDescent="0.25">
      <c r="A761" s="306">
        <v>89229</v>
      </c>
      <c r="B761" s="305" t="s">
        <v>1033</v>
      </c>
      <c r="C761" s="305" t="s">
        <v>43</v>
      </c>
      <c r="D761" s="575">
        <v>4.25</v>
      </c>
    </row>
    <row r="762" spans="1:4" ht="13.5" x14ac:dyDescent="0.25">
      <c r="A762" s="306">
        <v>89230</v>
      </c>
      <c r="B762" s="305" t="s">
        <v>1034</v>
      </c>
      <c r="C762" s="305" t="s">
        <v>43</v>
      </c>
      <c r="D762" s="575">
        <v>89.84</v>
      </c>
    </row>
    <row r="763" spans="1:4" ht="13.5" x14ac:dyDescent="0.25">
      <c r="A763" s="306">
        <v>89231</v>
      </c>
      <c r="B763" s="305" t="s">
        <v>1035</v>
      </c>
      <c r="C763" s="305" t="s">
        <v>43</v>
      </c>
      <c r="D763" s="575">
        <v>14.23</v>
      </c>
    </row>
    <row r="764" spans="1:4" ht="13.5" x14ac:dyDescent="0.25">
      <c r="A764" s="306">
        <v>89232</v>
      </c>
      <c r="B764" s="305" t="s">
        <v>1036</v>
      </c>
      <c r="C764" s="305" t="s">
        <v>43</v>
      </c>
      <c r="D764" s="575">
        <v>160.26</v>
      </c>
    </row>
    <row r="765" spans="1:4" ht="13.5" x14ac:dyDescent="0.25">
      <c r="A765" s="306">
        <v>89233</v>
      </c>
      <c r="B765" s="305" t="s">
        <v>1037</v>
      </c>
      <c r="C765" s="305" t="s">
        <v>43</v>
      </c>
      <c r="D765" s="575">
        <v>95.79</v>
      </c>
    </row>
    <row r="766" spans="1:4" ht="13.5" x14ac:dyDescent="0.25">
      <c r="A766" s="306">
        <v>89236</v>
      </c>
      <c r="B766" s="305" t="s">
        <v>1038</v>
      </c>
      <c r="C766" s="305" t="s">
        <v>43</v>
      </c>
      <c r="D766" s="575">
        <v>209.88</v>
      </c>
    </row>
    <row r="767" spans="1:4" ht="13.5" x14ac:dyDescent="0.25">
      <c r="A767" s="306">
        <v>89237</v>
      </c>
      <c r="B767" s="305" t="s">
        <v>1039</v>
      </c>
      <c r="C767" s="305" t="s">
        <v>43</v>
      </c>
      <c r="D767" s="575">
        <v>33.25</v>
      </c>
    </row>
    <row r="768" spans="1:4" ht="13.5" x14ac:dyDescent="0.25">
      <c r="A768" s="306">
        <v>89238</v>
      </c>
      <c r="B768" s="305" t="s">
        <v>1040</v>
      </c>
      <c r="C768" s="305" t="s">
        <v>43</v>
      </c>
      <c r="D768" s="575">
        <v>374.37</v>
      </c>
    </row>
    <row r="769" spans="1:4" ht="13.5" x14ac:dyDescent="0.25">
      <c r="A769" s="306">
        <v>89239</v>
      </c>
      <c r="B769" s="305" t="s">
        <v>1041</v>
      </c>
      <c r="C769" s="305" t="s">
        <v>43</v>
      </c>
      <c r="D769" s="575">
        <v>253.33</v>
      </c>
    </row>
    <row r="770" spans="1:4" ht="13.5" x14ac:dyDescent="0.25">
      <c r="A770" s="306">
        <v>89240</v>
      </c>
      <c r="B770" s="305" t="s">
        <v>1042</v>
      </c>
      <c r="C770" s="305" t="s">
        <v>43</v>
      </c>
      <c r="D770" s="575">
        <v>64.41</v>
      </c>
    </row>
    <row r="771" spans="1:4" ht="13.5" x14ac:dyDescent="0.25">
      <c r="A771" s="306">
        <v>89241</v>
      </c>
      <c r="B771" s="305" t="s">
        <v>1043</v>
      </c>
      <c r="C771" s="305" t="s">
        <v>43</v>
      </c>
      <c r="D771" s="575">
        <v>11.59</v>
      </c>
    </row>
    <row r="772" spans="1:4" ht="13.5" x14ac:dyDescent="0.25">
      <c r="A772" s="306">
        <v>89246</v>
      </c>
      <c r="B772" s="305" t="s">
        <v>1044</v>
      </c>
      <c r="C772" s="305" t="s">
        <v>43</v>
      </c>
      <c r="D772" s="575">
        <v>182.37</v>
      </c>
    </row>
    <row r="773" spans="1:4" ht="13.5" x14ac:dyDescent="0.25">
      <c r="A773" s="306">
        <v>89247</v>
      </c>
      <c r="B773" s="305" t="s">
        <v>1045</v>
      </c>
      <c r="C773" s="305" t="s">
        <v>43</v>
      </c>
      <c r="D773" s="575">
        <v>28.89</v>
      </c>
    </row>
    <row r="774" spans="1:4" ht="13.5" x14ac:dyDescent="0.25">
      <c r="A774" s="306">
        <v>89248</v>
      </c>
      <c r="B774" s="305" t="s">
        <v>1046</v>
      </c>
      <c r="C774" s="305" t="s">
        <v>43</v>
      </c>
      <c r="D774" s="575">
        <v>325.3</v>
      </c>
    </row>
    <row r="775" spans="1:4" ht="13.5" x14ac:dyDescent="0.25">
      <c r="A775" s="306">
        <v>89249</v>
      </c>
      <c r="B775" s="305" t="s">
        <v>1047</v>
      </c>
      <c r="C775" s="305" t="s">
        <v>43</v>
      </c>
      <c r="D775" s="575">
        <v>215.95</v>
      </c>
    </row>
    <row r="776" spans="1:4" ht="13.5" x14ac:dyDescent="0.25">
      <c r="A776" s="306">
        <v>89253</v>
      </c>
      <c r="B776" s="305" t="s">
        <v>1048</v>
      </c>
      <c r="C776" s="305" t="s">
        <v>43</v>
      </c>
      <c r="D776" s="575">
        <v>52.78</v>
      </c>
    </row>
    <row r="777" spans="1:4" ht="13.5" x14ac:dyDescent="0.25">
      <c r="A777" s="306">
        <v>89254</v>
      </c>
      <c r="B777" s="305" t="s">
        <v>1049</v>
      </c>
      <c r="C777" s="305" t="s">
        <v>43</v>
      </c>
      <c r="D777" s="575">
        <v>9.5</v>
      </c>
    </row>
    <row r="778" spans="1:4" ht="13.5" x14ac:dyDescent="0.25">
      <c r="A778" s="306">
        <v>89255</v>
      </c>
      <c r="B778" s="305" t="s">
        <v>1050</v>
      </c>
      <c r="C778" s="305" t="s">
        <v>43</v>
      </c>
      <c r="D778" s="575">
        <v>84.85</v>
      </c>
    </row>
    <row r="779" spans="1:4" ht="13.5" x14ac:dyDescent="0.25">
      <c r="A779" s="306">
        <v>89256</v>
      </c>
      <c r="B779" s="305" t="s">
        <v>1051</v>
      </c>
      <c r="C779" s="305" t="s">
        <v>43</v>
      </c>
      <c r="D779" s="575">
        <v>48.6</v>
      </c>
    </row>
    <row r="780" spans="1:4" ht="13.5" x14ac:dyDescent="0.25">
      <c r="A780" s="306">
        <v>89259</v>
      </c>
      <c r="B780" s="305" t="s">
        <v>1052</v>
      </c>
      <c r="C780" s="305" t="s">
        <v>43</v>
      </c>
      <c r="D780" s="575">
        <v>10.36</v>
      </c>
    </row>
    <row r="781" spans="1:4" ht="13.5" x14ac:dyDescent="0.25">
      <c r="A781" s="306">
        <v>89260</v>
      </c>
      <c r="B781" s="305" t="s">
        <v>1053</v>
      </c>
      <c r="C781" s="305" t="s">
        <v>43</v>
      </c>
      <c r="D781" s="575">
        <v>2.17</v>
      </c>
    </row>
    <row r="782" spans="1:4" ht="13.5" x14ac:dyDescent="0.25">
      <c r="A782" s="306">
        <v>89262</v>
      </c>
      <c r="B782" s="305" t="s">
        <v>1054</v>
      </c>
      <c r="C782" s="305" t="s">
        <v>43</v>
      </c>
      <c r="D782" s="575">
        <v>19.43</v>
      </c>
    </row>
    <row r="783" spans="1:4" ht="13.5" x14ac:dyDescent="0.25">
      <c r="A783" s="306">
        <v>89264</v>
      </c>
      <c r="B783" s="305" t="s">
        <v>1055</v>
      </c>
      <c r="C783" s="305" t="s">
        <v>43</v>
      </c>
      <c r="D783" s="575">
        <v>8.3699999999999992</v>
      </c>
    </row>
    <row r="784" spans="1:4" ht="13.5" x14ac:dyDescent="0.25">
      <c r="A784" s="306">
        <v>89265</v>
      </c>
      <c r="B784" s="305" t="s">
        <v>1056</v>
      </c>
      <c r="C784" s="305" t="s">
        <v>43</v>
      </c>
      <c r="D784" s="575">
        <v>1.75</v>
      </c>
    </row>
    <row r="785" spans="1:4" ht="13.5" x14ac:dyDescent="0.25">
      <c r="A785" s="306">
        <v>89266</v>
      </c>
      <c r="B785" s="305" t="s">
        <v>1057</v>
      </c>
      <c r="C785" s="305" t="s">
        <v>43</v>
      </c>
      <c r="D785" s="575">
        <v>0.67</v>
      </c>
    </row>
    <row r="786" spans="1:4" ht="13.5" x14ac:dyDescent="0.25">
      <c r="A786" s="306">
        <v>89267</v>
      </c>
      <c r="B786" s="305" t="s">
        <v>1058</v>
      </c>
      <c r="C786" s="305" t="s">
        <v>43</v>
      </c>
      <c r="D786" s="575">
        <v>27.32</v>
      </c>
    </row>
    <row r="787" spans="1:4" ht="13.5" x14ac:dyDescent="0.25">
      <c r="A787" s="306">
        <v>89268</v>
      </c>
      <c r="B787" s="305" t="s">
        <v>1059</v>
      </c>
      <c r="C787" s="305" t="s">
        <v>43</v>
      </c>
      <c r="D787" s="575">
        <v>4.91</v>
      </c>
    </row>
    <row r="788" spans="1:4" ht="13.5" x14ac:dyDescent="0.25">
      <c r="A788" s="306">
        <v>89269</v>
      </c>
      <c r="B788" s="305" t="s">
        <v>1060</v>
      </c>
      <c r="C788" s="305" t="s">
        <v>43</v>
      </c>
      <c r="D788" s="575">
        <v>1.91</v>
      </c>
    </row>
    <row r="789" spans="1:4" ht="13.5" x14ac:dyDescent="0.25">
      <c r="A789" s="306">
        <v>89270</v>
      </c>
      <c r="B789" s="305" t="s">
        <v>1061</v>
      </c>
      <c r="C789" s="305" t="s">
        <v>43</v>
      </c>
      <c r="D789" s="575">
        <v>43.92</v>
      </c>
    </row>
    <row r="790" spans="1:4" ht="13.5" x14ac:dyDescent="0.25">
      <c r="A790" s="306">
        <v>89271</v>
      </c>
      <c r="B790" s="305" t="s">
        <v>1062</v>
      </c>
      <c r="C790" s="305" t="s">
        <v>43</v>
      </c>
      <c r="D790" s="575">
        <v>16.63</v>
      </c>
    </row>
    <row r="791" spans="1:4" ht="13.5" x14ac:dyDescent="0.25">
      <c r="A791" s="306">
        <v>89274</v>
      </c>
      <c r="B791" s="305" t="s">
        <v>1063</v>
      </c>
      <c r="C791" s="305" t="s">
        <v>43</v>
      </c>
      <c r="D791" s="575">
        <v>1.08</v>
      </c>
    </row>
    <row r="792" spans="1:4" ht="13.5" x14ac:dyDescent="0.25">
      <c r="A792" s="306">
        <v>89275</v>
      </c>
      <c r="B792" s="305" t="s">
        <v>1064</v>
      </c>
      <c r="C792" s="305" t="s">
        <v>43</v>
      </c>
      <c r="D792" s="575">
        <v>0.12</v>
      </c>
    </row>
    <row r="793" spans="1:4" ht="13.5" x14ac:dyDescent="0.25">
      <c r="A793" s="306">
        <v>89276</v>
      </c>
      <c r="B793" s="305" t="s">
        <v>1065</v>
      </c>
      <c r="C793" s="305" t="s">
        <v>43</v>
      </c>
      <c r="D793" s="575">
        <v>1.01</v>
      </c>
    </row>
    <row r="794" spans="1:4" ht="13.5" x14ac:dyDescent="0.25">
      <c r="A794" s="306">
        <v>89277</v>
      </c>
      <c r="B794" s="305" t="s">
        <v>1066</v>
      </c>
      <c r="C794" s="305" t="s">
        <v>43</v>
      </c>
      <c r="D794" s="575">
        <v>4.87</v>
      </c>
    </row>
    <row r="795" spans="1:4" ht="13.5" x14ac:dyDescent="0.25">
      <c r="A795" s="306">
        <v>89280</v>
      </c>
      <c r="B795" s="305" t="s">
        <v>1067</v>
      </c>
      <c r="C795" s="305" t="s">
        <v>43</v>
      </c>
      <c r="D795" s="575">
        <v>19.54</v>
      </c>
    </row>
    <row r="796" spans="1:4" ht="13.5" x14ac:dyDescent="0.25">
      <c r="A796" s="306">
        <v>89281</v>
      </c>
      <c r="B796" s="305" t="s">
        <v>1068</v>
      </c>
      <c r="C796" s="305" t="s">
        <v>43</v>
      </c>
      <c r="D796" s="575">
        <v>2.71</v>
      </c>
    </row>
    <row r="797" spans="1:4" ht="13.5" x14ac:dyDescent="0.25">
      <c r="A797" s="306">
        <v>89870</v>
      </c>
      <c r="B797" s="305" t="s">
        <v>1069</v>
      </c>
      <c r="C797" s="305" t="s">
        <v>43</v>
      </c>
      <c r="D797" s="575">
        <v>19.16</v>
      </c>
    </row>
    <row r="798" spans="1:4" ht="13.5" x14ac:dyDescent="0.25">
      <c r="A798" s="306">
        <v>89871</v>
      </c>
      <c r="B798" s="305" t="s">
        <v>1070</v>
      </c>
      <c r="C798" s="305" t="s">
        <v>43</v>
      </c>
      <c r="D798" s="575">
        <v>3.54</v>
      </c>
    </row>
    <row r="799" spans="1:4" ht="13.5" x14ac:dyDescent="0.25">
      <c r="A799" s="306">
        <v>89872</v>
      </c>
      <c r="B799" s="305" t="s">
        <v>1071</v>
      </c>
      <c r="C799" s="305" t="s">
        <v>43</v>
      </c>
      <c r="D799" s="575">
        <v>1.38</v>
      </c>
    </row>
    <row r="800" spans="1:4" ht="13.5" x14ac:dyDescent="0.25">
      <c r="A800" s="306">
        <v>89873</v>
      </c>
      <c r="B800" s="305" t="s">
        <v>1072</v>
      </c>
      <c r="C800" s="305" t="s">
        <v>43</v>
      </c>
      <c r="D800" s="575">
        <v>35.950000000000003</v>
      </c>
    </row>
    <row r="801" spans="1:4" ht="13.5" x14ac:dyDescent="0.25">
      <c r="A801" s="306">
        <v>89874</v>
      </c>
      <c r="B801" s="305" t="s">
        <v>1073</v>
      </c>
      <c r="C801" s="305" t="s">
        <v>43</v>
      </c>
      <c r="D801" s="575">
        <v>101.08</v>
      </c>
    </row>
    <row r="802" spans="1:4" ht="13.5" x14ac:dyDescent="0.25">
      <c r="A802" s="306">
        <v>89878</v>
      </c>
      <c r="B802" s="305" t="s">
        <v>1074</v>
      </c>
      <c r="C802" s="305" t="s">
        <v>43</v>
      </c>
      <c r="D802" s="575">
        <v>20.260000000000002</v>
      </c>
    </row>
    <row r="803" spans="1:4" ht="13.5" x14ac:dyDescent="0.25">
      <c r="A803" s="306">
        <v>89879</v>
      </c>
      <c r="B803" s="305" t="s">
        <v>1075</v>
      </c>
      <c r="C803" s="305" t="s">
        <v>43</v>
      </c>
      <c r="D803" s="575">
        <v>3.74</v>
      </c>
    </row>
    <row r="804" spans="1:4" ht="13.5" x14ac:dyDescent="0.25">
      <c r="A804" s="306">
        <v>89880</v>
      </c>
      <c r="B804" s="305" t="s">
        <v>1076</v>
      </c>
      <c r="C804" s="305" t="s">
        <v>43</v>
      </c>
      <c r="D804" s="575">
        <v>1.46</v>
      </c>
    </row>
    <row r="805" spans="1:4" ht="13.5" x14ac:dyDescent="0.25">
      <c r="A805" s="306">
        <v>89881</v>
      </c>
      <c r="B805" s="305" t="s">
        <v>1077</v>
      </c>
      <c r="C805" s="305" t="s">
        <v>43</v>
      </c>
      <c r="D805" s="575">
        <v>37.99</v>
      </c>
    </row>
    <row r="806" spans="1:4" ht="13.5" x14ac:dyDescent="0.25">
      <c r="A806" s="306">
        <v>89882</v>
      </c>
      <c r="B806" s="305" t="s">
        <v>1078</v>
      </c>
      <c r="C806" s="305" t="s">
        <v>43</v>
      </c>
      <c r="D806" s="575">
        <v>116.62</v>
      </c>
    </row>
    <row r="807" spans="1:4" ht="13.5" x14ac:dyDescent="0.25">
      <c r="A807" s="306">
        <v>90582</v>
      </c>
      <c r="B807" s="305" t="s">
        <v>1079</v>
      </c>
      <c r="C807" s="305" t="s">
        <v>43</v>
      </c>
      <c r="D807" s="575">
        <v>0.3</v>
      </c>
    </row>
    <row r="808" spans="1:4" ht="13.5" x14ac:dyDescent="0.25">
      <c r="A808" s="306">
        <v>90583</v>
      </c>
      <c r="B808" s="305" t="s">
        <v>1080</v>
      </c>
      <c r="C808" s="305" t="s">
        <v>43</v>
      </c>
      <c r="D808" s="575">
        <v>0.03</v>
      </c>
    </row>
    <row r="809" spans="1:4" ht="13.5" x14ac:dyDescent="0.25">
      <c r="A809" s="306">
        <v>90584</v>
      </c>
      <c r="B809" s="305" t="s">
        <v>1081</v>
      </c>
      <c r="C809" s="305" t="s">
        <v>43</v>
      </c>
      <c r="D809" s="575">
        <v>0.24</v>
      </c>
    </row>
    <row r="810" spans="1:4" ht="13.5" x14ac:dyDescent="0.25">
      <c r="A810" s="306">
        <v>90585</v>
      </c>
      <c r="B810" s="305" t="s">
        <v>1082</v>
      </c>
      <c r="C810" s="305" t="s">
        <v>43</v>
      </c>
      <c r="D810" s="575">
        <v>0.96</v>
      </c>
    </row>
    <row r="811" spans="1:4" ht="13.5" x14ac:dyDescent="0.25">
      <c r="A811" s="306">
        <v>90621</v>
      </c>
      <c r="B811" s="305" t="s">
        <v>1083</v>
      </c>
      <c r="C811" s="305" t="s">
        <v>43</v>
      </c>
      <c r="D811" s="575">
        <v>1.47</v>
      </c>
    </row>
    <row r="812" spans="1:4" ht="13.5" x14ac:dyDescent="0.25">
      <c r="A812" s="306">
        <v>90622</v>
      </c>
      <c r="B812" s="305" t="s">
        <v>1084</v>
      </c>
      <c r="C812" s="305" t="s">
        <v>43</v>
      </c>
      <c r="D812" s="575">
        <v>0.17</v>
      </c>
    </row>
    <row r="813" spans="1:4" ht="13.5" x14ac:dyDescent="0.25">
      <c r="A813" s="306">
        <v>90623</v>
      </c>
      <c r="B813" s="305" t="s">
        <v>1085</v>
      </c>
      <c r="C813" s="305" t="s">
        <v>43</v>
      </c>
      <c r="D813" s="575">
        <v>1.84</v>
      </c>
    </row>
    <row r="814" spans="1:4" ht="13.5" x14ac:dyDescent="0.25">
      <c r="A814" s="306">
        <v>90624</v>
      </c>
      <c r="B814" s="305" t="s">
        <v>1086</v>
      </c>
      <c r="C814" s="305" t="s">
        <v>43</v>
      </c>
      <c r="D814" s="575">
        <v>2.41</v>
      </c>
    </row>
    <row r="815" spans="1:4" ht="13.5" x14ac:dyDescent="0.25">
      <c r="A815" s="306">
        <v>90627</v>
      </c>
      <c r="B815" s="305" t="s">
        <v>1087</v>
      </c>
      <c r="C815" s="305" t="s">
        <v>43</v>
      </c>
      <c r="D815" s="575">
        <v>31.63</v>
      </c>
    </row>
    <row r="816" spans="1:4" ht="13.5" x14ac:dyDescent="0.25">
      <c r="A816" s="306">
        <v>90628</v>
      </c>
      <c r="B816" s="305" t="s">
        <v>1088</v>
      </c>
      <c r="C816" s="305" t="s">
        <v>43</v>
      </c>
      <c r="D816" s="575">
        <v>4.51</v>
      </c>
    </row>
    <row r="817" spans="1:4" ht="13.5" x14ac:dyDescent="0.25">
      <c r="A817" s="306">
        <v>90629</v>
      </c>
      <c r="B817" s="305" t="s">
        <v>1089</v>
      </c>
      <c r="C817" s="305" t="s">
        <v>43</v>
      </c>
      <c r="D817" s="575">
        <v>39.58</v>
      </c>
    </row>
    <row r="818" spans="1:4" ht="13.5" x14ac:dyDescent="0.25">
      <c r="A818" s="306">
        <v>90630</v>
      </c>
      <c r="B818" s="305" t="s">
        <v>1090</v>
      </c>
      <c r="C818" s="305" t="s">
        <v>43</v>
      </c>
      <c r="D818" s="575">
        <v>9.76</v>
      </c>
    </row>
    <row r="819" spans="1:4" ht="13.5" x14ac:dyDescent="0.25">
      <c r="A819" s="306">
        <v>90633</v>
      </c>
      <c r="B819" s="305" t="s">
        <v>1091</v>
      </c>
      <c r="C819" s="305" t="s">
        <v>43</v>
      </c>
      <c r="D819" s="575">
        <v>2.74</v>
      </c>
    </row>
    <row r="820" spans="1:4" ht="13.5" x14ac:dyDescent="0.25">
      <c r="A820" s="306">
        <v>90634</v>
      </c>
      <c r="B820" s="305" t="s">
        <v>1092</v>
      </c>
      <c r="C820" s="305" t="s">
        <v>43</v>
      </c>
      <c r="D820" s="575">
        <v>0.32</v>
      </c>
    </row>
    <row r="821" spans="1:4" ht="13.5" x14ac:dyDescent="0.25">
      <c r="A821" s="306">
        <v>90635</v>
      </c>
      <c r="B821" s="305" t="s">
        <v>1093</v>
      </c>
      <c r="C821" s="305" t="s">
        <v>43</v>
      </c>
      <c r="D821" s="575">
        <v>3</v>
      </c>
    </row>
    <row r="822" spans="1:4" ht="13.5" x14ac:dyDescent="0.25">
      <c r="A822" s="306">
        <v>90636</v>
      </c>
      <c r="B822" s="305" t="s">
        <v>1094</v>
      </c>
      <c r="C822" s="305" t="s">
        <v>43</v>
      </c>
      <c r="D822" s="575">
        <v>4.82</v>
      </c>
    </row>
    <row r="823" spans="1:4" ht="13.5" x14ac:dyDescent="0.25">
      <c r="A823" s="306">
        <v>90639</v>
      </c>
      <c r="B823" s="305" t="s">
        <v>1095</v>
      </c>
      <c r="C823" s="305" t="s">
        <v>43</v>
      </c>
      <c r="D823" s="575">
        <v>4.09</v>
      </c>
    </row>
    <row r="824" spans="1:4" ht="13.5" x14ac:dyDescent="0.25">
      <c r="A824" s="306">
        <v>90640</v>
      </c>
      <c r="B824" s="305" t="s">
        <v>1096</v>
      </c>
      <c r="C824" s="305" t="s">
        <v>43</v>
      </c>
      <c r="D824" s="575">
        <v>0.48</v>
      </c>
    </row>
    <row r="825" spans="1:4" ht="13.5" x14ac:dyDescent="0.25">
      <c r="A825" s="306">
        <v>90641</v>
      </c>
      <c r="B825" s="305" t="s">
        <v>1097</v>
      </c>
      <c r="C825" s="305" t="s">
        <v>43</v>
      </c>
      <c r="D825" s="575">
        <v>4.4800000000000004</v>
      </c>
    </row>
    <row r="826" spans="1:4" ht="13.5" x14ac:dyDescent="0.25">
      <c r="A826" s="306">
        <v>90642</v>
      </c>
      <c r="B826" s="305" t="s">
        <v>1098</v>
      </c>
      <c r="C826" s="305" t="s">
        <v>43</v>
      </c>
      <c r="D826" s="575">
        <v>5.28</v>
      </c>
    </row>
    <row r="827" spans="1:4" ht="13.5" x14ac:dyDescent="0.25">
      <c r="A827" s="306">
        <v>90646</v>
      </c>
      <c r="B827" s="305" t="s">
        <v>1099</v>
      </c>
      <c r="C827" s="305" t="s">
        <v>43</v>
      </c>
      <c r="D827" s="575">
        <v>0.56999999999999995</v>
      </c>
    </row>
    <row r="828" spans="1:4" ht="13.5" x14ac:dyDescent="0.25">
      <c r="A828" s="306">
        <v>90647</v>
      </c>
      <c r="B828" s="305" t="s">
        <v>1100</v>
      </c>
      <c r="C828" s="305" t="s">
        <v>43</v>
      </c>
      <c r="D828" s="575">
        <v>0.06</v>
      </c>
    </row>
    <row r="829" spans="1:4" ht="13.5" x14ac:dyDescent="0.25">
      <c r="A829" s="306">
        <v>90648</v>
      </c>
      <c r="B829" s="305" t="s">
        <v>1101</v>
      </c>
      <c r="C829" s="305" t="s">
        <v>43</v>
      </c>
      <c r="D829" s="575">
        <v>0.63</v>
      </c>
    </row>
    <row r="830" spans="1:4" ht="13.5" x14ac:dyDescent="0.25">
      <c r="A830" s="306">
        <v>90649</v>
      </c>
      <c r="B830" s="305" t="s">
        <v>1102</v>
      </c>
      <c r="C830" s="305" t="s">
        <v>43</v>
      </c>
      <c r="D830" s="575">
        <v>7.51</v>
      </c>
    </row>
    <row r="831" spans="1:4" ht="13.5" x14ac:dyDescent="0.25">
      <c r="A831" s="306">
        <v>90652</v>
      </c>
      <c r="B831" s="305" t="s">
        <v>1103</v>
      </c>
      <c r="C831" s="305" t="s">
        <v>43</v>
      </c>
      <c r="D831" s="575">
        <v>2.66</v>
      </c>
    </row>
    <row r="832" spans="1:4" ht="13.5" x14ac:dyDescent="0.25">
      <c r="A832" s="306">
        <v>90653</v>
      </c>
      <c r="B832" s="305" t="s">
        <v>1104</v>
      </c>
      <c r="C832" s="305" t="s">
        <v>43</v>
      </c>
      <c r="D832" s="575">
        <v>0.31</v>
      </c>
    </row>
    <row r="833" spans="1:4" ht="13.5" x14ac:dyDescent="0.25">
      <c r="A833" s="306">
        <v>90654</v>
      </c>
      <c r="B833" s="305" t="s">
        <v>1105</v>
      </c>
      <c r="C833" s="305" t="s">
        <v>43</v>
      </c>
      <c r="D833" s="575">
        <v>2.91</v>
      </c>
    </row>
    <row r="834" spans="1:4" ht="13.5" x14ac:dyDescent="0.25">
      <c r="A834" s="306">
        <v>90655</v>
      </c>
      <c r="B834" s="305" t="s">
        <v>1106</v>
      </c>
      <c r="C834" s="305" t="s">
        <v>43</v>
      </c>
      <c r="D834" s="575">
        <v>4.9400000000000004</v>
      </c>
    </row>
    <row r="835" spans="1:4" ht="13.5" x14ac:dyDescent="0.25">
      <c r="A835" s="306">
        <v>90658</v>
      </c>
      <c r="B835" s="305" t="s">
        <v>1107</v>
      </c>
      <c r="C835" s="305" t="s">
        <v>43</v>
      </c>
      <c r="D835" s="575">
        <v>2.85</v>
      </c>
    </row>
    <row r="836" spans="1:4" ht="13.5" x14ac:dyDescent="0.25">
      <c r="A836" s="306">
        <v>90659</v>
      </c>
      <c r="B836" s="305" t="s">
        <v>1108</v>
      </c>
      <c r="C836" s="305" t="s">
        <v>43</v>
      </c>
      <c r="D836" s="575">
        <v>0.33</v>
      </c>
    </row>
    <row r="837" spans="1:4" ht="13.5" x14ac:dyDescent="0.25">
      <c r="A837" s="306">
        <v>90660</v>
      </c>
      <c r="B837" s="305" t="s">
        <v>1109</v>
      </c>
      <c r="C837" s="305" t="s">
        <v>43</v>
      </c>
      <c r="D837" s="575">
        <v>3.12</v>
      </c>
    </row>
    <row r="838" spans="1:4" ht="13.5" x14ac:dyDescent="0.25">
      <c r="A838" s="306">
        <v>90661</v>
      </c>
      <c r="B838" s="305" t="s">
        <v>1110</v>
      </c>
      <c r="C838" s="305" t="s">
        <v>43</v>
      </c>
      <c r="D838" s="575">
        <v>4.9400000000000004</v>
      </c>
    </row>
    <row r="839" spans="1:4" ht="13.5" x14ac:dyDescent="0.25">
      <c r="A839" s="306">
        <v>90664</v>
      </c>
      <c r="B839" s="305" t="s">
        <v>1111</v>
      </c>
      <c r="C839" s="305" t="s">
        <v>43</v>
      </c>
      <c r="D839" s="575">
        <v>4.4400000000000004</v>
      </c>
    </row>
    <row r="840" spans="1:4" ht="13.5" x14ac:dyDescent="0.25">
      <c r="A840" s="306">
        <v>90665</v>
      </c>
      <c r="B840" s="305" t="s">
        <v>1112</v>
      </c>
      <c r="C840" s="305" t="s">
        <v>43</v>
      </c>
      <c r="D840" s="575">
        <v>0.51</v>
      </c>
    </row>
    <row r="841" spans="1:4" ht="13.5" x14ac:dyDescent="0.25">
      <c r="A841" s="306">
        <v>90666</v>
      </c>
      <c r="B841" s="305" t="s">
        <v>1113</v>
      </c>
      <c r="C841" s="305" t="s">
        <v>43</v>
      </c>
      <c r="D841" s="575">
        <v>4.87</v>
      </c>
    </row>
    <row r="842" spans="1:4" ht="13.5" x14ac:dyDescent="0.25">
      <c r="A842" s="306">
        <v>90667</v>
      </c>
      <c r="B842" s="305" t="s">
        <v>1114</v>
      </c>
      <c r="C842" s="305" t="s">
        <v>43</v>
      </c>
      <c r="D842" s="575">
        <v>8.57</v>
      </c>
    </row>
    <row r="843" spans="1:4" ht="13.5" x14ac:dyDescent="0.25">
      <c r="A843" s="306">
        <v>90670</v>
      </c>
      <c r="B843" s="305" t="s">
        <v>1115</v>
      </c>
      <c r="C843" s="305" t="s">
        <v>43</v>
      </c>
      <c r="D843" s="575">
        <v>145.18</v>
      </c>
    </row>
    <row r="844" spans="1:4" ht="13.5" x14ac:dyDescent="0.25">
      <c r="A844" s="306">
        <v>90671</v>
      </c>
      <c r="B844" s="305" t="s">
        <v>1116</v>
      </c>
      <c r="C844" s="305" t="s">
        <v>43</v>
      </c>
      <c r="D844" s="575">
        <v>20.149999999999999</v>
      </c>
    </row>
    <row r="845" spans="1:4" ht="13.5" x14ac:dyDescent="0.25">
      <c r="A845" s="306">
        <v>90672</v>
      </c>
      <c r="B845" s="305" t="s">
        <v>1117</v>
      </c>
      <c r="C845" s="305" t="s">
        <v>43</v>
      </c>
      <c r="D845" s="575">
        <v>181.68</v>
      </c>
    </row>
    <row r="846" spans="1:4" ht="13.5" x14ac:dyDescent="0.25">
      <c r="A846" s="306">
        <v>90673</v>
      </c>
      <c r="B846" s="305" t="s">
        <v>1118</v>
      </c>
      <c r="C846" s="305" t="s">
        <v>43</v>
      </c>
      <c r="D846" s="575">
        <v>68.599999999999994</v>
      </c>
    </row>
    <row r="847" spans="1:4" ht="13.5" x14ac:dyDescent="0.25">
      <c r="A847" s="306">
        <v>90676</v>
      </c>
      <c r="B847" s="305" t="s">
        <v>1119</v>
      </c>
      <c r="C847" s="305" t="s">
        <v>43</v>
      </c>
      <c r="D847" s="575">
        <v>72.81</v>
      </c>
    </row>
    <row r="848" spans="1:4" ht="13.5" x14ac:dyDescent="0.25">
      <c r="A848" s="306">
        <v>90677</v>
      </c>
      <c r="B848" s="305" t="s">
        <v>1120</v>
      </c>
      <c r="C848" s="305" t="s">
        <v>43</v>
      </c>
      <c r="D848" s="575">
        <v>10.1</v>
      </c>
    </row>
    <row r="849" spans="1:4" ht="13.5" x14ac:dyDescent="0.25">
      <c r="A849" s="306">
        <v>90678</v>
      </c>
      <c r="B849" s="305" t="s">
        <v>1121</v>
      </c>
      <c r="C849" s="305" t="s">
        <v>43</v>
      </c>
      <c r="D849" s="575">
        <v>91.11</v>
      </c>
    </row>
    <row r="850" spans="1:4" ht="13.5" x14ac:dyDescent="0.25">
      <c r="A850" s="306">
        <v>90679</v>
      </c>
      <c r="B850" s="305" t="s">
        <v>1122</v>
      </c>
      <c r="C850" s="305" t="s">
        <v>43</v>
      </c>
      <c r="D850" s="575">
        <v>52.58</v>
      </c>
    </row>
    <row r="851" spans="1:4" ht="13.5" x14ac:dyDescent="0.25">
      <c r="A851" s="306">
        <v>90682</v>
      </c>
      <c r="B851" s="305" t="s">
        <v>1123</v>
      </c>
      <c r="C851" s="305" t="s">
        <v>43</v>
      </c>
      <c r="D851" s="575">
        <v>23.82</v>
      </c>
    </row>
    <row r="852" spans="1:4" ht="13.5" x14ac:dyDescent="0.25">
      <c r="A852" s="306">
        <v>90683</v>
      </c>
      <c r="B852" s="305" t="s">
        <v>1124</v>
      </c>
      <c r="C852" s="305" t="s">
        <v>43</v>
      </c>
      <c r="D852" s="575">
        <v>2.82</v>
      </c>
    </row>
    <row r="853" spans="1:4" ht="13.5" x14ac:dyDescent="0.25">
      <c r="A853" s="306">
        <v>90684</v>
      </c>
      <c r="B853" s="305" t="s">
        <v>1125</v>
      </c>
      <c r="C853" s="305" t="s">
        <v>43</v>
      </c>
      <c r="D853" s="575">
        <v>26.06</v>
      </c>
    </row>
    <row r="854" spans="1:4" ht="13.5" x14ac:dyDescent="0.25">
      <c r="A854" s="306">
        <v>90685</v>
      </c>
      <c r="B854" s="305" t="s">
        <v>1126</v>
      </c>
      <c r="C854" s="305" t="s">
        <v>43</v>
      </c>
      <c r="D854" s="575">
        <v>32.61</v>
      </c>
    </row>
    <row r="855" spans="1:4" ht="13.5" x14ac:dyDescent="0.25">
      <c r="A855" s="306">
        <v>90688</v>
      </c>
      <c r="B855" s="305" t="s">
        <v>1127</v>
      </c>
      <c r="C855" s="305" t="s">
        <v>43</v>
      </c>
      <c r="D855" s="575">
        <v>13.66</v>
      </c>
    </row>
    <row r="856" spans="1:4" ht="13.5" x14ac:dyDescent="0.25">
      <c r="A856" s="306">
        <v>90689</v>
      </c>
      <c r="B856" s="305" t="s">
        <v>1128</v>
      </c>
      <c r="C856" s="305" t="s">
        <v>43</v>
      </c>
      <c r="D856" s="575">
        <v>1.38</v>
      </c>
    </row>
    <row r="857" spans="1:4" ht="13.5" x14ac:dyDescent="0.25">
      <c r="A857" s="306">
        <v>90690</v>
      </c>
      <c r="B857" s="305" t="s">
        <v>1129</v>
      </c>
      <c r="C857" s="305" t="s">
        <v>43</v>
      </c>
      <c r="D857" s="575">
        <v>17.079999999999998</v>
      </c>
    </row>
    <row r="858" spans="1:4" ht="13.5" x14ac:dyDescent="0.25">
      <c r="A858" s="306">
        <v>90691</v>
      </c>
      <c r="B858" s="305" t="s">
        <v>1130</v>
      </c>
      <c r="C858" s="305" t="s">
        <v>43</v>
      </c>
      <c r="D858" s="575">
        <v>30.04</v>
      </c>
    </row>
    <row r="859" spans="1:4" ht="13.5" x14ac:dyDescent="0.25">
      <c r="A859" s="306">
        <v>90957</v>
      </c>
      <c r="B859" s="305" t="s">
        <v>1131</v>
      </c>
      <c r="C859" s="305" t="s">
        <v>43</v>
      </c>
      <c r="D859" s="575">
        <v>2.76</v>
      </c>
    </row>
    <row r="860" spans="1:4" ht="13.5" x14ac:dyDescent="0.25">
      <c r="A860" s="306">
        <v>90958</v>
      </c>
      <c r="B860" s="305" t="s">
        <v>1132</v>
      </c>
      <c r="C860" s="305" t="s">
        <v>43</v>
      </c>
      <c r="D860" s="575">
        <v>0.38</v>
      </c>
    </row>
    <row r="861" spans="1:4" ht="13.5" x14ac:dyDescent="0.25">
      <c r="A861" s="306">
        <v>90960</v>
      </c>
      <c r="B861" s="305" t="s">
        <v>1133</v>
      </c>
      <c r="C861" s="305" t="s">
        <v>43</v>
      </c>
      <c r="D861" s="575">
        <v>3.68</v>
      </c>
    </row>
    <row r="862" spans="1:4" ht="13.5" x14ac:dyDescent="0.25">
      <c r="A862" s="306">
        <v>90961</v>
      </c>
      <c r="B862" s="305" t="s">
        <v>1134</v>
      </c>
      <c r="C862" s="305" t="s">
        <v>43</v>
      </c>
      <c r="D862" s="575">
        <v>0.51</v>
      </c>
    </row>
    <row r="863" spans="1:4" ht="13.5" x14ac:dyDescent="0.25">
      <c r="A863" s="306">
        <v>90962</v>
      </c>
      <c r="B863" s="305" t="s">
        <v>1135</v>
      </c>
      <c r="C863" s="305" t="s">
        <v>43</v>
      </c>
      <c r="D863" s="575">
        <v>4.6100000000000003</v>
      </c>
    </row>
    <row r="864" spans="1:4" ht="13.5" x14ac:dyDescent="0.25">
      <c r="A864" s="306">
        <v>90963</v>
      </c>
      <c r="B864" s="305" t="s">
        <v>1136</v>
      </c>
      <c r="C864" s="305" t="s">
        <v>43</v>
      </c>
      <c r="D864" s="575">
        <v>8.57</v>
      </c>
    </row>
    <row r="865" spans="1:4" ht="13.5" x14ac:dyDescent="0.25">
      <c r="A865" s="306">
        <v>90968</v>
      </c>
      <c r="B865" s="305" t="s">
        <v>1137</v>
      </c>
      <c r="C865" s="305" t="s">
        <v>43</v>
      </c>
      <c r="D865" s="575">
        <v>3.69</v>
      </c>
    </row>
    <row r="866" spans="1:4" ht="13.5" x14ac:dyDescent="0.25">
      <c r="A866" s="306">
        <v>90969</v>
      </c>
      <c r="B866" s="305" t="s">
        <v>1138</v>
      </c>
      <c r="C866" s="305" t="s">
        <v>43</v>
      </c>
      <c r="D866" s="575">
        <v>0.51</v>
      </c>
    </row>
    <row r="867" spans="1:4" ht="13.5" x14ac:dyDescent="0.25">
      <c r="A867" s="306">
        <v>90970</v>
      </c>
      <c r="B867" s="305" t="s">
        <v>1139</v>
      </c>
      <c r="C867" s="305" t="s">
        <v>43</v>
      </c>
      <c r="D867" s="575">
        <v>4.62</v>
      </c>
    </row>
    <row r="868" spans="1:4" ht="13.5" x14ac:dyDescent="0.25">
      <c r="A868" s="306">
        <v>90971</v>
      </c>
      <c r="B868" s="305" t="s">
        <v>1140</v>
      </c>
      <c r="C868" s="305" t="s">
        <v>43</v>
      </c>
      <c r="D868" s="575">
        <v>34.74</v>
      </c>
    </row>
    <row r="869" spans="1:4" ht="13.5" x14ac:dyDescent="0.25">
      <c r="A869" s="306">
        <v>90975</v>
      </c>
      <c r="B869" s="305" t="s">
        <v>1141</v>
      </c>
      <c r="C869" s="305" t="s">
        <v>43</v>
      </c>
      <c r="D869" s="575">
        <v>9.39</v>
      </c>
    </row>
    <row r="870" spans="1:4" ht="13.5" x14ac:dyDescent="0.25">
      <c r="A870" s="306">
        <v>90976</v>
      </c>
      <c r="B870" s="305" t="s">
        <v>1142</v>
      </c>
      <c r="C870" s="305" t="s">
        <v>43</v>
      </c>
      <c r="D870" s="575">
        <v>1.3</v>
      </c>
    </row>
    <row r="871" spans="1:4" ht="13.5" x14ac:dyDescent="0.25">
      <c r="A871" s="306">
        <v>90977</v>
      </c>
      <c r="B871" s="305" t="s">
        <v>1143</v>
      </c>
      <c r="C871" s="305" t="s">
        <v>43</v>
      </c>
      <c r="D871" s="575">
        <v>11.75</v>
      </c>
    </row>
    <row r="872" spans="1:4" ht="13.5" x14ac:dyDescent="0.25">
      <c r="A872" s="306">
        <v>90978</v>
      </c>
      <c r="B872" s="305" t="s">
        <v>1144</v>
      </c>
      <c r="C872" s="305" t="s">
        <v>43</v>
      </c>
      <c r="D872" s="575">
        <v>90.14</v>
      </c>
    </row>
    <row r="873" spans="1:4" ht="13.5" x14ac:dyDescent="0.25">
      <c r="A873" s="306">
        <v>90992</v>
      </c>
      <c r="B873" s="305" t="s">
        <v>1145</v>
      </c>
      <c r="C873" s="305" t="s">
        <v>43</v>
      </c>
      <c r="D873" s="575">
        <v>4.38</v>
      </c>
    </row>
    <row r="874" spans="1:4" ht="13.5" x14ac:dyDescent="0.25">
      <c r="A874" s="306">
        <v>90993</v>
      </c>
      <c r="B874" s="305" t="s">
        <v>1146</v>
      </c>
      <c r="C874" s="305" t="s">
        <v>43</v>
      </c>
      <c r="D874" s="575">
        <v>0.6</v>
      </c>
    </row>
    <row r="875" spans="1:4" ht="13.5" x14ac:dyDescent="0.25">
      <c r="A875" s="306">
        <v>90994</v>
      </c>
      <c r="B875" s="305" t="s">
        <v>1147</v>
      </c>
      <c r="C875" s="305" t="s">
        <v>43</v>
      </c>
      <c r="D875" s="575">
        <v>5.48</v>
      </c>
    </row>
    <row r="876" spans="1:4" ht="13.5" x14ac:dyDescent="0.25">
      <c r="A876" s="306">
        <v>90995</v>
      </c>
      <c r="B876" s="305" t="s">
        <v>1148</v>
      </c>
      <c r="C876" s="305" t="s">
        <v>43</v>
      </c>
      <c r="D876" s="575">
        <v>47.19</v>
      </c>
    </row>
    <row r="877" spans="1:4" ht="13.5" x14ac:dyDescent="0.25">
      <c r="A877" s="306">
        <v>91021</v>
      </c>
      <c r="B877" s="305" t="s">
        <v>1149</v>
      </c>
      <c r="C877" s="305" t="s">
        <v>43</v>
      </c>
      <c r="D877" s="575">
        <v>3.95</v>
      </c>
    </row>
    <row r="878" spans="1:4" ht="13.5" x14ac:dyDescent="0.25">
      <c r="A878" s="306">
        <v>91026</v>
      </c>
      <c r="B878" s="305" t="s">
        <v>1150</v>
      </c>
      <c r="C878" s="305" t="s">
        <v>43</v>
      </c>
      <c r="D878" s="575">
        <v>11.86</v>
      </c>
    </row>
    <row r="879" spans="1:4" ht="13.5" x14ac:dyDescent="0.25">
      <c r="A879" s="306">
        <v>91027</v>
      </c>
      <c r="B879" s="305" t="s">
        <v>1151</v>
      </c>
      <c r="C879" s="305" t="s">
        <v>43</v>
      </c>
      <c r="D879" s="575">
        <v>2.48</v>
      </c>
    </row>
    <row r="880" spans="1:4" ht="13.5" x14ac:dyDescent="0.25">
      <c r="A880" s="306">
        <v>91028</v>
      </c>
      <c r="B880" s="305" t="s">
        <v>1152</v>
      </c>
      <c r="C880" s="305" t="s">
        <v>43</v>
      </c>
      <c r="D880" s="575">
        <v>0.96</v>
      </c>
    </row>
    <row r="881" spans="1:4" ht="13.5" x14ac:dyDescent="0.25">
      <c r="A881" s="306">
        <v>91029</v>
      </c>
      <c r="B881" s="305" t="s">
        <v>1153</v>
      </c>
      <c r="C881" s="305" t="s">
        <v>43</v>
      </c>
      <c r="D881" s="575">
        <v>22.23</v>
      </c>
    </row>
    <row r="882" spans="1:4" ht="13.5" x14ac:dyDescent="0.25">
      <c r="A882" s="306">
        <v>91030</v>
      </c>
      <c r="B882" s="305" t="s">
        <v>1154</v>
      </c>
      <c r="C882" s="305" t="s">
        <v>43</v>
      </c>
      <c r="D882" s="575">
        <v>81.63</v>
      </c>
    </row>
    <row r="883" spans="1:4" ht="13.5" x14ac:dyDescent="0.25">
      <c r="A883" s="306">
        <v>91273</v>
      </c>
      <c r="B883" s="305" t="s">
        <v>1155</v>
      </c>
      <c r="C883" s="305" t="s">
        <v>43</v>
      </c>
      <c r="D883" s="575">
        <v>0.34</v>
      </c>
    </row>
    <row r="884" spans="1:4" ht="13.5" x14ac:dyDescent="0.25">
      <c r="A884" s="306">
        <v>91274</v>
      </c>
      <c r="B884" s="305" t="s">
        <v>1156</v>
      </c>
      <c r="C884" s="305" t="s">
        <v>43</v>
      </c>
      <c r="D884" s="575">
        <v>0.04</v>
      </c>
    </row>
    <row r="885" spans="1:4" ht="13.5" x14ac:dyDescent="0.25">
      <c r="A885" s="306">
        <v>91275</v>
      </c>
      <c r="B885" s="305" t="s">
        <v>1157</v>
      </c>
      <c r="C885" s="305" t="s">
        <v>43</v>
      </c>
      <c r="D885" s="575">
        <v>0.43</v>
      </c>
    </row>
    <row r="886" spans="1:4" ht="13.5" x14ac:dyDescent="0.25">
      <c r="A886" s="306">
        <v>91276</v>
      </c>
      <c r="B886" s="305" t="s">
        <v>1158</v>
      </c>
      <c r="C886" s="305" t="s">
        <v>43</v>
      </c>
      <c r="D886" s="575">
        <v>5.93</v>
      </c>
    </row>
    <row r="887" spans="1:4" ht="13.5" x14ac:dyDescent="0.25">
      <c r="A887" s="306">
        <v>91279</v>
      </c>
      <c r="B887" s="305" t="s">
        <v>1159</v>
      </c>
      <c r="C887" s="305" t="s">
        <v>43</v>
      </c>
      <c r="D887" s="575">
        <v>0.59</v>
      </c>
    </row>
    <row r="888" spans="1:4" ht="13.5" x14ac:dyDescent="0.25">
      <c r="A888" s="306">
        <v>91280</v>
      </c>
      <c r="B888" s="305" t="s">
        <v>1160</v>
      </c>
      <c r="C888" s="305" t="s">
        <v>43</v>
      </c>
      <c r="D888" s="575">
        <v>0.06</v>
      </c>
    </row>
    <row r="889" spans="1:4" ht="13.5" x14ac:dyDescent="0.25">
      <c r="A889" s="306">
        <v>91281</v>
      </c>
      <c r="B889" s="305" t="s">
        <v>1161</v>
      </c>
      <c r="C889" s="305" t="s">
        <v>43</v>
      </c>
      <c r="D889" s="575">
        <v>0.75</v>
      </c>
    </row>
    <row r="890" spans="1:4" ht="13.5" x14ac:dyDescent="0.25">
      <c r="A890" s="306">
        <v>91282</v>
      </c>
      <c r="B890" s="305" t="s">
        <v>1162</v>
      </c>
      <c r="C890" s="305" t="s">
        <v>43</v>
      </c>
      <c r="D890" s="575">
        <v>14.19</v>
      </c>
    </row>
    <row r="891" spans="1:4" ht="13.5" x14ac:dyDescent="0.25">
      <c r="A891" s="306">
        <v>91354</v>
      </c>
      <c r="B891" s="305" t="s">
        <v>1163</v>
      </c>
      <c r="C891" s="305" t="s">
        <v>43</v>
      </c>
      <c r="D891" s="575">
        <v>9.2200000000000006</v>
      </c>
    </row>
    <row r="892" spans="1:4" ht="13.5" x14ac:dyDescent="0.25">
      <c r="A892" s="306">
        <v>91355</v>
      </c>
      <c r="B892" s="305" t="s">
        <v>1164</v>
      </c>
      <c r="C892" s="305" t="s">
        <v>43</v>
      </c>
      <c r="D892" s="575">
        <v>1.93</v>
      </c>
    </row>
    <row r="893" spans="1:4" ht="13.5" x14ac:dyDescent="0.25">
      <c r="A893" s="306">
        <v>91356</v>
      </c>
      <c r="B893" s="305" t="s">
        <v>1165</v>
      </c>
      <c r="C893" s="305" t="s">
        <v>43</v>
      </c>
      <c r="D893" s="575">
        <v>0.75</v>
      </c>
    </row>
    <row r="894" spans="1:4" ht="13.5" x14ac:dyDescent="0.25">
      <c r="A894" s="306">
        <v>91359</v>
      </c>
      <c r="B894" s="305" t="s">
        <v>1166</v>
      </c>
      <c r="C894" s="305" t="s">
        <v>43</v>
      </c>
      <c r="D894" s="575">
        <v>10.4</v>
      </c>
    </row>
    <row r="895" spans="1:4" ht="13.5" x14ac:dyDescent="0.25">
      <c r="A895" s="306">
        <v>91360</v>
      </c>
      <c r="B895" s="305" t="s">
        <v>1167</v>
      </c>
      <c r="C895" s="305" t="s">
        <v>43</v>
      </c>
      <c r="D895" s="575">
        <v>2.1800000000000002</v>
      </c>
    </row>
    <row r="896" spans="1:4" ht="13.5" x14ac:dyDescent="0.25">
      <c r="A896" s="306">
        <v>91361</v>
      </c>
      <c r="B896" s="305" t="s">
        <v>1168</v>
      </c>
      <c r="C896" s="305" t="s">
        <v>43</v>
      </c>
      <c r="D896" s="575">
        <v>0.84</v>
      </c>
    </row>
    <row r="897" spans="1:4" ht="13.5" x14ac:dyDescent="0.25">
      <c r="A897" s="306">
        <v>91367</v>
      </c>
      <c r="B897" s="305" t="s">
        <v>1169</v>
      </c>
      <c r="C897" s="305" t="s">
        <v>43</v>
      </c>
      <c r="D897" s="575">
        <v>13.44</v>
      </c>
    </row>
    <row r="898" spans="1:4" ht="13.5" x14ac:dyDescent="0.25">
      <c r="A898" s="306">
        <v>91368</v>
      </c>
      <c r="B898" s="305" t="s">
        <v>1170</v>
      </c>
      <c r="C898" s="305" t="s">
        <v>43</v>
      </c>
      <c r="D898" s="575">
        <v>2.48</v>
      </c>
    </row>
    <row r="899" spans="1:4" ht="13.5" x14ac:dyDescent="0.25">
      <c r="A899" s="306">
        <v>91369</v>
      </c>
      <c r="B899" s="305" t="s">
        <v>1171</v>
      </c>
      <c r="C899" s="305" t="s">
        <v>43</v>
      </c>
      <c r="D899" s="575">
        <v>0.96</v>
      </c>
    </row>
    <row r="900" spans="1:4" ht="13.5" x14ac:dyDescent="0.25">
      <c r="A900" s="306">
        <v>91375</v>
      </c>
      <c r="B900" s="305" t="s">
        <v>1172</v>
      </c>
      <c r="C900" s="305" t="s">
        <v>43</v>
      </c>
      <c r="D900" s="575">
        <v>7.76</v>
      </c>
    </row>
    <row r="901" spans="1:4" ht="13.5" x14ac:dyDescent="0.25">
      <c r="A901" s="306">
        <v>91376</v>
      </c>
      <c r="B901" s="305" t="s">
        <v>1173</v>
      </c>
      <c r="C901" s="305" t="s">
        <v>43</v>
      </c>
      <c r="D901" s="575">
        <v>1.63</v>
      </c>
    </row>
    <row r="902" spans="1:4" ht="13.5" x14ac:dyDescent="0.25">
      <c r="A902" s="306">
        <v>91377</v>
      </c>
      <c r="B902" s="305" t="s">
        <v>1174</v>
      </c>
      <c r="C902" s="305" t="s">
        <v>43</v>
      </c>
      <c r="D902" s="575">
        <v>0.63</v>
      </c>
    </row>
    <row r="903" spans="1:4" ht="13.5" x14ac:dyDescent="0.25">
      <c r="A903" s="306">
        <v>91380</v>
      </c>
      <c r="B903" s="305" t="s">
        <v>1175</v>
      </c>
      <c r="C903" s="305" t="s">
        <v>43</v>
      </c>
      <c r="D903" s="575">
        <v>15.18</v>
      </c>
    </row>
    <row r="904" spans="1:4" ht="13.5" x14ac:dyDescent="0.25">
      <c r="A904" s="306">
        <v>91381</v>
      </c>
      <c r="B904" s="305" t="s">
        <v>1176</v>
      </c>
      <c r="C904" s="305" t="s">
        <v>43</v>
      </c>
      <c r="D904" s="575">
        <v>2.8</v>
      </c>
    </row>
    <row r="905" spans="1:4" ht="13.5" x14ac:dyDescent="0.25">
      <c r="A905" s="306">
        <v>91382</v>
      </c>
      <c r="B905" s="305" t="s">
        <v>1177</v>
      </c>
      <c r="C905" s="305" t="s">
        <v>43</v>
      </c>
      <c r="D905" s="575">
        <v>1.0900000000000001</v>
      </c>
    </row>
    <row r="906" spans="1:4" ht="13.5" x14ac:dyDescent="0.25">
      <c r="A906" s="306">
        <v>91383</v>
      </c>
      <c r="B906" s="305" t="s">
        <v>1178</v>
      </c>
      <c r="C906" s="305" t="s">
        <v>43</v>
      </c>
      <c r="D906" s="575">
        <v>28.46</v>
      </c>
    </row>
    <row r="907" spans="1:4" ht="13.5" x14ac:dyDescent="0.25">
      <c r="A907" s="306">
        <v>91384</v>
      </c>
      <c r="B907" s="305" t="s">
        <v>1179</v>
      </c>
      <c r="C907" s="305" t="s">
        <v>43</v>
      </c>
      <c r="D907" s="575">
        <v>81.290000000000006</v>
      </c>
    </row>
    <row r="908" spans="1:4" ht="13.5" x14ac:dyDescent="0.25">
      <c r="A908" s="306">
        <v>91390</v>
      </c>
      <c r="B908" s="305" t="s">
        <v>1180</v>
      </c>
      <c r="C908" s="305" t="s">
        <v>43</v>
      </c>
      <c r="D908" s="575">
        <v>9.9499999999999993</v>
      </c>
    </row>
    <row r="909" spans="1:4" ht="13.5" x14ac:dyDescent="0.25">
      <c r="A909" s="306">
        <v>91391</v>
      </c>
      <c r="B909" s="305" t="s">
        <v>1181</v>
      </c>
      <c r="C909" s="305" t="s">
        <v>43</v>
      </c>
      <c r="D909" s="575">
        <v>2.09</v>
      </c>
    </row>
    <row r="910" spans="1:4" ht="13.5" x14ac:dyDescent="0.25">
      <c r="A910" s="306">
        <v>91392</v>
      </c>
      <c r="B910" s="305" t="s">
        <v>1182</v>
      </c>
      <c r="C910" s="305" t="s">
        <v>43</v>
      </c>
      <c r="D910" s="575">
        <v>0.8</v>
      </c>
    </row>
    <row r="911" spans="1:4" ht="13.5" x14ac:dyDescent="0.25">
      <c r="A911" s="306">
        <v>91396</v>
      </c>
      <c r="B911" s="305" t="s">
        <v>1183</v>
      </c>
      <c r="C911" s="305" t="s">
        <v>43</v>
      </c>
      <c r="D911" s="575">
        <v>13.34</v>
      </c>
    </row>
    <row r="912" spans="1:4" ht="13.5" x14ac:dyDescent="0.25">
      <c r="A912" s="306">
        <v>91397</v>
      </c>
      <c r="B912" s="305" t="s">
        <v>1184</v>
      </c>
      <c r="C912" s="305" t="s">
        <v>43</v>
      </c>
      <c r="D912" s="575">
        <v>2.79</v>
      </c>
    </row>
    <row r="913" spans="1:4" ht="13.5" x14ac:dyDescent="0.25">
      <c r="A913" s="306">
        <v>91398</v>
      </c>
      <c r="B913" s="305" t="s">
        <v>1185</v>
      </c>
      <c r="C913" s="305" t="s">
        <v>43</v>
      </c>
      <c r="D913" s="575">
        <v>1.08</v>
      </c>
    </row>
    <row r="914" spans="1:4" ht="13.5" x14ac:dyDescent="0.25">
      <c r="A914" s="306">
        <v>91402</v>
      </c>
      <c r="B914" s="305" t="s">
        <v>1186</v>
      </c>
      <c r="C914" s="305" t="s">
        <v>43</v>
      </c>
      <c r="D914" s="575">
        <v>0.92</v>
      </c>
    </row>
    <row r="915" spans="1:4" ht="13.5" x14ac:dyDescent="0.25">
      <c r="A915" s="306">
        <v>91466</v>
      </c>
      <c r="B915" s="305" t="s">
        <v>1187</v>
      </c>
      <c r="C915" s="305" t="s">
        <v>43</v>
      </c>
      <c r="D915" s="575">
        <v>0.84</v>
      </c>
    </row>
    <row r="916" spans="1:4" ht="13.5" x14ac:dyDescent="0.25">
      <c r="A916" s="306">
        <v>91467</v>
      </c>
      <c r="B916" s="305" t="s">
        <v>1188</v>
      </c>
      <c r="C916" s="305" t="s">
        <v>43</v>
      </c>
      <c r="D916" s="575">
        <v>90.65</v>
      </c>
    </row>
    <row r="917" spans="1:4" ht="13.5" x14ac:dyDescent="0.25">
      <c r="A917" s="306">
        <v>91468</v>
      </c>
      <c r="B917" s="305" t="s">
        <v>1189</v>
      </c>
      <c r="C917" s="305" t="s">
        <v>43</v>
      </c>
      <c r="D917" s="575">
        <v>14.18</v>
      </c>
    </row>
    <row r="918" spans="1:4" ht="13.5" x14ac:dyDescent="0.25">
      <c r="A918" s="306">
        <v>91469</v>
      </c>
      <c r="B918" s="305" t="s">
        <v>1190</v>
      </c>
      <c r="C918" s="305" t="s">
        <v>43</v>
      </c>
      <c r="D918" s="575">
        <v>3.06</v>
      </c>
    </row>
    <row r="919" spans="1:4" ht="13.5" x14ac:dyDescent="0.25">
      <c r="A919" s="306">
        <v>91484</v>
      </c>
      <c r="B919" s="305" t="s">
        <v>1191</v>
      </c>
      <c r="C919" s="305" t="s">
        <v>43</v>
      </c>
      <c r="D919" s="575">
        <v>0.97</v>
      </c>
    </row>
    <row r="920" spans="1:4" ht="13.5" x14ac:dyDescent="0.25">
      <c r="A920" s="306">
        <v>91485</v>
      </c>
      <c r="B920" s="305" t="s">
        <v>1192</v>
      </c>
      <c r="C920" s="305" t="s">
        <v>43</v>
      </c>
      <c r="D920" s="575">
        <v>123.03</v>
      </c>
    </row>
    <row r="921" spans="1:4" ht="13.5" x14ac:dyDescent="0.25">
      <c r="A921" s="306">
        <v>91529</v>
      </c>
      <c r="B921" s="305" t="s">
        <v>1193</v>
      </c>
      <c r="C921" s="305" t="s">
        <v>43</v>
      </c>
      <c r="D921" s="575">
        <v>0.51</v>
      </c>
    </row>
    <row r="922" spans="1:4" ht="13.5" x14ac:dyDescent="0.25">
      <c r="A922" s="306">
        <v>91530</v>
      </c>
      <c r="B922" s="305" t="s">
        <v>1194</v>
      </c>
      <c r="C922" s="305" t="s">
        <v>43</v>
      </c>
      <c r="D922" s="575">
        <v>7.0000000000000007E-2</v>
      </c>
    </row>
    <row r="923" spans="1:4" ht="13.5" x14ac:dyDescent="0.25">
      <c r="A923" s="306">
        <v>91531</v>
      </c>
      <c r="B923" s="305" t="s">
        <v>1195</v>
      </c>
      <c r="C923" s="305" t="s">
        <v>43</v>
      </c>
      <c r="D923" s="575">
        <v>0.64</v>
      </c>
    </row>
    <row r="924" spans="1:4" ht="13.5" x14ac:dyDescent="0.25">
      <c r="A924" s="306">
        <v>91532</v>
      </c>
      <c r="B924" s="305" t="s">
        <v>1196</v>
      </c>
      <c r="C924" s="305" t="s">
        <v>43</v>
      </c>
      <c r="D924" s="575">
        <v>4.3</v>
      </c>
    </row>
    <row r="925" spans="1:4" ht="13.5" x14ac:dyDescent="0.25">
      <c r="A925" s="306">
        <v>91629</v>
      </c>
      <c r="B925" s="305" t="s">
        <v>1197</v>
      </c>
      <c r="C925" s="305" t="s">
        <v>43</v>
      </c>
      <c r="D925" s="575">
        <v>9.6</v>
      </c>
    </row>
    <row r="926" spans="1:4" ht="13.5" x14ac:dyDescent="0.25">
      <c r="A926" s="306">
        <v>91630</v>
      </c>
      <c r="B926" s="305" t="s">
        <v>1198</v>
      </c>
      <c r="C926" s="305" t="s">
        <v>43</v>
      </c>
      <c r="D926" s="575">
        <v>2.0099999999999998</v>
      </c>
    </row>
    <row r="927" spans="1:4" ht="13.5" x14ac:dyDescent="0.25">
      <c r="A927" s="306">
        <v>91631</v>
      </c>
      <c r="B927" s="305" t="s">
        <v>1199</v>
      </c>
      <c r="C927" s="305" t="s">
        <v>43</v>
      </c>
      <c r="D927" s="575">
        <v>0.78</v>
      </c>
    </row>
    <row r="928" spans="1:4" ht="13.5" x14ac:dyDescent="0.25">
      <c r="A928" s="306">
        <v>91632</v>
      </c>
      <c r="B928" s="305" t="s">
        <v>1200</v>
      </c>
      <c r="C928" s="305" t="s">
        <v>43</v>
      </c>
      <c r="D928" s="575">
        <v>18.02</v>
      </c>
    </row>
    <row r="929" spans="1:4" ht="13.5" x14ac:dyDescent="0.25">
      <c r="A929" s="306">
        <v>91633</v>
      </c>
      <c r="B929" s="305" t="s">
        <v>1201</v>
      </c>
      <c r="C929" s="305" t="s">
        <v>43</v>
      </c>
      <c r="D929" s="575">
        <v>76.72</v>
      </c>
    </row>
    <row r="930" spans="1:4" ht="13.5" x14ac:dyDescent="0.25">
      <c r="A930" s="306">
        <v>91640</v>
      </c>
      <c r="B930" s="305" t="s">
        <v>1202</v>
      </c>
      <c r="C930" s="305" t="s">
        <v>43</v>
      </c>
      <c r="D930" s="575">
        <v>20.04</v>
      </c>
    </row>
    <row r="931" spans="1:4" ht="13.5" x14ac:dyDescent="0.25">
      <c r="A931" s="306">
        <v>91641</v>
      </c>
      <c r="B931" s="305" t="s">
        <v>1203</v>
      </c>
      <c r="C931" s="305" t="s">
        <v>43</v>
      </c>
      <c r="D931" s="575">
        <v>4.2</v>
      </c>
    </row>
    <row r="932" spans="1:4" ht="13.5" x14ac:dyDescent="0.25">
      <c r="A932" s="306">
        <v>91642</v>
      </c>
      <c r="B932" s="305" t="s">
        <v>1204</v>
      </c>
      <c r="C932" s="305" t="s">
        <v>43</v>
      </c>
      <c r="D932" s="575">
        <v>1.63</v>
      </c>
    </row>
    <row r="933" spans="1:4" ht="13.5" x14ac:dyDescent="0.25">
      <c r="A933" s="306">
        <v>91643</v>
      </c>
      <c r="B933" s="305" t="s">
        <v>1205</v>
      </c>
      <c r="C933" s="305" t="s">
        <v>43</v>
      </c>
      <c r="D933" s="575">
        <v>37.57</v>
      </c>
    </row>
    <row r="934" spans="1:4" ht="13.5" x14ac:dyDescent="0.25">
      <c r="A934" s="306">
        <v>91644</v>
      </c>
      <c r="B934" s="305" t="s">
        <v>1206</v>
      </c>
      <c r="C934" s="305" t="s">
        <v>43</v>
      </c>
      <c r="D934" s="575">
        <v>172.66</v>
      </c>
    </row>
    <row r="935" spans="1:4" ht="13.5" x14ac:dyDescent="0.25">
      <c r="A935" s="306">
        <v>91688</v>
      </c>
      <c r="B935" s="305" t="s">
        <v>1207</v>
      </c>
      <c r="C935" s="305" t="s">
        <v>43</v>
      </c>
      <c r="D935" s="575">
        <v>7.0000000000000007E-2</v>
      </c>
    </row>
    <row r="936" spans="1:4" ht="13.5" x14ac:dyDescent="0.25">
      <c r="A936" s="306">
        <v>91689</v>
      </c>
      <c r="B936" s="305" t="s">
        <v>1208</v>
      </c>
      <c r="C936" s="305" t="s">
        <v>43</v>
      </c>
      <c r="D936" s="575">
        <v>0.01</v>
      </c>
    </row>
    <row r="937" spans="1:4" ht="13.5" x14ac:dyDescent="0.25">
      <c r="A937" s="306">
        <v>91690</v>
      </c>
      <c r="B937" s="305" t="s">
        <v>1209</v>
      </c>
      <c r="C937" s="305" t="s">
        <v>43</v>
      </c>
      <c r="D937" s="575">
        <v>0.04</v>
      </c>
    </row>
    <row r="938" spans="1:4" ht="13.5" x14ac:dyDescent="0.25">
      <c r="A938" s="306">
        <v>91691</v>
      </c>
      <c r="B938" s="305" t="s">
        <v>1210</v>
      </c>
      <c r="C938" s="305" t="s">
        <v>43</v>
      </c>
      <c r="D938" s="575">
        <v>2.44</v>
      </c>
    </row>
    <row r="939" spans="1:4" ht="13.5" x14ac:dyDescent="0.25">
      <c r="A939" s="306">
        <v>92040</v>
      </c>
      <c r="B939" s="305" t="s">
        <v>1211</v>
      </c>
      <c r="C939" s="305" t="s">
        <v>43</v>
      </c>
      <c r="D939" s="575">
        <v>4.13</v>
      </c>
    </row>
    <row r="940" spans="1:4" ht="13.5" x14ac:dyDescent="0.25">
      <c r="A940" s="306">
        <v>92041</v>
      </c>
      <c r="B940" s="305" t="s">
        <v>1212</v>
      </c>
      <c r="C940" s="305" t="s">
        <v>43</v>
      </c>
      <c r="D940" s="575">
        <v>0.43</v>
      </c>
    </row>
    <row r="941" spans="1:4" ht="13.5" x14ac:dyDescent="0.25">
      <c r="A941" s="306">
        <v>92042</v>
      </c>
      <c r="B941" s="305" t="s">
        <v>1213</v>
      </c>
      <c r="C941" s="305" t="s">
        <v>43</v>
      </c>
      <c r="D941" s="575">
        <v>3.44</v>
      </c>
    </row>
    <row r="942" spans="1:4" ht="13.5" x14ac:dyDescent="0.25">
      <c r="A942" s="306">
        <v>92101</v>
      </c>
      <c r="B942" s="305" t="s">
        <v>1214</v>
      </c>
      <c r="C942" s="305" t="s">
        <v>43</v>
      </c>
      <c r="D942" s="575">
        <v>14.83</v>
      </c>
    </row>
    <row r="943" spans="1:4" ht="13.5" x14ac:dyDescent="0.25">
      <c r="A943" s="306">
        <v>92102</v>
      </c>
      <c r="B943" s="305" t="s">
        <v>1215</v>
      </c>
      <c r="C943" s="305" t="s">
        <v>43</v>
      </c>
      <c r="D943" s="575">
        <v>3.1</v>
      </c>
    </row>
    <row r="944" spans="1:4" ht="13.5" x14ac:dyDescent="0.25">
      <c r="A944" s="306">
        <v>92103</v>
      </c>
      <c r="B944" s="305" t="s">
        <v>1216</v>
      </c>
      <c r="C944" s="305" t="s">
        <v>43</v>
      </c>
      <c r="D944" s="575">
        <v>1.2</v>
      </c>
    </row>
    <row r="945" spans="1:4" ht="13.5" x14ac:dyDescent="0.25">
      <c r="A945" s="306">
        <v>92104</v>
      </c>
      <c r="B945" s="305" t="s">
        <v>1217</v>
      </c>
      <c r="C945" s="305" t="s">
        <v>43</v>
      </c>
      <c r="D945" s="575">
        <v>27.82</v>
      </c>
    </row>
    <row r="946" spans="1:4" ht="13.5" x14ac:dyDescent="0.25">
      <c r="A946" s="306">
        <v>92105</v>
      </c>
      <c r="B946" s="305" t="s">
        <v>1218</v>
      </c>
      <c r="C946" s="305" t="s">
        <v>43</v>
      </c>
      <c r="D946" s="575">
        <v>110.3</v>
      </c>
    </row>
    <row r="947" spans="1:4" ht="13.5" x14ac:dyDescent="0.25">
      <c r="A947" s="306">
        <v>92108</v>
      </c>
      <c r="B947" s="305" t="s">
        <v>1219</v>
      </c>
      <c r="C947" s="305" t="s">
        <v>43</v>
      </c>
      <c r="D947" s="575">
        <v>0.64</v>
      </c>
    </row>
    <row r="948" spans="1:4" ht="13.5" x14ac:dyDescent="0.25">
      <c r="A948" s="306">
        <v>92109</v>
      </c>
      <c r="B948" s="305" t="s">
        <v>1220</v>
      </c>
      <c r="C948" s="305" t="s">
        <v>43</v>
      </c>
      <c r="D948" s="575">
        <v>7.0000000000000007E-2</v>
      </c>
    </row>
    <row r="949" spans="1:4" ht="13.5" x14ac:dyDescent="0.25">
      <c r="A949" s="306">
        <v>92110</v>
      </c>
      <c r="B949" s="305" t="s">
        <v>1221</v>
      </c>
      <c r="C949" s="305" t="s">
        <v>43</v>
      </c>
      <c r="D949" s="575">
        <v>0.5</v>
      </c>
    </row>
    <row r="950" spans="1:4" ht="13.5" x14ac:dyDescent="0.25">
      <c r="A950" s="306">
        <v>92111</v>
      </c>
      <c r="B950" s="305" t="s">
        <v>1222</v>
      </c>
      <c r="C950" s="305" t="s">
        <v>43</v>
      </c>
      <c r="D950" s="575">
        <v>0.96</v>
      </c>
    </row>
    <row r="951" spans="1:4" ht="13.5" x14ac:dyDescent="0.25">
      <c r="A951" s="306">
        <v>92114</v>
      </c>
      <c r="B951" s="305" t="s">
        <v>1223</v>
      </c>
      <c r="C951" s="305" t="s">
        <v>43</v>
      </c>
      <c r="D951" s="575">
        <v>7.0000000000000007E-2</v>
      </c>
    </row>
    <row r="952" spans="1:4" ht="13.5" x14ac:dyDescent="0.25">
      <c r="A952" s="306">
        <v>92115</v>
      </c>
      <c r="B952" s="305" t="s">
        <v>1224</v>
      </c>
      <c r="C952" s="305" t="s">
        <v>43</v>
      </c>
      <c r="D952" s="575">
        <v>0</v>
      </c>
    </row>
    <row r="953" spans="1:4" ht="13.5" x14ac:dyDescent="0.25">
      <c r="A953" s="306">
        <v>92116</v>
      </c>
      <c r="B953" s="305" t="s">
        <v>1225</v>
      </c>
      <c r="C953" s="305" t="s">
        <v>43</v>
      </c>
      <c r="D953" s="575">
        <v>0.09</v>
      </c>
    </row>
    <row r="954" spans="1:4" ht="13.5" x14ac:dyDescent="0.25">
      <c r="A954" s="306">
        <v>92133</v>
      </c>
      <c r="B954" s="305" t="s">
        <v>1226</v>
      </c>
      <c r="C954" s="305" t="s">
        <v>43</v>
      </c>
      <c r="D954" s="575">
        <v>7.91</v>
      </c>
    </row>
    <row r="955" spans="1:4" ht="13.5" x14ac:dyDescent="0.25">
      <c r="A955" s="306">
        <v>92134</v>
      </c>
      <c r="B955" s="305" t="s">
        <v>1227</v>
      </c>
      <c r="C955" s="305" t="s">
        <v>43</v>
      </c>
      <c r="D955" s="575">
        <v>1.25</v>
      </c>
    </row>
    <row r="956" spans="1:4" ht="13.5" x14ac:dyDescent="0.25">
      <c r="A956" s="306">
        <v>92135</v>
      </c>
      <c r="B956" s="305" t="s">
        <v>1228</v>
      </c>
      <c r="C956" s="305" t="s">
        <v>43</v>
      </c>
      <c r="D956" s="575">
        <v>0.49</v>
      </c>
    </row>
    <row r="957" spans="1:4" ht="13.5" x14ac:dyDescent="0.25">
      <c r="A957" s="306">
        <v>92136</v>
      </c>
      <c r="B957" s="305" t="s">
        <v>1229</v>
      </c>
      <c r="C957" s="305" t="s">
        <v>43</v>
      </c>
      <c r="D957" s="575">
        <v>9.89</v>
      </c>
    </row>
    <row r="958" spans="1:4" ht="13.5" x14ac:dyDescent="0.25">
      <c r="A958" s="306">
        <v>92137</v>
      </c>
      <c r="B958" s="305" t="s">
        <v>1230</v>
      </c>
      <c r="C958" s="305" t="s">
        <v>43</v>
      </c>
      <c r="D958" s="575">
        <v>22.7</v>
      </c>
    </row>
    <row r="959" spans="1:4" ht="13.5" x14ac:dyDescent="0.25">
      <c r="A959" s="306">
        <v>92140</v>
      </c>
      <c r="B959" s="305" t="s">
        <v>1231</v>
      </c>
      <c r="C959" s="305" t="s">
        <v>43</v>
      </c>
      <c r="D959" s="575">
        <v>2.41</v>
      </c>
    </row>
    <row r="960" spans="1:4" ht="13.5" x14ac:dyDescent="0.25">
      <c r="A960" s="306">
        <v>92141</v>
      </c>
      <c r="B960" s="305" t="s">
        <v>1232</v>
      </c>
      <c r="C960" s="305" t="s">
        <v>43</v>
      </c>
      <c r="D960" s="575">
        <v>0.38</v>
      </c>
    </row>
    <row r="961" spans="1:4" ht="13.5" x14ac:dyDescent="0.25">
      <c r="A961" s="306">
        <v>92142</v>
      </c>
      <c r="B961" s="305" t="s">
        <v>1233</v>
      </c>
      <c r="C961" s="305" t="s">
        <v>43</v>
      </c>
      <c r="D961" s="575">
        <v>0.15</v>
      </c>
    </row>
    <row r="962" spans="1:4" ht="13.5" x14ac:dyDescent="0.25">
      <c r="A962" s="306">
        <v>92143</v>
      </c>
      <c r="B962" s="305" t="s">
        <v>1234</v>
      </c>
      <c r="C962" s="305" t="s">
        <v>43</v>
      </c>
      <c r="D962" s="575">
        <v>3.01</v>
      </c>
    </row>
    <row r="963" spans="1:4" ht="13.5" x14ac:dyDescent="0.25">
      <c r="A963" s="306">
        <v>92144</v>
      </c>
      <c r="B963" s="305" t="s">
        <v>1235</v>
      </c>
      <c r="C963" s="305" t="s">
        <v>43</v>
      </c>
      <c r="D963" s="575">
        <v>27.96</v>
      </c>
    </row>
    <row r="964" spans="1:4" ht="13.5" x14ac:dyDescent="0.25">
      <c r="A964" s="306">
        <v>92237</v>
      </c>
      <c r="B964" s="305" t="s">
        <v>1236</v>
      </c>
      <c r="C964" s="305" t="s">
        <v>43</v>
      </c>
      <c r="D964" s="575">
        <v>14.68</v>
      </c>
    </row>
    <row r="965" spans="1:4" ht="13.5" x14ac:dyDescent="0.25">
      <c r="A965" s="306">
        <v>92238</v>
      </c>
      <c r="B965" s="305" t="s">
        <v>1237</v>
      </c>
      <c r="C965" s="305" t="s">
        <v>43</v>
      </c>
      <c r="D965" s="575">
        <v>3.08</v>
      </c>
    </row>
    <row r="966" spans="1:4" ht="13.5" x14ac:dyDescent="0.25">
      <c r="A966" s="306">
        <v>92239</v>
      </c>
      <c r="B966" s="305" t="s">
        <v>1238</v>
      </c>
      <c r="C966" s="305" t="s">
        <v>43</v>
      </c>
      <c r="D966" s="575">
        <v>1.19</v>
      </c>
    </row>
    <row r="967" spans="1:4" ht="13.5" x14ac:dyDescent="0.25">
      <c r="A967" s="306">
        <v>92240</v>
      </c>
      <c r="B967" s="305" t="s">
        <v>1239</v>
      </c>
      <c r="C967" s="305" t="s">
        <v>43</v>
      </c>
      <c r="D967" s="575">
        <v>27.53</v>
      </c>
    </row>
    <row r="968" spans="1:4" ht="13.5" x14ac:dyDescent="0.25">
      <c r="A968" s="306">
        <v>92241</v>
      </c>
      <c r="B968" s="305" t="s">
        <v>1240</v>
      </c>
      <c r="C968" s="305" t="s">
        <v>43</v>
      </c>
      <c r="D968" s="575">
        <v>158.29</v>
      </c>
    </row>
    <row r="969" spans="1:4" ht="13.5" x14ac:dyDescent="0.25">
      <c r="A969" s="306">
        <v>92712</v>
      </c>
      <c r="B969" s="305" t="s">
        <v>1241</v>
      </c>
      <c r="C969" s="305" t="s">
        <v>43</v>
      </c>
      <c r="D969" s="575">
        <v>0.21</v>
      </c>
    </row>
    <row r="970" spans="1:4" ht="13.5" x14ac:dyDescent="0.25">
      <c r="A970" s="306">
        <v>92713</v>
      </c>
      <c r="B970" s="305" t="s">
        <v>1242</v>
      </c>
      <c r="C970" s="305" t="s">
        <v>43</v>
      </c>
      <c r="D970" s="575">
        <v>0.02</v>
      </c>
    </row>
    <row r="971" spans="1:4" ht="13.5" x14ac:dyDescent="0.25">
      <c r="A971" s="306">
        <v>92714</v>
      </c>
      <c r="B971" s="305" t="s">
        <v>1243</v>
      </c>
      <c r="C971" s="305" t="s">
        <v>43</v>
      </c>
      <c r="D971" s="575">
        <v>0.26</v>
      </c>
    </row>
    <row r="972" spans="1:4" ht="13.5" x14ac:dyDescent="0.25">
      <c r="A972" s="306">
        <v>92715</v>
      </c>
      <c r="B972" s="305" t="s">
        <v>1244</v>
      </c>
      <c r="C972" s="305" t="s">
        <v>43</v>
      </c>
      <c r="D972" s="575">
        <v>17.809999999999999</v>
      </c>
    </row>
    <row r="973" spans="1:4" ht="13.5" x14ac:dyDescent="0.25">
      <c r="A973" s="306">
        <v>92956</v>
      </c>
      <c r="B973" s="305" t="s">
        <v>1245</v>
      </c>
      <c r="C973" s="305" t="s">
        <v>43</v>
      </c>
      <c r="D973" s="575">
        <v>3.75</v>
      </c>
    </row>
    <row r="974" spans="1:4" ht="13.5" x14ac:dyDescent="0.25">
      <c r="A974" s="306">
        <v>92957</v>
      </c>
      <c r="B974" s="305" t="s">
        <v>1246</v>
      </c>
      <c r="C974" s="305" t="s">
        <v>43</v>
      </c>
      <c r="D974" s="575">
        <v>0.44</v>
      </c>
    </row>
    <row r="975" spans="1:4" ht="13.5" x14ac:dyDescent="0.25">
      <c r="A975" s="306">
        <v>92958</v>
      </c>
      <c r="B975" s="305" t="s">
        <v>1247</v>
      </c>
      <c r="C975" s="305" t="s">
        <v>43</v>
      </c>
      <c r="D975" s="575">
        <v>4.1100000000000003</v>
      </c>
    </row>
    <row r="976" spans="1:4" ht="13.5" x14ac:dyDescent="0.25">
      <c r="A976" s="306">
        <v>92959</v>
      </c>
      <c r="B976" s="305" t="s">
        <v>1248</v>
      </c>
      <c r="C976" s="305" t="s">
        <v>43</v>
      </c>
      <c r="D976" s="575">
        <v>5.31</v>
      </c>
    </row>
    <row r="977" spans="1:4" ht="13.5" x14ac:dyDescent="0.25">
      <c r="A977" s="306">
        <v>92963</v>
      </c>
      <c r="B977" s="305" t="s">
        <v>1249</v>
      </c>
      <c r="C977" s="305" t="s">
        <v>43</v>
      </c>
      <c r="D977" s="575">
        <v>1.1399999999999999</v>
      </c>
    </row>
    <row r="978" spans="1:4" ht="13.5" x14ac:dyDescent="0.25">
      <c r="A978" s="306">
        <v>92964</v>
      </c>
      <c r="B978" s="305" t="s">
        <v>1250</v>
      </c>
      <c r="C978" s="305" t="s">
        <v>43</v>
      </c>
      <c r="D978" s="575">
        <v>0.13</v>
      </c>
    </row>
    <row r="979" spans="1:4" ht="13.5" x14ac:dyDescent="0.25">
      <c r="A979" s="306">
        <v>92965</v>
      </c>
      <c r="B979" s="305" t="s">
        <v>1251</v>
      </c>
      <c r="C979" s="305" t="s">
        <v>43</v>
      </c>
      <c r="D979" s="575">
        <v>1.42</v>
      </c>
    </row>
    <row r="980" spans="1:4" ht="13.5" x14ac:dyDescent="0.25">
      <c r="A980" s="306">
        <v>93220</v>
      </c>
      <c r="B980" s="305" t="s">
        <v>1252</v>
      </c>
      <c r="C980" s="305" t="s">
        <v>43</v>
      </c>
      <c r="D980" s="575">
        <v>225.75</v>
      </c>
    </row>
    <row r="981" spans="1:4" ht="13.5" x14ac:dyDescent="0.25">
      <c r="A981" s="306">
        <v>93221</v>
      </c>
      <c r="B981" s="305" t="s">
        <v>1253</v>
      </c>
      <c r="C981" s="305" t="s">
        <v>43</v>
      </c>
      <c r="D981" s="575">
        <v>31.34</v>
      </c>
    </row>
    <row r="982" spans="1:4" ht="13.5" x14ac:dyDescent="0.25">
      <c r="A982" s="306">
        <v>93222</v>
      </c>
      <c r="B982" s="305" t="s">
        <v>1254</v>
      </c>
      <c r="C982" s="305" t="s">
        <v>43</v>
      </c>
      <c r="D982" s="575">
        <v>282.5</v>
      </c>
    </row>
    <row r="983" spans="1:4" ht="13.5" x14ac:dyDescent="0.25">
      <c r="A983" s="306">
        <v>93223</v>
      </c>
      <c r="B983" s="305" t="s">
        <v>1255</v>
      </c>
      <c r="C983" s="305" t="s">
        <v>43</v>
      </c>
      <c r="D983" s="575">
        <v>89.59</v>
      </c>
    </row>
    <row r="984" spans="1:4" ht="13.5" x14ac:dyDescent="0.25">
      <c r="A984" s="306">
        <v>93229</v>
      </c>
      <c r="B984" s="305" t="s">
        <v>1256</v>
      </c>
      <c r="C984" s="305" t="s">
        <v>43</v>
      </c>
      <c r="D984" s="575">
        <v>0.27</v>
      </c>
    </row>
    <row r="985" spans="1:4" ht="13.5" x14ac:dyDescent="0.25">
      <c r="A985" s="306">
        <v>93230</v>
      </c>
      <c r="B985" s="305" t="s">
        <v>1257</v>
      </c>
      <c r="C985" s="305" t="s">
        <v>43</v>
      </c>
      <c r="D985" s="575">
        <v>0.03</v>
      </c>
    </row>
    <row r="986" spans="1:4" ht="13.5" x14ac:dyDescent="0.25">
      <c r="A986" s="306">
        <v>93231</v>
      </c>
      <c r="B986" s="305" t="s">
        <v>1258</v>
      </c>
      <c r="C986" s="305" t="s">
        <v>43</v>
      </c>
      <c r="D986" s="575">
        <v>0.25</v>
      </c>
    </row>
    <row r="987" spans="1:4" ht="13.5" x14ac:dyDescent="0.25">
      <c r="A987" s="306">
        <v>93232</v>
      </c>
      <c r="B987" s="305" t="s">
        <v>1259</v>
      </c>
      <c r="C987" s="305" t="s">
        <v>43</v>
      </c>
      <c r="D987" s="575">
        <v>6.01</v>
      </c>
    </row>
    <row r="988" spans="1:4" ht="13.5" x14ac:dyDescent="0.25">
      <c r="A988" s="306">
        <v>93235</v>
      </c>
      <c r="B988" s="305" t="s">
        <v>1260</v>
      </c>
      <c r="C988" s="305" t="s">
        <v>43</v>
      </c>
      <c r="D988" s="575">
        <v>0.79</v>
      </c>
    </row>
    <row r="989" spans="1:4" ht="13.5" x14ac:dyDescent="0.25">
      <c r="A989" s="306">
        <v>93238</v>
      </c>
      <c r="B989" s="305" t="s">
        <v>1261</v>
      </c>
      <c r="C989" s="305" t="s">
        <v>43</v>
      </c>
      <c r="D989" s="575">
        <v>0.66</v>
      </c>
    </row>
    <row r="990" spans="1:4" ht="13.5" x14ac:dyDescent="0.25">
      <c r="A990" s="306">
        <v>93239</v>
      </c>
      <c r="B990" s="305" t="s">
        <v>1262</v>
      </c>
      <c r="C990" s="305" t="s">
        <v>43</v>
      </c>
      <c r="D990" s="575">
        <v>3.01</v>
      </c>
    </row>
    <row r="991" spans="1:4" ht="13.5" x14ac:dyDescent="0.25">
      <c r="A991" s="306">
        <v>93240</v>
      </c>
      <c r="B991" s="305" t="s">
        <v>1263</v>
      </c>
      <c r="C991" s="305" t="s">
        <v>43</v>
      </c>
      <c r="D991" s="575">
        <v>6.86</v>
      </c>
    </row>
    <row r="992" spans="1:4" ht="13.5" x14ac:dyDescent="0.25">
      <c r="A992" s="306">
        <v>93267</v>
      </c>
      <c r="B992" s="305" t="s">
        <v>1264</v>
      </c>
      <c r="C992" s="305" t="s">
        <v>43</v>
      </c>
      <c r="D992" s="575">
        <v>25</v>
      </c>
    </row>
    <row r="993" spans="1:4" ht="13.5" x14ac:dyDescent="0.25">
      <c r="A993" s="306">
        <v>93269</v>
      </c>
      <c r="B993" s="305" t="s">
        <v>1265</v>
      </c>
      <c r="C993" s="305" t="s">
        <v>43</v>
      </c>
      <c r="D993" s="575">
        <v>2.96</v>
      </c>
    </row>
    <row r="994" spans="1:4" ht="13.5" x14ac:dyDescent="0.25">
      <c r="A994" s="306">
        <v>93270</v>
      </c>
      <c r="B994" s="305" t="s">
        <v>1266</v>
      </c>
      <c r="C994" s="305" t="s">
        <v>43</v>
      </c>
      <c r="D994" s="575">
        <v>27.34</v>
      </c>
    </row>
    <row r="995" spans="1:4" ht="13.5" x14ac:dyDescent="0.25">
      <c r="A995" s="306">
        <v>93271</v>
      </c>
      <c r="B995" s="305" t="s">
        <v>1267</v>
      </c>
      <c r="C995" s="305" t="s">
        <v>43</v>
      </c>
      <c r="D995" s="575">
        <v>7.19</v>
      </c>
    </row>
    <row r="996" spans="1:4" ht="13.5" x14ac:dyDescent="0.25">
      <c r="A996" s="306">
        <v>93277</v>
      </c>
      <c r="B996" s="305" t="s">
        <v>1268</v>
      </c>
      <c r="C996" s="305" t="s">
        <v>43</v>
      </c>
      <c r="D996" s="575">
        <v>0.28999999999999998</v>
      </c>
    </row>
    <row r="997" spans="1:4" ht="13.5" x14ac:dyDescent="0.25">
      <c r="A997" s="306">
        <v>93278</v>
      </c>
      <c r="B997" s="305" t="s">
        <v>1269</v>
      </c>
      <c r="C997" s="305" t="s">
        <v>43</v>
      </c>
      <c r="D997" s="575">
        <v>0.03</v>
      </c>
    </row>
    <row r="998" spans="1:4" ht="13.5" x14ac:dyDescent="0.25">
      <c r="A998" s="306">
        <v>93279</v>
      </c>
      <c r="B998" s="305" t="s">
        <v>1270</v>
      </c>
      <c r="C998" s="305" t="s">
        <v>43</v>
      </c>
      <c r="D998" s="575">
        <v>0.27</v>
      </c>
    </row>
    <row r="999" spans="1:4" ht="13.5" x14ac:dyDescent="0.25">
      <c r="A999" s="306">
        <v>93280</v>
      </c>
      <c r="B999" s="305" t="s">
        <v>1271</v>
      </c>
      <c r="C999" s="305" t="s">
        <v>43</v>
      </c>
      <c r="D999" s="575">
        <v>0.6</v>
      </c>
    </row>
    <row r="1000" spans="1:4" ht="13.5" x14ac:dyDescent="0.25">
      <c r="A1000" s="306">
        <v>93283</v>
      </c>
      <c r="B1000" s="305" t="s">
        <v>1272</v>
      </c>
      <c r="C1000" s="305" t="s">
        <v>43</v>
      </c>
      <c r="D1000" s="575">
        <v>52.55</v>
      </c>
    </row>
    <row r="1001" spans="1:4" ht="13.5" x14ac:dyDescent="0.25">
      <c r="A1001" s="306">
        <v>93284</v>
      </c>
      <c r="B1001" s="305" t="s">
        <v>1273</v>
      </c>
      <c r="C1001" s="305" t="s">
        <v>43</v>
      </c>
      <c r="D1001" s="575">
        <v>9.98</v>
      </c>
    </row>
    <row r="1002" spans="1:4" ht="13.5" x14ac:dyDescent="0.25">
      <c r="A1002" s="306">
        <v>93285</v>
      </c>
      <c r="B1002" s="305" t="s">
        <v>1274</v>
      </c>
      <c r="C1002" s="305" t="s">
        <v>43</v>
      </c>
      <c r="D1002" s="575">
        <v>84.47</v>
      </c>
    </row>
    <row r="1003" spans="1:4" ht="13.5" x14ac:dyDescent="0.25">
      <c r="A1003" s="306">
        <v>93286</v>
      </c>
      <c r="B1003" s="305" t="s">
        <v>1275</v>
      </c>
      <c r="C1003" s="305" t="s">
        <v>43</v>
      </c>
      <c r="D1003" s="575">
        <v>170.17</v>
      </c>
    </row>
    <row r="1004" spans="1:4" ht="13.5" x14ac:dyDescent="0.25">
      <c r="A1004" s="306">
        <v>93296</v>
      </c>
      <c r="B1004" s="305" t="s">
        <v>1276</v>
      </c>
      <c r="C1004" s="305" t="s">
        <v>43</v>
      </c>
      <c r="D1004" s="575">
        <v>3.67</v>
      </c>
    </row>
    <row r="1005" spans="1:4" ht="13.5" x14ac:dyDescent="0.25">
      <c r="A1005" s="306">
        <v>93397</v>
      </c>
      <c r="B1005" s="305" t="s">
        <v>1277</v>
      </c>
      <c r="C1005" s="305" t="s">
        <v>43</v>
      </c>
      <c r="D1005" s="575">
        <v>9.6</v>
      </c>
    </row>
    <row r="1006" spans="1:4" ht="13.5" x14ac:dyDescent="0.25">
      <c r="A1006" s="306">
        <v>93398</v>
      </c>
      <c r="B1006" s="305" t="s">
        <v>1278</v>
      </c>
      <c r="C1006" s="305" t="s">
        <v>43</v>
      </c>
      <c r="D1006" s="575">
        <v>2.0099999999999998</v>
      </c>
    </row>
    <row r="1007" spans="1:4" ht="13.5" x14ac:dyDescent="0.25">
      <c r="A1007" s="306">
        <v>93399</v>
      </c>
      <c r="B1007" s="305" t="s">
        <v>1279</v>
      </c>
      <c r="C1007" s="305" t="s">
        <v>43</v>
      </c>
      <c r="D1007" s="575">
        <v>0.78</v>
      </c>
    </row>
    <row r="1008" spans="1:4" ht="13.5" x14ac:dyDescent="0.25">
      <c r="A1008" s="306">
        <v>93400</v>
      </c>
      <c r="B1008" s="305" t="s">
        <v>1280</v>
      </c>
      <c r="C1008" s="305" t="s">
        <v>43</v>
      </c>
      <c r="D1008" s="575">
        <v>18.02</v>
      </c>
    </row>
    <row r="1009" spans="1:4" ht="13.5" x14ac:dyDescent="0.25">
      <c r="A1009" s="306">
        <v>93401</v>
      </c>
      <c r="B1009" s="305" t="s">
        <v>1281</v>
      </c>
      <c r="C1009" s="305" t="s">
        <v>43</v>
      </c>
      <c r="D1009" s="575">
        <v>90.65</v>
      </c>
    </row>
    <row r="1010" spans="1:4" ht="13.5" x14ac:dyDescent="0.25">
      <c r="A1010" s="306">
        <v>93404</v>
      </c>
      <c r="B1010" s="305" t="s">
        <v>12264</v>
      </c>
      <c r="C1010" s="305" t="s">
        <v>43</v>
      </c>
      <c r="D1010" s="575">
        <v>5.2</v>
      </c>
    </row>
    <row r="1011" spans="1:4" ht="13.5" x14ac:dyDescent="0.25">
      <c r="A1011" s="306">
        <v>93405</v>
      </c>
      <c r="B1011" s="305" t="s">
        <v>12265</v>
      </c>
      <c r="C1011" s="305" t="s">
        <v>43</v>
      </c>
      <c r="D1011" s="575">
        <v>0.53</v>
      </c>
    </row>
    <row r="1012" spans="1:4" ht="13.5" x14ac:dyDescent="0.25">
      <c r="A1012" s="306">
        <v>93406</v>
      </c>
      <c r="B1012" s="305" t="s">
        <v>12266</v>
      </c>
      <c r="C1012" s="305" t="s">
        <v>43</v>
      </c>
      <c r="D1012" s="575">
        <v>6.5</v>
      </c>
    </row>
    <row r="1013" spans="1:4" ht="13.5" x14ac:dyDescent="0.25">
      <c r="A1013" s="306">
        <v>93407</v>
      </c>
      <c r="B1013" s="305" t="s">
        <v>12267</v>
      </c>
      <c r="C1013" s="305" t="s">
        <v>43</v>
      </c>
      <c r="D1013" s="575">
        <v>27.02</v>
      </c>
    </row>
    <row r="1014" spans="1:4" ht="13.5" x14ac:dyDescent="0.25">
      <c r="A1014" s="306">
        <v>93411</v>
      </c>
      <c r="B1014" s="305" t="s">
        <v>1282</v>
      </c>
      <c r="C1014" s="305" t="s">
        <v>43</v>
      </c>
      <c r="D1014" s="575">
        <v>0.21</v>
      </c>
    </row>
    <row r="1015" spans="1:4" ht="13.5" x14ac:dyDescent="0.25">
      <c r="A1015" s="306">
        <v>93412</v>
      </c>
      <c r="B1015" s="305" t="s">
        <v>1283</v>
      </c>
      <c r="C1015" s="305" t="s">
        <v>43</v>
      </c>
      <c r="D1015" s="575">
        <v>0.03</v>
      </c>
    </row>
    <row r="1016" spans="1:4" ht="13.5" x14ac:dyDescent="0.25">
      <c r="A1016" s="306">
        <v>93413</v>
      </c>
      <c r="B1016" s="305" t="s">
        <v>1284</v>
      </c>
      <c r="C1016" s="305" t="s">
        <v>43</v>
      </c>
      <c r="D1016" s="575">
        <v>0.18</v>
      </c>
    </row>
    <row r="1017" spans="1:4" ht="13.5" x14ac:dyDescent="0.25">
      <c r="A1017" s="306">
        <v>93414</v>
      </c>
      <c r="B1017" s="305" t="s">
        <v>1285</v>
      </c>
      <c r="C1017" s="305" t="s">
        <v>43</v>
      </c>
      <c r="D1017" s="575">
        <v>10.37</v>
      </c>
    </row>
    <row r="1018" spans="1:4" ht="13.5" x14ac:dyDescent="0.25">
      <c r="A1018" s="306">
        <v>93417</v>
      </c>
      <c r="B1018" s="305" t="s">
        <v>1286</v>
      </c>
      <c r="C1018" s="305" t="s">
        <v>43</v>
      </c>
      <c r="D1018" s="575">
        <v>2.76</v>
      </c>
    </row>
    <row r="1019" spans="1:4" ht="13.5" x14ac:dyDescent="0.25">
      <c r="A1019" s="306">
        <v>93418</v>
      </c>
      <c r="B1019" s="305" t="s">
        <v>1287</v>
      </c>
      <c r="C1019" s="305" t="s">
        <v>43</v>
      </c>
      <c r="D1019" s="575">
        <v>0.49</v>
      </c>
    </row>
    <row r="1020" spans="1:4" ht="13.5" x14ac:dyDescent="0.25">
      <c r="A1020" s="306">
        <v>93419</v>
      </c>
      <c r="B1020" s="305" t="s">
        <v>1288</v>
      </c>
      <c r="C1020" s="305" t="s">
        <v>43</v>
      </c>
      <c r="D1020" s="575">
        <v>2.46</v>
      </c>
    </row>
    <row r="1021" spans="1:4" ht="13.5" x14ac:dyDescent="0.25">
      <c r="A1021" s="306">
        <v>93420</v>
      </c>
      <c r="B1021" s="305" t="s">
        <v>1289</v>
      </c>
      <c r="C1021" s="305" t="s">
        <v>43</v>
      </c>
      <c r="D1021" s="575">
        <v>38.450000000000003</v>
      </c>
    </row>
    <row r="1022" spans="1:4" ht="13.5" x14ac:dyDescent="0.25">
      <c r="A1022" s="306">
        <v>93423</v>
      </c>
      <c r="B1022" s="305" t="s">
        <v>1290</v>
      </c>
      <c r="C1022" s="305" t="s">
        <v>43</v>
      </c>
      <c r="D1022" s="575">
        <v>3.91</v>
      </c>
    </row>
    <row r="1023" spans="1:4" ht="13.5" x14ac:dyDescent="0.25">
      <c r="A1023" s="306">
        <v>93424</v>
      </c>
      <c r="B1023" s="305" t="s">
        <v>1291</v>
      </c>
      <c r="C1023" s="305" t="s">
        <v>43</v>
      </c>
      <c r="D1023" s="575">
        <v>0.7</v>
      </c>
    </row>
    <row r="1024" spans="1:4" ht="13.5" x14ac:dyDescent="0.25">
      <c r="A1024" s="306">
        <v>93425</v>
      </c>
      <c r="B1024" s="305" t="s">
        <v>1292</v>
      </c>
      <c r="C1024" s="305" t="s">
        <v>43</v>
      </c>
      <c r="D1024" s="575">
        <v>3.48</v>
      </c>
    </row>
    <row r="1025" spans="1:4" ht="13.5" x14ac:dyDescent="0.25">
      <c r="A1025" s="306">
        <v>93426</v>
      </c>
      <c r="B1025" s="305" t="s">
        <v>1293</v>
      </c>
      <c r="C1025" s="305" t="s">
        <v>43</v>
      </c>
      <c r="D1025" s="575">
        <v>91.88</v>
      </c>
    </row>
    <row r="1026" spans="1:4" ht="13.5" x14ac:dyDescent="0.25">
      <c r="A1026" s="306">
        <v>93429</v>
      </c>
      <c r="B1026" s="305" t="s">
        <v>1294</v>
      </c>
      <c r="C1026" s="305" t="s">
        <v>43</v>
      </c>
      <c r="D1026" s="575">
        <v>66</v>
      </c>
    </row>
    <row r="1027" spans="1:4" ht="13.5" x14ac:dyDescent="0.25">
      <c r="A1027" s="306">
        <v>93430</v>
      </c>
      <c r="B1027" s="305" t="s">
        <v>1295</v>
      </c>
      <c r="C1027" s="305" t="s">
        <v>43</v>
      </c>
      <c r="D1027" s="575">
        <v>11.88</v>
      </c>
    </row>
    <row r="1028" spans="1:4" ht="13.5" x14ac:dyDescent="0.25">
      <c r="A1028" s="306">
        <v>93431</v>
      </c>
      <c r="B1028" s="305" t="s">
        <v>1296</v>
      </c>
      <c r="C1028" s="305" t="s">
        <v>43</v>
      </c>
      <c r="D1028" s="575">
        <v>106.09</v>
      </c>
    </row>
    <row r="1029" spans="1:4" ht="13.5" x14ac:dyDescent="0.25">
      <c r="A1029" s="306">
        <v>93432</v>
      </c>
      <c r="B1029" s="305" t="s">
        <v>1297</v>
      </c>
      <c r="C1029" s="305" t="s">
        <v>43</v>
      </c>
      <c r="D1029" s="576">
        <v>1646.4</v>
      </c>
    </row>
    <row r="1030" spans="1:4" ht="13.5" x14ac:dyDescent="0.25">
      <c r="A1030" s="306">
        <v>93435</v>
      </c>
      <c r="B1030" s="305" t="s">
        <v>1298</v>
      </c>
      <c r="C1030" s="305" t="s">
        <v>43</v>
      </c>
      <c r="D1030" s="575">
        <v>3.57</v>
      </c>
    </row>
    <row r="1031" spans="1:4" ht="13.5" x14ac:dyDescent="0.25">
      <c r="A1031" s="306">
        <v>93436</v>
      </c>
      <c r="B1031" s="305" t="s">
        <v>1299</v>
      </c>
      <c r="C1031" s="305" t="s">
        <v>43</v>
      </c>
      <c r="D1031" s="575">
        <v>0.75</v>
      </c>
    </row>
    <row r="1032" spans="1:4" ht="13.5" x14ac:dyDescent="0.25">
      <c r="A1032" s="306">
        <v>93437</v>
      </c>
      <c r="B1032" s="305" t="s">
        <v>1300</v>
      </c>
      <c r="C1032" s="305" t="s">
        <v>43</v>
      </c>
      <c r="D1032" s="575">
        <v>6.69</v>
      </c>
    </row>
    <row r="1033" spans="1:4" ht="13.5" x14ac:dyDescent="0.25">
      <c r="A1033" s="306">
        <v>93438</v>
      </c>
      <c r="B1033" s="305" t="s">
        <v>1301</v>
      </c>
      <c r="C1033" s="305" t="s">
        <v>43</v>
      </c>
      <c r="D1033" s="575">
        <v>17.010000000000002</v>
      </c>
    </row>
    <row r="1034" spans="1:4" ht="13.5" x14ac:dyDescent="0.25">
      <c r="A1034" s="306">
        <v>95114</v>
      </c>
      <c r="B1034" s="305" t="s">
        <v>1302</v>
      </c>
      <c r="C1034" s="305" t="s">
        <v>43</v>
      </c>
      <c r="D1034" s="575">
        <v>1.1000000000000001</v>
      </c>
    </row>
    <row r="1035" spans="1:4" ht="13.5" x14ac:dyDescent="0.25">
      <c r="A1035" s="306">
        <v>95115</v>
      </c>
      <c r="B1035" s="305" t="s">
        <v>1303</v>
      </c>
      <c r="C1035" s="305" t="s">
        <v>43</v>
      </c>
      <c r="D1035" s="575">
        <v>0.13</v>
      </c>
    </row>
    <row r="1036" spans="1:4" ht="13.5" x14ac:dyDescent="0.25">
      <c r="A1036" s="306">
        <v>95116</v>
      </c>
      <c r="B1036" s="305" t="s">
        <v>1304</v>
      </c>
      <c r="C1036" s="305" t="s">
        <v>43</v>
      </c>
      <c r="D1036" s="575">
        <v>31.99</v>
      </c>
    </row>
    <row r="1037" spans="1:4" ht="13.5" x14ac:dyDescent="0.25">
      <c r="A1037" s="306">
        <v>95117</v>
      </c>
      <c r="B1037" s="305" t="s">
        <v>1305</v>
      </c>
      <c r="C1037" s="305" t="s">
        <v>43</v>
      </c>
      <c r="D1037" s="575">
        <v>5.04</v>
      </c>
    </row>
    <row r="1038" spans="1:4" ht="13.5" x14ac:dyDescent="0.25">
      <c r="A1038" s="306">
        <v>95118</v>
      </c>
      <c r="B1038" s="305" t="s">
        <v>1306</v>
      </c>
      <c r="C1038" s="305" t="s">
        <v>43</v>
      </c>
      <c r="D1038" s="575">
        <v>34.04</v>
      </c>
    </row>
    <row r="1039" spans="1:4" ht="13.5" x14ac:dyDescent="0.25">
      <c r="A1039" s="306">
        <v>95119</v>
      </c>
      <c r="B1039" s="305" t="s">
        <v>1307</v>
      </c>
      <c r="C1039" s="305" t="s">
        <v>43</v>
      </c>
      <c r="D1039" s="575">
        <v>6.12</v>
      </c>
    </row>
    <row r="1040" spans="1:4" ht="13.5" x14ac:dyDescent="0.25">
      <c r="A1040" s="306">
        <v>95120</v>
      </c>
      <c r="B1040" s="305" t="s">
        <v>1308</v>
      </c>
      <c r="C1040" s="305" t="s">
        <v>43</v>
      </c>
      <c r="D1040" s="575">
        <v>49.08</v>
      </c>
    </row>
    <row r="1041" spans="1:4" ht="13.5" x14ac:dyDescent="0.25">
      <c r="A1041" s="306">
        <v>95123</v>
      </c>
      <c r="B1041" s="305" t="s">
        <v>1309</v>
      </c>
      <c r="C1041" s="305" t="s">
        <v>43</v>
      </c>
      <c r="D1041" s="575">
        <v>11.4</v>
      </c>
    </row>
    <row r="1042" spans="1:4" ht="13.5" x14ac:dyDescent="0.25">
      <c r="A1042" s="306">
        <v>95124</v>
      </c>
      <c r="B1042" s="305" t="s">
        <v>1310</v>
      </c>
      <c r="C1042" s="305" t="s">
        <v>43</v>
      </c>
      <c r="D1042" s="575">
        <v>1.79</v>
      </c>
    </row>
    <row r="1043" spans="1:4" ht="13.5" x14ac:dyDescent="0.25">
      <c r="A1043" s="306">
        <v>95125</v>
      </c>
      <c r="B1043" s="305" t="s">
        <v>1311</v>
      </c>
      <c r="C1043" s="305" t="s">
        <v>43</v>
      </c>
      <c r="D1043" s="575">
        <v>12.47</v>
      </c>
    </row>
    <row r="1044" spans="1:4" ht="13.5" x14ac:dyDescent="0.25">
      <c r="A1044" s="306">
        <v>95126</v>
      </c>
      <c r="B1044" s="305" t="s">
        <v>1312</v>
      </c>
      <c r="C1044" s="305" t="s">
        <v>43</v>
      </c>
      <c r="D1044" s="575">
        <v>84.41</v>
      </c>
    </row>
    <row r="1045" spans="1:4" ht="13.5" x14ac:dyDescent="0.25">
      <c r="A1045" s="306">
        <v>95129</v>
      </c>
      <c r="B1045" s="305" t="s">
        <v>1313</v>
      </c>
      <c r="C1045" s="305" t="s">
        <v>43</v>
      </c>
      <c r="D1045" s="575">
        <v>20.23</v>
      </c>
    </row>
    <row r="1046" spans="1:4" ht="13.5" x14ac:dyDescent="0.25">
      <c r="A1046" s="306">
        <v>95130</v>
      </c>
      <c r="B1046" s="305" t="s">
        <v>1314</v>
      </c>
      <c r="C1046" s="305" t="s">
        <v>43</v>
      </c>
      <c r="D1046" s="575">
        <v>3.64</v>
      </c>
    </row>
    <row r="1047" spans="1:4" ht="13.5" x14ac:dyDescent="0.25">
      <c r="A1047" s="306">
        <v>95131</v>
      </c>
      <c r="B1047" s="305" t="s">
        <v>1315</v>
      </c>
      <c r="C1047" s="305" t="s">
        <v>43</v>
      </c>
      <c r="D1047" s="575">
        <v>37.94</v>
      </c>
    </row>
    <row r="1048" spans="1:4" ht="13.5" x14ac:dyDescent="0.25">
      <c r="A1048" s="306">
        <v>95132</v>
      </c>
      <c r="B1048" s="305" t="s">
        <v>1316</v>
      </c>
      <c r="C1048" s="305" t="s">
        <v>43</v>
      </c>
      <c r="D1048" s="575">
        <v>18.48</v>
      </c>
    </row>
    <row r="1049" spans="1:4" ht="13.5" x14ac:dyDescent="0.25">
      <c r="A1049" s="306">
        <v>95136</v>
      </c>
      <c r="B1049" s="305" t="s">
        <v>1317</v>
      </c>
      <c r="C1049" s="305" t="s">
        <v>43</v>
      </c>
      <c r="D1049" s="575">
        <v>0.03</v>
      </c>
    </row>
    <row r="1050" spans="1:4" ht="13.5" x14ac:dyDescent="0.25">
      <c r="A1050" s="306">
        <v>95137</v>
      </c>
      <c r="B1050" s="305" t="s">
        <v>1318</v>
      </c>
      <c r="C1050" s="305" t="s">
        <v>43</v>
      </c>
      <c r="D1050" s="575">
        <v>0.01</v>
      </c>
    </row>
    <row r="1051" spans="1:4" ht="13.5" x14ac:dyDescent="0.25">
      <c r="A1051" s="306">
        <v>95138</v>
      </c>
      <c r="B1051" s="305" t="s">
        <v>1319</v>
      </c>
      <c r="C1051" s="305" t="s">
        <v>43</v>
      </c>
      <c r="D1051" s="575">
        <v>0.02</v>
      </c>
    </row>
    <row r="1052" spans="1:4" ht="13.5" x14ac:dyDescent="0.25">
      <c r="A1052" s="306">
        <v>95208</v>
      </c>
      <c r="B1052" s="305" t="s">
        <v>1320</v>
      </c>
      <c r="C1052" s="305" t="s">
        <v>43</v>
      </c>
      <c r="D1052" s="575">
        <v>28.32</v>
      </c>
    </row>
    <row r="1053" spans="1:4" ht="13.5" x14ac:dyDescent="0.25">
      <c r="A1053" s="306">
        <v>95209</v>
      </c>
      <c r="B1053" s="305" t="s">
        <v>1321</v>
      </c>
      <c r="C1053" s="305" t="s">
        <v>43</v>
      </c>
      <c r="D1053" s="575">
        <v>3.36</v>
      </c>
    </row>
    <row r="1054" spans="1:4" ht="13.5" x14ac:dyDescent="0.25">
      <c r="A1054" s="306">
        <v>95210</v>
      </c>
      <c r="B1054" s="305" t="s">
        <v>1322</v>
      </c>
      <c r="C1054" s="305" t="s">
        <v>43</v>
      </c>
      <c r="D1054" s="575">
        <v>30.98</v>
      </c>
    </row>
    <row r="1055" spans="1:4" ht="13.5" x14ac:dyDescent="0.25">
      <c r="A1055" s="306">
        <v>95211</v>
      </c>
      <c r="B1055" s="305" t="s">
        <v>1323</v>
      </c>
      <c r="C1055" s="305" t="s">
        <v>43</v>
      </c>
      <c r="D1055" s="575">
        <v>7.19</v>
      </c>
    </row>
    <row r="1056" spans="1:4" ht="13.5" x14ac:dyDescent="0.25">
      <c r="A1056" s="306">
        <v>95214</v>
      </c>
      <c r="B1056" s="305" t="s">
        <v>1324</v>
      </c>
      <c r="C1056" s="305" t="s">
        <v>43</v>
      </c>
      <c r="D1056" s="575">
        <v>0.21</v>
      </c>
    </row>
    <row r="1057" spans="1:4" ht="13.5" x14ac:dyDescent="0.25">
      <c r="A1057" s="306">
        <v>95215</v>
      </c>
      <c r="B1057" s="305" t="s">
        <v>1325</v>
      </c>
      <c r="C1057" s="305" t="s">
        <v>43</v>
      </c>
      <c r="D1057" s="575">
        <v>0.02</v>
      </c>
    </row>
    <row r="1058" spans="1:4" ht="13.5" x14ac:dyDescent="0.25">
      <c r="A1058" s="306">
        <v>95216</v>
      </c>
      <c r="B1058" s="305" t="s">
        <v>1326</v>
      </c>
      <c r="C1058" s="305" t="s">
        <v>43</v>
      </c>
      <c r="D1058" s="575">
        <v>0.14000000000000001</v>
      </c>
    </row>
    <row r="1059" spans="1:4" ht="13.5" x14ac:dyDescent="0.25">
      <c r="A1059" s="306">
        <v>95217</v>
      </c>
      <c r="B1059" s="305" t="s">
        <v>1327</v>
      </c>
      <c r="C1059" s="305" t="s">
        <v>43</v>
      </c>
      <c r="D1059" s="575">
        <v>0.48</v>
      </c>
    </row>
    <row r="1060" spans="1:4" ht="13.5" x14ac:dyDescent="0.25">
      <c r="A1060" s="306">
        <v>95255</v>
      </c>
      <c r="B1060" s="305" t="s">
        <v>1328</v>
      </c>
      <c r="C1060" s="305" t="s">
        <v>43</v>
      </c>
      <c r="D1060" s="575">
        <v>0.98</v>
      </c>
    </row>
    <row r="1061" spans="1:4" ht="13.5" x14ac:dyDescent="0.25">
      <c r="A1061" s="306">
        <v>95256</v>
      </c>
      <c r="B1061" s="305" t="s">
        <v>1329</v>
      </c>
      <c r="C1061" s="305" t="s">
        <v>43</v>
      </c>
      <c r="D1061" s="575">
        <v>0.11</v>
      </c>
    </row>
    <row r="1062" spans="1:4" ht="13.5" x14ac:dyDescent="0.25">
      <c r="A1062" s="306">
        <v>95257</v>
      </c>
      <c r="B1062" s="305" t="s">
        <v>1330</v>
      </c>
      <c r="C1062" s="305" t="s">
        <v>43</v>
      </c>
      <c r="D1062" s="575">
        <v>1.23</v>
      </c>
    </row>
    <row r="1063" spans="1:4" ht="13.5" x14ac:dyDescent="0.25">
      <c r="A1063" s="306">
        <v>95260</v>
      </c>
      <c r="B1063" s="305" t="s">
        <v>1331</v>
      </c>
      <c r="C1063" s="305" t="s">
        <v>43</v>
      </c>
      <c r="D1063" s="575">
        <v>0.41</v>
      </c>
    </row>
    <row r="1064" spans="1:4" ht="13.5" x14ac:dyDescent="0.25">
      <c r="A1064" s="306">
        <v>95261</v>
      </c>
      <c r="B1064" s="305" t="s">
        <v>1332</v>
      </c>
      <c r="C1064" s="305" t="s">
        <v>43</v>
      </c>
      <c r="D1064" s="575">
        <v>0.11</v>
      </c>
    </row>
    <row r="1065" spans="1:4" ht="13.5" x14ac:dyDescent="0.25">
      <c r="A1065" s="306">
        <v>95262</v>
      </c>
      <c r="B1065" s="305" t="s">
        <v>1333</v>
      </c>
      <c r="C1065" s="305" t="s">
        <v>43</v>
      </c>
      <c r="D1065" s="575">
        <v>1.02</v>
      </c>
    </row>
    <row r="1066" spans="1:4" ht="13.5" x14ac:dyDescent="0.25">
      <c r="A1066" s="306">
        <v>95263</v>
      </c>
      <c r="B1066" s="305" t="s">
        <v>1334</v>
      </c>
      <c r="C1066" s="305" t="s">
        <v>43</v>
      </c>
      <c r="D1066" s="575">
        <v>3.21</v>
      </c>
    </row>
    <row r="1067" spans="1:4" ht="13.5" x14ac:dyDescent="0.25">
      <c r="A1067" s="306">
        <v>95266</v>
      </c>
      <c r="B1067" s="305" t="s">
        <v>1335</v>
      </c>
      <c r="C1067" s="305" t="s">
        <v>43</v>
      </c>
      <c r="D1067" s="575">
        <v>0.41</v>
      </c>
    </row>
    <row r="1068" spans="1:4" ht="13.5" x14ac:dyDescent="0.25">
      <c r="A1068" s="306">
        <v>95267</v>
      </c>
      <c r="B1068" s="305" t="s">
        <v>1336</v>
      </c>
      <c r="C1068" s="305" t="s">
        <v>43</v>
      </c>
      <c r="D1068" s="575">
        <v>0.04</v>
      </c>
    </row>
    <row r="1069" spans="1:4" ht="13.5" x14ac:dyDescent="0.25">
      <c r="A1069" s="306">
        <v>95268</v>
      </c>
      <c r="B1069" s="305" t="s">
        <v>1337</v>
      </c>
      <c r="C1069" s="305" t="s">
        <v>43</v>
      </c>
      <c r="D1069" s="575">
        <v>0.4</v>
      </c>
    </row>
    <row r="1070" spans="1:4" ht="13.5" x14ac:dyDescent="0.25">
      <c r="A1070" s="306">
        <v>95269</v>
      </c>
      <c r="B1070" s="305" t="s">
        <v>1338</v>
      </c>
      <c r="C1070" s="305" t="s">
        <v>43</v>
      </c>
      <c r="D1070" s="575">
        <v>6.01</v>
      </c>
    </row>
    <row r="1071" spans="1:4" ht="13.5" x14ac:dyDescent="0.25">
      <c r="A1071" s="306">
        <v>95272</v>
      </c>
      <c r="B1071" s="305" t="s">
        <v>1339</v>
      </c>
      <c r="C1071" s="305" t="s">
        <v>43</v>
      </c>
      <c r="D1071" s="575">
        <v>0.4</v>
      </c>
    </row>
    <row r="1072" spans="1:4" ht="13.5" x14ac:dyDescent="0.25">
      <c r="A1072" s="306">
        <v>95273</v>
      </c>
      <c r="B1072" s="305" t="s">
        <v>1340</v>
      </c>
      <c r="C1072" s="305" t="s">
        <v>43</v>
      </c>
      <c r="D1072" s="575">
        <v>0.04</v>
      </c>
    </row>
    <row r="1073" spans="1:4" ht="13.5" x14ac:dyDescent="0.25">
      <c r="A1073" s="306">
        <v>95274</v>
      </c>
      <c r="B1073" s="305" t="s">
        <v>1341</v>
      </c>
      <c r="C1073" s="305" t="s">
        <v>43</v>
      </c>
      <c r="D1073" s="575">
        <v>0.31</v>
      </c>
    </row>
    <row r="1074" spans="1:4" ht="13.5" x14ac:dyDescent="0.25">
      <c r="A1074" s="306">
        <v>95275</v>
      </c>
      <c r="B1074" s="305" t="s">
        <v>1342</v>
      </c>
      <c r="C1074" s="305" t="s">
        <v>43</v>
      </c>
      <c r="D1074" s="575">
        <v>1.95</v>
      </c>
    </row>
    <row r="1075" spans="1:4" ht="13.5" x14ac:dyDescent="0.25">
      <c r="A1075" s="306">
        <v>95278</v>
      </c>
      <c r="B1075" s="305" t="s">
        <v>1343</v>
      </c>
      <c r="C1075" s="305" t="s">
        <v>43</v>
      </c>
      <c r="D1075" s="575">
        <v>0.44</v>
      </c>
    </row>
    <row r="1076" spans="1:4" ht="13.5" x14ac:dyDescent="0.25">
      <c r="A1076" s="306">
        <v>95279</v>
      </c>
      <c r="B1076" s="305" t="s">
        <v>1344</v>
      </c>
      <c r="C1076" s="305" t="s">
        <v>43</v>
      </c>
      <c r="D1076" s="575">
        <v>0.05</v>
      </c>
    </row>
    <row r="1077" spans="1:4" ht="13.5" x14ac:dyDescent="0.25">
      <c r="A1077" s="306">
        <v>95280</v>
      </c>
      <c r="B1077" s="305" t="s">
        <v>1345</v>
      </c>
      <c r="C1077" s="305" t="s">
        <v>43</v>
      </c>
      <c r="D1077" s="575">
        <v>0.34</v>
      </c>
    </row>
    <row r="1078" spans="1:4" ht="13.5" x14ac:dyDescent="0.25">
      <c r="A1078" s="306">
        <v>95281</v>
      </c>
      <c r="B1078" s="305" t="s">
        <v>1346</v>
      </c>
      <c r="C1078" s="305" t="s">
        <v>43</v>
      </c>
      <c r="D1078" s="575">
        <v>6.01</v>
      </c>
    </row>
    <row r="1079" spans="1:4" ht="13.5" x14ac:dyDescent="0.25">
      <c r="A1079" s="306">
        <v>95617</v>
      </c>
      <c r="B1079" s="305" t="s">
        <v>1347</v>
      </c>
      <c r="C1079" s="305" t="s">
        <v>43</v>
      </c>
      <c r="D1079" s="575">
        <v>0.8</v>
      </c>
    </row>
    <row r="1080" spans="1:4" ht="13.5" x14ac:dyDescent="0.25">
      <c r="A1080" s="306">
        <v>95618</v>
      </c>
      <c r="B1080" s="305" t="s">
        <v>1348</v>
      </c>
      <c r="C1080" s="305" t="s">
        <v>43</v>
      </c>
      <c r="D1080" s="575">
        <v>0.09</v>
      </c>
    </row>
    <row r="1081" spans="1:4" ht="13.5" x14ac:dyDescent="0.25">
      <c r="A1081" s="306">
        <v>95619</v>
      </c>
      <c r="B1081" s="305" t="s">
        <v>1349</v>
      </c>
      <c r="C1081" s="305" t="s">
        <v>43</v>
      </c>
      <c r="D1081" s="575">
        <v>1.01</v>
      </c>
    </row>
    <row r="1082" spans="1:4" ht="13.5" x14ac:dyDescent="0.25">
      <c r="A1082" s="306">
        <v>95627</v>
      </c>
      <c r="B1082" s="305" t="s">
        <v>1350</v>
      </c>
      <c r="C1082" s="305" t="s">
        <v>43</v>
      </c>
      <c r="D1082" s="575">
        <v>23.81</v>
      </c>
    </row>
    <row r="1083" spans="1:4" ht="13.5" x14ac:dyDescent="0.25">
      <c r="A1083" s="306">
        <v>95628</v>
      </c>
      <c r="B1083" s="305" t="s">
        <v>1351</v>
      </c>
      <c r="C1083" s="305" t="s">
        <v>43</v>
      </c>
      <c r="D1083" s="575">
        <v>3.3</v>
      </c>
    </row>
    <row r="1084" spans="1:4" ht="13.5" x14ac:dyDescent="0.25">
      <c r="A1084" s="306">
        <v>95629</v>
      </c>
      <c r="B1084" s="305" t="s">
        <v>1352</v>
      </c>
      <c r="C1084" s="305" t="s">
        <v>43</v>
      </c>
      <c r="D1084" s="575">
        <v>29.79</v>
      </c>
    </row>
    <row r="1085" spans="1:4" ht="13.5" x14ac:dyDescent="0.25">
      <c r="A1085" s="306">
        <v>95630</v>
      </c>
      <c r="B1085" s="305" t="s">
        <v>1353</v>
      </c>
      <c r="C1085" s="305" t="s">
        <v>43</v>
      </c>
      <c r="D1085" s="575">
        <v>51.17</v>
      </c>
    </row>
    <row r="1086" spans="1:4" ht="13.5" x14ac:dyDescent="0.25">
      <c r="A1086" s="306">
        <v>95698</v>
      </c>
      <c r="B1086" s="305" t="s">
        <v>1354</v>
      </c>
      <c r="C1086" s="305" t="s">
        <v>43</v>
      </c>
      <c r="D1086" s="575">
        <v>3.27</v>
      </c>
    </row>
    <row r="1087" spans="1:4" ht="13.5" x14ac:dyDescent="0.25">
      <c r="A1087" s="306">
        <v>95699</v>
      </c>
      <c r="B1087" s="305" t="s">
        <v>1355</v>
      </c>
      <c r="C1087" s="305" t="s">
        <v>43</v>
      </c>
      <c r="D1087" s="575">
        <v>0.38</v>
      </c>
    </row>
    <row r="1088" spans="1:4" ht="13.5" x14ac:dyDescent="0.25">
      <c r="A1088" s="306">
        <v>95700</v>
      </c>
      <c r="B1088" s="305" t="s">
        <v>1356</v>
      </c>
      <c r="C1088" s="305" t="s">
        <v>43</v>
      </c>
      <c r="D1088" s="575">
        <v>4.09</v>
      </c>
    </row>
    <row r="1089" spans="1:4" ht="13.5" x14ac:dyDescent="0.25">
      <c r="A1089" s="306">
        <v>95701</v>
      </c>
      <c r="B1089" s="305" t="s">
        <v>1357</v>
      </c>
      <c r="C1089" s="305" t="s">
        <v>43</v>
      </c>
      <c r="D1089" s="575">
        <v>2.41</v>
      </c>
    </row>
    <row r="1090" spans="1:4" ht="13.5" x14ac:dyDescent="0.25">
      <c r="A1090" s="306">
        <v>95704</v>
      </c>
      <c r="B1090" s="305" t="s">
        <v>1358</v>
      </c>
      <c r="C1090" s="305" t="s">
        <v>43</v>
      </c>
      <c r="D1090" s="575">
        <v>30.32</v>
      </c>
    </row>
    <row r="1091" spans="1:4" ht="13.5" x14ac:dyDescent="0.25">
      <c r="A1091" s="306">
        <v>95705</v>
      </c>
      <c r="B1091" s="305" t="s">
        <v>1359</v>
      </c>
      <c r="C1091" s="305" t="s">
        <v>43</v>
      </c>
      <c r="D1091" s="575">
        <v>4.32</v>
      </c>
    </row>
    <row r="1092" spans="1:4" ht="13.5" x14ac:dyDescent="0.25">
      <c r="A1092" s="306">
        <v>95706</v>
      </c>
      <c r="B1092" s="305" t="s">
        <v>1360</v>
      </c>
      <c r="C1092" s="305" t="s">
        <v>43</v>
      </c>
      <c r="D1092" s="575">
        <v>37.94</v>
      </c>
    </row>
    <row r="1093" spans="1:4" ht="13.5" x14ac:dyDescent="0.25">
      <c r="A1093" s="306">
        <v>95707</v>
      </c>
      <c r="B1093" s="305" t="s">
        <v>1361</v>
      </c>
      <c r="C1093" s="305" t="s">
        <v>43</v>
      </c>
      <c r="D1093" s="575">
        <v>26.85</v>
      </c>
    </row>
    <row r="1094" spans="1:4" ht="13.5" x14ac:dyDescent="0.25">
      <c r="A1094" s="306">
        <v>95710</v>
      </c>
      <c r="B1094" s="305" t="s">
        <v>1362</v>
      </c>
      <c r="C1094" s="305" t="s">
        <v>43</v>
      </c>
      <c r="D1094" s="575">
        <v>36.44</v>
      </c>
    </row>
    <row r="1095" spans="1:4" ht="13.5" x14ac:dyDescent="0.25">
      <c r="A1095" s="306">
        <v>95711</v>
      </c>
      <c r="B1095" s="305" t="s">
        <v>1363</v>
      </c>
      <c r="C1095" s="305" t="s">
        <v>43</v>
      </c>
      <c r="D1095" s="575">
        <v>4.9400000000000004</v>
      </c>
    </row>
    <row r="1096" spans="1:4" ht="13.5" x14ac:dyDescent="0.25">
      <c r="A1096" s="306">
        <v>95712</v>
      </c>
      <c r="B1096" s="305" t="s">
        <v>1364</v>
      </c>
      <c r="C1096" s="305" t="s">
        <v>43</v>
      </c>
      <c r="D1096" s="575">
        <v>45.55</v>
      </c>
    </row>
    <row r="1097" spans="1:4" ht="13.5" x14ac:dyDescent="0.25">
      <c r="A1097" s="306">
        <v>95713</v>
      </c>
      <c r="B1097" s="305" t="s">
        <v>1365</v>
      </c>
      <c r="C1097" s="305" t="s">
        <v>43</v>
      </c>
      <c r="D1097" s="575">
        <v>51.55</v>
      </c>
    </row>
    <row r="1098" spans="1:4" ht="13.5" x14ac:dyDescent="0.25">
      <c r="A1098" s="306">
        <v>95716</v>
      </c>
      <c r="B1098" s="305" t="s">
        <v>1366</v>
      </c>
      <c r="C1098" s="305" t="s">
        <v>43</v>
      </c>
      <c r="D1098" s="575">
        <v>35.08</v>
      </c>
    </row>
    <row r="1099" spans="1:4" ht="13.5" x14ac:dyDescent="0.25">
      <c r="A1099" s="306">
        <v>95717</v>
      </c>
      <c r="B1099" s="305" t="s">
        <v>1367</v>
      </c>
      <c r="C1099" s="305" t="s">
        <v>43</v>
      </c>
      <c r="D1099" s="575">
        <v>4.76</v>
      </c>
    </row>
    <row r="1100" spans="1:4" ht="13.5" x14ac:dyDescent="0.25">
      <c r="A1100" s="306">
        <v>95718</v>
      </c>
      <c r="B1100" s="305" t="s">
        <v>1368</v>
      </c>
      <c r="C1100" s="305" t="s">
        <v>43</v>
      </c>
      <c r="D1100" s="575">
        <v>43.85</v>
      </c>
    </row>
    <row r="1101" spans="1:4" ht="13.5" x14ac:dyDescent="0.25">
      <c r="A1101" s="306">
        <v>95719</v>
      </c>
      <c r="B1101" s="305" t="s">
        <v>1369</v>
      </c>
      <c r="C1101" s="305" t="s">
        <v>43</v>
      </c>
      <c r="D1101" s="575">
        <v>51.55</v>
      </c>
    </row>
    <row r="1102" spans="1:4" ht="13.5" x14ac:dyDescent="0.25">
      <c r="A1102" s="306">
        <v>95869</v>
      </c>
      <c r="B1102" s="305" t="s">
        <v>1370</v>
      </c>
      <c r="C1102" s="305" t="s">
        <v>43</v>
      </c>
      <c r="D1102" s="575">
        <v>1.1200000000000001</v>
      </c>
    </row>
    <row r="1103" spans="1:4" ht="13.5" x14ac:dyDescent="0.25">
      <c r="A1103" s="306">
        <v>95870</v>
      </c>
      <c r="B1103" s="305" t="s">
        <v>1371</v>
      </c>
      <c r="C1103" s="305" t="s">
        <v>43</v>
      </c>
      <c r="D1103" s="575">
        <v>5.57</v>
      </c>
    </row>
    <row r="1104" spans="1:4" ht="13.5" x14ac:dyDescent="0.25">
      <c r="A1104" s="306">
        <v>95871</v>
      </c>
      <c r="B1104" s="305" t="s">
        <v>1372</v>
      </c>
      <c r="C1104" s="305" t="s">
        <v>43</v>
      </c>
      <c r="D1104" s="575">
        <v>156.54</v>
      </c>
    </row>
    <row r="1105" spans="1:4" ht="13.5" x14ac:dyDescent="0.25">
      <c r="A1105" s="306">
        <v>95874</v>
      </c>
      <c r="B1105" s="305" t="s">
        <v>1373</v>
      </c>
      <c r="C1105" s="305" t="s">
        <v>43</v>
      </c>
      <c r="D1105" s="575">
        <v>6.24</v>
      </c>
    </row>
    <row r="1106" spans="1:4" ht="13.5" x14ac:dyDescent="0.25">
      <c r="A1106" s="306">
        <v>96008</v>
      </c>
      <c r="B1106" s="305" t="s">
        <v>1374</v>
      </c>
      <c r="C1106" s="305" t="s">
        <v>43</v>
      </c>
      <c r="D1106" s="575">
        <v>11.53</v>
      </c>
    </row>
    <row r="1107" spans="1:4" ht="13.5" x14ac:dyDescent="0.25">
      <c r="A1107" s="306">
        <v>96009</v>
      </c>
      <c r="B1107" s="305" t="s">
        <v>1375</v>
      </c>
      <c r="C1107" s="305" t="s">
        <v>43</v>
      </c>
      <c r="D1107" s="575">
        <v>1.6</v>
      </c>
    </row>
    <row r="1108" spans="1:4" ht="13.5" x14ac:dyDescent="0.25">
      <c r="A1108" s="306">
        <v>96011</v>
      </c>
      <c r="B1108" s="305" t="s">
        <v>1376</v>
      </c>
      <c r="C1108" s="305" t="s">
        <v>43</v>
      </c>
      <c r="D1108" s="575">
        <v>12.62</v>
      </c>
    </row>
    <row r="1109" spans="1:4" ht="13.5" x14ac:dyDescent="0.25">
      <c r="A1109" s="306">
        <v>96012</v>
      </c>
      <c r="B1109" s="305" t="s">
        <v>1377</v>
      </c>
      <c r="C1109" s="305" t="s">
        <v>43</v>
      </c>
      <c r="D1109" s="575">
        <v>98.54</v>
      </c>
    </row>
    <row r="1110" spans="1:4" ht="13.5" x14ac:dyDescent="0.25">
      <c r="A1110" s="306">
        <v>96015</v>
      </c>
      <c r="B1110" s="305" t="s">
        <v>1378</v>
      </c>
      <c r="C1110" s="305" t="s">
        <v>43</v>
      </c>
      <c r="D1110" s="575">
        <v>11.42</v>
      </c>
    </row>
    <row r="1111" spans="1:4" ht="13.5" x14ac:dyDescent="0.25">
      <c r="A1111" s="306">
        <v>96016</v>
      </c>
      <c r="B1111" s="305" t="s">
        <v>1379</v>
      </c>
      <c r="C1111" s="305" t="s">
        <v>43</v>
      </c>
      <c r="D1111" s="575">
        <v>1.58</v>
      </c>
    </row>
    <row r="1112" spans="1:4" ht="13.5" x14ac:dyDescent="0.25">
      <c r="A1112" s="306">
        <v>96018</v>
      </c>
      <c r="B1112" s="305" t="s">
        <v>1380</v>
      </c>
      <c r="C1112" s="305" t="s">
        <v>43</v>
      </c>
      <c r="D1112" s="575">
        <v>12.49</v>
      </c>
    </row>
    <row r="1113" spans="1:4" ht="13.5" x14ac:dyDescent="0.25">
      <c r="A1113" s="306">
        <v>96019</v>
      </c>
      <c r="B1113" s="305" t="s">
        <v>1381</v>
      </c>
      <c r="C1113" s="305" t="s">
        <v>43</v>
      </c>
      <c r="D1113" s="575">
        <v>98.54</v>
      </c>
    </row>
    <row r="1114" spans="1:4" ht="13.5" x14ac:dyDescent="0.25">
      <c r="A1114" s="306">
        <v>96023</v>
      </c>
      <c r="B1114" s="305" t="s">
        <v>1382</v>
      </c>
      <c r="C1114" s="305" t="s">
        <v>43</v>
      </c>
      <c r="D1114" s="575">
        <v>8.89</v>
      </c>
    </row>
    <row r="1115" spans="1:4" ht="13.5" x14ac:dyDescent="0.25">
      <c r="A1115" s="306">
        <v>96024</v>
      </c>
      <c r="B1115" s="305" t="s">
        <v>1383</v>
      </c>
      <c r="C1115" s="305" t="s">
        <v>43</v>
      </c>
      <c r="D1115" s="575">
        <v>1.23</v>
      </c>
    </row>
    <row r="1116" spans="1:4" ht="13.5" x14ac:dyDescent="0.25">
      <c r="A1116" s="306">
        <v>96026</v>
      </c>
      <c r="B1116" s="305" t="s">
        <v>1384</v>
      </c>
      <c r="C1116" s="305" t="s">
        <v>43</v>
      </c>
      <c r="D1116" s="575">
        <v>9.7200000000000006</v>
      </c>
    </row>
    <row r="1117" spans="1:4" ht="13.5" x14ac:dyDescent="0.25">
      <c r="A1117" s="306">
        <v>96027</v>
      </c>
      <c r="B1117" s="305" t="s">
        <v>1385</v>
      </c>
      <c r="C1117" s="305" t="s">
        <v>43</v>
      </c>
      <c r="D1117" s="575">
        <v>68.66</v>
      </c>
    </row>
    <row r="1118" spans="1:4" ht="13.5" x14ac:dyDescent="0.25">
      <c r="A1118" s="306">
        <v>96030</v>
      </c>
      <c r="B1118" s="305" t="s">
        <v>1386</v>
      </c>
      <c r="C1118" s="305" t="s">
        <v>43</v>
      </c>
      <c r="D1118" s="575">
        <v>17.47</v>
      </c>
    </row>
    <row r="1119" spans="1:4" ht="13.5" x14ac:dyDescent="0.25">
      <c r="A1119" s="306">
        <v>96031</v>
      </c>
      <c r="B1119" s="305" t="s">
        <v>1387</v>
      </c>
      <c r="C1119" s="305" t="s">
        <v>43</v>
      </c>
      <c r="D1119" s="575">
        <v>3.22</v>
      </c>
    </row>
    <row r="1120" spans="1:4" ht="13.5" x14ac:dyDescent="0.25">
      <c r="A1120" s="306">
        <v>96032</v>
      </c>
      <c r="B1120" s="305" t="s">
        <v>1388</v>
      </c>
      <c r="C1120" s="305" t="s">
        <v>43</v>
      </c>
      <c r="D1120" s="575">
        <v>1.25</v>
      </c>
    </row>
    <row r="1121" spans="1:4" ht="13.5" x14ac:dyDescent="0.25">
      <c r="A1121" s="306">
        <v>96033</v>
      </c>
      <c r="B1121" s="305" t="s">
        <v>1389</v>
      </c>
      <c r="C1121" s="305" t="s">
        <v>43</v>
      </c>
      <c r="D1121" s="575">
        <v>32.76</v>
      </c>
    </row>
    <row r="1122" spans="1:4" ht="13.5" x14ac:dyDescent="0.25">
      <c r="A1122" s="306">
        <v>96034</v>
      </c>
      <c r="B1122" s="305" t="s">
        <v>1390</v>
      </c>
      <c r="C1122" s="305" t="s">
        <v>43</v>
      </c>
      <c r="D1122" s="575">
        <v>81.290000000000006</v>
      </c>
    </row>
    <row r="1123" spans="1:4" ht="13.5" x14ac:dyDescent="0.25">
      <c r="A1123" s="306">
        <v>96053</v>
      </c>
      <c r="B1123" s="305" t="s">
        <v>1391</v>
      </c>
      <c r="C1123" s="305" t="s">
        <v>43</v>
      </c>
      <c r="D1123" s="575">
        <v>9</v>
      </c>
    </row>
    <row r="1124" spans="1:4" ht="13.5" x14ac:dyDescent="0.25">
      <c r="A1124" s="306">
        <v>96054</v>
      </c>
      <c r="B1124" s="305" t="s">
        <v>1392</v>
      </c>
      <c r="C1124" s="305" t="s">
        <v>43</v>
      </c>
      <c r="D1124" s="575">
        <v>16.79</v>
      </c>
    </row>
    <row r="1125" spans="1:4" ht="13.5" x14ac:dyDescent="0.25">
      <c r="A1125" s="306">
        <v>96055</v>
      </c>
      <c r="B1125" s="305" t="s">
        <v>1393</v>
      </c>
      <c r="C1125" s="305" t="s">
        <v>43</v>
      </c>
      <c r="D1125" s="575">
        <v>1.25</v>
      </c>
    </row>
    <row r="1126" spans="1:4" ht="13.5" x14ac:dyDescent="0.25">
      <c r="A1126" s="306">
        <v>96056</v>
      </c>
      <c r="B1126" s="305" t="s">
        <v>1394</v>
      </c>
      <c r="C1126" s="305" t="s">
        <v>43</v>
      </c>
      <c r="D1126" s="575">
        <v>9.85</v>
      </c>
    </row>
    <row r="1127" spans="1:4" ht="13.5" x14ac:dyDescent="0.25">
      <c r="A1127" s="306">
        <v>96057</v>
      </c>
      <c r="B1127" s="305" t="s">
        <v>1395</v>
      </c>
      <c r="C1127" s="305" t="s">
        <v>43</v>
      </c>
      <c r="D1127" s="575">
        <v>68.66</v>
      </c>
    </row>
    <row r="1128" spans="1:4" ht="13.5" x14ac:dyDescent="0.25">
      <c r="A1128" s="306">
        <v>96060</v>
      </c>
      <c r="B1128" s="305" t="s">
        <v>1396</v>
      </c>
      <c r="C1128" s="305" t="s">
        <v>43</v>
      </c>
      <c r="D1128" s="575">
        <v>1.69</v>
      </c>
    </row>
    <row r="1129" spans="1:4" ht="13.5" x14ac:dyDescent="0.25">
      <c r="A1129" s="306">
        <v>96061</v>
      </c>
      <c r="B1129" s="305" t="s">
        <v>1397</v>
      </c>
      <c r="C1129" s="305" t="s">
        <v>43</v>
      </c>
      <c r="D1129" s="575">
        <v>21</v>
      </c>
    </row>
    <row r="1130" spans="1:4" ht="13.5" x14ac:dyDescent="0.25">
      <c r="A1130" s="306">
        <v>96062</v>
      </c>
      <c r="B1130" s="305" t="s">
        <v>1398</v>
      </c>
      <c r="C1130" s="305" t="s">
        <v>43</v>
      </c>
      <c r="D1130" s="575">
        <v>30.04</v>
      </c>
    </row>
    <row r="1131" spans="1:4" ht="13.5" x14ac:dyDescent="0.25">
      <c r="A1131" s="306">
        <v>96241</v>
      </c>
      <c r="B1131" s="305" t="s">
        <v>1399</v>
      </c>
      <c r="C1131" s="305" t="s">
        <v>43</v>
      </c>
      <c r="D1131" s="575">
        <v>14.52</v>
      </c>
    </row>
    <row r="1132" spans="1:4" ht="13.5" x14ac:dyDescent="0.25">
      <c r="A1132" s="306">
        <v>96242</v>
      </c>
      <c r="B1132" s="305" t="s">
        <v>1400</v>
      </c>
      <c r="C1132" s="305" t="s">
        <v>43</v>
      </c>
      <c r="D1132" s="575">
        <v>1.97</v>
      </c>
    </row>
    <row r="1133" spans="1:4" ht="13.5" x14ac:dyDescent="0.25">
      <c r="A1133" s="306">
        <v>96243</v>
      </c>
      <c r="B1133" s="305" t="s">
        <v>1401</v>
      </c>
      <c r="C1133" s="305" t="s">
        <v>43</v>
      </c>
      <c r="D1133" s="575">
        <v>18.149999999999999</v>
      </c>
    </row>
    <row r="1134" spans="1:4" ht="13.5" x14ac:dyDescent="0.25">
      <c r="A1134" s="306">
        <v>96244</v>
      </c>
      <c r="B1134" s="305" t="s">
        <v>1402</v>
      </c>
      <c r="C1134" s="305" t="s">
        <v>43</v>
      </c>
      <c r="D1134" s="575">
        <v>9.98</v>
      </c>
    </row>
    <row r="1135" spans="1:4" ht="13.5" x14ac:dyDescent="0.25">
      <c r="A1135" s="306">
        <v>96298</v>
      </c>
      <c r="B1135" s="305" t="s">
        <v>1403</v>
      </c>
      <c r="C1135" s="305" t="s">
        <v>43</v>
      </c>
      <c r="D1135" s="575">
        <v>47.33</v>
      </c>
    </row>
    <row r="1136" spans="1:4" ht="13.5" x14ac:dyDescent="0.25">
      <c r="A1136" s="306">
        <v>96299</v>
      </c>
      <c r="B1136" s="305" t="s">
        <v>1404</v>
      </c>
      <c r="C1136" s="305" t="s">
        <v>43</v>
      </c>
      <c r="D1136" s="575">
        <v>6.57</v>
      </c>
    </row>
    <row r="1137" spans="1:4" ht="13.5" x14ac:dyDescent="0.25">
      <c r="A1137" s="306">
        <v>96300</v>
      </c>
      <c r="B1137" s="305" t="s">
        <v>1405</v>
      </c>
      <c r="C1137" s="305" t="s">
        <v>43</v>
      </c>
      <c r="D1137" s="575">
        <v>59.23</v>
      </c>
    </row>
    <row r="1138" spans="1:4" ht="13.5" x14ac:dyDescent="0.25">
      <c r="A1138" s="306">
        <v>96301</v>
      </c>
      <c r="B1138" s="305" t="s">
        <v>1406</v>
      </c>
      <c r="C1138" s="305" t="s">
        <v>43</v>
      </c>
      <c r="D1138" s="575">
        <v>28.16</v>
      </c>
    </row>
    <row r="1139" spans="1:4" ht="13.5" x14ac:dyDescent="0.25">
      <c r="A1139" s="306">
        <v>96304</v>
      </c>
      <c r="B1139" s="305" t="s">
        <v>1407</v>
      </c>
      <c r="C1139" s="305" t="s">
        <v>43</v>
      </c>
      <c r="D1139" s="575">
        <v>0.13</v>
      </c>
    </row>
    <row r="1140" spans="1:4" ht="13.5" x14ac:dyDescent="0.25">
      <c r="A1140" s="306">
        <v>96305</v>
      </c>
      <c r="B1140" s="305" t="s">
        <v>1408</v>
      </c>
      <c r="C1140" s="305" t="s">
        <v>43</v>
      </c>
      <c r="D1140" s="575">
        <v>0.01</v>
      </c>
    </row>
    <row r="1141" spans="1:4" ht="13.5" x14ac:dyDescent="0.25">
      <c r="A1141" s="306">
        <v>96306</v>
      </c>
      <c r="B1141" s="305" t="s">
        <v>1409</v>
      </c>
      <c r="C1141" s="305" t="s">
        <v>43</v>
      </c>
      <c r="D1141" s="575">
        <v>0.17</v>
      </c>
    </row>
    <row r="1142" spans="1:4" ht="13.5" x14ac:dyDescent="0.25">
      <c r="A1142" s="306">
        <v>96307</v>
      </c>
      <c r="B1142" s="305" t="s">
        <v>1410</v>
      </c>
      <c r="C1142" s="305" t="s">
        <v>43</v>
      </c>
      <c r="D1142" s="575">
        <v>0.97</v>
      </c>
    </row>
    <row r="1143" spans="1:4" ht="13.5" x14ac:dyDescent="0.25">
      <c r="A1143" s="306">
        <v>96457</v>
      </c>
      <c r="B1143" s="305" t="s">
        <v>1411</v>
      </c>
      <c r="C1143" s="305" t="s">
        <v>43</v>
      </c>
      <c r="D1143" s="575">
        <v>36.590000000000003</v>
      </c>
    </row>
    <row r="1144" spans="1:4" ht="13.5" x14ac:dyDescent="0.25">
      <c r="A1144" s="306">
        <v>96458</v>
      </c>
      <c r="B1144" s="305" t="s">
        <v>1412</v>
      </c>
      <c r="C1144" s="305" t="s">
        <v>43</v>
      </c>
      <c r="D1144" s="575">
        <v>33.04</v>
      </c>
    </row>
    <row r="1145" spans="1:4" ht="13.5" x14ac:dyDescent="0.25">
      <c r="A1145" s="306">
        <v>96459</v>
      </c>
      <c r="B1145" s="305" t="s">
        <v>1413</v>
      </c>
      <c r="C1145" s="305" t="s">
        <v>43</v>
      </c>
      <c r="D1145" s="575">
        <v>3.66</v>
      </c>
    </row>
    <row r="1146" spans="1:4" ht="13.5" x14ac:dyDescent="0.25">
      <c r="A1146" s="306">
        <v>96460</v>
      </c>
      <c r="B1146" s="305" t="s">
        <v>1414</v>
      </c>
      <c r="C1146" s="305" t="s">
        <v>43</v>
      </c>
      <c r="D1146" s="575">
        <v>26.4</v>
      </c>
    </row>
    <row r="1147" spans="1:4" ht="13.5" x14ac:dyDescent="0.25">
      <c r="A1147" s="306">
        <v>98760</v>
      </c>
      <c r="B1147" s="305" t="s">
        <v>1415</v>
      </c>
      <c r="C1147" s="305" t="s">
        <v>43</v>
      </c>
      <c r="D1147" s="575">
        <v>0.08</v>
      </c>
    </row>
    <row r="1148" spans="1:4" ht="13.5" x14ac:dyDescent="0.25">
      <c r="A1148" s="306">
        <v>98761</v>
      </c>
      <c r="B1148" s="305" t="s">
        <v>1416</v>
      </c>
      <c r="C1148" s="305" t="s">
        <v>43</v>
      </c>
      <c r="D1148" s="575">
        <v>0.01</v>
      </c>
    </row>
    <row r="1149" spans="1:4" ht="13.5" x14ac:dyDescent="0.25">
      <c r="A1149" s="306">
        <v>98762</v>
      </c>
      <c r="B1149" s="305" t="s">
        <v>1417</v>
      </c>
      <c r="C1149" s="305" t="s">
        <v>43</v>
      </c>
      <c r="D1149" s="575">
        <v>0.1</v>
      </c>
    </row>
    <row r="1150" spans="1:4" ht="13.5" x14ac:dyDescent="0.25">
      <c r="A1150" s="306">
        <v>98763</v>
      </c>
      <c r="B1150" s="305" t="s">
        <v>1418</v>
      </c>
      <c r="C1150" s="305" t="s">
        <v>43</v>
      </c>
      <c r="D1150" s="575">
        <v>3.53</v>
      </c>
    </row>
    <row r="1151" spans="1:4" ht="13.5" x14ac:dyDescent="0.25">
      <c r="A1151" s="306">
        <v>99829</v>
      </c>
      <c r="B1151" s="305" t="s">
        <v>1419</v>
      </c>
      <c r="C1151" s="305" t="s">
        <v>43</v>
      </c>
      <c r="D1151" s="575">
        <v>0.11</v>
      </c>
    </row>
    <row r="1152" spans="1:4" ht="13.5" x14ac:dyDescent="0.25">
      <c r="A1152" s="306">
        <v>99830</v>
      </c>
      <c r="B1152" s="305" t="s">
        <v>1420</v>
      </c>
      <c r="C1152" s="305" t="s">
        <v>43</v>
      </c>
      <c r="D1152" s="575">
        <v>0.01</v>
      </c>
    </row>
    <row r="1153" spans="1:4" ht="13.5" x14ac:dyDescent="0.25">
      <c r="A1153" s="306">
        <v>99831</v>
      </c>
      <c r="B1153" s="305" t="s">
        <v>1421</v>
      </c>
      <c r="C1153" s="305" t="s">
        <v>43</v>
      </c>
      <c r="D1153" s="575">
        <v>0.16</v>
      </c>
    </row>
    <row r="1154" spans="1:4" ht="13.5" x14ac:dyDescent="0.25">
      <c r="A1154" s="306">
        <v>99832</v>
      </c>
      <c r="B1154" s="305" t="s">
        <v>1422</v>
      </c>
      <c r="C1154" s="305" t="s">
        <v>43</v>
      </c>
      <c r="D1154" s="575">
        <v>0.91</v>
      </c>
    </row>
    <row r="1155" spans="1:4" ht="13.5" x14ac:dyDescent="0.25">
      <c r="A1155" s="306">
        <v>100637</v>
      </c>
      <c r="B1155" s="305" t="s">
        <v>12268</v>
      </c>
      <c r="C1155" s="305" t="s">
        <v>43</v>
      </c>
      <c r="D1155" s="575">
        <v>81.06</v>
      </c>
    </row>
    <row r="1156" spans="1:4" ht="13.5" x14ac:dyDescent="0.25">
      <c r="A1156" s="306">
        <v>100638</v>
      </c>
      <c r="B1156" s="305" t="s">
        <v>12269</v>
      </c>
      <c r="C1156" s="305" t="s">
        <v>43</v>
      </c>
      <c r="D1156" s="575">
        <v>14.59</v>
      </c>
    </row>
    <row r="1157" spans="1:4" ht="13.5" x14ac:dyDescent="0.25">
      <c r="A1157" s="306">
        <v>100639</v>
      </c>
      <c r="B1157" s="305" t="s">
        <v>12270</v>
      </c>
      <c r="C1157" s="305" t="s">
        <v>43</v>
      </c>
      <c r="D1157" s="575">
        <v>130.31</v>
      </c>
    </row>
    <row r="1158" spans="1:4" ht="13.5" x14ac:dyDescent="0.25">
      <c r="A1158" s="306">
        <v>100640</v>
      </c>
      <c r="B1158" s="305" t="s">
        <v>12271</v>
      </c>
      <c r="C1158" s="305" t="s">
        <v>43</v>
      </c>
      <c r="D1158" s="575">
        <v>183.26</v>
      </c>
    </row>
    <row r="1159" spans="1:4" ht="13.5" x14ac:dyDescent="0.25">
      <c r="A1159" s="306">
        <v>100643</v>
      </c>
      <c r="B1159" s="305" t="s">
        <v>12272</v>
      </c>
      <c r="C1159" s="305" t="s">
        <v>43</v>
      </c>
      <c r="D1159" s="575">
        <v>213.45</v>
      </c>
    </row>
    <row r="1160" spans="1:4" ht="13.5" x14ac:dyDescent="0.25">
      <c r="A1160" s="306">
        <v>100644</v>
      </c>
      <c r="B1160" s="305" t="s">
        <v>12273</v>
      </c>
      <c r="C1160" s="305" t="s">
        <v>43</v>
      </c>
      <c r="D1160" s="575">
        <v>38.42</v>
      </c>
    </row>
    <row r="1161" spans="1:4" ht="13.5" x14ac:dyDescent="0.25">
      <c r="A1161" s="306">
        <v>100645</v>
      </c>
      <c r="B1161" s="305" t="s">
        <v>12274</v>
      </c>
      <c r="C1161" s="305" t="s">
        <v>43</v>
      </c>
      <c r="D1161" s="575">
        <v>343.12</v>
      </c>
    </row>
    <row r="1162" spans="1:4" ht="13.5" x14ac:dyDescent="0.25">
      <c r="A1162" s="306">
        <v>100646</v>
      </c>
      <c r="B1162" s="305" t="s">
        <v>12275</v>
      </c>
      <c r="C1162" s="305" t="s">
        <v>43</v>
      </c>
      <c r="D1162" s="575">
        <v>261.8</v>
      </c>
    </row>
    <row r="1163" spans="1:4" ht="13.5" x14ac:dyDescent="0.25">
      <c r="A1163" s="306">
        <v>55960</v>
      </c>
      <c r="B1163" s="305" t="s">
        <v>1423</v>
      </c>
      <c r="C1163" s="305" t="s">
        <v>521</v>
      </c>
      <c r="D1163" s="575">
        <v>5.05</v>
      </c>
    </row>
    <row r="1164" spans="1:4" ht="13.5" x14ac:dyDescent="0.25">
      <c r="A1164" s="306">
        <v>92259</v>
      </c>
      <c r="B1164" s="305" t="s">
        <v>11252</v>
      </c>
      <c r="C1164" s="305" t="s">
        <v>363</v>
      </c>
      <c r="D1164" s="575">
        <v>264.64</v>
      </c>
    </row>
    <row r="1165" spans="1:4" ht="13.5" x14ac:dyDescent="0.25">
      <c r="A1165" s="306">
        <v>92260</v>
      </c>
      <c r="B1165" s="305" t="s">
        <v>11253</v>
      </c>
      <c r="C1165" s="305" t="s">
        <v>363</v>
      </c>
      <c r="D1165" s="575">
        <v>312.17</v>
      </c>
    </row>
    <row r="1166" spans="1:4" ht="13.5" x14ac:dyDescent="0.25">
      <c r="A1166" s="306">
        <v>92261</v>
      </c>
      <c r="B1166" s="305" t="s">
        <v>11254</v>
      </c>
      <c r="C1166" s="305" t="s">
        <v>363</v>
      </c>
      <c r="D1166" s="575">
        <v>358.24</v>
      </c>
    </row>
    <row r="1167" spans="1:4" ht="13.5" x14ac:dyDescent="0.25">
      <c r="A1167" s="306">
        <v>92262</v>
      </c>
      <c r="B1167" s="305" t="s">
        <v>11255</v>
      </c>
      <c r="C1167" s="305" t="s">
        <v>363</v>
      </c>
      <c r="D1167" s="575">
        <v>432.43</v>
      </c>
    </row>
    <row r="1168" spans="1:4" ht="13.5" x14ac:dyDescent="0.25">
      <c r="A1168" s="306">
        <v>92539</v>
      </c>
      <c r="B1168" s="305" t="s">
        <v>11256</v>
      </c>
      <c r="C1168" s="305" t="s">
        <v>521</v>
      </c>
      <c r="D1168" s="575">
        <v>41.76</v>
      </c>
    </row>
    <row r="1169" spans="1:4" ht="13.5" x14ac:dyDescent="0.25">
      <c r="A1169" s="306">
        <v>92540</v>
      </c>
      <c r="B1169" s="305" t="s">
        <v>11257</v>
      </c>
      <c r="C1169" s="305" t="s">
        <v>521</v>
      </c>
      <c r="D1169" s="575">
        <v>48.71</v>
      </c>
    </row>
    <row r="1170" spans="1:4" ht="13.5" x14ac:dyDescent="0.25">
      <c r="A1170" s="306">
        <v>92541</v>
      </c>
      <c r="B1170" s="305" t="s">
        <v>11258</v>
      </c>
      <c r="C1170" s="305" t="s">
        <v>521</v>
      </c>
      <c r="D1170" s="575">
        <v>44.48</v>
      </c>
    </row>
    <row r="1171" spans="1:4" ht="13.5" x14ac:dyDescent="0.25">
      <c r="A1171" s="306">
        <v>92542</v>
      </c>
      <c r="B1171" s="305" t="s">
        <v>11259</v>
      </c>
      <c r="C1171" s="305" t="s">
        <v>521</v>
      </c>
      <c r="D1171" s="575">
        <v>55.11</v>
      </c>
    </row>
    <row r="1172" spans="1:4" ht="13.5" x14ac:dyDescent="0.25">
      <c r="A1172" s="306">
        <v>92543</v>
      </c>
      <c r="B1172" s="305" t="s">
        <v>11260</v>
      </c>
      <c r="C1172" s="305" t="s">
        <v>521</v>
      </c>
      <c r="D1172" s="575">
        <v>11.4</v>
      </c>
    </row>
    <row r="1173" spans="1:4" ht="13.5" x14ac:dyDescent="0.25">
      <c r="A1173" s="306">
        <v>92544</v>
      </c>
      <c r="B1173" s="305" t="s">
        <v>11261</v>
      </c>
      <c r="C1173" s="305" t="s">
        <v>521</v>
      </c>
      <c r="D1173" s="575">
        <v>9.6</v>
      </c>
    </row>
    <row r="1174" spans="1:4" ht="13.5" x14ac:dyDescent="0.25">
      <c r="A1174" s="306">
        <v>92545</v>
      </c>
      <c r="B1174" s="305" t="s">
        <v>11262</v>
      </c>
      <c r="C1174" s="305" t="s">
        <v>363</v>
      </c>
      <c r="D1174" s="575">
        <v>577.72</v>
      </c>
    </row>
    <row r="1175" spans="1:4" ht="13.5" x14ac:dyDescent="0.25">
      <c r="A1175" s="306">
        <v>92546</v>
      </c>
      <c r="B1175" s="305" t="s">
        <v>11263</v>
      </c>
      <c r="C1175" s="305" t="s">
        <v>363</v>
      </c>
      <c r="D1175" s="575">
        <v>712.34</v>
      </c>
    </row>
    <row r="1176" spans="1:4" ht="13.5" x14ac:dyDescent="0.25">
      <c r="A1176" s="306">
        <v>92547</v>
      </c>
      <c r="B1176" s="305" t="s">
        <v>11264</v>
      </c>
      <c r="C1176" s="305" t="s">
        <v>363</v>
      </c>
      <c r="D1176" s="575">
        <v>742.5</v>
      </c>
    </row>
    <row r="1177" spans="1:4" ht="13.5" x14ac:dyDescent="0.25">
      <c r="A1177" s="306">
        <v>92548</v>
      </c>
      <c r="B1177" s="305" t="s">
        <v>11265</v>
      </c>
      <c r="C1177" s="305" t="s">
        <v>363</v>
      </c>
      <c r="D1177" s="575">
        <v>826.07</v>
      </c>
    </row>
    <row r="1178" spans="1:4" ht="13.5" x14ac:dyDescent="0.25">
      <c r="A1178" s="306">
        <v>92549</v>
      </c>
      <c r="B1178" s="305" t="s">
        <v>11266</v>
      </c>
      <c r="C1178" s="305" t="s">
        <v>363</v>
      </c>
      <c r="D1178" s="576">
        <v>1059.1600000000001</v>
      </c>
    </row>
    <row r="1179" spans="1:4" ht="13.5" x14ac:dyDescent="0.25">
      <c r="A1179" s="306">
        <v>92550</v>
      </c>
      <c r="B1179" s="305" t="s">
        <v>11267</v>
      </c>
      <c r="C1179" s="305" t="s">
        <v>363</v>
      </c>
      <c r="D1179" s="576">
        <v>1307.5</v>
      </c>
    </row>
    <row r="1180" spans="1:4" ht="13.5" x14ac:dyDescent="0.25">
      <c r="A1180" s="306">
        <v>92551</v>
      </c>
      <c r="B1180" s="305" t="s">
        <v>11268</v>
      </c>
      <c r="C1180" s="305" t="s">
        <v>363</v>
      </c>
      <c r="D1180" s="576">
        <v>1347.35</v>
      </c>
    </row>
    <row r="1181" spans="1:4" ht="13.5" x14ac:dyDescent="0.25">
      <c r="A1181" s="306">
        <v>92552</v>
      </c>
      <c r="B1181" s="305" t="s">
        <v>11269</v>
      </c>
      <c r="C1181" s="305" t="s">
        <v>363</v>
      </c>
      <c r="D1181" s="576">
        <v>1467.27</v>
      </c>
    </row>
    <row r="1182" spans="1:4" ht="13.5" x14ac:dyDescent="0.25">
      <c r="A1182" s="306">
        <v>92553</v>
      </c>
      <c r="B1182" s="305" t="s">
        <v>11270</v>
      </c>
      <c r="C1182" s="305" t="s">
        <v>363</v>
      </c>
      <c r="D1182" s="576">
        <v>1707.83</v>
      </c>
    </row>
    <row r="1183" spans="1:4" ht="13.5" x14ac:dyDescent="0.25">
      <c r="A1183" s="306">
        <v>92554</v>
      </c>
      <c r="B1183" s="305" t="s">
        <v>11271</v>
      </c>
      <c r="C1183" s="305" t="s">
        <v>363</v>
      </c>
      <c r="D1183" s="576">
        <v>1753.11</v>
      </c>
    </row>
    <row r="1184" spans="1:4" ht="13.5" x14ac:dyDescent="0.25">
      <c r="A1184" s="306">
        <v>92555</v>
      </c>
      <c r="B1184" s="305" t="s">
        <v>11272</v>
      </c>
      <c r="C1184" s="305" t="s">
        <v>363</v>
      </c>
      <c r="D1184" s="575">
        <v>571.84</v>
      </c>
    </row>
    <row r="1185" spans="1:4" ht="13.5" x14ac:dyDescent="0.25">
      <c r="A1185" s="306">
        <v>92556</v>
      </c>
      <c r="B1185" s="305" t="s">
        <v>11273</v>
      </c>
      <c r="C1185" s="305" t="s">
        <v>363</v>
      </c>
      <c r="D1185" s="575">
        <v>702.62</v>
      </c>
    </row>
    <row r="1186" spans="1:4" ht="13.5" x14ac:dyDescent="0.25">
      <c r="A1186" s="306">
        <v>92557</v>
      </c>
      <c r="B1186" s="305" t="s">
        <v>11274</v>
      </c>
      <c r="C1186" s="305" t="s">
        <v>363</v>
      </c>
      <c r="D1186" s="575">
        <v>732.78</v>
      </c>
    </row>
    <row r="1187" spans="1:4" ht="13.5" x14ac:dyDescent="0.25">
      <c r="A1187" s="306">
        <v>92558</v>
      </c>
      <c r="B1187" s="305" t="s">
        <v>11275</v>
      </c>
      <c r="C1187" s="305" t="s">
        <v>363</v>
      </c>
      <c r="D1187" s="575">
        <v>820.18</v>
      </c>
    </row>
    <row r="1188" spans="1:4" ht="13.5" x14ac:dyDescent="0.25">
      <c r="A1188" s="306">
        <v>92559</v>
      </c>
      <c r="B1188" s="305" t="s">
        <v>11276</v>
      </c>
      <c r="C1188" s="305" t="s">
        <v>363</v>
      </c>
      <c r="D1188" s="576">
        <v>1048.8</v>
      </c>
    </row>
    <row r="1189" spans="1:4" ht="13.5" x14ac:dyDescent="0.25">
      <c r="A1189" s="306">
        <v>92560</v>
      </c>
      <c r="B1189" s="305" t="s">
        <v>11277</v>
      </c>
      <c r="C1189" s="305" t="s">
        <v>363</v>
      </c>
      <c r="D1189" s="576">
        <v>1291.71</v>
      </c>
    </row>
    <row r="1190" spans="1:4" ht="13.5" x14ac:dyDescent="0.25">
      <c r="A1190" s="306">
        <v>92561</v>
      </c>
      <c r="B1190" s="305" t="s">
        <v>11278</v>
      </c>
      <c r="C1190" s="305" t="s">
        <v>363</v>
      </c>
      <c r="D1190" s="576">
        <v>1332.26</v>
      </c>
    </row>
    <row r="1191" spans="1:4" ht="13.5" x14ac:dyDescent="0.25">
      <c r="A1191" s="306">
        <v>92562</v>
      </c>
      <c r="B1191" s="305" t="s">
        <v>11279</v>
      </c>
      <c r="C1191" s="305" t="s">
        <v>363</v>
      </c>
      <c r="D1191" s="576">
        <v>1442.46</v>
      </c>
    </row>
    <row r="1192" spans="1:4" ht="13.5" x14ac:dyDescent="0.25">
      <c r="A1192" s="306">
        <v>92563</v>
      </c>
      <c r="B1192" s="305" t="s">
        <v>11280</v>
      </c>
      <c r="C1192" s="305" t="s">
        <v>363</v>
      </c>
      <c r="D1192" s="576">
        <v>1677.66</v>
      </c>
    </row>
    <row r="1193" spans="1:4" ht="13.5" x14ac:dyDescent="0.25">
      <c r="A1193" s="306">
        <v>92564</v>
      </c>
      <c r="B1193" s="305" t="s">
        <v>11281</v>
      </c>
      <c r="C1193" s="305" t="s">
        <v>363</v>
      </c>
      <c r="D1193" s="576">
        <v>1716.42</v>
      </c>
    </row>
    <row r="1194" spans="1:4" ht="13.5" x14ac:dyDescent="0.25">
      <c r="A1194" s="306">
        <v>92565</v>
      </c>
      <c r="B1194" s="305" t="s">
        <v>1424</v>
      </c>
      <c r="C1194" s="305" t="s">
        <v>521</v>
      </c>
      <c r="D1194" s="575">
        <v>21.44</v>
      </c>
    </row>
    <row r="1195" spans="1:4" ht="13.5" x14ac:dyDescent="0.25">
      <c r="A1195" s="306">
        <v>92566</v>
      </c>
      <c r="B1195" s="305" t="s">
        <v>1425</v>
      </c>
      <c r="C1195" s="305" t="s">
        <v>521</v>
      </c>
      <c r="D1195" s="575">
        <v>12.2</v>
      </c>
    </row>
    <row r="1196" spans="1:4" ht="13.5" x14ac:dyDescent="0.25">
      <c r="A1196" s="306">
        <v>92567</v>
      </c>
      <c r="B1196" s="305" t="s">
        <v>1426</v>
      </c>
      <c r="C1196" s="305" t="s">
        <v>521</v>
      </c>
      <c r="D1196" s="575">
        <v>18.68</v>
      </c>
    </row>
    <row r="1197" spans="1:4" ht="13.5" x14ac:dyDescent="0.25">
      <c r="A1197" s="306">
        <v>100379</v>
      </c>
      <c r="B1197" s="305" t="s">
        <v>11282</v>
      </c>
      <c r="C1197" s="305" t="s">
        <v>521</v>
      </c>
      <c r="D1197" s="575">
        <v>21.44</v>
      </c>
    </row>
    <row r="1198" spans="1:4" ht="13.5" x14ac:dyDescent="0.25">
      <c r="A1198" s="306">
        <v>100380</v>
      </c>
      <c r="B1198" s="305" t="s">
        <v>11283</v>
      </c>
      <c r="C1198" s="305" t="s">
        <v>521</v>
      </c>
      <c r="D1198" s="575">
        <v>29.4</v>
      </c>
    </row>
    <row r="1199" spans="1:4" ht="13.5" x14ac:dyDescent="0.25">
      <c r="A1199" s="306">
        <v>100381</v>
      </c>
      <c r="B1199" s="305" t="s">
        <v>11284</v>
      </c>
      <c r="C1199" s="305" t="s">
        <v>521</v>
      </c>
      <c r="D1199" s="575">
        <v>33.65</v>
      </c>
    </row>
    <row r="1200" spans="1:4" ht="13.5" x14ac:dyDescent="0.25">
      <c r="A1200" s="306">
        <v>100383</v>
      </c>
      <c r="B1200" s="305" t="s">
        <v>11285</v>
      </c>
      <c r="C1200" s="305" t="s">
        <v>521</v>
      </c>
      <c r="D1200" s="575">
        <v>13.41</v>
      </c>
    </row>
    <row r="1201" spans="1:4" ht="13.5" x14ac:dyDescent="0.25">
      <c r="A1201" s="306">
        <v>100384</v>
      </c>
      <c r="B1201" s="305" t="s">
        <v>11286</v>
      </c>
      <c r="C1201" s="305" t="s">
        <v>521</v>
      </c>
      <c r="D1201" s="575">
        <v>14.38</v>
      </c>
    </row>
    <row r="1202" spans="1:4" ht="13.5" x14ac:dyDescent="0.25">
      <c r="A1202" s="306">
        <v>100385</v>
      </c>
      <c r="B1202" s="305" t="s">
        <v>11287</v>
      </c>
      <c r="C1202" s="305" t="s">
        <v>521</v>
      </c>
      <c r="D1202" s="575">
        <v>18.68</v>
      </c>
    </row>
    <row r="1203" spans="1:4" ht="13.5" x14ac:dyDescent="0.25">
      <c r="A1203" s="306">
        <v>100386</v>
      </c>
      <c r="B1203" s="305" t="s">
        <v>11288</v>
      </c>
      <c r="C1203" s="305" t="s">
        <v>521</v>
      </c>
      <c r="D1203" s="575">
        <v>24.7</v>
      </c>
    </row>
    <row r="1204" spans="1:4" ht="13.5" x14ac:dyDescent="0.25">
      <c r="A1204" s="306">
        <v>100387</v>
      </c>
      <c r="B1204" s="305" t="s">
        <v>11289</v>
      </c>
      <c r="C1204" s="305" t="s">
        <v>521</v>
      </c>
      <c r="D1204" s="575">
        <v>30.25</v>
      </c>
    </row>
    <row r="1205" spans="1:4" ht="13.5" x14ac:dyDescent="0.25">
      <c r="A1205" s="306">
        <v>100388</v>
      </c>
      <c r="B1205" s="305" t="s">
        <v>11290</v>
      </c>
      <c r="C1205" s="305" t="s">
        <v>521</v>
      </c>
      <c r="D1205" s="575">
        <v>12.64</v>
      </c>
    </row>
    <row r="1206" spans="1:4" ht="13.5" x14ac:dyDescent="0.25">
      <c r="A1206" s="306">
        <v>100389</v>
      </c>
      <c r="B1206" s="305" t="s">
        <v>11291</v>
      </c>
      <c r="C1206" s="305" t="s">
        <v>521</v>
      </c>
      <c r="D1206" s="575">
        <v>11.27</v>
      </c>
    </row>
    <row r="1207" spans="1:4" ht="13.5" x14ac:dyDescent="0.25">
      <c r="A1207" s="306">
        <v>100390</v>
      </c>
      <c r="B1207" s="305" t="s">
        <v>11292</v>
      </c>
      <c r="C1207" s="305" t="s">
        <v>521</v>
      </c>
      <c r="D1207" s="575">
        <v>15.43</v>
      </c>
    </row>
    <row r="1208" spans="1:4" ht="13.5" x14ac:dyDescent="0.25">
      <c r="A1208" s="306">
        <v>100391</v>
      </c>
      <c r="B1208" s="305" t="s">
        <v>11293</v>
      </c>
      <c r="C1208" s="305" t="s">
        <v>521</v>
      </c>
      <c r="D1208" s="575">
        <v>13.09</v>
      </c>
    </row>
    <row r="1209" spans="1:4" ht="13.5" x14ac:dyDescent="0.25">
      <c r="A1209" s="306">
        <v>100392</v>
      </c>
      <c r="B1209" s="305" t="s">
        <v>11294</v>
      </c>
      <c r="C1209" s="305" t="s">
        <v>521</v>
      </c>
      <c r="D1209" s="575">
        <v>9.94</v>
      </c>
    </row>
    <row r="1210" spans="1:4" ht="13.5" x14ac:dyDescent="0.25">
      <c r="A1210" s="306">
        <v>100393</v>
      </c>
      <c r="B1210" s="305" t="s">
        <v>11295</v>
      </c>
      <c r="C1210" s="305" t="s">
        <v>521</v>
      </c>
      <c r="D1210" s="575">
        <v>12.83</v>
      </c>
    </row>
    <row r="1211" spans="1:4" ht="13.5" x14ac:dyDescent="0.25">
      <c r="A1211" s="306">
        <v>100394</v>
      </c>
      <c r="B1211" s="305" t="s">
        <v>11296</v>
      </c>
      <c r="C1211" s="305" t="s">
        <v>521</v>
      </c>
      <c r="D1211" s="575">
        <v>12.12</v>
      </c>
    </row>
    <row r="1212" spans="1:4" ht="13.5" x14ac:dyDescent="0.25">
      <c r="A1212" s="306">
        <v>100395</v>
      </c>
      <c r="B1212" s="305" t="s">
        <v>11297</v>
      </c>
      <c r="C1212" s="305" t="s">
        <v>521</v>
      </c>
      <c r="D1212" s="575">
        <v>15.63</v>
      </c>
    </row>
    <row r="1213" spans="1:4" ht="13.5" x14ac:dyDescent="0.25">
      <c r="A1213" s="306">
        <v>94189</v>
      </c>
      <c r="B1213" s="305" t="s">
        <v>11298</v>
      </c>
      <c r="C1213" s="305" t="s">
        <v>521</v>
      </c>
      <c r="D1213" s="575">
        <v>32.85</v>
      </c>
    </row>
    <row r="1214" spans="1:4" ht="13.5" x14ac:dyDescent="0.25">
      <c r="A1214" s="306">
        <v>94192</v>
      </c>
      <c r="B1214" s="305" t="s">
        <v>11299</v>
      </c>
      <c r="C1214" s="305" t="s">
        <v>521</v>
      </c>
      <c r="D1214" s="575">
        <v>34.83</v>
      </c>
    </row>
    <row r="1215" spans="1:4" ht="13.5" x14ac:dyDescent="0.25">
      <c r="A1215" s="306">
        <v>94195</v>
      </c>
      <c r="B1215" s="305" t="s">
        <v>11300</v>
      </c>
      <c r="C1215" s="305" t="s">
        <v>521</v>
      </c>
      <c r="D1215" s="575">
        <v>51.04</v>
      </c>
    </row>
    <row r="1216" spans="1:4" ht="13.5" x14ac:dyDescent="0.25">
      <c r="A1216" s="306">
        <v>94198</v>
      </c>
      <c r="B1216" s="305" t="s">
        <v>11301</v>
      </c>
      <c r="C1216" s="305" t="s">
        <v>521</v>
      </c>
      <c r="D1216" s="575">
        <v>53.67</v>
      </c>
    </row>
    <row r="1217" spans="1:4" ht="13.5" x14ac:dyDescent="0.25">
      <c r="A1217" s="306">
        <v>94201</v>
      </c>
      <c r="B1217" s="305" t="s">
        <v>11302</v>
      </c>
      <c r="C1217" s="305" t="s">
        <v>521</v>
      </c>
      <c r="D1217" s="575">
        <v>71.64</v>
      </c>
    </row>
    <row r="1218" spans="1:4" ht="13.5" x14ac:dyDescent="0.25">
      <c r="A1218" s="306">
        <v>94204</v>
      </c>
      <c r="B1218" s="305" t="s">
        <v>11303</v>
      </c>
      <c r="C1218" s="305" t="s">
        <v>521</v>
      </c>
      <c r="D1218" s="575">
        <v>76.12</v>
      </c>
    </row>
    <row r="1219" spans="1:4" ht="13.5" x14ac:dyDescent="0.25">
      <c r="A1219" s="306">
        <v>94224</v>
      </c>
      <c r="B1219" s="305" t="s">
        <v>11304</v>
      </c>
      <c r="C1219" s="305" t="s">
        <v>282</v>
      </c>
      <c r="D1219" s="575">
        <v>19.95</v>
      </c>
    </row>
    <row r="1220" spans="1:4" ht="13.5" x14ac:dyDescent="0.25">
      <c r="A1220" s="306">
        <v>94225</v>
      </c>
      <c r="B1220" s="305" t="s">
        <v>11305</v>
      </c>
      <c r="C1220" s="305" t="s">
        <v>521</v>
      </c>
      <c r="D1220" s="575">
        <v>23.81</v>
      </c>
    </row>
    <row r="1221" spans="1:4" ht="13.5" x14ac:dyDescent="0.25">
      <c r="A1221" s="306">
        <v>94226</v>
      </c>
      <c r="B1221" s="305" t="s">
        <v>11306</v>
      </c>
      <c r="C1221" s="305" t="s">
        <v>521</v>
      </c>
      <c r="D1221" s="575">
        <v>16.72</v>
      </c>
    </row>
    <row r="1222" spans="1:4" ht="13.5" x14ac:dyDescent="0.25">
      <c r="A1222" s="306">
        <v>94232</v>
      </c>
      <c r="B1222" s="305" t="s">
        <v>11307</v>
      </c>
      <c r="C1222" s="305" t="s">
        <v>363</v>
      </c>
      <c r="D1222" s="575">
        <v>2.11</v>
      </c>
    </row>
    <row r="1223" spans="1:4" ht="13.5" x14ac:dyDescent="0.25">
      <c r="A1223" s="306">
        <v>94440</v>
      </c>
      <c r="B1223" s="305" t="s">
        <v>11308</v>
      </c>
      <c r="C1223" s="305" t="s">
        <v>521</v>
      </c>
      <c r="D1223" s="575">
        <v>51.04</v>
      </c>
    </row>
    <row r="1224" spans="1:4" ht="13.5" x14ac:dyDescent="0.25">
      <c r="A1224" s="306">
        <v>94441</v>
      </c>
      <c r="B1224" s="305" t="s">
        <v>11309</v>
      </c>
      <c r="C1224" s="305" t="s">
        <v>521</v>
      </c>
      <c r="D1224" s="575">
        <v>53.67</v>
      </c>
    </row>
    <row r="1225" spans="1:4" ht="13.5" x14ac:dyDescent="0.25">
      <c r="A1225" s="306">
        <v>94442</v>
      </c>
      <c r="B1225" s="305" t="s">
        <v>11310</v>
      </c>
      <c r="C1225" s="305" t="s">
        <v>521</v>
      </c>
      <c r="D1225" s="575">
        <v>51.04</v>
      </c>
    </row>
    <row r="1226" spans="1:4" ht="13.5" x14ac:dyDescent="0.25">
      <c r="A1226" s="306">
        <v>94443</v>
      </c>
      <c r="B1226" s="305" t="s">
        <v>11311</v>
      </c>
      <c r="C1226" s="305" t="s">
        <v>521</v>
      </c>
      <c r="D1226" s="575">
        <v>53.67</v>
      </c>
    </row>
    <row r="1227" spans="1:4" ht="13.5" x14ac:dyDescent="0.25">
      <c r="A1227" s="306">
        <v>94445</v>
      </c>
      <c r="B1227" s="305" t="s">
        <v>11312</v>
      </c>
      <c r="C1227" s="305" t="s">
        <v>521</v>
      </c>
      <c r="D1227" s="575">
        <v>71.64</v>
      </c>
    </row>
    <row r="1228" spans="1:4" ht="13.5" x14ac:dyDescent="0.25">
      <c r="A1228" s="306">
        <v>94446</v>
      </c>
      <c r="B1228" s="305" t="s">
        <v>11313</v>
      </c>
      <c r="C1228" s="305" t="s">
        <v>521</v>
      </c>
      <c r="D1228" s="575">
        <v>76.12</v>
      </c>
    </row>
    <row r="1229" spans="1:4" ht="13.5" x14ac:dyDescent="0.25">
      <c r="A1229" s="306">
        <v>94447</v>
      </c>
      <c r="B1229" s="305" t="s">
        <v>11314</v>
      </c>
      <c r="C1229" s="305" t="s">
        <v>521</v>
      </c>
      <c r="D1229" s="575">
        <v>71.64</v>
      </c>
    </row>
    <row r="1230" spans="1:4" ht="13.5" x14ac:dyDescent="0.25">
      <c r="A1230" s="306">
        <v>94448</v>
      </c>
      <c r="B1230" s="305" t="s">
        <v>11315</v>
      </c>
      <c r="C1230" s="305" t="s">
        <v>521</v>
      </c>
      <c r="D1230" s="575">
        <v>76.12</v>
      </c>
    </row>
    <row r="1231" spans="1:4" ht="13.5" x14ac:dyDescent="0.25">
      <c r="A1231" s="306">
        <v>94207</v>
      </c>
      <c r="B1231" s="305" t="s">
        <v>11316</v>
      </c>
      <c r="C1231" s="305" t="s">
        <v>521</v>
      </c>
      <c r="D1231" s="575">
        <v>33.46</v>
      </c>
    </row>
    <row r="1232" spans="1:4" ht="13.5" x14ac:dyDescent="0.25">
      <c r="A1232" s="306">
        <v>94210</v>
      </c>
      <c r="B1232" s="305" t="s">
        <v>11317</v>
      </c>
      <c r="C1232" s="305" t="s">
        <v>521</v>
      </c>
      <c r="D1232" s="575">
        <v>35.590000000000003</v>
      </c>
    </row>
    <row r="1233" spans="1:4" ht="13.5" x14ac:dyDescent="0.25">
      <c r="A1233" s="306">
        <v>94218</v>
      </c>
      <c r="B1233" s="305" t="s">
        <v>11318</v>
      </c>
      <c r="C1233" s="305" t="s">
        <v>521</v>
      </c>
      <c r="D1233" s="575">
        <v>73.03</v>
      </c>
    </row>
    <row r="1234" spans="1:4" ht="13.5" x14ac:dyDescent="0.25">
      <c r="A1234" s="306">
        <v>94213</v>
      </c>
      <c r="B1234" s="305" t="s">
        <v>11319</v>
      </c>
      <c r="C1234" s="305" t="s">
        <v>521</v>
      </c>
      <c r="D1234" s="575">
        <v>48.44</v>
      </c>
    </row>
    <row r="1235" spans="1:4" ht="13.5" x14ac:dyDescent="0.25">
      <c r="A1235" s="306">
        <v>94216</v>
      </c>
      <c r="B1235" s="305" t="s">
        <v>11320</v>
      </c>
      <c r="C1235" s="305" t="s">
        <v>521</v>
      </c>
      <c r="D1235" s="575">
        <v>139.11000000000001</v>
      </c>
    </row>
    <row r="1236" spans="1:4" ht="13.5" x14ac:dyDescent="0.25">
      <c r="A1236" s="306">
        <v>94219</v>
      </c>
      <c r="B1236" s="305" t="s">
        <v>11321</v>
      </c>
      <c r="C1236" s="305" t="s">
        <v>282</v>
      </c>
      <c r="D1236" s="575">
        <v>34.270000000000003</v>
      </c>
    </row>
    <row r="1237" spans="1:4" ht="13.5" x14ac:dyDescent="0.25">
      <c r="A1237" s="306">
        <v>94220</v>
      </c>
      <c r="B1237" s="305" t="s">
        <v>11322</v>
      </c>
      <c r="C1237" s="305" t="s">
        <v>282</v>
      </c>
      <c r="D1237" s="575">
        <v>44.23</v>
      </c>
    </row>
    <row r="1238" spans="1:4" ht="13.5" x14ac:dyDescent="0.25">
      <c r="A1238" s="306">
        <v>94221</v>
      </c>
      <c r="B1238" s="305" t="s">
        <v>11323</v>
      </c>
      <c r="C1238" s="305" t="s">
        <v>282</v>
      </c>
      <c r="D1238" s="575">
        <v>29.09</v>
      </c>
    </row>
    <row r="1239" spans="1:4" ht="13.5" x14ac:dyDescent="0.25">
      <c r="A1239" s="306">
        <v>94222</v>
      </c>
      <c r="B1239" s="305" t="s">
        <v>11324</v>
      </c>
      <c r="C1239" s="305" t="s">
        <v>282</v>
      </c>
      <c r="D1239" s="575">
        <v>39.049999999999997</v>
      </c>
    </row>
    <row r="1240" spans="1:4" ht="13.5" x14ac:dyDescent="0.25">
      <c r="A1240" s="306">
        <v>94223</v>
      </c>
      <c r="B1240" s="305" t="s">
        <v>11325</v>
      </c>
      <c r="C1240" s="305" t="s">
        <v>282</v>
      </c>
      <c r="D1240" s="575">
        <v>41.9</v>
      </c>
    </row>
    <row r="1241" spans="1:4" ht="13.5" x14ac:dyDescent="0.25">
      <c r="A1241" s="306">
        <v>94451</v>
      </c>
      <c r="B1241" s="305" t="s">
        <v>11326</v>
      </c>
      <c r="C1241" s="305" t="s">
        <v>282</v>
      </c>
      <c r="D1241" s="575">
        <v>94.67</v>
      </c>
    </row>
    <row r="1242" spans="1:4" ht="13.5" x14ac:dyDescent="0.25">
      <c r="A1242" s="306">
        <v>100325</v>
      </c>
      <c r="B1242" s="305" t="s">
        <v>11327</v>
      </c>
      <c r="C1242" s="305" t="s">
        <v>282</v>
      </c>
      <c r="D1242" s="575">
        <v>40.24</v>
      </c>
    </row>
    <row r="1243" spans="1:4" ht="13.5" x14ac:dyDescent="0.25">
      <c r="A1243" s="306">
        <v>100327</v>
      </c>
      <c r="B1243" s="305" t="s">
        <v>11328</v>
      </c>
      <c r="C1243" s="305" t="s">
        <v>282</v>
      </c>
      <c r="D1243" s="575">
        <v>38.72</v>
      </c>
    </row>
    <row r="1244" spans="1:4" ht="13.5" x14ac:dyDescent="0.25">
      <c r="A1244" s="306">
        <v>100328</v>
      </c>
      <c r="B1244" s="305" t="s">
        <v>11329</v>
      </c>
      <c r="C1244" s="305" t="s">
        <v>521</v>
      </c>
      <c r="D1244" s="575">
        <v>15.35</v>
      </c>
    </row>
    <row r="1245" spans="1:4" ht="13.5" x14ac:dyDescent="0.25">
      <c r="A1245" s="306">
        <v>100329</v>
      </c>
      <c r="B1245" s="305" t="s">
        <v>11330</v>
      </c>
      <c r="C1245" s="305" t="s">
        <v>521</v>
      </c>
      <c r="D1245" s="575">
        <v>17.98</v>
      </c>
    </row>
    <row r="1246" spans="1:4" ht="13.5" x14ac:dyDescent="0.25">
      <c r="A1246" s="306">
        <v>100330</v>
      </c>
      <c r="B1246" s="305" t="s">
        <v>11331</v>
      </c>
      <c r="C1246" s="305" t="s">
        <v>521</v>
      </c>
      <c r="D1246" s="575">
        <v>20.9</v>
      </c>
    </row>
    <row r="1247" spans="1:4" ht="13.5" x14ac:dyDescent="0.25">
      <c r="A1247" s="306">
        <v>100331</v>
      </c>
      <c r="B1247" s="305" t="s">
        <v>11332</v>
      </c>
      <c r="C1247" s="305" t="s">
        <v>521</v>
      </c>
      <c r="D1247" s="575">
        <v>25.4</v>
      </c>
    </row>
    <row r="1248" spans="1:4" ht="13.5" x14ac:dyDescent="0.25">
      <c r="A1248" s="306">
        <v>100434</v>
      </c>
      <c r="B1248" s="305" t="s">
        <v>11333</v>
      </c>
      <c r="C1248" s="305" t="s">
        <v>282</v>
      </c>
      <c r="D1248" s="575">
        <v>48.71</v>
      </c>
    </row>
    <row r="1249" spans="1:4" ht="13.5" x14ac:dyDescent="0.25">
      <c r="A1249" s="306">
        <v>100435</v>
      </c>
      <c r="B1249" s="305" t="s">
        <v>11334</v>
      </c>
      <c r="C1249" s="305" t="s">
        <v>282</v>
      </c>
      <c r="D1249" s="575">
        <v>22.76</v>
      </c>
    </row>
    <row r="1250" spans="1:4" ht="13.5" x14ac:dyDescent="0.25">
      <c r="A1250" s="306">
        <v>94227</v>
      </c>
      <c r="B1250" s="305" t="s">
        <v>11335</v>
      </c>
      <c r="C1250" s="305" t="s">
        <v>282</v>
      </c>
      <c r="D1250" s="575">
        <v>42.15</v>
      </c>
    </row>
    <row r="1251" spans="1:4" ht="13.5" x14ac:dyDescent="0.25">
      <c r="A1251" s="306">
        <v>94228</v>
      </c>
      <c r="B1251" s="305" t="s">
        <v>11336</v>
      </c>
      <c r="C1251" s="305" t="s">
        <v>282</v>
      </c>
      <c r="D1251" s="575">
        <v>56.81</v>
      </c>
    </row>
    <row r="1252" spans="1:4" ht="13.5" x14ac:dyDescent="0.25">
      <c r="A1252" s="306">
        <v>94229</v>
      </c>
      <c r="B1252" s="305" t="s">
        <v>11337</v>
      </c>
      <c r="C1252" s="305" t="s">
        <v>282</v>
      </c>
      <c r="D1252" s="575">
        <v>109.36</v>
      </c>
    </row>
    <row r="1253" spans="1:4" ht="13.5" x14ac:dyDescent="0.25">
      <c r="A1253" s="306">
        <v>94231</v>
      </c>
      <c r="B1253" s="305" t="s">
        <v>11338</v>
      </c>
      <c r="C1253" s="305" t="s">
        <v>282</v>
      </c>
      <c r="D1253" s="575">
        <v>34.64</v>
      </c>
    </row>
    <row r="1254" spans="1:4" ht="13.5" x14ac:dyDescent="0.25">
      <c r="A1254" s="306">
        <v>94449</v>
      </c>
      <c r="B1254" s="305" t="s">
        <v>11339</v>
      </c>
      <c r="C1254" s="305" t="s">
        <v>521</v>
      </c>
      <c r="D1254" s="575">
        <v>43.91</v>
      </c>
    </row>
    <row r="1255" spans="1:4" ht="13.5" x14ac:dyDescent="0.25">
      <c r="A1255" s="306">
        <v>92255</v>
      </c>
      <c r="B1255" s="305" t="s">
        <v>11340</v>
      </c>
      <c r="C1255" s="305" t="s">
        <v>363</v>
      </c>
      <c r="D1255" s="575">
        <v>144.49</v>
      </c>
    </row>
    <row r="1256" spans="1:4" ht="13.5" x14ac:dyDescent="0.25">
      <c r="A1256" s="306">
        <v>92256</v>
      </c>
      <c r="B1256" s="305" t="s">
        <v>11341</v>
      </c>
      <c r="C1256" s="305" t="s">
        <v>363</v>
      </c>
      <c r="D1256" s="575">
        <v>179.33</v>
      </c>
    </row>
    <row r="1257" spans="1:4" ht="13.5" x14ac:dyDescent="0.25">
      <c r="A1257" s="306">
        <v>92257</v>
      </c>
      <c r="B1257" s="305" t="s">
        <v>11342</v>
      </c>
      <c r="C1257" s="305" t="s">
        <v>363</v>
      </c>
      <c r="D1257" s="575">
        <v>213.79</v>
      </c>
    </row>
    <row r="1258" spans="1:4" ht="13.5" x14ac:dyDescent="0.25">
      <c r="A1258" s="306">
        <v>92258</v>
      </c>
      <c r="B1258" s="305" t="s">
        <v>11343</v>
      </c>
      <c r="C1258" s="305" t="s">
        <v>363</v>
      </c>
      <c r="D1258" s="575">
        <v>269.20999999999998</v>
      </c>
    </row>
    <row r="1259" spans="1:4" ht="13.5" x14ac:dyDescent="0.25">
      <c r="A1259" s="306">
        <v>92568</v>
      </c>
      <c r="B1259" s="305" t="s">
        <v>11344</v>
      </c>
      <c r="C1259" s="305" t="s">
        <v>521</v>
      </c>
      <c r="D1259" s="575">
        <v>75.709999999999994</v>
      </c>
    </row>
    <row r="1260" spans="1:4" ht="13.5" x14ac:dyDescent="0.25">
      <c r="A1260" s="306">
        <v>92569</v>
      </c>
      <c r="B1260" s="305" t="s">
        <v>11345</v>
      </c>
      <c r="C1260" s="305" t="s">
        <v>521</v>
      </c>
      <c r="D1260" s="575">
        <v>41.62</v>
      </c>
    </row>
    <row r="1261" spans="1:4" ht="13.5" x14ac:dyDescent="0.25">
      <c r="A1261" s="306">
        <v>92570</v>
      </c>
      <c r="B1261" s="305" t="s">
        <v>11346</v>
      </c>
      <c r="C1261" s="305" t="s">
        <v>521</v>
      </c>
      <c r="D1261" s="575">
        <v>26.03</v>
      </c>
    </row>
    <row r="1262" spans="1:4" ht="13.5" x14ac:dyDescent="0.25">
      <c r="A1262" s="306">
        <v>92571</v>
      </c>
      <c r="B1262" s="305" t="s">
        <v>11347</v>
      </c>
      <c r="C1262" s="305" t="s">
        <v>521</v>
      </c>
      <c r="D1262" s="575">
        <v>82.23</v>
      </c>
    </row>
    <row r="1263" spans="1:4" ht="13.5" x14ac:dyDescent="0.25">
      <c r="A1263" s="306">
        <v>92572</v>
      </c>
      <c r="B1263" s="305" t="s">
        <v>11348</v>
      </c>
      <c r="C1263" s="305" t="s">
        <v>521</v>
      </c>
      <c r="D1263" s="575">
        <v>48.67</v>
      </c>
    </row>
    <row r="1264" spans="1:4" ht="13.5" x14ac:dyDescent="0.25">
      <c r="A1264" s="306">
        <v>92573</v>
      </c>
      <c r="B1264" s="305" t="s">
        <v>11349</v>
      </c>
      <c r="C1264" s="305" t="s">
        <v>521</v>
      </c>
      <c r="D1264" s="575">
        <v>28.86</v>
      </c>
    </row>
    <row r="1265" spans="1:4" ht="13.5" x14ac:dyDescent="0.25">
      <c r="A1265" s="306">
        <v>92574</v>
      </c>
      <c r="B1265" s="305" t="s">
        <v>11350</v>
      </c>
      <c r="C1265" s="305" t="s">
        <v>521</v>
      </c>
      <c r="D1265" s="575">
        <v>77.17</v>
      </c>
    </row>
    <row r="1266" spans="1:4" ht="13.5" x14ac:dyDescent="0.25">
      <c r="A1266" s="306">
        <v>92575</v>
      </c>
      <c r="B1266" s="305" t="s">
        <v>11351</v>
      </c>
      <c r="C1266" s="305" t="s">
        <v>521</v>
      </c>
      <c r="D1266" s="575">
        <v>38.229999999999997</v>
      </c>
    </row>
    <row r="1267" spans="1:4" ht="13.5" x14ac:dyDescent="0.25">
      <c r="A1267" s="306">
        <v>92576</v>
      </c>
      <c r="B1267" s="305" t="s">
        <v>11352</v>
      </c>
      <c r="C1267" s="305" t="s">
        <v>521</v>
      </c>
      <c r="D1267" s="575">
        <v>20.59</v>
      </c>
    </row>
    <row r="1268" spans="1:4" ht="13.5" x14ac:dyDescent="0.25">
      <c r="A1268" s="306">
        <v>92577</v>
      </c>
      <c r="B1268" s="305" t="s">
        <v>11353</v>
      </c>
      <c r="C1268" s="305" t="s">
        <v>521</v>
      </c>
      <c r="D1268" s="575">
        <v>83.91</v>
      </c>
    </row>
    <row r="1269" spans="1:4" ht="13.5" x14ac:dyDescent="0.25">
      <c r="A1269" s="306">
        <v>92578</v>
      </c>
      <c r="B1269" s="305" t="s">
        <v>11354</v>
      </c>
      <c r="C1269" s="305" t="s">
        <v>521</v>
      </c>
      <c r="D1269" s="575">
        <v>42.02</v>
      </c>
    </row>
    <row r="1270" spans="1:4" ht="13.5" x14ac:dyDescent="0.25">
      <c r="A1270" s="306">
        <v>92579</v>
      </c>
      <c r="B1270" s="305" t="s">
        <v>11355</v>
      </c>
      <c r="C1270" s="305" t="s">
        <v>521</v>
      </c>
      <c r="D1270" s="575">
        <v>22.84</v>
      </c>
    </row>
    <row r="1271" spans="1:4" ht="13.5" x14ac:dyDescent="0.25">
      <c r="A1271" s="306">
        <v>92580</v>
      </c>
      <c r="B1271" s="305" t="s">
        <v>11356</v>
      </c>
      <c r="C1271" s="305" t="s">
        <v>521</v>
      </c>
      <c r="D1271" s="575">
        <v>28.93</v>
      </c>
    </row>
    <row r="1272" spans="1:4" ht="13.5" x14ac:dyDescent="0.25">
      <c r="A1272" s="306">
        <v>92581</v>
      </c>
      <c r="B1272" s="305" t="s">
        <v>11357</v>
      </c>
      <c r="C1272" s="305" t="s">
        <v>521</v>
      </c>
      <c r="D1272" s="575">
        <v>29.92</v>
      </c>
    </row>
    <row r="1273" spans="1:4" ht="13.5" x14ac:dyDescent="0.25">
      <c r="A1273" s="306">
        <v>92582</v>
      </c>
      <c r="B1273" s="305" t="s">
        <v>1427</v>
      </c>
      <c r="C1273" s="305" t="s">
        <v>363</v>
      </c>
      <c r="D1273" s="575">
        <v>444.92</v>
      </c>
    </row>
    <row r="1274" spans="1:4" ht="13.5" x14ac:dyDescent="0.25">
      <c r="A1274" s="306">
        <v>92584</v>
      </c>
      <c r="B1274" s="305" t="s">
        <v>1428</v>
      </c>
      <c r="C1274" s="305" t="s">
        <v>363</v>
      </c>
      <c r="D1274" s="575">
        <v>512.78</v>
      </c>
    </row>
    <row r="1275" spans="1:4" ht="13.5" x14ac:dyDescent="0.25">
      <c r="A1275" s="306">
        <v>92586</v>
      </c>
      <c r="B1275" s="305" t="s">
        <v>1429</v>
      </c>
      <c r="C1275" s="305" t="s">
        <v>363</v>
      </c>
      <c r="D1275" s="575">
        <v>580.62</v>
      </c>
    </row>
    <row r="1276" spans="1:4" ht="13.5" x14ac:dyDescent="0.25">
      <c r="A1276" s="306">
        <v>92588</v>
      </c>
      <c r="B1276" s="305" t="s">
        <v>1430</v>
      </c>
      <c r="C1276" s="305" t="s">
        <v>363</v>
      </c>
      <c r="D1276" s="575">
        <v>736.5</v>
      </c>
    </row>
    <row r="1277" spans="1:4" ht="13.5" x14ac:dyDescent="0.25">
      <c r="A1277" s="306">
        <v>92590</v>
      </c>
      <c r="B1277" s="305" t="s">
        <v>1431</v>
      </c>
      <c r="C1277" s="305" t="s">
        <v>363</v>
      </c>
      <c r="D1277" s="575">
        <v>804.34</v>
      </c>
    </row>
    <row r="1278" spans="1:4" ht="13.5" x14ac:dyDescent="0.25">
      <c r="A1278" s="306">
        <v>92592</v>
      </c>
      <c r="B1278" s="305" t="s">
        <v>1432</v>
      </c>
      <c r="C1278" s="305" t="s">
        <v>363</v>
      </c>
      <c r="D1278" s="575">
        <v>906.65</v>
      </c>
    </row>
    <row r="1279" spans="1:4" ht="13.5" x14ac:dyDescent="0.25">
      <c r="A1279" s="306">
        <v>92593</v>
      </c>
      <c r="B1279" s="305" t="s">
        <v>1433</v>
      </c>
      <c r="C1279" s="305" t="s">
        <v>506</v>
      </c>
      <c r="D1279" s="575">
        <v>6.85</v>
      </c>
    </row>
    <row r="1280" spans="1:4" ht="13.5" x14ac:dyDescent="0.25">
      <c r="A1280" s="306">
        <v>92594</v>
      </c>
      <c r="B1280" s="305" t="s">
        <v>1434</v>
      </c>
      <c r="C1280" s="305" t="s">
        <v>363</v>
      </c>
      <c r="D1280" s="576">
        <v>1044.8599999999999</v>
      </c>
    </row>
    <row r="1281" spans="1:4" ht="13.5" x14ac:dyDescent="0.25">
      <c r="A1281" s="306">
        <v>92596</v>
      </c>
      <c r="B1281" s="305" t="s">
        <v>1435</v>
      </c>
      <c r="C1281" s="305" t="s">
        <v>363</v>
      </c>
      <c r="D1281" s="576">
        <v>1171.03</v>
      </c>
    </row>
    <row r="1282" spans="1:4" ht="13.5" x14ac:dyDescent="0.25">
      <c r="A1282" s="306">
        <v>92598</v>
      </c>
      <c r="B1282" s="305" t="s">
        <v>1436</v>
      </c>
      <c r="C1282" s="305" t="s">
        <v>363</v>
      </c>
      <c r="D1282" s="576">
        <v>1238.8900000000001</v>
      </c>
    </row>
    <row r="1283" spans="1:4" ht="13.5" x14ac:dyDescent="0.25">
      <c r="A1283" s="306">
        <v>92600</v>
      </c>
      <c r="B1283" s="305" t="s">
        <v>1437</v>
      </c>
      <c r="C1283" s="305" t="s">
        <v>363</v>
      </c>
      <c r="D1283" s="576">
        <v>1323.9</v>
      </c>
    </row>
    <row r="1284" spans="1:4" ht="13.5" x14ac:dyDescent="0.25">
      <c r="A1284" s="306">
        <v>92602</v>
      </c>
      <c r="B1284" s="305" t="s">
        <v>1438</v>
      </c>
      <c r="C1284" s="305" t="s">
        <v>363</v>
      </c>
      <c r="D1284" s="575">
        <v>444.92</v>
      </c>
    </row>
    <row r="1285" spans="1:4" ht="13.5" x14ac:dyDescent="0.25">
      <c r="A1285" s="306">
        <v>92604</v>
      </c>
      <c r="B1285" s="305" t="s">
        <v>1439</v>
      </c>
      <c r="C1285" s="305" t="s">
        <v>363</v>
      </c>
      <c r="D1285" s="575">
        <v>495.61</v>
      </c>
    </row>
    <row r="1286" spans="1:4" ht="13.5" x14ac:dyDescent="0.25">
      <c r="A1286" s="306">
        <v>92606</v>
      </c>
      <c r="B1286" s="305" t="s">
        <v>1440</v>
      </c>
      <c r="C1286" s="305" t="s">
        <v>363</v>
      </c>
      <c r="D1286" s="575">
        <v>563.46</v>
      </c>
    </row>
    <row r="1287" spans="1:4" ht="13.5" x14ac:dyDescent="0.25">
      <c r="A1287" s="306">
        <v>92608</v>
      </c>
      <c r="B1287" s="305" t="s">
        <v>1441</v>
      </c>
      <c r="C1287" s="305" t="s">
        <v>363</v>
      </c>
      <c r="D1287" s="575">
        <v>702.17</v>
      </c>
    </row>
    <row r="1288" spans="1:4" ht="13.5" x14ac:dyDescent="0.25">
      <c r="A1288" s="306">
        <v>92610</v>
      </c>
      <c r="B1288" s="305" t="s">
        <v>1442</v>
      </c>
      <c r="C1288" s="305" t="s">
        <v>363</v>
      </c>
      <c r="D1288" s="575">
        <v>770.01</v>
      </c>
    </row>
    <row r="1289" spans="1:4" ht="13.5" x14ac:dyDescent="0.25">
      <c r="A1289" s="306">
        <v>92612</v>
      </c>
      <c r="B1289" s="305" t="s">
        <v>1443</v>
      </c>
      <c r="C1289" s="305" t="s">
        <v>363</v>
      </c>
      <c r="D1289" s="575">
        <v>872.32</v>
      </c>
    </row>
    <row r="1290" spans="1:4" ht="13.5" x14ac:dyDescent="0.25">
      <c r="A1290" s="306">
        <v>92614</v>
      </c>
      <c r="B1290" s="305" t="s">
        <v>1444</v>
      </c>
      <c r="C1290" s="305" t="s">
        <v>363</v>
      </c>
      <c r="D1290" s="575">
        <v>976.2</v>
      </c>
    </row>
    <row r="1291" spans="1:4" ht="13.5" x14ac:dyDescent="0.25">
      <c r="A1291" s="306">
        <v>92616</v>
      </c>
      <c r="B1291" s="305" t="s">
        <v>1445</v>
      </c>
      <c r="C1291" s="305" t="s">
        <v>363</v>
      </c>
      <c r="D1291" s="576">
        <v>1119.54</v>
      </c>
    </row>
    <row r="1292" spans="1:4" ht="13.5" x14ac:dyDescent="0.25">
      <c r="A1292" s="306">
        <v>92618</v>
      </c>
      <c r="B1292" s="305" t="s">
        <v>1446</v>
      </c>
      <c r="C1292" s="305" t="s">
        <v>363</v>
      </c>
      <c r="D1292" s="576">
        <v>1187.3900000000001</v>
      </c>
    </row>
    <row r="1293" spans="1:4" ht="13.5" x14ac:dyDescent="0.25">
      <c r="A1293" s="306">
        <v>92620</v>
      </c>
      <c r="B1293" s="305" t="s">
        <v>1447</v>
      </c>
      <c r="C1293" s="305" t="s">
        <v>363</v>
      </c>
      <c r="D1293" s="576">
        <v>1255.24</v>
      </c>
    </row>
    <row r="1294" spans="1:4" ht="13.5" x14ac:dyDescent="0.25">
      <c r="A1294" s="306">
        <v>100357</v>
      </c>
      <c r="B1294" s="305" t="s">
        <v>11358</v>
      </c>
      <c r="C1294" s="305" t="s">
        <v>363</v>
      </c>
      <c r="D1294" s="575">
        <v>591.57000000000005</v>
      </c>
    </row>
    <row r="1295" spans="1:4" ht="13.5" x14ac:dyDescent="0.25">
      <c r="A1295" s="306">
        <v>100358</v>
      </c>
      <c r="B1295" s="305" t="s">
        <v>11359</v>
      </c>
      <c r="C1295" s="305" t="s">
        <v>363</v>
      </c>
      <c r="D1295" s="575">
        <v>827.56</v>
      </c>
    </row>
    <row r="1296" spans="1:4" ht="13.5" x14ac:dyDescent="0.25">
      <c r="A1296" s="306">
        <v>100359</v>
      </c>
      <c r="B1296" s="305" t="s">
        <v>11360</v>
      </c>
      <c r="C1296" s="305" t="s">
        <v>363</v>
      </c>
      <c r="D1296" s="575">
        <v>858.55</v>
      </c>
    </row>
    <row r="1297" spans="1:4" ht="13.5" x14ac:dyDescent="0.25">
      <c r="A1297" s="306">
        <v>100360</v>
      </c>
      <c r="B1297" s="305" t="s">
        <v>11361</v>
      </c>
      <c r="C1297" s="305" t="s">
        <v>363</v>
      </c>
      <c r="D1297" s="575">
        <v>948.13</v>
      </c>
    </row>
    <row r="1298" spans="1:4" ht="13.5" x14ac:dyDescent="0.25">
      <c r="A1298" s="306">
        <v>100361</v>
      </c>
      <c r="B1298" s="305" t="s">
        <v>11362</v>
      </c>
      <c r="C1298" s="305" t="s">
        <v>363</v>
      </c>
      <c r="D1298" s="576">
        <v>1197.1400000000001</v>
      </c>
    </row>
    <row r="1299" spans="1:4" ht="13.5" x14ac:dyDescent="0.25">
      <c r="A1299" s="306">
        <v>100362</v>
      </c>
      <c r="B1299" s="305" t="s">
        <v>11363</v>
      </c>
      <c r="C1299" s="305" t="s">
        <v>363</v>
      </c>
      <c r="D1299" s="576">
        <v>1589.01</v>
      </c>
    </row>
    <row r="1300" spans="1:4" ht="13.5" x14ac:dyDescent="0.25">
      <c r="A1300" s="306">
        <v>100363</v>
      </c>
      <c r="B1300" s="305" t="s">
        <v>11364</v>
      </c>
      <c r="C1300" s="305" t="s">
        <v>363</v>
      </c>
      <c r="D1300" s="576">
        <v>1634.97</v>
      </c>
    </row>
    <row r="1301" spans="1:4" ht="13.5" x14ac:dyDescent="0.25">
      <c r="A1301" s="306">
        <v>100364</v>
      </c>
      <c r="B1301" s="305" t="s">
        <v>11365</v>
      </c>
      <c r="C1301" s="305" t="s">
        <v>363</v>
      </c>
      <c r="D1301" s="576">
        <v>1775.15</v>
      </c>
    </row>
    <row r="1302" spans="1:4" ht="13.5" x14ac:dyDescent="0.25">
      <c r="A1302" s="306">
        <v>100365</v>
      </c>
      <c r="B1302" s="305" t="s">
        <v>11366</v>
      </c>
      <c r="C1302" s="305" t="s">
        <v>363</v>
      </c>
      <c r="D1302" s="576">
        <v>2050.23</v>
      </c>
    </row>
    <row r="1303" spans="1:4" ht="13.5" x14ac:dyDescent="0.25">
      <c r="A1303" s="306">
        <v>100366</v>
      </c>
      <c r="B1303" s="305" t="s">
        <v>11367</v>
      </c>
      <c r="C1303" s="305" t="s">
        <v>363</v>
      </c>
      <c r="D1303" s="576">
        <v>2158.2199999999998</v>
      </c>
    </row>
    <row r="1304" spans="1:4" ht="13.5" x14ac:dyDescent="0.25">
      <c r="A1304" s="306">
        <v>100367</v>
      </c>
      <c r="B1304" s="305" t="s">
        <v>11368</v>
      </c>
      <c r="C1304" s="305" t="s">
        <v>363</v>
      </c>
      <c r="D1304" s="575">
        <v>579.79999999999995</v>
      </c>
    </row>
    <row r="1305" spans="1:4" ht="13.5" x14ac:dyDescent="0.25">
      <c r="A1305" s="306">
        <v>100368</v>
      </c>
      <c r="B1305" s="305" t="s">
        <v>11369</v>
      </c>
      <c r="C1305" s="305" t="s">
        <v>363</v>
      </c>
      <c r="D1305" s="575">
        <v>812.47</v>
      </c>
    </row>
    <row r="1306" spans="1:4" ht="13.5" x14ac:dyDescent="0.25">
      <c r="A1306" s="306">
        <v>100369</v>
      </c>
      <c r="B1306" s="305" t="s">
        <v>11370</v>
      </c>
      <c r="C1306" s="305" t="s">
        <v>363</v>
      </c>
      <c r="D1306" s="575">
        <v>843.46</v>
      </c>
    </row>
    <row r="1307" spans="1:4" ht="13.5" x14ac:dyDescent="0.25">
      <c r="A1307" s="306">
        <v>100370</v>
      </c>
      <c r="B1307" s="305" t="s">
        <v>11371</v>
      </c>
      <c r="C1307" s="305" t="s">
        <v>363</v>
      </c>
      <c r="D1307" s="575">
        <v>977.45</v>
      </c>
    </row>
    <row r="1308" spans="1:4" ht="13.5" x14ac:dyDescent="0.25">
      <c r="A1308" s="306">
        <v>100371</v>
      </c>
      <c r="B1308" s="305" t="s">
        <v>11372</v>
      </c>
      <c r="C1308" s="305" t="s">
        <v>363</v>
      </c>
      <c r="D1308" s="576">
        <v>1156.43</v>
      </c>
    </row>
    <row r="1309" spans="1:4" ht="13.5" x14ac:dyDescent="0.25">
      <c r="A1309" s="306">
        <v>100372</v>
      </c>
      <c r="B1309" s="305" t="s">
        <v>11373</v>
      </c>
      <c r="C1309" s="305" t="s">
        <v>363</v>
      </c>
      <c r="D1309" s="576">
        <v>1523.92</v>
      </c>
    </row>
    <row r="1310" spans="1:4" ht="13.5" x14ac:dyDescent="0.25">
      <c r="A1310" s="306">
        <v>100373</v>
      </c>
      <c r="B1310" s="305" t="s">
        <v>11374</v>
      </c>
      <c r="C1310" s="305" t="s">
        <v>363</v>
      </c>
      <c r="D1310" s="576">
        <v>1561.92</v>
      </c>
    </row>
    <row r="1311" spans="1:4" ht="13.5" x14ac:dyDescent="0.25">
      <c r="A1311" s="306">
        <v>100374</v>
      </c>
      <c r="B1311" s="305" t="s">
        <v>11375</v>
      </c>
      <c r="C1311" s="305" t="s">
        <v>363</v>
      </c>
      <c r="D1311" s="576">
        <v>1676.79</v>
      </c>
    </row>
    <row r="1312" spans="1:4" ht="13.5" x14ac:dyDescent="0.25">
      <c r="A1312" s="306">
        <v>100375</v>
      </c>
      <c r="B1312" s="305" t="s">
        <v>11376</v>
      </c>
      <c r="C1312" s="305" t="s">
        <v>363</v>
      </c>
      <c r="D1312" s="576">
        <v>1907.65</v>
      </c>
    </row>
    <row r="1313" spans="1:4" ht="13.5" x14ac:dyDescent="0.25">
      <c r="A1313" s="306">
        <v>100376</v>
      </c>
      <c r="B1313" s="305" t="s">
        <v>11377</v>
      </c>
      <c r="C1313" s="305" t="s">
        <v>363</v>
      </c>
      <c r="D1313" s="576">
        <v>1867.98</v>
      </c>
    </row>
    <row r="1314" spans="1:4" ht="13.5" x14ac:dyDescent="0.25">
      <c r="A1314" s="306">
        <v>100377</v>
      </c>
      <c r="B1314" s="305" t="s">
        <v>11862</v>
      </c>
      <c r="C1314" s="305" t="s">
        <v>506</v>
      </c>
      <c r="D1314" s="575">
        <v>7.18</v>
      </c>
    </row>
    <row r="1315" spans="1:4" ht="13.5" x14ac:dyDescent="0.25">
      <c r="A1315" s="306">
        <v>100378</v>
      </c>
      <c r="B1315" s="305" t="s">
        <v>11863</v>
      </c>
      <c r="C1315" s="305" t="s">
        <v>506</v>
      </c>
      <c r="D1315" s="575">
        <v>6.58</v>
      </c>
    </row>
    <row r="1316" spans="1:4" ht="13.5" x14ac:dyDescent="0.25">
      <c r="A1316" s="306">
        <v>100382</v>
      </c>
      <c r="B1316" s="305" t="s">
        <v>11378</v>
      </c>
      <c r="C1316" s="305" t="s">
        <v>521</v>
      </c>
      <c r="D1316" s="575">
        <v>12.2</v>
      </c>
    </row>
    <row r="1317" spans="1:4" ht="13.5" x14ac:dyDescent="0.25">
      <c r="A1317" s="306">
        <v>94444</v>
      </c>
      <c r="B1317" s="305" t="s">
        <v>11379</v>
      </c>
      <c r="C1317" s="305" t="s">
        <v>521</v>
      </c>
      <c r="D1317" s="575">
        <v>877.26</v>
      </c>
    </row>
    <row r="1318" spans="1:4" ht="13.5" x14ac:dyDescent="0.25">
      <c r="A1318" s="305" t="s">
        <v>1448</v>
      </c>
      <c r="B1318" s="305" t="s">
        <v>1449</v>
      </c>
      <c r="C1318" s="305" t="s">
        <v>282</v>
      </c>
      <c r="D1318" s="575">
        <v>30.4</v>
      </c>
    </row>
    <row r="1319" spans="1:4" ht="13.5" x14ac:dyDescent="0.25">
      <c r="A1319" s="305" t="s">
        <v>1450</v>
      </c>
      <c r="B1319" s="305" t="s">
        <v>1451</v>
      </c>
      <c r="C1319" s="305" t="s">
        <v>521</v>
      </c>
      <c r="D1319" s="575">
        <v>5.39</v>
      </c>
    </row>
    <row r="1320" spans="1:4" ht="13.5" x14ac:dyDescent="0.25">
      <c r="A1320" s="305" t="s">
        <v>1452</v>
      </c>
      <c r="B1320" s="305" t="s">
        <v>1453</v>
      </c>
      <c r="C1320" s="305" t="s">
        <v>521</v>
      </c>
      <c r="D1320" s="575">
        <v>10.49</v>
      </c>
    </row>
    <row r="1321" spans="1:4" ht="13.5" x14ac:dyDescent="0.25">
      <c r="A1321" s="305" t="s">
        <v>1454</v>
      </c>
      <c r="B1321" s="305" t="s">
        <v>1455</v>
      </c>
      <c r="C1321" s="305" t="s">
        <v>1456</v>
      </c>
      <c r="D1321" s="575">
        <v>106.02</v>
      </c>
    </row>
    <row r="1322" spans="1:4" ht="13.5" x14ac:dyDescent="0.25">
      <c r="A1322" s="305" t="s">
        <v>1457</v>
      </c>
      <c r="B1322" s="305" t="s">
        <v>1458</v>
      </c>
      <c r="C1322" s="305" t="s">
        <v>1456</v>
      </c>
      <c r="D1322" s="575">
        <v>134.5</v>
      </c>
    </row>
    <row r="1323" spans="1:4" ht="13.5" x14ac:dyDescent="0.25">
      <c r="A1323" s="305" t="s">
        <v>1459</v>
      </c>
      <c r="B1323" s="305" t="s">
        <v>1460</v>
      </c>
      <c r="C1323" s="305" t="s">
        <v>1456</v>
      </c>
      <c r="D1323" s="575">
        <v>83</v>
      </c>
    </row>
    <row r="1324" spans="1:4" ht="13.5" x14ac:dyDescent="0.25">
      <c r="A1324" s="305" t="s">
        <v>1461</v>
      </c>
      <c r="B1324" s="305" t="s">
        <v>1462</v>
      </c>
      <c r="C1324" s="305" t="s">
        <v>282</v>
      </c>
      <c r="D1324" s="575">
        <v>74.11</v>
      </c>
    </row>
    <row r="1325" spans="1:4" ht="13.5" x14ac:dyDescent="0.25">
      <c r="A1325" s="305" t="s">
        <v>1463</v>
      </c>
      <c r="B1325" s="305" t="s">
        <v>1464</v>
      </c>
      <c r="C1325" s="305" t="s">
        <v>282</v>
      </c>
      <c r="D1325" s="575">
        <v>49.42</v>
      </c>
    </row>
    <row r="1326" spans="1:4" ht="13.5" x14ac:dyDescent="0.25">
      <c r="A1326" s="305" t="s">
        <v>1465</v>
      </c>
      <c r="B1326" s="305" t="s">
        <v>1466</v>
      </c>
      <c r="C1326" s="305" t="s">
        <v>282</v>
      </c>
      <c r="D1326" s="575">
        <v>65.319999999999993</v>
      </c>
    </row>
    <row r="1327" spans="1:4" ht="13.5" x14ac:dyDescent="0.25">
      <c r="A1327" s="305" t="s">
        <v>1467</v>
      </c>
      <c r="B1327" s="305" t="s">
        <v>1468</v>
      </c>
      <c r="C1327" s="305" t="s">
        <v>282</v>
      </c>
      <c r="D1327" s="575">
        <v>42.28</v>
      </c>
    </row>
    <row r="1328" spans="1:4" ht="13.5" x14ac:dyDescent="0.25">
      <c r="A1328" s="306">
        <v>83651</v>
      </c>
      <c r="B1328" s="305" t="s">
        <v>1469</v>
      </c>
      <c r="C1328" s="305" t="s">
        <v>282</v>
      </c>
      <c r="D1328" s="575">
        <v>30.86</v>
      </c>
    </row>
    <row r="1329" spans="1:4" ht="13.5" x14ac:dyDescent="0.25">
      <c r="A1329" s="306">
        <v>83658</v>
      </c>
      <c r="B1329" s="305" t="s">
        <v>1470</v>
      </c>
      <c r="C1329" s="305" t="s">
        <v>282</v>
      </c>
      <c r="D1329" s="575">
        <v>179.95</v>
      </c>
    </row>
    <row r="1330" spans="1:4" ht="13.5" x14ac:dyDescent="0.25">
      <c r="A1330" s="306">
        <v>83661</v>
      </c>
      <c r="B1330" s="305" t="s">
        <v>1471</v>
      </c>
      <c r="C1330" s="305" t="s">
        <v>282</v>
      </c>
      <c r="D1330" s="575">
        <v>116.53</v>
      </c>
    </row>
    <row r="1331" spans="1:4" ht="13.5" x14ac:dyDescent="0.25">
      <c r="A1331" s="306">
        <v>83662</v>
      </c>
      <c r="B1331" s="305" t="s">
        <v>1472</v>
      </c>
      <c r="C1331" s="305" t="s">
        <v>1456</v>
      </c>
      <c r="D1331" s="575">
        <v>120.53</v>
      </c>
    </row>
    <row r="1332" spans="1:4" ht="13.5" x14ac:dyDescent="0.25">
      <c r="A1332" s="306">
        <v>83664</v>
      </c>
      <c r="B1332" s="305" t="s">
        <v>1473</v>
      </c>
      <c r="C1332" s="305" t="s">
        <v>282</v>
      </c>
      <c r="D1332" s="575">
        <v>70.86</v>
      </c>
    </row>
    <row r="1333" spans="1:4" ht="13.5" x14ac:dyDescent="0.25">
      <c r="A1333" s="306">
        <v>83670</v>
      </c>
      <c r="B1333" s="305" t="s">
        <v>1474</v>
      </c>
      <c r="C1333" s="305" t="s">
        <v>282</v>
      </c>
      <c r="D1333" s="575">
        <v>51.6</v>
      </c>
    </row>
    <row r="1334" spans="1:4" ht="13.5" x14ac:dyDescent="0.25">
      <c r="A1334" s="306">
        <v>83671</v>
      </c>
      <c r="B1334" s="305" t="s">
        <v>1475</v>
      </c>
      <c r="C1334" s="305" t="s">
        <v>282</v>
      </c>
      <c r="D1334" s="575">
        <v>55.23</v>
      </c>
    </row>
    <row r="1335" spans="1:4" ht="13.5" x14ac:dyDescent="0.25">
      <c r="A1335" s="306">
        <v>83679</v>
      </c>
      <c r="B1335" s="305" t="s">
        <v>1476</v>
      </c>
      <c r="C1335" s="305" t="s">
        <v>282</v>
      </c>
      <c r="D1335" s="575">
        <v>14.46</v>
      </c>
    </row>
    <row r="1336" spans="1:4" ht="13.5" x14ac:dyDescent="0.25">
      <c r="A1336" s="306">
        <v>83680</v>
      </c>
      <c r="B1336" s="305" t="s">
        <v>1477</v>
      </c>
      <c r="C1336" s="305" t="s">
        <v>282</v>
      </c>
      <c r="D1336" s="575">
        <v>17.18</v>
      </c>
    </row>
    <row r="1337" spans="1:4" ht="13.5" x14ac:dyDescent="0.25">
      <c r="A1337" s="306">
        <v>83681</v>
      </c>
      <c r="B1337" s="305" t="s">
        <v>1478</v>
      </c>
      <c r="C1337" s="305" t="s">
        <v>282</v>
      </c>
      <c r="D1337" s="575">
        <v>18.440000000000001</v>
      </c>
    </row>
    <row r="1338" spans="1:4" ht="13.5" x14ac:dyDescent="0.25">
      <c r="A1338" s="306">
        <v>92743</v>
      </c>
      <c r="B1338" s="305" t="s">
        <v>1479</v>
      </c>
      <c r="C1338" s="305" t="s">
        <v>1456</v>
      </c>
      <c r="D1338" s="575">
        <v>530.66</v>
      </c>
    </row>
    <row r="1339" spans="1:4" ht="13.5" x14ac:dyDescent="0.25">
      <c r="A1339" s="306">
        <v>92744</v>
      </c>
      <c r="B1339" s="305" t="s">
        <v>1480</v>
      </c>
      <c r="C1339" s="305" t="s">
        <v>1456</v>
      </c>
      <c r="D1339" s="575">
        <v>512.29</v>
      </c>
    </row>
    <row r="1340" spans="1:4" ht="13.5" x14ac:dyDescent="0.25">
      <c r="A1340" s="306">
        <v>92745</v>
      </c>
      <c r="B1340" s="305" t="s">
        <v>1481</v>
      </c>
      <c r="C1340" s="305" t="s">
        <v>1456</v>
      </c>
      <c r="D1340" s="575">
        <v>653.71</v>
      </c>
    </row>
    <row r="1341" spans="1:4" ht="13.5" x14ac:dyDescent="0.25">
      <c r="A1341" s="306">
        <v>92746</v>
      </c>
      <c r="B1341" s="305" t="s">
        <v>1482</v>
      </c>
      <c r="C1341" s="305" t="s">
        <v>1456</v>
      </c>
      <c r="D1341" s="575">
        <v>602.95000000000005</v>
      </c>
    </row>
    <row r="1342" spans="1:4" ht="13.5" x14ac:dyDescent="0.25">
      <c r="A1342" s="306">
        <v>92747</v>
      </c>
      <c r="B1342" s="305" t="s">
        <v>1483</v>
      </c>
      <c r="C1342" s="305" t="s">
        <v>1456</v>
      </c>
      <c r="D1342" s="575">
        <v>723.88</v>
      </c>
    </row>
    <row r="1343" spans="1:4" ht="13.5" x14ac:dyDescent="0.25">
      <c r="A1343" s="306">
        <v>92748</v>
      </c>
      <c r="B1343" s="305" t="s">
        <v>1484</v>
      </c>
      <c r="C1343" s="305" t="s">
        <v>1456</v>
      </c>
      <c r="D1343" s="575">
        <v>654.99</v>
      </c>
    </row>
    <row r="1344" spans="1:4" ht="13.5" x14ac:dyDescent="0.25">
      <c r="A1344" s="306">
        <v>92749</v>
      </c>
      <c r="B1344" s="305" t="s">
        <v>1485</v>
      </c>
      <c r="C1344" s="305" t="s">
        <v>1456</v>
      </c>
      <c r="D1344" s="575">
        <v>748.36</v>
      </c>
    </row>
    <row r="1345" spans="1:4" ht="13.5" x14ac:dyDescent="0.25">
      <c r="A1345" s="306">
        <v>92750</v>
      </c>
      <c r="B1345" s="305" t="s">
        <v>1486</v>
      </c>
      <c r="C1345" s="305" t="s">
        <v>1456</v>
      </c>
      <c r="D1345" s="576">
        <v>1273.56</v>
      </c>
    </row>
    <row r="1346" spans="1:4" ht="13.5" x14ac:dyDescent="0.25">
      <c r="A1346" s="306">
        <v>92751</v>
      </c>
      <c r="B1346" s="305" t="s">
        <v>1487</v>
      </c>
      <c r="C1346" s="305" t="s">
        <v>1456</v>
      </c>
      <c r="D1346" s="576">
        <v>1579.14</v>
      </c>
    </row>
    <row r="1347" spans="1:4" ht="13.5" x14ac:dyDescent="0.25">
      <c r="A1347" s="306">
        <v>92752</v>
      </c>
      <c r="B1347" s="305" t="s">
        <v>1488</v>
      </c>
      <c r="C1347" s="305" t="s">
        <v>1456</v>
      </c>
      <c r="D1347" s="576">
        <v>1883.55</v>
      </c>
    </row>
    <row r="1348" spans="1:4" ht="13.5" x14ac:dyDescent="0.25">
      <c r="A1348" s="306">
        <v>92753</v>
      </c>
      <c r="B1348" s="305" t="s">
        <v>1489</v>
      </c>
      <c r="C1348" s="305" t="s">
        <v>1456</v>
      </c>
      <c r="D1348" s="575">
        <v>475.66</v>
      </c>
    </row>
    <row r="1349" spans="1:4" ht="13.5" x14ac:dyDescent="0.25">
      <c r="A1349" s="306">
        <v>92754</v>
      </c>
      <c r="B1349" s="305" t="s">
        <v>1490</v>
      </c>
      <c r="C1349" s="305" t="s">
        <v>1456</v>
      </c>
      <c r="D1349" s="575">
        <v>436</v>
      </c>
    </row>
    <row r="1350" spans="1:4" ht="13.5" x14ac:dyDescent="0.25">
      <c r="A1350" s="306">
        <v>92755</v>
      </c>
      <c r="B1350" s="305" t="s">
        <v>1491</v>
      </c>
      <c r="C1350" s="305" t="s">
        <v>521</v>
      </c>
      <c r="D1350" s="575">
        <v>189.02</v>
      </c>
    </row>
    <row r="1351" spans="1:4" ht="13.5" x14ac:dyDescent="0.25">
      <c r="A1351" s="306">
        <v>92756</v>
      </c>
      <c r="B1351" s="305" t="s">
        <v>1492</v>
      </c>
      <c r="C1351" s="305" t="s">
        <v>521</v>
      </c>
      <c r="D1351" s="575">
        <v>215.43</v>
      </c>
    </row>
    <row r="1352" spans="1:4" ht="13.5" x14ac:dyDescent="0.25">
      <c r="A1352" s="306">
        <v>92757</v>
      </c>
      <c r="B1352" s="305" t="s">
        <v>1493</v>
      </c>
      <c r="C1352" s="305" t="s">
        <v>521</v>
      </c>
      <c r="D1352" s="575">
        <v>247.45</v>
      </c>
    </row>
    <row r="1353" spans="1:4" ht="13.5" x14ac:dyDescent="0.25">
      <c r="A1353" s="306">
        <v>92758</v>
      </c>
      <c r="B1353" s="305" t="s">
        <v>1494</v>
      </c>
      <c r="C1353" s="305" t="s">
        <v>1456</v>
      </c>
      <c r="D1353" s="575">
        <v>606.41</v>
      </c>
    </row>
    <row r="1354" spans="1:4" ht="13.5" x14ac:dyDescent="0.25">
      <c r="A1354" s="306">
        <v>91069</v>
      </c>
      <c r="B1354" s="305" t="s">
        <v>1495</v>
      </c>
      <c r="C1354" s="305" t="s">
        <v>521</v>
      </c>
      <c r="D1354" s="575">
        <v>95.36</v>
      </c>
    </row>
    <row r="1355" spans="1:4" ht="13.5" x14ac:dyDescent="0.25">
      <c r="A1355" s="306">
        <v>91070</v>
      </c>
      <c r="B1355" s="305" t="s">
        <v>1496</v>
      </c>
      <c r="C1355" s="305" t="s">
        <v>521</v>
      </c>
      <c r="D1355" s="575">
        <v>106.76</v>
      </c>
    </row>
    <row r="1356" spans="1:4" ht="13.5" x14ac:dyDescent="0.25">
      <c r="A1356" s="306">
        <v>91071</v>
      </c>
      <c r="B1356" s="305" t="s">
        <v>1497</v>
      </c>
      <c r="C1356" s="305" t="s">
        <v>521</v>
      </c>
      <c r="D1356" s="575">
        <v>130.09</v>
      </c>
    </row>
    <row r="1357" spans="1:4" ht="13.5" x14ac:dyDescent="0.25">
      <c r="A1357" s="306">
        <v>91072</v>
      </c>
      <c r="B1357" s="305" t="s">
        <v>1498</v>
      </c>
      <c r="C1357" s="305" t="s">
        <v>521</v>
      </c>
      <c r="D1357" s="575">
        <v>141.44999999999999</v>
      </c>
    </row>
    <row r="1358" spans="1:4" ht="13.5" x14ac:dyDescent="0.25">
      <c r="A1358" s="306">
        <v>91073</v>
      </c>
      <c r="B1358" s="305" t="s">
        <v>1499</v>
      </c>
      <c r="C1358" s="305" t="s">
        <v>521</v>
      </c>
      <c r="D1358" s="575">
        <v>107.97</v>
      </c>
    </row>
    <row r="1359" spans="1:4" ht="13.5" x14ac:dyDescent="0.25">
      <c r="A1359" s="306">
        <v>91074</v>
      </c>
      <c r="B1359" s="305" t="s">
        <v>1500</v>
      </c>
      <c r="C1359" s="305" t="s">
        <v>521</v>
      </c>
      <c r="D1359" s="575">
        <v>120.63</v>
      </c>
    </row>
    <row r="1360" spans="1:4" ht="13.5" x14ac:dyDescent="0.25">
      <c r="A1360" s="306">
        <v>91075</v>
      </c>
      <c r="B1360" s="305" t="s">
        <v>1501</v>
      </c>
      <c r="C1360" s="305" t="s">
        <v>521</v>
      </c>
      <c r="D1360" s="575">
        <v>144.86000000000001</v>
      </c>
    </row>
    <row r="1361" spans="1:4" ht="13.5" x14ac:dyDescent="0.25">
      <c r="A1361" s="306">
        <v>91076</v>
      </c>
      <c r="B1361" s="305" t="s">
        <v>1502</v>
      </c>
      <c r="C1361" s="305" t="s">
        <v>521</v>
      </c>
      <c r="D1361" s="575">
        <v>157.57</v>
      </c>
    </row>
    <row r="1362" spans="1:4" ht="13.5" x14ac:dyDescent="0.25">
      <c r="A1362" s="306">
        <v>91077</v>
      </c>
      <c r="B1362" s="305" t="s">
        <v>1503</v>
      </c>
      <c r="C1362" s="305" t="s">
        <v>521</v>
      </c>
      <c r="D1362" s="575">
        <v>96.14</v>
      </c>
    </row>
    <row r="1363" spans="1:4" ht="13.5" x14ac:dyDescent="0.25">
      <c r="A1363" s="306">
        <v>91078</v>
      </c>
      <c r="B1363" s="305" t="s">
        <v>1504</v>
      </c>
      <c r="C1363" s="305" t="s">
        <v>521</v>
      </c>
      <c r="D1363" s="575">
        <v>112.8</v>
      </c>
    </row>
    <row r="1364" spans="1:4" ht="13.5" x14ac:dyDescent="0.25">
      <c r="A1364" s="306">
        <v>91079</v>
      </c>
      <c r="B1364" s="305" t="s">
        <v>1505</v>
      </c>
      <c r="C1364" s="305" t="s">
        <v>521</v>
      </c>
      <c r="D1364" s="575">
        <v>100.91</v>
      </c>
    </row>
    <row r="1365" spans="1:4" ht="13.5" x14ac:dyDescent="0.25">
      <c r="A1365" s="306">
        <v>91080</v>
      </c>
      <c r="B1365" s="305" t="s">
        <v>1506</v>
      </c>
      <c r="C1365" s="305" t="s">
        <v>521</v>
      </c>
      <c r="D1365" s="575">
        <v>117.4</v>
      </c>
    </row>
    <row r="1366" spans="1:4" ht="13.5" x14ac:dyDescent="0.25">
      <c r="A1366" s="306">
        <v>91081</v>
      </c>
      <c r="B1366" s="305" t="s">
        <v>1507</v>
      </c>
      <c r="C1366" s="305" t="s">
        <v>521</v>
      </c>
      <c r="D1366" s="575">
        <v>110.13</v>
      </c>
    </row>
    <row r="1367" spans="1:4" ht="13.5" x14ac:dyDescent="0.25">
      <c r="A1367" s="306">
        <v>91082</v>
      </c>
      <c r="B1367" s="305" t="s">
        <v>1508</v>
      </c>
      <c r="C1367" s="305" t="s">
        <v>521</v>
      </c>
      <c r="D1367" s="575">
        <v>127.92</v>
      </c>
    </row>
    <row r="1368" spans="1:4" ht="13.5" x14ac:dyDescent="0.25">
      <c r="A1368" s="306">
        <v>91083</v>
      </c>
      <c r="B1368" s="305" t="s">
        <v>1509</v>
      </c>
      <c r="C1368" s="305" t="s">
        <v>521</v>
      </c>
      <c r="D1368" s="575">
        <v>118.59</v>
      </c>
    </row>
    <row r="1369" spans="1:4" ht="13.5" x14ac:dyDescent="0.25">
      <c r="A1369" s="306">
        <v>91084</v>
      </c>
      <c r="B1369" s="305" t="s">
        <v>1510</v>
      </c>
      <c r="C1369" s="305" t="s">
        <v>521</v>
      </c>
      <c r="D1369" s="575">
        <v>136.13999999999999</v>
      </c>
    </row>
    <row r="1370" spans="1:4" ht="13.5" x14ac:dyDescent="0.25">
      <c r="A1370" s="306">
        <v>91086</v>
      </c>
      <c r="B1370" s="305" t="s">
        <v>1511</v>
      </c>
      <c r="C1370" s="305" t="s">
        <v>521</v>
      </c>
      <c r="D1370" s="575">
        <v>104.58</v>
      </c>
    </row>
    <row r="1371" spans="1:4" ht="13.5" x14ac:dyDescent="0.25">
      <c r="A1371" s="306">
        <v>91087</v>
      </c>
      <c r="B1371" s="305" t="s">
        <v>1512</v>
      </c>
      <c r="C1371" s="305" t="s">
        <v>521</v>
      </c>
      <c r="D1371" s="575">
        <v>116.24</v>
      </c>
    </row>
    <row r="1372" spans="1:4" ht="13.5" x14ac:dyDescent="0.25">
      <c r="A1372" s="306">
        <v>91088</v>
      </c>
      <c r="B1372" s="305" t="s">
        <v>1513</v>
      </c>
      <c r="C1372" s="305" t="s">
        <v>521</v>
      </c>
      <c r="D1372" s="575">
        <v>140.5</v>
      </c>
    </row>
    <row r="1373" spans="1:4" ht="13.5" x14ac:dyDescent="0.25">
      <c r="A1373" s="306">
        <v>91089</v>
      </c>
      <c r="B1373" s="305" t="s">
        <v>1514</v>
      </c>
      <c r="C1373" s="305" t="s">
        <v>521</v>
      </c>
      <c r="D1373" s="575">
        <v>152.22999999999999</v>
      </c>
    </row>
    <row r="1374" spans="1:4" ht="13.5" x14ac:dyDescent="0.25">
      <c r="A1374" s="306">
        <v>91090</v>
      </c>
      <c r="B1374" s="305" t="s">
        <v>1515</v>
      </c>
      <c r="C1374" s="305" t="s">
        <v>521</v>
      </c>
      <c r="D1374" s="575">
        <v>115.48</v>
      </c>
    </row>
    <row r="1375" spans="1:4" ht="13.5" x14ac:dyDescent="0.25">
      <c r="A1375" s="306">
        <v>91091</v>
      </c>
      <c r="B1375" s="305" t="s">
        <v>1516</v>
      </c>
      <c r="C1375" s="305" t="s">
        <v>521</v>
      </c>
      <c r="D1375" s="575">
        <v>128.58000000000001</v>
      </c>
    </row>
    <row r="1376" spans="1:4" ht="13.5" x14ac:dyDescent="0.25">
      <c r="A1376" s="306">
        <v>91092</v>
      </c>
      <c r="B1376" s="305" t="s">
        <v>1517</v>
      </c>
      <c r="C1376" s="305" t="s">
        <v>521</v>
      </c>
      <c r="D1376" s="575">
        <v>153.16</v>
      </c>
    </row>
    <row r="1377" spans="1:4" ht="13.5" x14ac:dyDescent="0.25">
      <c r="A1377" s="306">
        <v>91093</v>
      </c>
      <c r="B1377" s="305" t="s">
        <v>1518</v>
      </c>
      <c r="C1377" s="305" t="s">
        <v>521</v>
      </c>
      <c r="D1377" s="575">
        <v>166.55</v>
      </c>
    </row>
    <row r="1378" spans="1:4" ht="13.5" x14ac:dyDescent="0.25">
      <c r="A1378" s="306">
        <v>91094</v>
      </c>
      <c r="B1378" s="305" t="s">
        <v>1519</v>
      </c>
      <c r="C1378" s="305" t="s">
        <v>521</v>
      </c>
      <c r="D1378" s="575">
        <v>101.81</v>
      </c>
    </row>
    <row r="1379" spans="1:4" ht="13.5" x14ac:dyDescent="0.25">
      <c r="A1379" s="306">
        <v>91095</v>
      </c>
      <c r="B1379" s="305" t="s">
        <v>1520</v>
      </c>
      <c r="C1379" s="305" t="s">
        <v>521</v>
      </c>
      <c r="D1379" s="575">
        <v>118.79</v>
      </c>
    </row>
    <row r="1380" spans="1:4" ht="13.5" x14ac:dyDescent="0.25">
      <c r="A1380" s="306">
        <v>91096</v>
      </c>
      <c r="B1380" s="305" t="s">
        <v>1521</v>
      </c>
      <c r="C1380" s="305" t="s">
        <v>521</v>
      </c>
      <c r="D1380" s="575">
        <v>104.05</v>
      </c>
    </row>
    <row r="1381" spans="1:4" ht="13.5" x14ac:dyDescent="0.25">
      <c r="A1381" s="306">
        <v>91097</v>
      </c>
      <c r="B1381" s="305" t="s">
        <v>1522</v>
      </c>
      <c r="C1381" s="305" t="s">
        <v>521</v>
      </c>
      <c r="D1381" s="575">
        <v>120.88</v>
      </c>
    </row>
    <row r="1382" spans="1:4" ht="13.5" x14ac:dyDescent="0.25">
      <c r="A1382" s="306">
        <v>91098</v>
      </c>
      <c r="B1382" s="305" t="s">
        <v>1523</v>
      </c>
      <c r="C1382" s="305" t="s">
        <v>521</v>
      </c>
      <c r="D1382" s="575">
        <v>115.69</v>
      </c>
    </row>
    <row r="1383" spans="1:4" ht="13.5" x14ac:dyDescent="0.25">
      <c r="A1383" s="306">
        <v>91099</v>
      </c>
      <c r="B1383" s="305" t="s">
        <v>1524</v>
      </c>
      <c r="C1383" s="305" t="s">
        <v>521</v>
      </c>
      <c r="D1383" s="575">
        <v>133.88</v>
      </c>
    </row>
    <row r="1384" spans="1:4" ht="13.5" x14ac:dyDescent="0.25">
      <c r="A1384" s="306">
        <v>91100</v>
      </c>
      <c r="B1384" s="305" t="s">
        <v>1525</v>
      </c>
      <c r="C1384" s="305" t="s">
        <v>521</v>
      </c>
      <c r="D1384" s="575">
        <v>122.26</v>
      </c>
    </row>
    <row r="1385" spans="1:4" ht="13.5" x14ac:dyDescent="0.25">
      <c r="A1385" s="306">
        <v>91101</v>
      </c>
      <c r="B1385" s="305" t="s">
        <v>1526</v>
      </c>
      <c r="C1385" s="305" t="s">
        <v>521</v>
      </c>
      <c r="D1385" s="575">
        <v>140.37</v>
      </c>
    </row>
    <row r="1386" spans="1:4" ht="13.5" x14ac:dyDescent="0.25">
      <c r="A1386" s="306">
        <v>93952</v>
      </c>
      <c r="B1386" s="305" t="s">
        <v>1527</v>
      </c>
      <c r="C1386" s="305" t="s">
        <v>282</v>
      </c>
      <c r="D1386" s="575">
        <v>175.27</v>
      </c>
    </row>
    <row r="1387" spans="1:4" ht="13.5" x14ac:dyDescent="0.25">
      <c r="A1387" s="306">
        <v>93953</v>
      </c>
      <c r="B1387" s="305" t="s">
        <v>1528</v>
      </c>
      <c r="C1387" s="305" t="s">
        <v>282</v>
      </c>
      <c r="D1387" s="575">
        <v>163.22</v>
      </c>
    </row>
    <row r="1388" spans="1:4" ht="13.5" x14ac:dyDescent="0.25">
      <c r="A1388" s="306">
        <v>93954</v>
      </c>
      <c r="B1388" s="305" t="s">
        <v>1529</v>
      </c>
      <c r="C1388" s="305" t="s">
        <v>282</v>
      </c>
      <c r="D1388" s="575">
        <v>156.06</v>
      </c>
    </row>
    <row r="1389" spans="1:4" ht="13.5" x14ac:dyDescent="0.25">
      <c r="A1389" s="306">
        <v>93955</v>
      </c>
      <c r="B1389" s="305" t="s">
        <v>1530</v>
      </c>
      <c r="C1389" s="305" t="s">
        <v>282</v>
      </c>
      <c r="D1389" s="575">
        <v>150.96</v>
      </c>
    </row>
    <row r="1390" spans="1:4" ht="13.5" x14ac:dyDescent="0.25">
      <c r="A1390" s="306">
        <v>93956</v>
      </c>
      <c r="B1390" s="305" t="s">
        <v>1531</v>
      </c>
      <c r="C1390" s="305" t="s">
        <v>282</v>
      </c>
      <c r="D1390" s="575">
        <v>146.94</v>
      </c>
    </row>
    <row r="1391" spans="1:4" ht="13.5" x14ac:dyDescent="0.25">
      <c r="A1391" s="306">
        <v>93957</v>
      </c>
      <c r="B1391" s="305" t="s">
        <v>1532</v>
      </c>
      <c r="C1391" s="305" t="s">
        <v>282</v>
      </c>
      <c r="D1391" s="575">
        <v>185.17</v>
      </c>
    </row>
    <row r="1392" spans="1:4" ht="13.5" x14ac:dyDescent="0.25">
      <c r="A1392" s="306">
        <v>93958</v>
      </c>
      <c r="B1392" s="305" t="s">
        <v>1533</v>
      </c>
      <c r="C1392" s="305" t="s">
        <v>282</v>
      </c>
      <c r="D1392" s="575">
        <v>172.45</v>
      </c>
    </row>
    <row r="1393" spans="1:4" ht="13.5" x14ac:dyDescent="0.25">
      <c r="A1393" s="306">
        <v>93959</v>
      </c>
      <c r="B1393" s="305" t="s">
        <v>1534</v>
      </c>
      <c r="C1393" s="305" t="s">
        <v>282</v>
      </c>
      <c r="D1393" s="575">
        <v>164.91</v>
      </c>
    </row>
    <row r="1394" spans="1:4" ht="13.5" x14ac:dyDescent="0.25">
      <c r="A1394" s="306">
        <v>93960</v>
      </c>
      <c r="B1394" s="305" t="s">
        <v>1535</v>
      </c>
      <c r="C1394" s="305" t="s">
        <v>282</v>
      </c>
      <c r="D1394" s="575">
        <v>159.57</v>
      </c>
    </row>
    <row r="1395" spans="1:4" ht="13.5" x14ac:dyDescent="0.25">
      <c r="A1395" s="306">
        <v>93961</v>
      </c>
      <c r="B1395" s="305" t="s">
        <v>1536</v>
      </c>
      <c r="C1395" s="305" t="s">
        <v>282</v>
      </c>
      <c r="D1395" s="575">
        <v>155.41999999999999</v>
      </c>
    </row>
    <row r="1396" spans="1:4" ht="13.5" x14ac:dyDescent="0.25">
      <c r="A1396" s="306">
        <v>93962</v>
      </c>
      <c r="B1396" s="305" t="s">
        <v>1537</v>
      </c>
      <c r="C1396" s="305" t="s">
        <v>282</v>
      </c>
      <c r="D1396" s="575">
        <v>163.22</v>
      </c>
    </row>
    <row r="1397" spans="1:4" ht="13.5" x14ac:dyDescent="0.25">
      <c r="A1397" s="306">
        <v>93963</v>
      </c>
      <c r="B1397" s="305" t="s">
        <v>1538</v>
      </c>
      <c r="C1397" s="305" t="s">
        <v>282</v>
      </c>
      <c r="D1397" s="575">
        <v>151.19</v>
      </c>
    </row>
    <row r="1398" spans="1:4" ht="13.5" x14ac:dyDescent="0.25">
      <c r="A1398" s="306">
        <v>93964</v>
      </c>
      <c r="B1398" s="305" t="s">
        <v>1539</v>
      </c>
      <c r="C1398" s="305" t="s">
        <v>282</v>
      </c>
      <c r="D1398" s="575">
        <v>144</v>
      </c>
    </row>
    <row r="1399" spans="1:4" ht="13.5" x14ac:dyDescent="0.25">
      <c r="A1399" s="306">
        <v>93965</v>
      </c>
      <c r="B1399" s="305" t="s">
        <v>1540</v>
      </c>
      <c r="C1399" s="305" t="s">
        <v>282</v>
      </c>
      <c r="D1399" s="575">
        <v>136.74</v>
      </c>
    </row>
    <row r="1400" spans="1:4" ht="13.5" x14ac:dyDescent="0.25">
      <c r="A1400" s="306">
        <v>93966</v>
      </c>
      <c r="B1400" s="305" t="s">
        <v>1541</v>
      </c>
      <c r="C1400" s="305" t="s">
        <v>282</v>
      </c>
      <c r="D1400" s="575">
        <v>134.97</v>
      </c>
    </row>
    <row r="1401" spans="1:4" ht="13.5" x14ac:dyDescent="0.25">
      <c r="A1401" s="306">
        <v>93967</v>
      </c>
      <c r="B1401" s="305" t="s">
        <v>1542</v>
      </c>
      <c r="C1401" s="305" t="s">
        <v>282</v>
      </c>
      <c r="D1401" s="575">
        <v>173.12</v>
      </c>
    </row>
    <row r="1402" spans="1:4" ht="13.5" x14ac:dyDescent="0.25">
      <c r="A1402" s="306">
        <v>93968</v>
      </c>
      <c r="B1402" s="305" t="s">
        <v>1543</v>
      </c>
      <c r="C1402" s="305" t="s">
        <v>282</v>
      </c>
      <c r="D1402" s="575">
        <v>160.38</v>
      </c>
    </row>
    <row r="1403" spans="1:4" ht="13.5" x14ac:dyDescent="0.25">
      <c r="A1403" s="306">
        <v>93969</v>
      </c>
      <c r="B1403" s="305" t="s">
        <v>1544</v>
      </c>
      <c r="C1403" s="305" t="s">
        <v>282</v>
      </c>
      <c r="D1403" s="575">
        <v>152.87</v>
      </c>
    </row>
    <row r="1404" spans="1:4" ht="13.5" x14ac:dyDescent="0.25">
      <c r="A1404" s="306">
        <v>93970</v>
      </c>
      <c r="B1404" s="305" t="s">
        <v>1545</v>
      </c>
      <c r="C1404" s="305" t="s">
        <v>282</v>
      </c>
      <c r="D1404" s="575">
        <v>147.59</v>
      </c>
    </row>
    <row r="1405" spans="1:4" ht="13.5" x14ac:dyDescent="0.25">
      <c r="A1405" s="306">
        <v>93971</v>
      </c>
      <c r="B1405" s="305" t="s">
        <v>1546</v>
      </c>
      <c r="C1405" s="305" t="s">
        <v>282</v>
      </c>
      <c r="D1405" s="575">
        <v>139.41</v>
      </c>
    </row>
    <row r="1406" spans="1:4" ht="13.5" x14ac:dyDescent="0.25">
      <c r="A1406" s="306">
        <v>95108</v>
      </c>
      <c r="B1406" s="305" t="s">
        <v>1547</v>
      </c>
      <c r="C1406" s="305" t="s">
        <v>363</v>
      </c>
      <c r="D1406" s="575">
        <v>24.83</v>
      </c>
    </row>
    <row r="1407" spans="1:4" ht="13.5" x14ac:dyDescent="0.25">
      <c r="A1407" s="306">
        <v>100332</v>
      </c>
      <c r="B1407" s="305" t="s">
        <v>11380</v>
      </c>
      <c r="C1407" s="305" t="s">
        <v>521</v>
      </c>
      <c r="D1407" s="575">
        <v>489.98</v>
      </c>
    </row>
    <row r="1408" spans="1:4" ht="13.5" x14ac:dyDescent="0.25">
      <c r="A1408" s="306">
        <v>100333</v>
      </c>
      <c r="B1408" s="305" t="s">
        <v>11381</v>
      </c>
      <c r="C1408" s="305" t="s">
        <v>521</v>
      </c>
      <c r="D1408" s="575">
        <v>302.27999999999997</v>
      </c>
    </row>
    <row r="1409" spans="1:4" ht="13.5" x14ac:dyDescent="0.25">
      <c r="A1409" s="306">
        <v>100334</v>
      </c>
      <c r="B1409" s="305" t="s">
        <v>11382</v>
      </c>
      <c r="C1409" s="305" t="s">
        <v>521</v>
      </c>
      <c r="D1409" s="575">
        <v>387.84</v>
      </c>
    </row>
    <row r="1410" spans="1:4" ht="13.5" x14ac:dyDescent="0.25">
      <c r="A1410" s="306">
        <v>100335</v>
      </c>
      <c r="B1410" s="305" t="s">
        <v>11383</v>
      </c>
      <c r="C1410" s="305" t="s">
        <v>521</v>
      </c>
      <c r="D1410" s="575">
        <v>247.07</v>
      </c>
    </row>
    <row r="1411" spans="1:4" ht="13.5" x14ac:dyDescent="0.25">
      <c r="A1411" s="306">
        <v>100341</v>
      </c>
      <c r="B1411" s="305" t="s">
        <v>11384</v>
      </c>
      <c r="C1411" s="305" t="s">
        <v>521</v>
      </c>
      <c r="D1411" s="575">
        <v>20.2</v>
      </c>
    </row>
    <row r="1412" spans="1:4" ht="13.5" x14ac:dyDescent="0.25">
      <c r="A1412" s="306">
        <v>100342</v>
      </c>
      <c r="B1412" s="305" t="s">
        <v>11385</v>
      </c>
      <c r="C1412" s="305" t="s">
        <v>506</v>
      </c>
      <c r="D1412" s="575">
        <v>11.35</v>
      </c>
    </row>
    <row r="1413" spans="1:4" ht="13.5" x14ac:dyDescent="0.25">
      <c r="A1413" s="306">
        <v>100343</v>
      </c>
      <c r="B1413" s="305" t="s">
        <v>11386</v>
      </c>
      <c r="C1413" s="305" t="s">
        <v>506</v>
      </c>
      <c r="D1413" s="575">
        <v>10.4</v>
      </c>
    </row>
    <row r="1414" spans="1:4" ht="13.5" x14ac:dyDescent="0.25">
      <c r="A1414" s="306">
        <v>100344</v>
      </c>
      <c r="B1414" s="305" t="s">
        <v>11387</v>
      </c>
      <c r="C1414" s="305" t="s">
        <v>506</v>
      </c>
      <c r="D1414" s="575">
        <v>9.18</v>
      </c>
    </row>
    <row r="1415" spans="1:4" ht="13.5" x14ac:dyDescent="0.25">
      <c r="A1415" s="306">
        <v>100345</v>
      </c>
      <c r="B1415" s="305" t="s">
        <v>11388</v>
      </c>
      <c r="C1415" s="305" t="s">
        <v>506</v>
      </c>
      <c r="D1415" s="575">
        <v>7.69</v>
      </c>
    </row>
    <row r="1416" spans="1:4" ht="13.5" x14ac:dyDescent="0.25">
      <c r="A1416" s="306">
        <v>100346</v>
      </c>
      <c r="B1416" s="305" t="s">
        <v>11389</v>
      </c>
      <c r="C1416" s="305" t="s">
        <v>506</v>
      </c>
      <c r="D1416" s="575">
        <v>7.2</v>
      </c>
    </row>
    <row r="1417" spans="1:4" ht="13.5" x14ac:dyDescent="0.25">
      <c r="A1417" s="306">
        <v>100347</v>
      </c>
      <c r="B1417" s="305" t="s">
        <v>11390</v>
      </c>
      <c r="C1417" s="305" t="s">
        <v>506</v>
      </c>
      <c r="D1417" s="575">
        <v>7.99</v>
      </c>
    </row>
    <row r="1418" spans="1:4" ht="13.5" x14ac:dyDescent="0.25">
      <c r="A1418" s="306">
        <v>100348</v>
      </c>
      <c r="B1418" s="305" t="s">
        <v>11391</v>
      </c>
      <c r="C1418" s="305" t="s">
        <v>506</v>
      </c>
      <c r="D1418" s="575">
        <v>7.75</v>
      </c>
    </row>
    <row r="1419" spans="1:4" ht="13.5" x14ac:dyDescent="0.25">
      <c r="A1419" s="306">
        <v>100349</v>
      </c>
      <c r="B1419" s="305" t="s">
        <v>11392</v>
      </c>
      <c r="C1419" s="305" t="s">
        <v>1456</v>
      </c>
      <c r="D1419" s="575">
        <v>535.55999999999995</v>
      </c>
    </row>
    <row r="1420" spans="1:4" ht="13.5" x14ac:dyDescent="0.25">
      <c r="A1420" s="305" t="s">
        <v>1548</v>
      </c>
      <c r="B1420" s="305" t="s">
        <v>1549</v>
      </c>
      <c r="C1420" s="305" t="s">
        <v>363</v>
      </c>
      <c r="D1420" s="575">
        <v>350.06</v>
      </c>
    </row>
    <row r="1421" spans="1:4" ht="13.5" x14ac:dyDescent="0.25">
      <c r="A1421" s="305" t="s">
        <v>1550</v>
      </c>
      <c r="B1421" s="305" t="s">
        <v>1551</v>
      </c>
      <c r="C1421" s="305" t="s">
        <v>363</v>
      </c>
      <c r="D1421" s="575">
        <v>556.44000000000005</v>
      </c>
    </row>
    <row r="1422" spans="1:4" ht="13.5" x14ac:dyDescent="0.25">
      <c r="A1422" s="305" t="s">
        <v>1552</v>
      </c>
      <c r="B1422" s="305" t="s">
        <v>1553</v>
      </c>
      <c r="C1422" s="305" t="s">
        <v>363</v>
      </c>
      <c r="D1422" s="575">
        <v>917.95</v>
      </c>
    </row>
    <row r="1423" spans="1:4" ht="13.5" x14ac:dyDescent="0.25">
      <c r="A1423" s="305" t="s">
        <v>1554</v>
      </c>
      <c r="B1423" s="305" t="s">
        <v>1555</v>
      </c>
      <c r="C1423" s="305" t="s">
        <v>363</v>
      </c>
      <c r="D1423" s="576">
        <v>1383.38</v>
      </c>
    </row>
    <row r="1424" spans="1:4" ht="13.5" x14ac:dyDescent="0.25">
      <c r="A1424" s="305" t="s">
        <v>1556</v>
      </c>
      <c r="B1424" s="305" t="s">
        <v>1557</v>
      </c>
      <c r="C1424" s="305" t="s">
        <v>363</v>
      </c>
      <c r="D1424" s="576">
        <v>1960.51</v>
      </c>
    </row>
    <row r="1425" spans="1:4" ht="13.5" x14ac:dyDescent="0.25">
      <c r="A1425" s="305" t="s">
        <v>1558</v>
      </c>
      <c r="B1425" s="305" t="s">
        <v>1559</v>
      </c>
      <c r="C1425" s="305" t="s">
        <v>363</v>
      </c>
      <c r="D1425" s="576">
        <v>2655.45</v>
      </c>
    </row>
    <row r="1426" spans="1:4" ht="13.5" x14ac:dyDescent="0.25">
      <c r="A1426" s="305" t="s">
        <v>1560</v>
      </c>
      <c r="B1426" s="305" t="s">
        <v>1561</v>
      </c>
      <c r="C1426" s="305" t="s">
        <v>363</v>
      </c>
      <c r="D1426" s="575">
        <v>790.29</v>
      </c>
    </row>
    <row r="1427" spans="1:4" ht="13.5" x14ac:dyDescent="0.25">
      <c r="A1427" s="305" t="s">
        <v>1562</v>
      </c>
      <c r="B1427" s="305" t="s">
        <v>1563</v>
      </c>
      <c r="C1427" s="305" t="s">
        <v>363</v>
      </c>
      <c r="D1427" s="576">
        <v>1310.68</v>
      </c>
    </row>
    <row r="1428" spans="1:4" ht="13.5" x14ac:dyDescent="0.25">
      <c r="A1428" s="305" t="s">
        <v>1564</v>
      </c>
      <c r="B1428" s="305" t="s">
        <v>1565</v>
      </c>
      <c r="C1428" s="305" t="s">
        <v>363</v>
      </c>
      <c r="D1428" s="576">
        <v>1977.52</v>
      </c>
    </row>
    <row r="1429" spans="1:4" ht="13.5" x14ac:dyDescent="0.25">
      <c r="A1429" s="305" t="s">
        <v>1566</v>
      </c>
      <c r="B1429" s="305" t="s">
        <v>1567</v>
      </c>
      <c r="C1429" s="305" t="s">
        <v>363</v>
      </c>
      <c r="D1429" s="576">
        <v>2529.08</v>
      </c>
    </row>
    <row r="1430" spans="1:4" ht="13.5" x14ac:dyDescent="0.25">
      <c r="A1430" s="305" t="s">
        <v>1568</v>
      </c>
      <c r="B1430" s="305" t="s">
        <v>1569</v>
      </c>
      <c r="C1430" s="305" t="s">
        <v>363</v>
      </c>
      <c r="D1430" s="576">
        <v>3784.37</v>
      </c>
    </row>
    <row r="1431" spans="1:4" ht="13.5" x14ac:dyDescent="0.25">
      <c r="A1431" s="305" t="s">
        <v>1570</v>
      </c>
      <c r="B1431" s="305" t="s">
        <v>1571</v>
      </c>
      <c r="C1431" s="305" t="s">
        <v>363</v>
      </c>
      <c r="D1431" s="576">
        <v>1023.64</v>
      </c>
    </row>
    <row r="1432" spans="1:4" ht="13.5" x14ac:dyDescent="0.25">
      <c r="A1432" s="305" t="s">
        <v>1572</v>
      </c>
      <c r="B1432" s="305" t="s">
        <v>1573</v>
      </c>
      <c r="C1432" s="305" t="s">
        <v>363</v>
      </c>
      <c r="D1432" s="576">
        <v>1702.89</v>
      </c>
    </row>
    <row r="1433" spans="1:4" ht="13.5" x14ac:dyDescent="0.25">
      <c r="A1433" s="305" t="s">
        <v>1574</v>
      </c>
      <c r="B1433" s="305" t="s">
        <v>1575</v>
      </c>
      <c r="C1433" s="305" t="s">
        <v>363</v>
      </c>
      <c r="D1433" s="576">
        <v>2571.2399999999998</v>
      </c>
    </row>
    <row r="1434" spans="1:4" ht="13.5" x14ac:dyDescent="0.25">
      <c r="A1434" s="305" t="s">
        <v>1576</v>
      </c>
      <c r="B1434" s="305" t="s">
        <v>1577</v>
      </c>
      <c r="C1434" s="305" t="s">
        <v>363</v>
      </c>
      <c r="D1434" s="576">
        <v>3638.29</v>
      </c>
    </row>
    <row r="1435" spans="1:4" ht="13.5" x14ac:dyDescent="0.25">
      <c r="A1435" s="305" t="s">
        <v>1578</v>
      </c>
      <c r="B1435" s="305" t="s">
        <v>1579</v>
      </c>
      <c r="C1435" s="305" t="s">
        <v>363</v>
      </c>
      <c r="D1435" s="576">
        <v>4913.3599999999997</v>
      </c>
    </row>
    <row r="1436" spans="1:4" ht="13.5" x14ac:dyDescent="0.25">
      <c r="A1436" s="305" t="s">
        <v>1580</v>
      </c>
      <c r="B1436" s="305" t="s">
        <v>1581</v>
      </c>
      <c r="C1436" s="305" t="s">
        <v>363</v>
      </c>
      <c r="D1436" s="576">
        <v>1467.47</v>
      </c>
    </row>
    <row r="1437" spans="1:4" ht="13.5" x14ac:dyDescent="0.25">
      <c r="A1437" s="306">
        <v>83659</v>
      </c>
      <c r="B1437" s="305" t="s">
        <v>1582</v>
      </c>
      <c r="C1437" s="305" t="s">
        <v>363</v>
      </c>
      <c r="D1437" s="575">
        <v>838.16</v>
      </c>
    </row>
    <row r="1438" spans="1:4" ht="13.5" x14ac:dyDescent="0.25">
      <c r="A1438" s="306">
        <v>83716</v>
      </c>
      <c r="B1438" s="305" t="s">
        <v>1583</v>
      </c>
      <c r="C1438" s="305" t="s">
        <v>363</v>
      </c>
      <c r="D1438" s="575">
        <v>349.2</v>
      </c>
    </row>
    <row r="1439" spans="1:4" ht="13.5" x14ac:dyDescent="0.25">
      <c r="A1439" s="306">
        <v>97976</v>
      </c>
      <c r="B1439" s="305" t="s">
        <v>1584</v>
      </c>
      <c r="C1439" s="305" t="s">
        <v>363</v>
      </c>
      <c r="D1439" s="575">
        <v>968.25</v>
      </c>
    </row>
    <row r="1440" spans="1:4" ht="13.5" x14ac:dyDescent="0.25">
      <c r="A1440" s="306">
        <v>97977</v>
      </c>
      <c r="B1440" s="305" t="s">
        <v>1585</v>
      </c>
      <c r="C1440" s="305" t="s">
        <v>363</v>
      </c>
      <c r="D1440" s="576">
        <v>1406.01</v>
      </c>
    </row>
    <row r="1441" spans="1:4" ht="13.5" x14ac:dyDescent="0.25">
      <c r="A1441" s="306">
        <v>97980</v>
      </c>
      <c r="B1441" s="305" t="s">
        <v>1586</v>
      </c>
      <c r="C1441" s="305" t="s">
        <v>363</v>
      </c>
      <c r="D1441" s="576">
        <v>1798.76</v>
      </c>
    </row>
    <row r="1442" spans="1:4" ht="13.5" x14ac:dyDescent="0.25">
      <c r="A1442" s="306">
        <v>97981</v>
      </c>
      <c r="B1442" s="305" t="s">
        <v>1587</v>
      </c>
      <c r="C1442" s="305" t="s">
        <v>282</v>
      </c>
      <c r="D1442" s="576">
        <v>1065.49</v>
      </c>
    </row>
    <row r="1443" spans="1:4" ht="13.5" x14ac:dyDescent="0.25">
      <c r="A1443" s="306">
        <v>97983</v>
      </c>
      <c r="B1443" s="305" t="s">
        <v>1588</v>
      </c>
      <c r="C1443" s="305" t="s">
        <v>282</v>
      </c>
      <c r="D1443" s="575">
        <v>343.1</v>
      </c>
    </row>
    <row r="1444" spans="1:4" ht="13.5" x14ac:dyDescent="0.25">
      <c r="A1444" s="306">
        <v>97985</v>
      </c>
      <c r="B1444" s="305" t="s">
        <v>1589</v>
      </c>
      <c r="C1444" s="305" t="s">
        <v>282</v>
      </c>
      <c r="D1444" s="576">
        <v>1286.08</v>
      </c>
    </row>
    <row r="1445" spans="1:4" ht="13.5" x14ac:dyDescent="0.25">
      <c r="A1445" s="306">
        <v>97987</v>
      </c>
      <c r="B1445" s="305" t="s">
        <v>1590</v>
      </c>
      <c r="C1445" s="305" t="s">
        <v>282</v>
      </c>
      <c r="D1445" s="575">
        <v>448.71</v>
      </c>
    </row>
    <row r="1446" spans="1:4" ht="13.5" x14ac:dyDescent="0.25">
      <c r="A1446" s="306">
        <v>97988</v>
      </c>
      <c r="B1446" s="305" t="s">
        <v>1591</v>
      </c>
      <c r="C1446" s="305" t="s">
        <v>363</v>
      </c>
      <c r="D1446" s="576">
        <v>2607.71</v>
      </c>
    </row>
    <row r="1447" spans="1:4" ht="13.5" x14ac:dyDescent="0.25">
      <c r="A1447" s="306">
        <v>97989</v>
      </c>
      <c r="B1447" s="305" t="s">
        <v>1592</v>
      </c>
      <c r="C1447" s="305" t="s">
        <v>282</v>
      </c>
      <c r="D1447" s="576">
        <v>1506.7</v>
      </c>
    </row>
    <row r="1448" spans="1:4" ht="13.5" x14ac:dyDescent="0.25">
      <c r="A1448" s="306">
        <v>97991</v>
      </c>
      <c r="B1448" s="305" t="s">
        <v>1593</v>
      </c>
      <c r="C1448" s="305" t="s">
        <v>282</v>
      </c>
      <c r="D1448" s="575">
        <v>643.25</v>
      </c>
    </row>
    <row r="1449" spans="1:4" ht="13.5" x14ac:dyDescent="0.25">
      <c r="A1449" s="306">
        <v>97992</v>
      </c>
      <c r="B1449" s="305" t="s">
        <v>1594</v>
      </c>
      <c r="C1449" s="305" t="s">
        <v>363</v>
      </c>
      <c r="D1449" s="576">
        <v>3317.47</v>
      </c>
    </row>
    <row r="1450" spans="1:4" ht="13.5" x14ac:dyDescent="0.25">
      <c r="A1450" s="306">
        <v>97993</v>
      </c>
      <c r="B1450" s="305" t="s">
        <v>1595</v>
      </c>
      <c r="C1450" s="305" t="s">
        <v>282</v>
      </c>
      <c r="D1450" s="576">
        <v>1837.6</v>
      </c>
    </row>
    <row r="1451" spans="1:4" ht="13.5" x14ac:dyDescent="0.25">
      <c r="A1451" s="306">
        <v>97994</v>
      </c>
      <c r="B1451" s="305" t="s">
        <v>1596</v>
      </c>
      <c r="C1451" s="305" t="s">
        <v>363</v>
      </c>
      <c r="D1451" s="576">
        <v>2313.38</v>
      </c>
    </row>
    <row r="1452" spans="1:4" ht="13.5" x14ac:dyDescent="0.25">
      <c r="A1452" s="306">
        <v>97995</v>
      </c>
      <c r="B1452" s="305" t="s">
        <v>1597</v>
      </c>
      <c r="C1452" s="305" t="s">
        <v>282</v>
      </c>
      <c r="D1452" s="576">
        <v>1171.24</v>
      </c>
    </row>
    <row r="1453" spans="1:4" ht="13.5" x14ac:dyDescent="0.25">
      <c r="A1453" s="306">
        <v>97996</v>
      </c>
      <c r="B1453" s="305" t="s">
        <v>1598</v>
      </c>
      <c r="C1453" s="305" t="s">
        <v>363</v>
      </c>
      <c r="D1453" s="576">
        <v>2926</v>
      </c>
    </row>
    <row r="1454" spans="1:4" ht="13.5" x14ac:dyDescent="0.25">
      <c r="A1454" s="306">
        <v>97997</v>
      </c>
      <c r="B1454" s="305" t="s">
        <v>1599</v>
      </c>
      <c r="C1454" s="305" t="s">
        <v>282</v>
      </c>
      <c r="D1454" s="576">
        <v>1402.33</v>
      </c>
    </row>
    <row r="1455" spans="1:4" ht="13.5" x14ac:dyDescent="0.25">
      <c r="A1455" s="306">
        <v>97999</v>
      </c>
      <c r="B1455" s="305" t="s">
        <v>1600</v>
      </c>
      <c r="C1455" s="305" t="s">
        <v>282</v>
      </c>
      <c r="D1455" s="576">
        <v>1633.44</v>
      </c>
    </row>
    <row r="1456" spans="1:4" ht="13.5" x14ac:dyDescent="0.25">
      <c r="A1456" s="306">
        <v>98001</v>
      </c>
      <c r="B1456" s="305" t="s">
        <v>1601</v>
      </c>
      <c r="C1456" s="305" t="s">
        <v>282</v>
      </c>
      <c r="D1456" s="576">
        <v>1864.54</v>
      </c>
    </row>
    <row r="1457" spans="1:4" ht="13.5" x14ac:dyDescent="0.25">
      <c r="A1457" s="306">
        <v>98002</v>
      </c>
      <c r="B1457" s="305" t="s">
        <v>1602</v>
      </c>
      <c r="C1457" s="305" t="s">
        <v>363</v>
      </c>
      <c r="D1457" s="576">
        <v>4793.1400000000003</v>
      </c>
    </row>
    <row r="1458" spans="1:4" ht="13.5" x14ac:dyDescent="0.25">
      <c r="A1458" s="306">
        <v>98003</v>
      </c>
      <c r="B1458" s="305" t="s">
        <v>1603</v>
      </c>
      <c r="C1458" s="305" t="s">
        <v>282</v>
      </c>
      <c r="D1458" s="576">
        <v>2095.69</v>
      </c>
    </row>
    <row r="1459" spans="1:4" ht="13.5" x14ac:dyDescent="0.25">
      <c r="A1459" s="306">
        <v>98005</v>
      </c>
      <c r="B1459" s="305" t="s">
        <v>1604</v>
      </c>
      <c r="C1459" s="305" t="s">
        <v>282</v>
      </c>
      <c r="D1459" s="576">
        <v>2326.8000000000002</v>
      </c>
    </row>
    <row r="1460" spans="1:4" ht="13.5" x14ac:dyDescent="0.25">
      <c r="A1460" s="306">
        <v>98006</v>
      </c>
      <c r="B1460" s="305" t="s">
        <v>1605</v>
      </c>
      <c r="C1460" s="305" t="s">
        <v>363</v>
      </c>
      <c r="D1460" s="576">
        <v>6025.69</v>
      </c>
    </row>
    <row r="1461" spans="1:4" ht="13.5" x14ac:dyDescent="0.25">
      <c r="A1461" s="306">
        <v>98007</v>
      </c>
      <c r="B1461" s="305" t="s">
        <v>1606</v>
      </c>
      <c r="C1461" s="305" t="s">
        <v>282</v>
      </c>
      <c r="D1461" s="576">
        <v>2557.9</v>
      </c>
    </row>
    <row r="1462" spans="1:4" ht="13.5" x14ac:dyDescent="0.25">
      <c r="A1462" s="306">
        <v>98008</v>
      </c>
      <c r="B1462" s="305" t="s">
        <v>1607</v>
      </c>
      <c r="C1462" s="305" t="s">
        <v>363</v>
      </c>
      <c r="D1462" s="576">
        <v>3632.32</v>
      </c>
    </row>
    <row r="1463" spans="1:4" ht="13.5" x14ac:dyDescent="0.25">
      <c r="A1463" s="306">
        <v>98009</v>
      </c>
      <c r="B1463" s="305" t="s">
        <v>1608</v>
      </c>
      <c r="C1463" s="305" t="s">
        <v>282</v>
      </c>
      <c r="D1463" s="576">
        <v>1633.44</v>
      </c>
    </row>
    <row r="1464" spans="1:4" ht="13.5" x14ac:dyDescent="0.25">
      <c r="A1464" s="306">
        <v>98010</v>
      </c>
      <c r="B1464" s="305" t="s">
        <v>1609</v>
      </c>
      <c r="C1464" s="305" t="s">
        <v>363</v>
      </c>
      <c r="D1464" s="576">
        <v>4429.3100000000004</v>
      </c>
    </row>
    <row r="1465" spans="1:4" ht="13.5" x14ac:dyDescent="0.25">
      <c r="A1465" s="306">
        <v>98011</v>
      </c>
      <c r="B1465" s="305" t="s">
        <v>1610</v>
      </c>
      <c r="C1465" s="305" t="s">
        <v>282</v>
      </c>
      <c r="D1465" s="576">
        <v>1864.54</v>
      </c>
    </row>
    <row r="1466" spans="1:4" ht="13.5" x14ac:dyDescent="0.25">
      <c r="A1466" s="306">
        <v>98012</v>
      </c>
      <c r="B1466" s="305" t="s">
        <v>1611</v>
      </c>
      <c r="C1466" s="305" t="s">
        <v>363</v>
      </c>
      <c r="D1466" s="576">
        <v>5203.17</v>
      </c>
    </row>
    <row r="1467" spans="1:4" ht="13.5" x14ac:dyDescent="0.25">
      <c r="A1467" s="306">
        <v>98013</v>
      </c>
      <c r="B1467" s="305" t="s">
        <v>1612</v>
      </c>
      <c r="C1467" s="305" t="s">
        <v>282</v>
      </c>
      <c r="D1467" s="576">
        <v>2095.69</v>
      </c>
    </row>
    <row r="1468" spans="1:4" ht="13.5" x14ac:dyDescent="0.25">
      <c r="A1468" s="306">
        <v>98014</v>
      </c>
      <c r="B1468" s="305" t="s">
        <v>1613</v>
      </c>
      <c r="C1468" s="305" t="s">
        <v>363</v>
      </c>
      <c r="D1468" s="576">
        <v>5976.9</v>
      </c>
    </row>
    <row r="1469" spans="1:4" ht="13.5" x14ac:dyDescent="0.25">
      <c r="A1469" s="306">
        <v>98015</v>
      </c>
      <c r="B1469" s="305" t="s">
        <v>1614</v>
      </c>
      <c r="C1469" s="305" t="s">
        <v>282</v>
      </c>
      <c r="D1469" s="576">
        <v>2326.8000000000002</v>
      </c>
    </row>
    <row r="1470" spans="1:4" ht="13.5" x14ac:dyDescent="0.25">
      <c r="A1470" s="306">
        <v>98016</v>
      </c>
      <c r="B1470" s="305" t="s">
        <v>1615</v>
      </c>
      <c r="C1470" s="305" t="s">
        <v>363</v>
      </c>
      <c r="D1470" s="576">
        <v>6750.76</v>
      </c>
    </row>
    <row r="1471" spans="1:4" ht="13.5" x14ac:dyDescent="0.25">
      <c r="A1471" s="306">
        <v>98017</v>
      </c>
      <c r="B1471" s="305" t="s">
        <v>1616</v>
      </c>
      <c r="C1471" s="305" t="s">
        <v>282</v>
      </c>
      <c r="D1471" s="576">
        <v>2557.9</v>
      </c>
    </row>
    <row r="1472" spans="1:4" ht="13.5" x14ac:dyDescent="0.25">
      <c r="A1472" s="306">
        <v>98018</v>
      </c>
      <c r="B1472" s="305" t="s">
        <v>1617</v>
      </c>
      <c r="C1472" s="305" t="s">
        <v>363</v>
      </c>
      <c r="D1472" s="576">
        <v>7524.59</v>
      </c>
    </row>
    <row r="1473" spans="1:4" ht="13.5" x14ac:dyDescent="0.25">
      <c r="A1473" s="306">
        <v>98019</v>
      </c>
      <c r="B1473" s="305" t="s">
        <v>1618</v>
      </c>
      <c r="C1473" s="305" t="s">
        <v>282</v>
      </c>
      <c r="D1473" s="576">
        <v>2822.87</v>
      </c>
    </row>
    <row r="1474" spans="1:4" ht="13.5" x14ac:dyDescent="0.25">
      <c r="A1474" s="306">
        <v>98020</v>
      </c>
      <c r="B1474" s="305" t="s">
        <v>1619</v>
      </c>
      <c r="C1474" s="305" t="s">
        <v>363</v>
      </c>
      <c r="D1474" s="576">
        <v>5362.25</v>
      </c>
    </row>
    <row r="1475" spans="1:4" ht="13.5" x14ac:dyDescent="0.25">
      <c r="A1475" s="306">
        <v>98021</v>
      </c>
      <c r="B1475" s="305" t="s">
        <v>1620</v>
      </c>
      <c r="C1475" s="305" t="s">
        <v>282</v>
      </c>
      <c r="D1475" s="576">
        <v>2129.56</v>
      </c>
    </row>
    <row r="1476" spans="1:4" ht="13.5" x14ac:dyDescent="0.25">
      <c r="A1476" s="306">
        <v>98022</v>
      </c>
      <c r="B1476" s="305" t="s">
        <v>1621</v>
      </c>
      <c r="C1476" s="305" t="s">
        <v>363</v>
      </c>
      <c r="D1476" s="576">
        <v>6284.55</v>
      </c>
    </row>
    <row r="1477" spans="1:4" ht="13.5" x14ac:dyDescent="0.25">
      <c r="A1477" s="306">
        <v>98023</v>
      </c>
      <c r="B1477" s="305" t="s">
        <v>1622</v>
      </c>
      <c r="C1477" s="305" t="s">
        <v>282</v>
      </c>
      <c r="D1477" s="576">
        <v>2360.66</v>
      </c>
    </row>
    <row r="1478" spans="1:4" ht="13.5" x14ac:dyDescent="0.25">
      <c r="A1478" s="306">
        <v>98024</v>
      </c>
      <c r="B1478" s="305" t="s">
        <v>1623</v>
      </c>
      <c r="C1478" s="305" t="s">
        <v>363</v>
      </c>
      <c r="D1478" s="576">
        <v>7259.67</v>
      </c>
    </row>
    <row r="1479" spans="1:4" ht="13.5" x14ac:dyDescent="0.25">
      <c r="A1479" s="306">
        <v>98025</v>
      </c>
      <c r="B1479" s="305" t="s">
        <v>1624</v>
      </c>
      <c r="C1479" s="305" t="s">
        <v>282</v>
      </c>
      <c r="D1479" s="576">
        <v>2591.7600000000002</v>
      </c>
    </row>
    <row r="1480" spans="1:4" ht="13.5" x14ac:dyDescent="0.25">
      <c r="A1480" s="306">
        <v>98026</v>
      </c>
      <c r="B1480" s="305" t="s">
        <v>1625</v>
      </c>
      <c r="C1480" s="305" t="s">
        <v>363</v>
      </c>
      <c r="D1480" s="576">
        <v>8188.52</v>
      </c>
    </row>
    <row r="1481" spans="1:4" ht="13.5" x14ac:dyDescent="0.25">
      <c r="A1481" s="306">
        <v>98027</v>
      </c>
      <c r="B1481" s="305" t="s">
        <v>1626</v>
      </c>
      <c r="C1481" s="305" t="s">
        <v>282</v>
      </c>
      <c r="D1481" s="576">
        <v>2822.87</v>
      </c>
    </row>
    <row r="1482" spans="1:4" ht="13.5" x14ac:dyDescent="0.25">
      <c r="A1482" s="306">
        <v>98028</v>
      </c>
      <c r="B1482" s="305" t="s">
        <v>1627</v>
      </c>
      <c r="C1482" s="305" t="s">
        <v>363</v>
      </c>
      <c r="D1482" s="576">
        <v>9117.32</v>
      </c>
    </row>
    <row r="1483" spans="1:4" ht="13.5" x14ac:dyDescent="0.25">
      <c r="A1483" s="306">
        <v>98029</v>
      </c>
      <c r="B1483" s="305" t="s">
        <v>1628</v>
      </c>
      <c r="C1483" s="305" t="s">
        <v>282</v>
      </c>
      <c r="D1483" s="576">
        <v>3060.97</v>
      </c>
    </row>
    <row r="1484" spans="1:4" ht="13.5" x14ac:dyDescent="0.25">
      <c r="A1484" s="306">
        <v>98030</v>
      </c>
      <c r="B1484" s="305" t="s">
        <v>1629</v>
      </c>
      <c r="C1484" s="305" t="s">
        <v>363</v>
      </c>
      <c r="D1484" s="576">
        <v>7451.19</v>
      </c>
    </row>
    <row r="1485" spans="1:4" ht="13.5" x14ac:dyDescent="0.25">
      <c r="A1485" s="306">
        <v>98031</v>
      </c>
      <c r="B1485" s="305" t="s">
        <v>1630</v>
      </c>
      <c r="C1485" s="305" t="s">
        <v>282</v>
      </c>
      <c r="D1485" s="576">
        <v>2598.84</v>
      </c>
    </row>
    <row r="1486" spans="1:4" ht="13.5" x14ac:dyDescent="0.25">
      <c r="A1486" s="306">
        <v>98032</v>
      </c>
      <c r="B1486" s="305" t="s">
        <v>1631</v>
      </c>
      <c r="C1486" s="305" t="s">
        <v>363</v>
      </c>
      <c r="D1486" s="576">
        <v>8573.17</v>
      </c>
    </row>
    <row r="1487" spans="1:4" ht="13.5" x14ac:dyDescent="0.25">
      <c r="A1487" s="306">
        <v>98033</v>
      </c>
      <c r="B1487" s="305" t="s">
        <v>1632</v>
      </c>
      <c r="C1487" s="305" t="s">
        <v>282</v>
      </c>
      <c r="D1487" s="576">
        <v>2829.94</v>
      </c>
    </row>
    <row r="1488" spans="1:4" ht="13.5" x14ac:dyDescent="0.25">
      <c r="A1488" s="306">
        <v>98034</v>
      </c>
      <c r="B1488" s="305" t="s">
        <v>1633</v>
      </c>
      <c r="C1488" s="305" t="s">
        <v>363</v>
      </c>
      <c r="D1488" s="576">
        <v>9695.15</v>
      </c>
    </row>
    <row r="1489" spans="1:4" ht="13.5" x14ac:dyDescent="0.25">
      <c r="A1489" s="306">
        <v>98035</v>
      </c>
      <c r="B1489" s="305" t="s">
        <v>1634</v>
      </c>
      <c r="C1489" s="305" t="s">
        <v>282</v>
      </c>
      <c r="D1489" s="576">
        <v>3060.97</v>
      </c>
    </row>
    <row r="1490" spans="1:4" ht="13.5" x14ac:dyDescent="0.25">
      <c r="A1490" s="306">
        <v>98036</v>
      </c>
      <c r="B1490" s="305" t="s">
        <v>1635</v>
      </c>
      <c r="C1490" s="305" t="s">
        <v>363</v>
      </c>
      <c r="D1490" s="576">
        <v>10817.12</v>
      </c>
    </row>
    <row r="1491" spans="1:4" ht="13.5" x14ac:dyDescent="0.25">
      <c r="A1491" s="306">
        <v>98037</v>
      </c>
      <c r="B1491" s="305" t="s">
        <v>1636</v>
      </c>
      <c r="C1491" s="305" t="s">
        <v>282</v>
      </c>
      <c r="D1491" s="576">
        <v>3299.12</v>
      </c>
    </row>
    <row r="1492" spans="1:4" ht="13.5" x14ac:dyDescent="0.25">
      <c r="A1492" s="306">
        <v>98038</v>
      </c>
      <c r="B1492" s="305" t="s">
        <v>1637</v>
      </c>
      <c r="C1492" s="305" t="s">
        <v>363</v>
      </c>
      <c r="D1492" s="576">
        <v>9924.1299999999992</v>
      </c>
    </row>
    <row r="1493" spans="1:4" ht="13.5" x14ac:dyDescent="0.25">
      <c r="A1493" s="306">
        <v>98039</v>
      </c>
      <c r="B1493" s="305" t="s">
        <v>1638</v>
      </c>
      <c r="C1493" s="305" t="s">
        <v>282</v>
      </c>
      <c r="D1493" s="576">
        <v>3068.03</v>
      </c>
    </row>
    <row r="1494" spans="1:4" ht="13.5" x14ac:dyDescent="0.25">
      <c r="A1494" s="306">
        <v>98040</v>
      </c>
      <c r="B1494" s="305" t="s">
        <v>1639</v>
      </c>
      <c r="C1494" s="305" t="s">
        <v>363</v>
      </c>
      <c r="D1494" s="576">
        <v>11218.45</v>
      </c>
    </row>
    <row r="1495" spans="1:4" ht="13.5" x14ac:dyDescent="0.25">
      <c r="A1495" s="306">
        <v>98041</v>
      </c>
      <c r="B1495" s="305" t="s">
        <v>1640</v>
      </c>
      <c r="C1495" s="305" t="s">
        <v>282</v>
      </c>
      <c r="D1495" s="576">
        <v>3299.12</v>
      </c>
    </row>
    <row r="1496" spans="1:4" ht="13.5" x14ac:dyDescent="0.25">
      <c r="A1496" s="306">
        <v>98042</v>
      </c>
      <c r="B1496" s="305" t="s">
        <v>1641</v>
      </c>
      <c r="C1496" s="305" t="s">
        <v>363</v>
      </c>
      <c r="D1496" s="576">
        <v>12512.86</v>
      </c>
    </row>
    <row r="1497" spans="1:4" ht="13.5" x14ac:dyDescent="0.25">
      <c r="A1497" s="306">
        <v>98043</v>
      </c>
      <c r="B1497" s="305" t="s">
        <v>1642</v>
      </c>
      <c r="C1497" s="305" t="s">
        <v>282</v>
      </c>
      <c r="D1497" s="576">
        <v>3537.31</v>
      </c>
    </row>
    <row r="1498" spans="1:4" ht="13.5" x14ac:dyDescent="0.25">
      <c r="A1498" s="306">
        <v>98044</v>
      </c>
      <c r="B1498" s="305" t="s">
        <v>1643</v>
      </c>
      <c r="C1498" s="305" t="s">
        <v>363</v>
      </c>
      <c r="D1498" s="576">
        <v>12752.02</v>
      </c>
    </row>
    <row r="1499" spans="1:4" ht="13.5" x14ac:dyDescent="0.25">
      <c r="A1499" s="306">
        <v>98045</v>
      </c>
      <c r="B1499" s="305" t="s">
        <v>1644</v>
      </c>
      <c r="C1499" s="305" t="s">
        <v>282</v>
      </c>
      <c r="D1499" s="576">
        <v>3537.31</v>
      </c>
    </row>
    <row r="1500" spans="1:4" ht="13.5" x14ac:dyDescent="0.25">
      <c r="A1500" s="306">
        <v>98046</v>
      </c>
      <c r="B1500" s="305" t="s">
        <v>1645</v>
      </c>
      <c r="C1500" s="305" t="s">
        <v>363</v>
      </c>
      <c r="D1500" s="576">
        <v>14220.27</v>
      </c>
    </row>
    <row r="1501" spans="1:4" ht="13.5" x14ac:dyDescent="0.25">
      <c r="A1501" s="306">
        <v>98047</v>
      </c>
      <c r="B1501" s="305" t="s">
        <v>1646</v>
      </c>
      <c r="C1501" s="305" t="s">
        <v>282</v>
      </c>
      <c r="D1501" s="576">
        <v>3775.48</v>
      </c>
    </row>
    <row r="1502" spans="1:4" ht="13.5" x14ac:dyDescent="0.25">
      <c r="A1502" s="306">
        <v>98048</v>
      </c>
      <c r="B1502" s="305" t="s">
        <v>1647</v>
      </c>
      <c r="C1502" s="305" t="s">
        <v>363</v>
      </c>
      <c r="D1502" s="576">
        <v>15939.58</v>
      </c>
    </row>
    <row r="1503" spans="1:4" ht="13.5" x14ac:dyDescent="0.25">
      <c r="A1503" s="306">
        <v>98049</v>
      </c>
      <c r="B1503" s="305" t="s">
        <v>1648</v>
      </c>
      <c r="C1503" s="305" t="s">
        <v>282</v>
      </c>
      <c r="D1503" s="576">
        <v>3944.48</v>
      </c>
    </row>
    <row r="1504" spans="1:4" ht="13.5" x14ac:dyDescent="0.25">
      <c r="A1504" s="306">
        <v>98050</v>
      </c>
      <c r="B1504" s="305" t="s">
        <v>1649</v>
      </c>
      <c r="C1504" s="305" t="s">
        <v>282</v>
      </c>
      <c r="D1504" s="575">
        <v>181.9</v>
      </c>
    </row>
    <row r="1505" spans="1:4" ht="13.5" x14ac:dyDescent="0.25">
      <c r="A1505" s="306">
        <v>98051</v>
      </c>
      <c r="B1505" s="305" t="s">
        <v>1650</v>
      </c>
      <c r="C1505" s="305" t="s">
        <v>282</v>
      </c>
      <c r="D1505" s="575">
        <v>842.02</v>
      </c>
    </row>
    <row r="1506" spans="1:4" ht="13.5" x14ac:dyDescent="0.25">
      <c r="A1506" s="306">
        <v>98405</v>
      </c>
      <c r="B1506" s="305" t="s">
        <v>1651</v>
      </c>
      <c r="C1506" s="305" t="s">
        <v>363</v>
      </c>
      <c r="D1506" s="576">
        <v>2205.77</v>
      </c>
    </row>
    <row r="1507" spans="1:4" ht="13.5" x14ac:dyDescent="0.25">
      <c r="A1507" s="306">
        <v>98406</v>
      </c>
      <c r="B1507" s="305" t="s">
        <v>1652</v>
      </c>
      <c r="C1507" s="305" t="s">
        <v>363</v>
      </c>
      <c r="D1507" s="576">
        <v>5409.34</v>
      </c>
    </row>
    <row r="1508" spans="1:4" ht="13.5" x14ac:dyDescent="0.25">
      <c r="A1508" s="306">
        <v>98407</v>
      </c>
      <c r="B1508" s="305" t="s">
        <v>1653</v>
      </c>
      <c r="C1508" s="305" t="s">
        <v>363</v>
      </c>
      <c r="D1508" s="576">
        <v>3538.54</v>
      </c>
    </row>
    <row r="1509" spans="1:4" ht="13.5" x14ac:dyDescent="0.25">
      <c r="A1509" s="306">
        <v>98408</v>
      </c>
      <c r="B1509" s="305" t="s">
        <v>1654</v>
      </c>
      <c r="C1509" s="305" t="s">
        <v>363</v>
      </c>
      <c r="D1509" s="576">
        <v>4151.1099999999997</v>
      </c>
    </row>
    <row r="1510" spans="1:4" ht="13.5" x14ac:dyDescent="0.25">
      <c r="A1510" s="306">
        <v>98409</v>
      </c>
      <c r="B1510" s="305" t="s">
        <v>1655</v>
      </c>
      <c r="C1510" s="305" t="s">
        <v>282</v>
      </c>
      <c r="D1510" s="575">
        <v>262.58999999999997</v>
      </c>
    </row>
    <row r="1511" spans="1:4" ht="13.5" x14ac:dyDescent="0.25">
      <c r="A1511" s="306">
        <v>98414</v>
      </c>
      <c r="B1511" s="305" t="s">
        <v>1656</v>
      </c>
      <c r="C1511" s="305" t="s">
        <v>363</v>
      </c>
      <c r="D1511" s="575">
        <v>989.93</v>
      </c>
    </row>
    <row r="1512" spans="1:4" ht="13.5" x14ac:dyDescent="0.25">
      <c r="A1512" s="306">
        <v>98415</v>
      </c>
      <c r="B1512" s="305" t="s">
        <v>1657</v>
      </c>
      <c r="C1512" s="305" t="s">
        <v>363</v>
      </c>
      <c r="D1512" s="575">
        <v>989.93</v>
      </c>
    </row>
    <row r="1513" spans="1:4" ht="13.5" x14ac:dyDescent="0.25">
      <c r="A1513" s="306">
        <v>98416</v>
      </c>
      <c r="B1513" s="305" t="s">
        <v>1658</v>
      </c>
      <c r="C1513" s="305" t="s">
        <v>363</v>
      </c>
      <c r="D1513" s="576">
        <v>1161.48</v>
      </c>
    </row>
    <row r="1514" spans="1:4" ht="13.5" x14ac:dyDescent="0.25">
      <c r="A1514" s="306">
        <v>98417</v>
      </c>
      <c r="B1514" s="305" t="s">
        <v>1659</v>
      </c>
      <c r="C1514" s="305" t="s">
        <v>363</v>
      </c>
      <c r="D1514" s="576">
        <v>1333.03</v>
      </c>
    </row>
    <row r="1515" spans="1:4" ht="13.5" x14ac:dyDescent="0.25">
      <c r="A1515" s="306">
        <v>98418</v>
      </c>
      <c r="B1515" s="305" t="s">
        <v>1660</v>
      </c>
      <c r="C1515" s="305" t="s">
        <v>363</v>
      </c>
      <c r="D1515" s="576">
        <v>1423.98</v>
      </c>
    </row>
    <row r="1516" spans="1:4" ht="13.5" x14ac:dyDescent="0.25">
      <c r="A1516" s="306">
        <v>98419</v>
      </c>
      <c r="B1516" s="305" t="s">
        <v>1661</v>
      </c>
      <c r="C1516" s="305" t="s">
        <v>363</v>
      </c>
      <c r="D1516" s="576">
        <v>1514.93</v>
      </c>
    </row>
    <row r="1517" spans="1:4" ht="13.5" x14ac:dyDescent="0.25">
      <c r="A1517" s="306">
        <v>98420</v>
      </c>
      <c r="B1517" s="305" t="s">
        <v>1662</v>
      </c>
      <c r="C1517" s="305" t="s">
        <v>363</v>
      </c>
      <c r="D1517" s="576">
        <v>1459.67</v>
      </c>
    </row>
    <row r="1518" spans="1:4" ht="13.5" x14ac:dyDescent="0.25">
      <c r="A1518" s="306">
        <v>98421</v>
      </c>
      <c r="B1518" s="305" t="s">
        <v>1663</v>
      </c>
      <c r="C1518" s="305" t="s">
        <v>363</v>
      </c>
      <c r="D1518" s="576">
        <v>1631.22</v>
      </c>
    </row>
    <row r="1519" spans="1:4" ht="13.5" x14ac:dyDescent="0.25">
      <c r="A1519" s="306">
        <v>98422</v>
      </c>
      <c r="B1519" s="305" t="s">
        <v>1664</v>
      </c>
      <c r="C1519" s="305" t="s">
        <v>363</v>
      </c>
      <c r="D1519" s="576">
        <v>1802.77</v>
      </c>
    </row>
    <row r="1520" spans="1:4" ht="13.5" x14ac:dyDescent="0.25">
      <c r="A1520" s="306">
        <v>98423</v>
      </c>
      <c r="B1520" s="305" t="s">
        <v>1665</v>
      </c>
      <c r="C1520" s="305" t="s">
        <v>363</v>
      </c>
      <c r="D1520" s="576">
        <v>1893.72</v>
      </c>
    </row>
    <row r="1521" spans="1:4" ht="13.5" x14ac:dyDescent="0.25">
      <c r="A1521" s="306">
        <v>98424</v>
      </c>
      <c r="B1521" s="305" t="s">
        <v>1666</v>
      </c>
      <c r="C1521" s="305" t="s">
        <v>363</v>
      </c>
      <c r="D1521" s="576">
        <v>1984.67</v>
      </c>
    </row>
    <row r="1522" spans="1:4" ht="13.5" x14ac:dyDescent="0.25">
      <c r="A1522" s="306">
        <v>98425</v>
      </c>
      <c r="B1522" s="305" t="s">
        <v>1667</v>
      </c>
      <c r="C1522" s="305" t="s">
        <v>363</v>
      </c>
      <c r="D1522" s="576">
        <v>2607.71</v>
      </c>
    </row>
    <row r="1523" spans="1:4" ht="13.5" x14ac:dyDescent="0.25">
      <c r="A1523" s="306">
        <v>98426</v>
      </c>
      <c r="B1523" s="305" t="s">
        <v>1668</v>
      </c>
      <c r="C1523" s="305" t="s">
        <v>363</v>
      </c>
      <c r="D1523" s="576">
        <v>3361.06</v>
      </c>
    </row>
    <row r="1524" spans="1:4" ht="13.5" x14ac:dyDescent="0.25">
      <c r="A1524" s="306">
        <v>98427</v>
      </c>
      <c r="B1524" s="305" t="s">
        <v>1669</v>
      </c>
      <c r="C1524" s="305" t="s">
        <v>363</v>
      </c>
      <c r="D1524" s="576">
        <v>4114.41</v>
      </c>
    </row>
    <row r="1525" spans="1:4" ht="13.5" x14ac:dyDescent="0.25">
      <c r="A1525" s="306">
        <v>98428</v>
      </c>
      <c r="B1525" s="305" t="s">
        <v>1670</v>
      </c>
      <c r="C1525" s="305" t="s">
        <v>363</v>
      </c>
      <c r="D1525" s="576">
        <v>4535.42</v>
      </c>
    </row>
    <row r="1526" spans="1:4" ht="13.5" x14ac:dyDescent="0.25">
      <c r="A1526" s="306">
        <v>98429</v>
      </c>
      <c r="B1526" s="305" t="s">
        <v>1671</v>
      </c>
      <c r="C1526" s="305" t="s">
        <v>363</v>
      </c>
      <c r="D1526" s="576">
        <v>4956.43</v>
      </c>
    </row>
    <row r="1527" spans="1:4" ht="13.5" x14ac:dyDescent="0.25">
      <c r="A1527" s="306">
        <v>98430</v>
      </c>
      <c r="B1527" s="305" t="s">
        <v>1672</v>
      </c>
      <c r="C1527" s="305" t="s">
        <v>363</v>
      </c>
      <c r="D1527" s="576">
        <v>3077.45</v>
      </c>
    </row>
    <row r="1528" spans="1:4" ht="13.5" x14ac:dyDescent="0.25">
      <c r="A1528" s="306">
        <v>98431</v>
      </c>
      <c r="B1528" s="305" t="s">
        <v>1673</v>
      </c>
      <c r="C1528" s="305" t="s">
        <v>363</v>
      </c>
      <c r="D1528" s="576">
        <v>3830.8</v>
      </c>
    </row>
    <row r="1529" spans="1:4" ht="13.5" x14ac:dyDescent="0.25">
      <c r="A1529" s="306">
        <v>98432</v>
      </c>
      <c r="B1529" s="305" t="s">
        <v>1674</v>
      </c>
      <c r="C1529" s="305" t="s">
        <v>363</v>
      </c>
      <c r="D1529" s="576">
        <v>4584.1499999999996</v>
      </c>
    </row>
    <row r="1530" spans="1:4" ht="13.5" x14ac:dyDescent="0.25">
      <c r="A1530" s="306">
        <v>98433</v>
      </c>
      <c r="B1530" s="305" t="s">
        <v>1675</v>
      </c>
      <c r="C1530" s="305" t="s">
        <v>363</v>
      </c>
      <c r="D1530" s="576">
        <v>5005.16</v>
      </c>
    </row>
    <row r="1531" spans="1:4" ht="13.5" x14ac:dyDescent="0.25">
      <c r="A1531" s="306">
        <v>98434</v>
      </c>
      <c r="B1531" s="305" t="s">
        <v>1676</v>
      </c>
      <c r="C1531" s="305" t="s">
        <v>363</v>
      </c>
      <c r="D1531" s="576">
        <v>5426.17</v>
      </c>
    </row>
    <row r="1532" spans="1:4" ht="13.5" x14ac:dyDescent="0.25">
      <c r="A1532" s="306">
        <v>99240</v>
      </c>
      <c r="B1532" s="305" t="s">
        <v>1677</v>
      </c>
      <c r="C1532" s="305" t="s">
        <v>282</v>
      </c>
      <c r="D1532" s="575">
        <v>438.2</v>
      </c>
    </row>
    <row r="1533" spans="1:4" ht="13.5" x14ac:dyDescent="0.25">
      <c r="A1533" s="306">
        <v>99241</v>
      </c>
      <c r="B1533" s="305" t="s">
        <v>1678</v>
      </c>
      <c r="C1533" s="305" t="s">
        <v>282</v>
      </c>
      <c r="D1533" s="576">
        <v>1578.36</v>
      </c>
    </row>
    <row r="1534" spans="1:4" ht="13.5" x14ac:dyDescent="0.25">
      <c r="A1534" s="306">
        <v>99242</v>
      </c>
      <c r="B1534" s="305" t="s">
        <v>1679</v>
      </c>
      <c r="C1534" s="305" t="s">
        <v>363</v>
      </c>
      <c r="D1534" s="576">
        <v>2519.1999999999998</v>
      </c>
    </row>
    <row r="1535" spans="1:4" ht="13.5" x14ac:dyDescent="0.25">
      <c r="A1535" s="306">
        <v>99243</v>
      </c>
      <c r="B1535" s="305" t="s">
        <v>1680</v>
      </c>
      <c r="C1535" s="305" t="s">
        <v>282</v>
      </c>
      <c r="D1535" s="576">
        <v>1435.78</v>
      </c>
    </row>
    <row r="1536" spans="1:4" ht="13.5" x14ac:dyDescent="0.25">
      <c r="A1536" s="306">
        <v>99244</v>
      </c>
      <c r="B1536" s="305" t="s">
        <v>1681</v>
      </c>
      <c r="C1536" s="305" t="s">
        <v>363</v>
      </c>
      <c r="D1536" s="576">
        <v>4315.97</v>
      </c>
    </row>
    <row r="1537" spans="1:4" ht="13.5" x14ac:dyDescent="0.25">
      <c r="A1537" s="306">
        <v>99246</v>
      </c>
      <c r="B1537" s="305" t="s">
        <v>1682</v>
      </c>
      <c r="C1537" s="305" t="s">
        <v>282</v>
      </c>
      <c r="D1537" s="575">
        <v>628.91999999999996</v>
      </c>
    </row>
    <row r="1538" spans="1:4" ht="13.5" x14ac:dyDescent="0.25">
      <c r="A1538" s="306">
        <v>99247</v>
      </c>
      <c r="B1538" s="305" t="s">
        <v>1683</v>
      </c>
      <c r="C1538" s="305" t="s">
        <v>282</v>
      </c>
      <c r="D1538" s="576">
        <v>1801.37</v>
      </c>
    </row>
    <row r="1539" spans="1:4" ht="13.5" x14ac:dyDescent="0.25">
      <c r="A1539" s="306">
        <v>99248</v>
      </c>
      <c r="B1539" s="305" t="s">
        <v>1684</v>
      </c>
      <c r="C1539" s="305" t="s">
        <v>363</v>
      </c>
      <c r="D1539" s="576">
        <v>3207.59</v>
      </c>
    </row>
    <row r="1540" spans="1:4" ht="13.5" x14ac:dyDescent="0.25">
      <c r="A1540" s="306">
        <v>99249</v>
      </c>
      <c r="B1540" s="305" t="s">
        <v>1685</v>
      </c>
      <c r="C1540" s="305" t="s">
        <v>282</v>
      </c>
      <c r="D1540" s="576">
        <v>1755.64</v>
      </c>
    </row>
    <row r="1541" spans="1:4" ht="13.5" x14ac:dyDescent="0.25">
      <c r="A1541" s="306">
        <v>99252</v>
      </c>
      <c r="B1541" s="305" t="s">
        <v>1686</v>
      </c>
      <c r="C1541" s="305" t="s">
        <v>363</v>
      </c>
      <c r="D1541" s="576">
        <v>2255.27</v>
      </c>
    </row>
    <row r="1542" spans="1:4" ht="13.5" x14ac:dyDescent="0.25">
      <c r="A1542" s="306">
        <v>99254</v>
      </c>
      <c r="B1542" s="305" t="s">
        <v>1687</v>
      </c>
      <c r="C1542" s="305" t="s">
        <v>282</v>
      </c>
      <c r="D1542" s="576">
        <v>1132.3599999999999</v>
      </c>
    </row>
    <row r="1543" spans="1:4" ht="13.5" x14ac:dyDescent="0.25">
      <c r="A1543" s="306">
        <v>99256</v>
      </c>
      <c r="B1543" s="305" t="s">
        <v>1688</v>
      </c>
      <c r="C1543" s="305" t="s">
        <v>363</v>
      </c>
      <c r="D1543" s="576">
        <v>5069.33</v>
      </c>
    </row>
    <row r="1544" spans="1:4" ht="13.5" x14ac:dyDescent="0.25">
      <c r="A1544" s="306">
        <v>99259</v>
      </c>
      <c r="B1544" s="305" t="s">
        <v>1689</v>
      </c>
      <c r="C1544" s="305" t="s">
        <v>363</v>
      </c>
      <c r="D1544" s="576">
        <v>2852.26</v>
      </c>
    </row>
    <row r="1545" spans="1:4" ht="13.5" x14ac:dyDescent="0.25">
      <c r="A1545" s="306">
        <v>99261</v>
      </c>
      <c r="B1545" s="305" t="s">
        <v>1690</v>
      </c>
      <c r="C1545" s="305" t="s">
        <v>282</v>
      </c>
      <c r="D1545" s="576">
        <v>1355.35</v>
      </c>
    </row>
    <row r="1546" spans="1:4" ht="13.5" x14ac:dyDescent="0.25">
      <c r="A1546" s="306">
        <v>99263</v>
      </c>
      <c r="B1546" s="305" t="s">
        <v>1691</v>
      </c>
      <c r="C1546" s="305" t="s">
        <v>282</v>
      </c>
      <c r="D1546" s="576">
        <v>2024.42</v>
      </c>
    </row>
    <row r="1547" spans="1:4" ht="13.5" x14ac:dyDescent="0.25">
      <c r="A1547" s="306">
        <v>99265</v>
      </c>
      <c r="B1547" s="305" t="s">
        <v>1692</v>
      </c>
      <c r="C1547" s="305" t="s">
        <v>363</v>
      </c>
      <c r="D1547" s="576">
        <v>3449.18</v>
      </c>
    </row>
    <row r="1548" spans="1:4" ht="13.5" x14ac:dyDescent="0.25">
      <c r="A1548" s="306">
        <v>99266</v>
      </c>
      <c r="B1548" s="305" t="s">
        <v>1693</v>
      </c>
      <c r="C1548" s="305" t="s">
        <v>282</v>
      </c>
      <c r="D1548" s="576">
        <v>1578.36</v>
      </c>
    </row>
    <row r="1549" spans="1:4" ht="13.5" x14ac:dyDescent="0.25">
      <c r="A1549" s="306">
        <v>99267</v>
      </c>
      <c r="B1549" s="305" t="s">
        <v>1694</v>
      </c>
      <c r="C1549" s="305" t="s">
        <v>363</v>
      </c>
      <c r="D1549" s="576">
        <v>4046.13</v>
      </c>
    </row>
    <row r="1550" spans="1:4" ht="13.5" x14ac:dyDescent="0.25">
      <c r="A1550" s="306">
        <v>99269</v>
      </c>
      <c r="B1550" s="305" t="s">
        <v>1695</v>
      </c>
      <c r="C1550" s="305" t="s">
        <v>282</v>
      </c>
      <c r="D1550" s="576">
        <v>1801.37</v>
      </c>
    </row>
    <row r="1551" spans="1:4" ht="13.5" x14ac:dyDescent="0.25">
      <c r="A1551" s="306">
        <v>99271</v>
      </c>
      <c r="B1551" s="305" t="s">
        <v>1696</v>
      </c>
      <c r="C1551" s="305" t="s">
        <v>363</v>
      </c>
      <c r="D1551" s="576">
        <v>5822.56</v>
      </c>
    </row>
    <row r="1552" spans="1:4" ht="13.5" x14ac:dyDescent="0.25">
      <c r="A1552" s="306">
        <v>99272</v>
      </c>
      <c r="B1552" s="305" t="s">
        <v>1697</v>
      </c>
      <c r="C1552" s="305" t="s">
        <v>363</v>
      </c>
      <c r="D1552" s="575">
        <v>930.85</v>
      </c>
    </row>
    <row r="1553" spans="1:4" ht="13.5" x14ac:dyDescent="0.25">
      <c r="A1553" s="306">
        <v>99273</v>
      </c>
      <c r="B1553" s="305" t="s">
        <v>1698</v>
      </c>
      <c r="C1553" s="305" t="s">
        <v>363</v>
      </c>
      <c r="D1553" s="576">
        <v>1342.55</v>
      </c>
    </row>
    <row r="1554" spans="1:4" ht="13.5" x14ac:dyDescent="0.25">
      <c r="A1554" s="306">
        <v>99274</v>
      </c>
      <c r="B1554" s="305" t="s">
        <v>1699</v>
      </c>
      <c r="C1554" s="305" t="s">
        <v>363</v>
      </c>
      <c r="D1554" s="576">
        <v>4672.53</v>
      </c>
    </row>
    <row r="1555" spans="1:4" ht="13.5" x14ac:dyDescent="0.25">
      <c r="A1555" s="306">
        <v>99276</v>
      </c>
      <c r="B1555" s="305" t="s">
        <v>1700</v>
      </c>
      <c r="C1555" s="305" t="s">
        <v>282</v>
      </c>
      <c r="D1555" s="576">
        <v>2247.4299999999998</v>
      </c>
    </row>
    <row r="1556" spans="1:4" ht="13.5" x14ac:dyDescent="0.25">
      <c r="A1556" s="306">
        <v>99277</v>
      </c>
      <c r="B1556" s="305" t="s">
        <v>1701</v>
      </c>
      <c r="C1556" s="305" t="s">
        <v>282</v>
      </c>
      <c r="D1556" s="576">
        <v>2024.42</v>
      </c>
    </row>
    <row r="1557" spans="1:4" ht="13.5" x14ac:dyDescent="0.25">
      <c r="A1557" s="306">
        <v>99278</v>
      </c>
      <c r="B1557" s="305" t="s">
        <v>1702</v>
      </c>
      <c r="C1557" s="305" t="s">
        <v>282</v>
      </c>
      <c r="D1557" s="575">
        <v>256.22000000000003</v>
      </c>
    </row>
    <row r="1558" spans="1:4" ht="13.5" x14ac:dyDescent="0.25">
      <c r="A1558" s="306">
        <v>99279</v>
      </c>
      <c r="B1558" s="305" t="s">
        <v>1703</v>
      </c>
      <c r="C1558" s="305" t="s">
        <v>363</v>
      </c>
      <c r="D1558" s="576">
        <v>5273.11</v>
      </c>
    </row>
    <row r="1559" spans="1:4" ht="13.5" x14ac:dyDescent="0.25">
      <c r="A1559" s="306">
        <v>99280</v>
      </c>
      <c r="B1559" s="305" t="s">
        <v>1704</v>
      </c>
      <c r="C1559" s="305" t="s">
        <v>363</v>
      </c>
      <c r="D1559" s="576">
        <v>1731.47</v>
      </c>
    </row>
    <row r="1560" spans="1:4" ht="13.5" x14ac:dyDescent="0.25">
      <c r="A1560" s="306">
        <v>99281</v>
      </c>
      <c r="B1560" s="305" t="s">
        <v>1705</v>
      </c>
      <c r="C1560" s="305" t="s">
        <v>282</v>
      </c>
      <c r="D1560" s="576">
        <v>2247.4299999999998</v>
      </c>
    </row>
    <row r="1561" spans="1:4" ht="13.5" x14ac:dyDescent="0.25">
      <c r="A1561" s="306">
        <v>99282</v>
      </c>
      <c r="B1561" s="305" t="s">
        <v>1706</v>
      </c>
      <c r="C1561" s="305" t="s">
        <v>282</v>
      </c>
      <c r="D1561" s="576">
        <v>2505.48</v>
      </c>
    </row>
    <row r="1562" spans="1:4" ht="13.5" x14ac:dyDescent="0.25">
      <c r="A1562" s="306">
        <v>99283</v>
      </c>
      <c r="B1562" s="305" t="s">
        <v>1707</v>
      </c>
      <c r="C1562" s="305" t="s">
        <v>282</v>
      </c>
      <c r="D1562" s="576">
        <v>1009.27</v>
      </c>
    </row>
    <row r="1563" spans="1:4" ht="13.5" x14ac:dyDescent="0.25">
      <c r="A1563" s="306">
        <v>99284</v>
      </c>
      <c r="B1563" s="305" t="s">
        <v>1708</v>
      </c>
      <c r="C1563" s="305" t="s">
        <v>363</v>
      </c>
      <c r="D1563" s="576">
        <v>6575.92</v>
      </c>
    </row>
    <row r="1564" spans="1:4" ht="13.5" x14ac:dyDescent="0.25">
      <c r="A1564" s="306">
        <v>99286</v>
      </c>
      <c r="B1564" s="305" t="s">
        <v>1709</v>
      </c>
      <c r="C1564" s="305" t="s">
        <v>363</v>
      </c>
      <c r="D1564" s="576">
        <v>5873.84</v>
      </c>
    </row>
    <row r="1565" spans="1:4" ht="13.5" x14ac:dyDescent="0.25">
      <c r="A1565" s="306">
        <v>99287</v>
      </c>
      <c r="B1565" s="305" t="s">
        <v>1710</v>
      </c>
      <c r="C1565" s="305" t="s">
        <v>363</v>
      </c>
      <c r="D1565" s="576">
        <v>8338.75</v>
      </c>
    </row>
    <row r="1566" spans="1:4" ht="13.5" x14ac:dyDescent="0.25">
      <c r="A1566" s="306">
        <v>99288</v>
      </c>
      <c r="B1566" s="305" t="s">
        <v>1711</v>
      </c>
      <c r="C1566" s="305" t="s">
        <v>282</v>
      </c>
      <c r="D1566" s="575">
        <v>334.74</v>
      </c>
    </row>
    <row r="1567" spans="1:4" ht="13.5" x14ac:dyDescent="0.25">
      <c r="A1567" s="306">
        <v>99289</v>
      </c>
      <c r="B1567" s="305" t="s">
        <v>1712</v>
      </c>
      <c r="C1567" s="305" t="s">
        <v>282</v>
      </c>
      <c r="D1567" s="576">
        <v>2470.4299999999998</v>
      </c>
    </row>
    <row r="1568" spans="1:4" ht="13.5" x14ac:dyDescent="0.25">
      <c r="A1568" s="306">
        <v>99290</v>
      </c>
      <c r="B1568" s="305" t="s">
        <v>1713</v>
      </c>
      <c r="C1568" s="305" t="s">
        <v>363</v>
      </c>
      <c r="D1568" s="576">
        <v>3539.47</v>
      </c>
    </row>
    <row r="1569" spans="1:4" ht="13.5" x14ac:dyDescent="0.25">
      <c r="A1569" s="306">
        <v>99291</v>
      </c>
      <c r="B1569" s="305" t="s">
        <v>1714</v>
      </c>
      <c r="C1569" s="305" t="s">
        <v>282</v>
      </c>
      <c r="D1569" s="576">
        <v>2470.4299999999998</v>
      </c>
    </row>
    <row r="1570" spans="1:4" ht="13.5" x14ac:dyDescent="0.25">
      <c r="A1570" s="306">
        <v>99292</v>
      </c>
      <c r="B1570" s="305" t="s">
        <v>1715</v>
      </c>
      <c r="C1570" s="305" t="s">
        <v>363</v>
      </c>
      <c r="D1570" s="576">
        <v>2127.69</v>
      </c>
    </row>
    <row r="1571" spans="1:4" ht="13.5" x14ac:dyDescent="0.25">
      <c r="A1571" s="306">
        <v>99293</v>
      </c>
      <c r="B1571" s="305" t="s">
        <v>1716</v>
      </c>
      <c r="C1571" s="305" t="s">
        <v>282</v>
      </c>
      <c r="D1571" s="576">
        <v>1222.5</v>
      </c>
    </row>
    <row r="1572" spans="1:4" ht="13.5" x14ac:dyDescent="0.25">
      <c r="A1572" s="306">
        <v>99294</v>
      </c>
      <c r="B1572" s="305" t="s">
        <v>1717</v>
      </c>
      <c r="C1572" s="305" t="s">
        <v>363</v>
      </c>
      <c r="D1572" s="576">
        <v>7329.26</v>
      </c>
    </row>
    <row r="1573" spans="1:4" ht="13.5" x14ac:dyDescent="0.25">
      <c r="A1573" s="306">
        <v>99296</v>
      </c>
      <c r="B1573" s="305" t="s">
        <v>1718</v>
      </c>
      <c r="C1573" s="305" t="s">
        <v>282</v>
      </c>
      <c r="D1573" s="576">
        <v>2728.48</v>
      </c>
    </row>
    <row r="1574" spans="1:4" ht="13.5" x14ac:dyDescent="0.25">
      <c r="A1574" s="306">
        <v>99297</v>
      </c>
      <c r="B1574" s="305" t="s">
        <v>1719</v>
      </c>
      <c r="C1574" s="305" t="s">
        <v>282</v>
      </c>
      <c r="D1574" s="576">
        <v>2722.43</v>
      </c>
    </row>
    <row r="1575" spans="1:4" ht="13.5" x14ac:dyDescent="0.25">
      <c r="A1575" s="306">
        <v>99298</v>
      </c>
      <c r="B1575" s="305" t="s">
        <v>1720</v>
      </c>
      <c r="C1575" s="305" t="s">
        <v>363</v>
      </c>
      <c r="D1575" s="576">
        <v>9428.2999999999993</v>
      </c>
    </row>
    <row r="1576" spans="1:4" ht="13.5" x14ac:dyDescent="0.25">
      <c r="A1576" s="306">
        <v>99299</v>
      </c>
      <c r="B1576" s="305" t="s">
        <v>1721</v>
      </c>
      <c r="C1576" s="305" t="s">
        <v>282</v>
      </c>
      <c r="D1576" s="576">
        <v>2951.42</v>
      </c>
    </row>
    <row r="1577" spans="1:4" ht="13.5" x14ac:dyDescent="0.25">
      <c r="A1577" s="306">
        <v>99300</v>
      </c>
      <c r="B1577" s="305" t="s">
        <v>1722</v>
      </c>
      <c r="C1577" s="305" t="s">
        <v>363</v>
      </c>
      <c r="D1577" s="576">
        <v>10517.84</v>
      </c>
    </row>
    <row r="1578" spans="1:4" ht="13.5" x14ac:dyDescent="0.25">
      <c r="A1578" s="306">
        <v>99301</v>
      </c>
      <c r="B1578" s="305" t="s">
        <v>1723</v>
      </c>
      <c r="C1578" s="305" t="s">
        <v>363</v>
      </c>
      <c r="D1578" s="576">
        <v>5222.13</v>
      </c>
    </row>
    <row r="1579" spans="1:4" ht="13.5" x14ac:dyDescent="0.25">
      <c r="A1579" s="306">
        <v>99302</v>
      </c>
      <c r="B1579" s="305" t="s">
        <v>1724</v>
      </c>
      <c r="C1579" s="305" t="s">
        <v>282</v>
      </c>
      <c r="D1579" s="576">
        <v>3180.46</v>
      </c>
    </row>
    <row r="1580" spans="1:4" ht="13.5" x14ac:dyDescent="0.25">
      <c r="A1580" s="306">
        <v>99303</v>
      </c>
      <c r="B1580" s="305" t="s">
        <v>1725</v>
      </c>
      <c r="C1580" s="305" t="s">
        <v>363</v>
      </c>
      <c r="D1580" s="576">
        <v>9647.84</v>
      </c>
    </row>
    <row r="1581" spans="1:4" ht="13.5" x14ac:dyDescent="0.25">
      <c r="A1581" s="306">
        <v>99304</v>
      </c>
      <c r="B1581" s="305" t="s">
        <v>1726</v>
      </c>
      <c r="C1581" s="305" t="s">
        <v>282</v>
      </c>
      <c r="D1581" s="576">
        <v>2957.46</v>
      </c>
    </row>
    <row r="1582" spans="1:4" ht="13.5" x14ac:dyDescent="0.25">
      <c r="A1582" s="306">
        <v>99305</v>
      </c>
      <c r="B1582" s="305" t="s">
        <v>1727</v>
      </c>
      <c r="C1582" s="305" t="s">
        <v>363</v>
      </c>
      <c r="D1582" s="576">
        <v>10903.98</v>
      </c>
    </row>
    <row r="1583" spans="1:4" ht="13.5" x14ac:dyDescent="0.25">
      <c r="A1583" s="306">
        <v>99306</v>
      </c>
      <c r="B1583" s="305" t="s">
        <v>1728</v>
      </c>
      <c r="C1583" s="305" t="s">
        <v>282</v>
      </c>
      <c r="D1583" s="576">
        <v>3180.46</v>
      </c>
    </row>
    <row r="1584" spans="1:4" ht="13.5" x14ac:dyDescent="0.25">
      <c r="A1584" s="306">
        <v>99307</v>
      </c>
      <c r="B1584" s="305" t="s">
        <v>1729</v>
      </c>
      <c r="C1584" s="305" t="s">
        <v>282</v>
      </c>
      <c r="D1584" s="576">
        <v>2053.42</v>
      </c>
    </row>
    <row r="1585" spans="1:4" ht="13.5" x14ac:dyDescent="0.25">
      <c r="A1585" s="306">
        <v>99308</v>
      </c>
      <c r="B1585" s="305" t="s">
        <v>1730</v>
      </c>
      <c r="C1585" s="305" t="s">
        <v>363</v>
      </c>
      <c r="D1585" s="576">
        <v>12160.2</v>
      </c>
    </row>
    <row r="1586" spans="1:4" ht="13.5" x14ac:dyDescent="0.25">
      <c r="A1586" s="306">
        <v>99309</v>
      </c>
      <c r="B1586" s="305" t="s">
        <v>1731</v>
      </c>
      <c r="C1586" s="305" t="s">
        <v>282</v>
      </c>
      <c r="D1586" s="576">
        <v>3409.52</v>
      </c>
    </row>
    <row r="1587" spans="1:4" ht="13.5" x14ac:dyDescent="0.25">
      <c r="A1587" s="306">
        <v>99310</v>
      </c>
      <c r="B1587" s="305" t="s">
        <v>1732</v>
      </c>
      <c r="C1587" s="305" t="s">
        <v>363</v>
      </c>
      <c r="D1587" s="576">
        <v>12389.2</v>
      </c>
    </row>
    <row r="1588" spans="1:4" ht="13.5" x14ac:dyDescent="0.25">
      <c r="A1588" s="306">
        <v>99311</v>
      </c>
      <c r="B1588" s="305" t="s">
        <v>1733</v>
      </c>
      <c r="C1588" s="305" t="s">
        <v>282</v>
      </c>
      <c r="D1588" s="576">
        <v>3409.52</v>
      </c>
    </row>
    <row r="1589" spans="1:4" ht="13.5" x14ac:dyDescent="0.25">
      <c r="A1589" s="306">
        <v>99312</v>
      </c>
      <c r="B1589" s="305" t="s">
        <v>1734</v>
      </c>
      <c r="C1589" s="305" t="s">
        <v>363</v>
      </c>
      <c r="D1589" s="576">
        <v>6119.41</v>
      </c>
    </row>
    <row r="1590" spans="1:4" ht="13.5" x14ac:dyDescent="0.25">
      <c r="A1590" s="306">
        <v>99313</v>
      </c>
      <c r="B1590" s="305" t="s">
        <v>1735</v>
      </c>
      <c r="C1590" s="305" t="s">
        <v>363</v>
      </c>
      <c r="D1590" s="576">
        <v>13813.4</v>
      </c>
    </row>
    <row r="1591" spans="1:4" ht="13.5" x14ac:dyDescent="0.25">
      <c r="A1591" s="306">
        <v>99314</v>
      </c>
      <c r="B1591" s="305" t="s">
        <v>1736</v>
      </c>
      <c r="C1591" s="305" t="s">
        <v>282</v>
      </c>
      <c r="D1591" s="576">
        <v>3638.59</v>
      </c>
    </row>
    <row r="1592" spans="1:4" ht="13.5" x14ac:dyDescent="0.25">
      <c r="A1592" s="306">
        <v>99315</v>
      </c>
      <c r="B1592" s="305" t="s">
        <v>1737</v>
      </c>
      <c r="C1592" s="305" t="s">
        <v>363</v>
      </c>
      <c r="D1592" s="576">
        <v>15477.65</v>
      </c>
    </row>
    <row r="1593" spans="1:4" ht="13.5" x14ac:dyDescent="0.25">
      <c r="A1593" s="306">
        <v>99317</v>
      </c>
      <c r="B1593" s="305" t="s">
        <v>1738</v>
      </c>
      <c r="C1593" s="305" t="s">
        <v>282</v>
      </c>
      <c r="D1593" s="576">
        <v>2276.42</v>
      </c>
    </row>
    <row r="1594" spans="1:4" ht="13.5" x14ac:dyDescent="0.25">
      <c r="A1594" s="306">
        <v>99318</v>
      </c>
      <c r="B1594" s="305" t="s">
        <v>1739</v>
      </c>
      <c r="C1594" s="305" t="s">
        <v>282</v>
      </c>
      <c r="D1594" s="575">
        <v>179.04</v>
      </c>
    </row>
    <row r="1595" spans="1:4" ht="13.5" x14ac:dyDescent="0.25">
      <c r="A1595" s="306">
        <v>99319</v>
      </c>
      <c r="B1595" s="305" t="s">
        <v>1740</v>
      </c>
      <c r="C1595" s="305" t="s">
        <v>282</v>
      </c>
      <c r="D1595" s="575">
        <v>794.99</v>
      </c>
    </row>
    <row r="1596" spans="1:4" ht="13.5" x14ac:dyDescent="0.25">
      <c r="A1596" s="306">
        <v>99320</v>
      </c>
      <c r="B1596" s="305" t="s">
        <v>1741</v>
      </c>
      <c r="C1596" s="305" t="s">
        <v>363</v>
      </c>
      <c r="D1596" s="576">
        <v>7069.5</v>
      </c>
    </row>
    <row r="1597" spans="1:4" ht="13.5" x14ac:dyDescent="0.25">
      <c r="A1597" s="306">
        <v>99321</v>
      </c>
      <c r="B1597" s="305" t="s">
        <v>1742</v>
      </c>
      <c r="C1597" s="305" t="s">
        <v>282</v>
      </c>
      <c r="D1597" s="576">
        <v>2499.42</v>
      </c>
    </row>
    <row r="1598" spans="1:4" ht="13.5" x14ac:dyDescent="0.25">
      <c r="A1598" s="306">
        <v>99322</v>
      </c>
      <c r="B1598" s="305" t="s">
        <v>1743</v>
      </c>
      <c r="C1598" s="305" t="s">
        <v>363</v>
      </c>
      <c r="D1598" s="576">
        <v>7973.34</v>
      </c>
    </row>
    <row r="1599" spans="1:4" ht="13.5" x14ac:dyDescent="0.25">
      <c r="A1599" s="306">
        <v>99323</v>
      </c>
      <c r="B1599" s="305" t="s">
        <v>1744</v>
      </c>
      <c r="C1599" s="305" t="s">
        <v>282</v>
      </c>
      <c r="D1599" s="576">
        <v>2722.43</v>
      </c>
    </row>
    <row r="1600" spans="1:4" ht="13.5" x14ac:dyDescent="0.25">
      <c r="A1600" s="306">
        <v>99324</v>
      </c>
      <c r="B1600" s="305" t="s">
        <v>1745</v>
      </c>
      <c r="C1600" s="305" t="s">
        <v>363</v>
      </c>
      <c r="D1600" s="576">
        <v>8877.1200000000008</v>
      </c>
    </row>
    <row r="1601" spans="1:4" ht="13.5" x14ac:dyDescent="0.25">
      <c r="A1601" s="306">
        <v>99325</v>
      </c>
      <c r="B1601" s="305" t="s">
        <v>1746</v>
      </c>
      <c r="C1601" s="305" t="s">
        <v>282</v>
      </c>
      <c r="D1601" s="576">
        <v>2951.42</v>
      </c>
    </row>
    <row r="1602" spans="1:4" ht="13.5" x14ac:dyDescent="0.25">
      <c r="A1602" s="306">
        <v>99326</v>
      </c>
      <c r="B1602" s="305" t="s">
        <v>1747</v>
      </c>
      <c r="C1602" s="305" t="s">
        <v>363</v>
      </c>
      <c r="D1602" s="576">
        <v>7249.19</v>
      </c>
    </row>
    <row r="1603" spans="1:4" ht="13.5" x14ac:dyDescent="0.25">
      <c r="A1603" s="306">
        <v>99327</v>
      </c>
      <c r="B1603" s="305" t="s">
        <v>1748</v>
      </c>
      <c r="C1603" s="305" t="s">
        <v>282</v>
      </c>
      <c r="D1603" s="576">
        <v>3808.4</v>
      </c>
    </row>
    <row r="1604" spans="1:4" ht="13.5" x14ac:dyDescent="0.25">
      <c r="A1604" s="306">
        <v>94263</v>
      </c>
      <c r="B1604" s="305" t="s">
        <v>1749</v>
      </c>
      <c r="C1604" s="305" t="s">
        <v>282</v>
      </c>
      <c r="D1604" s="575">
        <v>27.89</v>
      </c>
    </row>
    <row r="1605" spans="1:4" ht="13.5" x14ac:dyDescent="0.25">
      <c r="A1605" s="306">
        <v>94264</v>
      </c>
      <c r="B1605" s="305" t="s">
        <v>1750</v>
      </c>
      <c r="C1605" s="305" t="s">
        <v>282</v>
      </c>
      <c r="D1605" s="575">
        <v>30.88</v>
      </c>
    </row>
    <row r="1606" spans="1:4" ht="13.5" x14ac:dyDescent="0.25">
      <c r="A1606" s="306">
        <v>94265</v>
      </c>
      <c r="B1606" s="305" t="s">
        <v>1751</v>
      </c>
      <c r="C1606" s="305" t="s">
        <v>282</v>
      </c>
      <c r="D1606" s="575">
        <v>37.020000000000003</v>
      </c>
    </row>
    <row r="1607" spans="1:4" ht="13.5" x14ac:dyDescent="0.25">
      <c r="A1607" s="306">
        <v>94266</v>
      </c>
      <c r="B1607" s="305" t="s">
        <v>1752</v>
      </c>
      <c r="C1607" s="305" t="s">
        <v>282</v>
      </c>
      <c r="D1607" s="575">
        <v>40.43</v>
      </c>
    </row>
    <row r="1608" spans="1:4" ht="13.5" x14ac:dyDescent="0.25">
      <c r="A1608" s="306">
        <v>94267</v>
      </c>
      <c r="B1608" s="305" t="s">
        <v>1753</v>
      </c>
      <c r="C1608" s="305" t="s">
        <v>282</v>
      </c>
      <c r="D1608" s="575">
        <v>44.14</v>
      </c>
    </row>
    <row r="1609" spans="1:4" ht="13.5" x14ac:dyDescent="0.25">
      <c r="A1609" s="306">
        <v>94268</v>
      </c>
      <c r="B1609" s="305" t="s">
        <v>1754</v>
      </c>
      <c r="C1609" s="305" t="s">
        <v>282</v>
      </c>
      <c r="D1609" s="575">
        <v>47.91</v>
      </c>
    </row>
    <row r="1610" spans="1:4" ht="13.5" x14ac:dyDescent="0.25">
      <c r="A1610" s="306">
        <v>94269</v>
      </c>
      <c r="B1610" s="305" t="s">
        <v>1755</v>
      </c>
      <c r="C1610" s="305" t="s">
        <v>282</v>
      </c>
      <c r="D1610" s="575">
        <v>63.42</v>
      </c>
    </row>
    <row r="1611" spans="1:4" ht="13.5" x14ac:dyDescent="0.25">
      <c r="A1611" s="306">
        <v>94270</v>
      </c>
      <c r="B1611" s="305" t="s">
        <v>1756</v>
      </c>
      <c r="C1611" s="305" t="s">
        <v>282</v>
      </c>
      <c r="D1611" s="575">
        <v>68.66</v>
      </c>
    </row>
    <row r="1612" spans="1:4" ht="13.5" x14ac:dyDescent="0.25">
      <c r="A1612" s="306">
        <v>94271</v>
      </c>
      <c r="B1612" s="305" t="s">
        <v>1757</v>
      </c>
      <c r="C1612" s="305" t="s">
        <v>282</v>
      </c>
      <c r="D1612" s="575">
        <v>77.41</v>
      </c>
    </row>
    <row r="1613" spans="1:4" ht="13.5" x14ac:dyDescent="0.25">
      <c r="A1613" s="306">
        <v>94272</v>
      </c>
      <c r="B1613" s="305" t="s">
        <v>1758</v>
      </c>
      <c r="C1613" s="305" t="s">
        <v>282</v>
      </c>
      <c r="D1613" s="575">
        <v>84.42</v>
      </c>
    </row>
    <row r="1614" spans="1:4" ht="13.5" x14ac:dyDescent="0.25">
      <c r="A1614" s="306">
        <v>94273</v>
      </c>
      <c r="B1614" s="305" t="s">
        <v>1759</v>
      </c>
      <c r="C1614" s="305" t="s">
        <v>282</v>
      </c>
      <c r="D1614" s="575">
        <v>40.82</v>
      </c>
    </row>
    <row r="1615" spans="1:4" ht="13.5" x14ac:dyDescent="0.25">
      <c r="A1615" s="306">
        <v>94274</v>
      </c>
      <c r="B1615" s="305" t="s">
        <v>1760</v>
      </c>
      <c r="C1615" s="305" t="s">
        <v>282</v>
      </c>
      <c r="D1615" s="575">
        <v>44.15</v>
      </c>
    </row>
    <row r="1616" spans="1:4" ht="13.5" x14ac:dyDescent="0.25">
      <c r="A1616" s="306">
        <v>94275</v>
      </c>
      <c r="B1616" s="305" t="s">
        <v>1761</v>
      </c>
      <c r="C1616" s="305" t="s">
        <v>282</v>
      </c>
      <c r="D1616" s="575">
        <v>38.99</v>
      </c>
    </row>
    <row r="1617" spans="1:4" ht="13.5" x14ac:dyDescent="0.25">
      <c r="A1617" s="306">
        <v>94276</v>
      </c>
      <c r="B1617" s="305" t="s">
        <v>1762</v>
      </c>
      <c r="C1617" s="305" t="s">
        <v>282</v>
      </c>
      <c r="D1617" s="575">
        <v>42.32</v>
      </c>
    </row>
    <row r="1618" spans="1:4" ht="13.5" x14ac:dyDescent="0.25">
      <c r="A1618" s="306">
        <v>94281</v>
      </c>
      <c r="B1618" s="305" t="s">
        <v>1763</v>
      </c>
      <c r="C1618" s="305" t="s">
        <v>282</v>
      </c>
      <c r="D1618" s="575">
        <v>43.35</v>
      </c>
    </row>
    <row r="1619" spans="1:4" ht="13.5" x14ac:dyDescent="0.25">
      <c r="A1619" s="306">
        <v>94282</v>
      </c>
      <c r="B1619" s="305" t="s">
        <v>1764</v>
      </c>
      <c r="C1619" s="305" t="s">
        <v>282</v>
      </c>
      <c r="D1619" s="575">
        <v>53.48</v>
      </c>
    </row>
    <row r="1620" spans="1:4" ht="13.5" x14ac:dyDescent="0.25">
      <c r="A1620" s="306">
        <v>94283</v>
      </c>
      <c r="B1620" s="305" t="s">
        <v>1765</v>
      </c>
      <c r="C1620" s="305" t="s">
        <v>282</v>
      </c>
      <c r="D1620" s="575">
        <v>56.73</v>
      </c>
    </row>
    <row r="1621" spans="1:4" ht="13.5" x14ac:dyDescent="0.25">
      <c r="A1621" s="306">
        <v>94284</v>
      </c>
      <c r="B1621" s="305" t="s">
        <v>1766</v>
      </c>
      <c r="C1621" s="305" t="s">
        <v>282</v>
      </c>
      <c r="D1621" s="575">
        <v>66.86</v>
      </c>
    </row>
    <row r="1622" spans="1:4" ht="13.5" x14ac:dyDescent="0.25">
      <c r="A1622" s="306">
        <v>94285</v>
      </c>
      <c r="B1622" s="305" t="s">
        <v>1767</v>
      </c>
      <c r="C1622" s="305" t="s">
        <v>282</v>
      </c>
      <c r="D1622" s="575">
        <v>69.62</v>
      </c>
    </row>
    <row r="1623" spans="1:4" ht="13.5" x14ac:dyDescent="0.25">
      <c r="A1623" s="306">
        <v>94286</v>
      </c>
      <c r="B1623" s="305" t="s">
        <v>1768</v>
      </c>
      <c r="C1623" s="305" t="s">
        <v>282</v>
      </c>
      <c r="D1623" s="575">
        <v>79.75</v>
      </c>
    </row>
    <row r="1624" spans="1:4" ht="13.5" x14ac:dyDescent="0.25">
      <c r="A1624" s="306">
        <v>94287</v>
      </c>
      <c r="B1624" s="305" t="s">
        <v>1769</v>
      </c>
      <c r="C1624" s="305" t="s">
        <v>282</v>
      </c>
      <c r="D1624" s="575">
        <v>33.619999999999997</v>
      </c>
    </row>
    <row r="1625" spans="1:4" ht="13.5" x14ac:dyDescent="0.25">
      <c r="A1625" s="306">
        <v>94288</v>
      </c>
      <c r="B1625" s="305" t="s">
        <v>1770</v>
      </c>
      <c r="C1625" s="305" t="s">
        <v>282</v>
      </c>
      <c r="D1625" s="575">
        <v>42.47</v>
      </c>
    </row>
    <row r="1626" spans="1:4" ht="13.5" x14ac:dyDescent="0.25">
      <c r="A1626" s="306">
        <v>94289</v>
      </c>
      <c r="B1626" s="305" t="s">
        <v>1771</v>
      </c>
      <c r="C1626" s="305" t="s">
        <v>282</v>
      </c>
      <c r="D1626" s="575">
        <v>43.16</v>
      </c>
    </row>
    <row r="1627" spans="1:4" ht="13.5" x14ac:dyDescent="0.25">
      <c r="A1627" s="306">
        <v>94290</v>
      </c>
      <c r="B1627" s="305" t="s">
        <v>1772</v>
      </c>
      <c r="C1627" s="305" t="s">
        <v>282</v>
      </c>
      <c r="D1627" s="575">
        <v>52.02</v>
      </c>
    </row>
    <row r="1628" spans="1:4" ht="13.5" x14ac:dyDescent="0.25">
      <c r="A1628" s="306">
        <v>94291</v>
      </c>
      <c r="B1628" s="305" t="s">
        <v>1773</v>
      </c>
      <c r="C1628" s="305" t="s">
        <v>282</v>
      </c>
      <c r="D1628" s="575">
        <v>52.26</v>
      </c>
    </row>
    <row r="1629" spans="1:4" ht="13.5" x14ac:dyDescent="0.25">
      <c r="A1629" s="306">
        <v>94292</v>
      </c>
      <c r="B1629" s="305" t="s">
        <v>1774</v>
      </c>
      <c r="C1629" s="305" t="s">
        <v>282</v>
      </c>
      <c r="D1629" s="575">
        <v>61.11</v>
      </c>
    </row>
    <row r="1630" spans="1:4" ht="13.5" x14ac:dyDescent="0.25">
      <c r="A1630" s="306">
        <v>94293</v>
      </c>
      <c r="B1630" s="305" t="s">
        <v>1775</v>
      </c>
      <c r="C1630" s="305" t="s">
        <v>282</v>
      </c>
      <c r="D1630" s="575">
        <v>137.77000000000001</v>
      </c>
    </row>
    <row r="1631" spans="1:4" ht="13.5" x14ac:dyDescent="0.25">
      <c r="A1631" s="306">
        <v>94294</v>
      </c>
      <c r="B1631" s="305" t="s">
        <v>1776</v>
      </c>
      <c r="C1631" s="305" t="s">
        <v>282</v>
      </c>
      <c r="D1631" s="575">
        <v>7.55</v>
      </c>
    </row>
    <row r="1632" spans="1:4" ht="13.5" x14ac:dyDescent="0.25">
      <c r="A1632" s="306">
        <v>94037</v>
      </c>
      <c r="B1632" s="305" t="s">
        <v>1777</v>
      </c>
      <c r="C1632" s="305" t="s">
        <v>521</v>
      </c>
      <c r="D1632" s="575">
        <v>15.79</v>
      </c>
    </row>
    <row r="1633" spans="1:4" ht="13.5" x14ac:dyDescent="0.25">
      <c r="A1633" s="306">
        <v>94038</v>
      </c>
      <c r="B1633" s="305" t="s">
        <v>1778</v>
      </c>
      <c r="C1633" s="305" t="s">
        <v>521</v>
      </c>
      <c r="D1633" s="575">
        <v>22.03</v>
      </c>
    </row>
    <row r="1634" spans="1:4" ht="13.5" x14ac:dyDescent="0.25">
      <c r="A1634" s="306">
        <v>94039</v>
      </c>
      <c r="B1634" s="305" t="s">
        <v>1779</v>
      </c>
      <c r="C1634" s="305" t="s">
        <v>521</v>
      </c>
      <c r="D1634" s="575">
        <v>12.33</v>
      </c>
    </row>
    <row r="1635" spans="1:4" ht="13.5" x14ac:dyDescent="0.25">
      <c r="A1635" s="306">
        <v>94040</v>
      </c>
      <c r="B1635" s="305" t="s">
        <v>1780</v>
      </c>
      <c r="C1635" s="305" t="s">
        <v>521</v>
      </c>
      <c r="D1635" s="575">
        <v>18.61</v>
      </c>
    </row>
    <row r="1636" spans="1:4" ht="13.5" x14ac:dyDescent="0.25">
      <c r="A1636" s="306">
        <v>94041</v>
      </c>
      <c r="B1636" s="305" t="s">
        <v>1781</v>
      </c>
      <c r="C1636" s="305" t="s">
        <v>521</v>
      </c>
      <c r="D1636" s="575">
        <v>9.1999999999999993</v>
      </c>
    </row>
    <row r="1637" spans="1:4" ht="13.5" x14ac:dyDescent="0.25">
      <c r="A1637" s="306">
        <v>94042</v>
      </c>
      <c r="B1637" s="305" t="s">
        <v>1782</v>
      </c>
      <c r="C1637" s="305" t="s">
        <v>521</v>
      </c>
      <c r="D1637" s="575">
        <v>15.61</v>
      </c>
    </row>
    <row r="1638" spans="1:4" ht="13.5" x14ac:dyDescent="0.25">
      <c r="A1638" s="306">
        <v>94043</v>
      </c>
      <c r="B1638" s="305" t="s">
        <v>1783</v>
      </c>
      <c r="C1638" s="305" t="s">
        <v>521</v>
      </c>
      <c r="D1638" s="575">
        <v>14.78</v>
      </c>
    </row>
    <row r="1639" spans="1:4" ht="13.5" x14ac:dyDescent="0.25">
      <c r="A1639" s="306">
        <v>94044</v>
      </c>
      <c r="B1639" s="305" t="s">
        <v>1784</v>
      </c>
      <c r="C1639" s="305" t="s">
        <v>521</v>
      </c>
      <c r="D1639" s="575">
        <v>21.06</v>
      </c>
    </row>
    <row r="1640" spans="1:4" ht="13.5" x14ac:dyDescent="0.25">
      <c r="A1640" s="306">
        <v>94045</v>
      </c>
      <c r="B1640" s="305" t="s">
        <v>1785</v>
      </c>
      <c r="C1640" s="305" t="s">
        <v>521</v>
      </c>
      <c r="D1640" s="575">
        <v>11.35</v>
      </c>
    </row>
    <row r="1641" spans="1:4" ht="13.5" x14ac:dyDescent="0.25">
      <c r="A1641" s="306">
        <v>94046</v>
      </c>
      <c r="B1641" s="305" t="s">
        <v>1786</v>
      </c>
      <c r="C1641" s="305" t="s">
        <v>521</v>
      </c>
      <c r="D1641" s="575">
        <v>17.600000000000001</v>
      </c>
    </row>
    <row r="1642" spans="1:4" ht="13.5" x14ac:dyDescent="0.25">
      <c r="A1642" s="306">
        <v>94047</v>
      </c>
      <c r="B1642" s="305" t="s">
        <v>1787</v>
      </c>
      <c r="C1642" s="305" t="s">
        <v>521</v>
      </c>
      <c r="D1642" s="575">
        <v>8.23</v>
      </c>
    </row>
    <row r="1643" spans="1:4" ht="13.5" x14ac:dyDescent="0.25">
      <c r="A1643" s="306">
        <v>94048</v>
      </c>
      <c r="B1643" s="305" t="s">
        <v>1788</v>
      </c>
      <c r="C1643" s="305" t="s">
        <v>521</v>
      </c>
      <c r="D1643" s="575">
        <v>14.6</v>
      </c>
    </row>
    <row r="1644" spans="1:4" ht="13.5" x14ac:dyDescent="0.25">
      <c r="A1644" s="306">
        <v>94049</v>
      </c>
      <c r="B1644" s="305" t="s">
        <v>1789</v>
      </c>
      <c r="C1644" s="305" t="s">
        <v>521</v>
      </c>
      <c r="D1644" s="575">
        <v>24.78</v>
      </c>
    </row>
    <row r="1645" spans="1:4" ht="13.5" x14ac:dyDescent="0.25">
      <c r="A1645" s="306">
        <v>94050</v>
      </c>
      <c r="B1645" s="305" t="s">
        <v>1790</v>
      </c>
      <c r="C1645" s="305" t="s">
        <v>521</v>
      </c>
      <c r="D1645" s="575">
        <v>32.94</v>
      </c>
    </row>
    <row r="1646" spans="1:4" ht="13.5" x14ac:dyDescent="0.25">
      <c r="A1646" s="306">
        <v>94051</v>
      </c>
      <c r="B1646" s="305" t="s">
        <v>1791</v>
      </c>
      <c r="C1646" s="305" t="s">
        <v>521</v>
      </c>
      <c r="D1646" s="575">
        <v>20.079999999999998</v>
      </c>
    </row>
    <row r="1647" spans="1:4" ht="13.5" x14ac:dyDescent="0.25">
      <c r="A1647" s="306">
        <v>94052</v>
      </c>
      <c r="B1647" s="305" t="s">
        <v>1792</v>
      </c>
      <c r="C1647" s="305" t="s">
        <v>521</v>
      </c>
      <c r="D1647" s="575">
        <v>28.11</v>
      </c>
    </row>
    <row r="1648" spans="1:4" ht="13.5" x14ac:dyDescent="0.25">
      <c r="A1648" s="306">
        <v>94053</v>
      </c>
      <c r="B1648" s="305" t="s">
        <v>1793</v>
      </c>
      <c r="C1648" s="305" t="s">
        <v>521</v>
      </c>
      <c r="D1648" s="575">
        <v>16.63</v>
      </c>
    </row>
    <row r="1649" spans="1:4" ht="13.5" x14ac:dyDescent="0.25">
      <c r="A1649" s="306">
        <v>94054</v>
      </c>
      <c r="B1649" s="305" t="s">
        <v>1794</v>
      </c>
      <c r="C1649" s="305" t="s">
        <v>521</v>
      </c>
      <c r="D1649" s="575">
        <v>24.78</v>
      </c>
    </row>
    <row r="1650" spans="1:4" ht="13.5" x14ac:dyDescent="0.25">
      <c r="A1650" s="306">
        <v>94055</v>
      </c>
      <c r="B1650" s="305" t="s">
        <v>1795</v>
      </c>
      <c r="C1650" s="305" t="s">
        <v>521</v>
      </c>
      <c r="D1650" s="575">
        <v>23.97</v>
      </c>
    </row>
    <row r="1651" spans="1:4" ht="13.5" x14ac:dyDescent="0.25">
      <c r="A1651" s="306">
        <v>94056</v>
      </c>
      <c r="B1651" s="305" t="s">
        <v>1796</v>
      </c>
      <c r="C1651" s="305" t="s">
        <v>521</v>
      </c>
      <c r="D1651" s="575">
        <v>31.67</v>
      </c>
    </row>
    <row r="1652" spans="1:4" ht="13.5" x14ac:dyDescent="0.25">
      <c r="A1652" s="306">
        <v>94057</v>
      </c>
      <c r="B1652" s="305" t="s">
        <v>1797</v>
      </c>
      <c r="C1652" s="305" t="s">
        <v>521</v>
      </c>
      <c r="D1652" s="575">
        <v>18.8</v>
      </c>
    </row>
    <row r="1653" spans="1:4" ht="13.5" x14ac:dyDescent="0.25">
      <c r="A1653" s="306">
        <v>94058</v>
      </c>
      <c r="B1653" s="305" t="s">
        <v>1798</v>
      </c>
      <c r="C1653" s="305" t="s">
        <v>521</v>
      </c>
      <c r="D1653" s="575">
        <v>26.82</v>
      </c>
    </row>
    <row r="1654" spans="1:4" ht="13.5" x14ac:dyDescent="0.25">
      <c r="A1654" s="306">
        <v>94059</v>
      </c>
      <c r="B1654" s="305" t="s">
        <v>1799</v>
      </c>
      <c r="C1654" s="305" t="s">
        <v>521</v>
      </c>
      <c r="D1654" s="575">
        <v>15.35</v>
      </c>
    </row>
    <row r="1655" spans="1:4" ht="13.5" x14ac:dyDescent="0.25">
      <c r="A1655" s="306">
        <v>94060</v>
      </c>
      <c r="B1655" s="305" t="s">
        <v>1800</v>
      </c>
      <c r="C1655" s="305" t="s">
        <v>521</v>
      </c>
      <c r="D1655" s="575">
        <v>23.49</v>
      </c>
    </row>
    <row r="1656" spans="1:4" ht="13.5" x14ac:dyDescent="0.25">
      <c r="A1656" s="306">
        <v>73301</v>
      </c>
      <c r="B1656" s="305" t="s">
        <v>1801</v>
      </c>
      <c r="C1656" s="305" t="s">
        <v>1456</v>
      </c>
      <c r="D1656" s="575">
        <v>8.65</v>
      </c>
    </row>
    <row r="1657" spans="1:4" ht="13.5" x14ac:dyDescent="0.25">
      <c r="A1657" s="306">
        <v>83515</v>
      </c>
      <c r="B1657" s="305" t="s">
        <v>1802</v>
      </c>
      <c r="C1657" s="305" t="s">
        <v>1456</v>
      </c>
      <c r="D1657" s="575">
        <v>14.16</v>
      </c>
    </row>
    <row r="1658" spans="1:4" ht="13.5" x14ac:dyDescent="0.25">
      <c r="A1658" s="306">
        <v>83516</v>
      </c>
      <c r="B1658" s="305" t="s">
        <v>1803</v>
      </c>
      <c r="C1658" s="305" t="s">
        <v>1456</v>
      </c>
      <c r="D1658" s="575">
        <v>16.329999999999998</v>
      </c>
    </row>
    <row r="1659" spans="1:4" ht="13.5" x14ac:dyDescent="0.25">
      <c r="A1659" s="306">
        <v>90788</v>
      </c>
      <c r="B1659" s="305" t="s">
        <v>12276</v>
      </c>
      <c r="C1659" s="305" t="s">
        <v>363</v>
      </c>
      <c r="D1659" s="575">
        <v>350.64</v>
      </c>
    </row>
    <row r="1660" spans="1:4" ht="13.5" x14ac:dyDescent="0.25">
      <c r="A1660" s="306">
        <v>90789</v>
      </c>
      <c r="B1660" s="305" t="s">
        <v>12277</v>
      </c>
      <c r="C1660" s="305" t="s">
        <v>363</v>
      </c>
      <c r="D1660" s="575">
        <v>362.45</v>
      </c>
    </row>
    <row r="1661" spans="1:4" ht="13.5" x14ac:dyDescent="0.25">
      <c r="A1661" s="306">
        <v>90790</v>
      </c>
      <c r="B1661" s="305" t="s">
        <v>12278</v>
      </c>
      <c r="C1661" s="305" t="s">
        <v>363</v>
      </c>
      <c r="D1661" s="575">
        <v>365.86</v>
      </c>
    </row>
    <row r="1662" spans="1:4" ht="13.5" x14ac:dyDescent="0.25">
      <c r="A1662" s="306">
        <v>90791</v>
      </c>
      <c r="B1662" s="305" t="s">
        <v>12279</v>
      </c>
      <c r="C1662" s="305" t="s">
        <v>363</v>
      </c>
      <c r="D1662" s="575">
        <v>392.27</v>
      </c>
    </row>
    <row r="1663" spans="1:4" ht="13.5" x14ac:dyDescent="0.25">
      <c r="A1663" s="306">
        <v>90793</v>
      </c>
      <c r="B1663" s="305" t="s">
        <v>12280</v>
      </c>
      <c r="C1663" s="305" t="s">
        <v>363</v>
      </c>
      <c r="D1663" s="575">
        <v>428.57</v>
      </c>
    </row>
    <row r="1664" spans="1:4" ht="13.5" x14ac:dyDescent="0.25">
      <c r="A1664" s="306">
        <v>90794</v>
      </c>
      <c r="B1664" s="305" t="s">
        <v>12281</v>
      </c>
      <c r="C1664" s="305" t="s">
        <v>363</v>
      </c>
      <c r="D1664" s="575">
        <v>362.61</v>
      </c>
    </row>
    <row r="1665" spans="1:4" ht="13.5" x14ac:dyDescent="0.25">
      <c r="A1665" s="306">
        <v>90795</v>
      </c>
      <c r="B1665" s="305" t="s">
        <v>12282</v>
      </c>
      <c r="C1665" s="305" t="s">
        <v>363</v>
      </c>
      <c r="D1665" s="575">
        <v>354.51</v>
      </c>
    </row>
    <row r="1666" spans="1:4" ht="13.5" x14ac:dyDescent="0.25">
      <c r="A1666" s="306">
        <v>90796</v>
      </c>
      <c r="B1666" s="305" t="s">
        <v>12283</v>
      </c>
      <c r="C1666" s="305" t="s">
        <v>363</v>
      </c>
      <c r="D1666" s="575">
        <v>362.94</v>
      </c>
    </row>
    <row r="1667" spans="1:4" ht="13.5" x14ac:dyDescent="0.25">
      <c r="A1667" s="306">
        <v>90797</v>
      </c>
      <c r="B1667" s="305" t="s">
        <v>12284</v>
      </c>
      <c r="C1667" s="305" t="s">
        <v>363</v>
      </c>
      <c r="D1667" s="575">
        <v>439.6</v>
      </c>
    </row>
    <row r="1668" spans="1:4" ht="13.5" x14ac:dyDescent="0.25">
      <c r="A1668" s="306">
        <v>90798</v>
      </c>
      <c r="B1668" s="305" t="s">
        <v>12285</v>
      </c>
      <c r="C1668" s="305" t="s">
        <v>363</v>
      </c>
      <c r="D1668" s="575">
        <v>443.29</v>
      </c>
    </row>
    <row r="1669" spans="1:4" ht="13.5" x14ac:dyDescent="0.25">
      <c r="A1669" s="306">
        <v>90799</v>
      </c>
      <c r="B1669" s="305" t="s">
        <v>12286</v>
      </c>
      <c r="C1669" s="305" t="s">
        <v>363</v>
      </c>
      <c r="D1669" s="575">
        <v>459.11</v>
      </c>
    </row>
    <row r="1670" spans="1:4" ht="13.5" x14ac:dyDescent="0.25">
      <c r="A1670" s="306">
        <v>90801</v>
      </c>
      <c r="B1670" s="305" t="s">
        <v>12287</v>
      </c>
      <c r="C1670" s="305" t="s">
        <v>363</v>
      </c>
      <c r="D1670" s="575">
        <v>137.97999999999999</v>
      </c>
    </row>
    <row r="1671" spans="1:4" ht="13.5" x14ac:dyDescent="0.25">
      <c r="A1671" s="306">
        <v>90806</v>
      </c>
      <c r="B1671" s="305" t="s">
        <v>12288</v>
      </c>
      <c r="C1671" s="305" t="s">
        <v>363</v>
      </c>
      <c r="D1671" s="575">
        <v>208.72</v>
      </c>
    </row>
    <row r="1672" spans="1:4" ht="13.5" x14ac:dyDescent="0.25">
      <c r="A1672" s="306">
        <v>90820</v>
      </c>
      <c r="B1672" s="305" t="s">
        <v>12289</v>
      </c>
      <c r="C1672" s="305" t="s">
        <v>363</v>
      </c>
      <c r="D1672" s="575">
        <v>246.14</v>
      </c>
    </row>
    <row r="1673" spans="1:4" ht="13.5" x14ac:dyDescent="0.25">
      <c r="A1673" s="306">
        <v>90821</v>
      </c>
      <c r="B1673" s="305" t="s">
        <v>12290</v>
      </c>
      <c r="C1673" s="305" t="s">
        <v>363</v>
      </c>
      <c r="D1673" s="575">
        <v>267.62</v>
      </c>
    </row>
    <row r="1674" spans="1:4" ht="13.5" x14ac:dyDescent="0.25">
      <c r="A1674" s="306">
        <v>90822</v>
      </c>
      <c r="B1674" s="305" t="s">
        <v>12291</v>
      </c>
      <c r="C1674" s="305" t="s">
        <v>363</v>
      </c>
      <c r="D1674" s="575">
        <v>265.49</v>
      </c>
    </row>
    <row r="1675" spans="1:4" ht="13.5" x14ac:dyDescent="0.25">
      <c r="A1675" s="306">
        <v>90823</v>
      </c>
      <c r="B1675" s="305" t="s">
        <v>12292</v>
      </c>
      <c r="C1675" s="305" t="s">
        <v>363</v>
      </c>
      <c r="D1675" s="575">
        <v>279.38</v>
      </c>
    </row>
    <row r="1676" spans="1:4" ht="13.5" x14ac:dyDescent="0.25">
      <c r="A1676" s="306">
        <v>90824</v>
      </c>
      <c r="B1676" s="305" t="s">
        <v>12293</v>
      </c>
      <c r="C1676" s="305" t="s">
        <v>363</v>
      </c>
      <c r="D1676" s="575">
        <v>289.57</v>
      </c>
    </row>
    <row r="1677" spans="1:4" ht="13.5" x14ac:dyDescent="0.25">
      <c r="A1677" s="306">
        <v>90825</v>
      </c>
      <c r="B1677" s="305" t="s">
        <v>12294</v>
      </c>
      <c r="C1677" s="305" t="s">
        <v>363</v>
      </c>
      <c r="D1677" s="575">
        <v>309.99</v>
      </c>
    </row>
    <row r="1678" spans="1:4" ht="13.5" x14ac:dyDescent="0.25">
      <c r="A1678" s="306">
        <v>90830</v>
      </c>
      <c r="B1678" s="305" t="s">
        <v>12295</v>
      </c>
      <c r="C1678" s="305" t="s">
        <v>363</v>
      </c>
      <c r="D1678" s="575">
        <v>87.66</v>
      </c>
    </row>
    <row r="1679" spans="1:4" ht="13.5" x14ac:dyDescent="0.25">
      <c r="A1679" s="306">
        <v>90831</v>
      </c>
      <c r="B1679" s="305" t="s">
        <v>12296</v>
      </c>
      <c r="C1679" s="305" t="s">
        <v>363</v>
      </c>
      <c r="D1679" s="575">
        <v>68.61</v>
      </c>
    </row>
    <row r="1680" spans="1:4" ht="13.5" x14ac:dyDescent="0.25">
      <c r="A1680" s="306">
        <v>90841</v>
      </c>
      <c r="B1680" s="305" t="s">
        <v>12297</v>
      </c>
      <c r="C1680" s="305" t="s">
        <v>363</v>
      </c>
      <c r="D1680" s="575">
        <v>562.63</v>
      </c>
    </row>
    <row r="1681" spans="1:4" ht="13.5" x14ac:dyDescent="0.25">
      <c r="A1681" s="306">
        <v>90842</v>
      </c>
      <c r="B1681" s="305" t="s">
        <v>12298</v>
      </c>
      <c r="C1681" s="305" t="s">
        <v>363</v>
      </c>
      <c r="D1681" s="575">
        <v>590.67999999999995</v>
      </c>
    </row>
    <row r="1682" spans="1:4" ht="13.5" x14ac:dyDescent="0.25">
      <c r="A1682" s="306">
        <v>90843</v>
      </c>
      <c r="B1682" s="305" t="s">
        <v>12299</v>
      </c>
      <c r="C1682" s="305" t="s">
        <v>363</v>
      </c>
      <c r="D1682" s="575">
        <v>602.66999999999996</v>
      </c>
    </row>
    <row r="1683" spans="1:4" ht="13.5" x14ac:dyDescent="0.25">
      <c r="A1683" s="306">
        <v>90844</v>
      </c>
      <c r="B1683" s="305" t="s">
        <v>12300</v>
      </c>
      <c r="C1683" s="305" t="s">
        <v>363</v>
      </c>
      <c r="D1683" s="575">
        <v>617.37</v>
      </c>
    </row>
    <row r="1684" spans="1:4" ht="13.5" x14ac:dyDescent="0.25">
      <c r="A1684" s="306">
        <v>90845</v>
      </c>
      <c r="B1684" s="305" t="s">
        <v>12301</v>
      </c>
      <c r="C1684" s="305" t="s">
        <v>363</v>
      </c>
      <c r="D1684" s="575">
        <v>626.75</v>
      </c>
    </row>
    <row r="1685" spans="1:4" ht="13.5" x14ac:dyDescent="0.25">
      <c r="A1685" s="306">
        <v>90846</v>
      </c>
      <c r="B1685" s="305" t="s">
        <v>12302</v>
      </c>
      <c r="C1685" s="305" t="s">
        <v>363</v>
      </c>
      <c r="D1685" s="575">
        <v>647.98</v>
      </c>
    </row>
    <row r="1686" spans="1:4" ht="13.5" x14ac:dyDescent="0.25">
      <c r="A1686" s="306">
        <v>90847</v>
      </c>
      <c r="B1686" s="305" t="s">
        <v>12303</v>
      </c>
      <c r="C1686" s="305" t="s">
        <v>363</v>
      </c>
      <c r="D1686" s="575">
        <v>494.02</v>
      </c>
    </row>
    <row r="1687" spans="1:4" ht="13.5" x14ac:dyDescent="0.25">
      <c r="A1687" s="306">
        <v>90848</v>
      </c>
      <c r="B1687" s="305" t="s">
        <v>12304</v>
      </c>
      <c r="C1687" s="305" t="s">
        <v>363</v>
      </c>
      <c r="D1687" s="575">
        <v>516.32000000000005</v>
      </c>
    </row>
    <row r="1688" spans="1:4" ht="13.5" x14ac:dyDescent="0.25">
      <c r="A1688" s="306">
        <v>90849</v>
      </c>
      <c r="B1688" s="305" t="s">
        <v>12305</v>
      </c>
      <c r="C1688" s="305" t="s">
        <v>363</v>
      </c>
      <c r="D1688" s="575">
        <v>515.01</v>
      </c>
    </row>
    <row r="1689" spans="1:4" ht="13.5" x14ac:dyDescent="0.25">
      <c r="A1689" s="306">
        <v>90850</v>
      </c>
      <c r="B1689" s="305" t="s">
        <v>12306</v>
      </c>
      <c r="C1689" s="305" t="s">
        <v>363</v>
      </c>
      <c r="D1689" s="575">
        <v>529.71</v>
      </c>
    </row>
    <row r="1690" spans="1:4" ht="13.5" x14ac:dyDescent="0.25">
      <c r="A1690" s="306">
        <v>90851</v>
      </c>
      <c r="B1690" s="305" t="s">
        <v>12307</v>
      </c>
      <c r="C1690" s="305" t="s">
        <v>363</v>
      </c>
      <c r="D1690" s="575">
        <v>539.09</v>
      </c>
    </row>
    <row r="1691" spans="1:4" ht="13.5" x14ac:dyDescent="0.25">
      <c r="A1691" s="306">
        <v>90852</v>
      </c>
      <c r="B1691" s="305" t="s">
        <v>12308</v>
      </c>
      <c r="C1691" s="305" t="s">
        <v>363</v>
      </c>
      <c r="D1691" s="575">
        <v>560.32000000000005</v>
      </c>
    </row>
    <row r="1692" spans="1:4" ht="13.5" x14ac:dyDescent="0.25">
      <c r="A1692" s="306">
        <v>91009</v>
      </c>
      <c r="B1692" s="305" t="s">
        <v>12309</v>
      </c>
      <c r="C1692" s="305" t="s">
        <v>363</v>
      </c>
      <c r="D1692" s="575">
        <v>251.68</v>
      </c>
    </row>
    <row r="1693" spans="1:4" ht="13.5" x14ac:dyDescent="0.25">
      <c r="A1693" s="306">
        <v>91010</v>
      </c>
      <c r="B1693" s="305" t="s">
        <v>12310</v>
      </c>
      <c r="C1693" s="305" t="s">
        <v>363</v>
      </c>
      <c r="D1693" s="575">
        <v>206.82</v>
      </c>
    </row>
    <row r="1694" spans="1:4" ht="13.5" x14ac:dyDescent="0.25">
      <c r="A1694" s="306">
        <v>91011</v>
      </c>
      <c r="B1694" s="305" t="s">
        <v>12311</v>
      </c>
      <c r="C1694" s="305" t="s">
        <v>363</v>
      </c>
      <c r="D1694" s="575">
        <v>286.27</v>
      </c>
    </row>
    <row r="1695" spans="1:4" ht="13.5" x14ac:dyDescent="0.25">
      <c r="A1695" s="306">
        <v>91012</v>
      </c>
      <c r="B1695" s="305" t="s">
        <v>12312</v>
      </c>
      <c r="C1695" s="305" t="s">
        <v>363</v>
      </c>
      <c r="D1695" s="575">
        <v>275.12</v>
      </c>
    </row>
    <row r="1696" spans="1:4" ht="13.5" x14ac:dyDescent="0.25">
      <c r="A1696" s="306">
        <v>91013</v>
      </c>
      <c r="B1696" s="305" t="s">
        <v>12313</v>
      </c>
      <c r="C1696" s="305" t="s">
        <v>363</v>
      </c>
      <c r="D1696" s="575">
        <v>499.56</v>
      </c>
    </row>
    <row r="1697" spans="1:4" ht="13.5" x14ac:dyDescent="0.25">
      <c r="A1697" s="306">
        <v>91014</v>
      </c>
      <c r="B1697" s="305" t="s">
        <v>12314</v>
      </c>
      <c r="C1697" s="305" t="s">
        <v>363</v>
      </c>
      <c r="D1697" s="575">
        <v>455.52</v>
      </c>
    </row>
    <row r="1698" spans="1:4" ht="13.5" x14ac:dyDescent="0.25">
      <c r="A1698" s="306">
        <v>91015</v>
      </c>
      <c r="B1698" s="305" t="s">
        <v>12315</v>
      </c>
      <c r="C1698" s="305" t="s">
        <v>363</v>
      </c>
      <c r="D1698" s="575">
        <v>535.79</v>
      </c>
    </row>
    <row r="1699" spans="1:4" ht="13.5" x14ac:dyDescent="0.25">
      <c r="A1699" s="306">
        <v>91016</v>
      </c>
      <c r="B1699" s="305" t="s">
        <v>12316</v>
      </c>
      <c r="C1699" s="305" t="s">
        <v>363</v>
      </c>
      <c r="D1699" s="575">
        <v>525.45000000000005</v>
      </c>
    </row>
    <row r="1700" spans="1:4" ht="13.5" x14ac:dyDescent="0.25">
      <c r="A1700" s="306">
        <v>91287</v>
      </c>
      <c r="B1700" s="305" t="s">
        <v>12317</v>
      </c>
      <c r="C1700" s="305" t="s">
        <v>363</v>
      </c>
      <c r="D1700" s="575">
        <v>117.94</v>
      </c>
    </row>
    <row r="1701" spans="1:4" ht="13.5" x14ac:dyDescent="0.25">
      <c r="A1701" s="306">
        <v>91292</v>
      </c>
      <c r="B1701" s="305" t="s">
        <v>12318</v>
      </c>
      <c r="C1701" s="305" t="s">
        <v>363</v>
      </c>
      <c r="D1701" s="575">
        <v>188.68</v>
      </c>
    </row>
    <row r="1702" spans="1:4" ht="13.5" x14ac:dyDescent="0.25">
      <c r="A1702" s="306">
        <v>91295</v>
      </c>
      <c r="B1702" s="305" t="s">
        <v>12319</v>
      </c>
      <c r="C1702" s="305" t="s">
        <v>363</v>
      </c>
      <c r="D1702" s="575">
        <v>236.78</v>
      </c>
    </row>
    <row r="1703" spans="1:4" ht="13.5" x14ac:dyDescent="0.25">
      <c r="A1703" s="306">
        <v>91296</v>
      </c>
      <c r="B1703" s="305" t="s">
        <v>12320</v>
      </c>
      <c r="C1703" s="305" t="s">
        <v>363</v>
      </c>
      <c r="D1703" s="575">
        <v>251.41</v>
      </c>
    </row>
    <row r="1704" spans="1:4" ht="13.5" x14ac:dyDescent="0.25">
      <c r="A1704" s="306">
        <v>91297</v>
      </c>
      <c r="B1704" s="305" t="s">
        <v>12321</v>
      </c>
      <c r="C1704" s="305" t="s">
        <v>363</v>
      </c>
      <c r="D1704" s="575">
        <v>287.79000000000002</v>
      </c>
    </row>
    <row r="1705" spans="1:4" ht="13.5" x14ac:dyDescent="0.25">
      <c r="A1705" s="306">
        <v>91298</v>
      </c>
      <c r="B1705" s="305" t="s">
        <v>12322</v>
      </c>
      <c r="C1705" s="305" t="s">
        <v>363</v>
      </c>
      <c r="D1705" s="575">
        <v>542.34</v>
      </c>
    </row>
    <row r="1706" spans="1:4" ht="13.5" x14ac:dyDescent="0.25">
      <c r="A1706" s="306">
        <v>91299</v>
      </c>
      <c r="B1706" s="305" t="s">
        <v>12323</v>
      </c>
      <c r="C1706" s="305" t="s">
        <v>363</v>
      </c>
      <c r="D1706" s="575">
        <v>751.32</v>
      </c>
    </row>
    <row r="1707" spans="1:4" ht="13.5" x14ac:dyDescent="0.25">
      <c r="A1707" s="306">
        <v>91304</v>
      </c>
      <c r="B1707" s="305" t="s">
        <v>12324</v>
      </c>
      <c r="C1707" s="305" t="s">
        <v>363</v>
      </c>
      <c r="D1707" s="575">
        <v>67.569999999999993</v>
      </c>
    </row>
    <row r="1708" spans="1:4" ht="13.5" x14ac:dyDescent="0.25">
      <c r="A1708" s="306">
        <v>91305</v>
      </c>
      <c r="B1708" s="305" t="s">
        <v>12325</v>
      </c>
      <c r="C1708" s="305" t="s">
        <v>363</v>
      </c>
      <c r="D1708" s="575">
        <v>51.06</v>
      </c>
    </row>
    <row r="1709" spans="1:4" ht="13.5" x14ac:dyDescent="0.25">
      <c r="A1709" s="306">
        <v>91306</v>
      </c>
      <c r="B1709" s="305" t="s">
        <v>12326</v>
      </c>
      <c r="C1709" s="305" t="s">
        <v>363</v>
      </c>
      <c r="D1709" s="575">
        <v>74.36</v>
      </c>
    </row>
    <row r="1710" spans="1:4" ht="13.5" x14ac:dyDescent="0.25">
      <c r="A1710" s="306">
        <v>91307</v>
      </c>
      <c r="B1710" s="305" t="s">
        <v>12327</v>
      </c>
      <c r="C1710" s="305" t="s">
        <v>363</v>
      </c>
      <c r="D1710" s="575">
        <v>53.42</v>
      </c>
    </row>
    <row r="1711" spans="1:4" ht="13.5" x14ac:dyDescent="0.25">
      <c r="A1711" s="306">
        <v>91312</v>
      </c>
      <c r="B1711" s="305" t="s">
        <v>12328</v>
      </c>
      <c r="C1711" s="305" t="s">
        <v>363</v>
      </c>
      <c r="D1711" s="575">
        <v>520.34</v>
      </c>
    </row>
    <row r="1712" spans="1:4" ht="13.5" x14ac:dyDescent="0.25">
      <c r="A1712" s="306">
        <v>91313</v>
      </c>
      <c r="B1712" s="305" t="s">
        <v>12329</v>
      </c>
      <c r="C1712" s="305" t="s">
        <v>363</v>
      </c>
      <c r="D1712" s="575">
        <v>544.9</v>
      </c>
    </row>
    <row r="1713" spans="1:4" ht="13.5" x14ac:dyDescent="0.25">
      <c r="A1713" s="306">
        <v>91314</v>
      </c>
      <c r="B1713" s="305" t="s">
        <v>12330</v>
      </c>
      <c r="C1713" s="305" t="s">
        <v>363</v>
      </c>
      <c r="D1713" s="575">
        <v>557.64</v>
      </c>
    </row>
    <row r="1714" spans="1:4" ht="13.5" x14ac:dyDescent="0.25">
      <c r="A1714" s="306">
        <v>91315</v>
      </c>
      <c r="B1714" s="305" t="s">
        <v>12331</v>
      </c>
      <c r="C1714" s="305" t="s">
        <v>363</v>
      </c>
      <c r="D1714" s="575">
        <v>572.24</v>
      </c>
    </row>
    <row r="1715" spans="1:4" ht="13.5" x14ac:dyDescent="0.25">
      <c r="A1715" s="306">
        <v>91316</v>
      </c>
      <c r="B1715" s="305" t="s">
        <v>12332</v>
      </c>
      <c r="C1715" s="305" t="s">
        <v>363</v>
      </c>
      <c r="D1715" s="575">
        <v>581.72</v>
      </c>
    </row>
    <row r="1716" spans="1:4" ht="13.5" x14ac:dyDescent="0.25">
      <c r="A1716" s="306">
        <v>91317</v>
      </c>
      <c r="B1716" s="305" t="s">
        <v>12333</v>
      </c>
      <c r="C1716" s="305" t="s">
        <v>363</v>
      </c>
      <c r="D1716" s="575">
        <v>602.85</v>
      </c>
    </row>
    <row r="1717" spans="1:4" ht="13.5" x14ac:dyDescent="0.25">
      <c r="A1717" s="306">
        <v>91318</v>
      </c>
      <c r="B1717" s="305" t="s">
        <v>12334</v>
      </c>
      <c r="C1717" s="305" t="s">
        <v>363</v>
      </c>
      <c r="D1717" s="575">
        <v>469.28</v>
      </c>
    </row>
    <row r="1718" spans="1:4" ht="13.5" x14ac:dyDescent="0.25">
      <c r="A1718" s="306">
        <v>91319</v>
      </c>
      <c r="B1718" s="305" t="s">
        <v>12335</v>
      </c>
      <c r="C1718" s="305" t="s">
        <v>363</v>
      </c>
      <c r="D1718" s="575">
        <v>491.48</v>
      </c>
    </row>
    <row r="1719" spans="1:4" ht="13.5" x14ac:dyDescent="0.25">
      <c r="A1719" s="306">
        <v>91320</v>
      </c>
      <c r="B1719" s="305" t="s">
        <v>12336</v>
      </c>
      <c r="C1719" s="305" t="s">
        <v>363</v>
      </c>
      <c r="D1719" s="575">
        <v>490.07</v>
      </c>
    </row>
    <row r="1720" spans="1:4" ht="13.5" x14ac:dyDescent="0.25">
      <c r="A1720" s="306">
        <v>91321</v>
      </c>
      <c r="B1720" s="305" t="s">
        <v>12337</v>
      </c>
      <c r="C1720" s="305" t="s">
        <v>363</v>
      </c>
      <c r="D1720" s="575">
        <v>504.67</v>
      </c>
    </row>
    <row r="1721" spans="1:4" ht="13.5" x14ac:dyDescent="0.25">
      <c r="A1721" s="306">
        <v>91322</v>
      </c>
      <c r="B1721" s="305" t="s">
        <v>12338</v>
      </c>
      <c r="C1721" s="305" t="s">
        <v>363</v>
      </c>
      <c r="D1721" s="575">
        <v>514.15</v>
      </c>
    </row>
    <row r="1722" spans="1:4" ht="13.5" x14ac:dyDescent="0.25">
      <c r="A1722" s="306">
        <v>91323</v>
      </c>
      <c r="B1722" s="305" t="s">
        <v>12339</v>
      </c>
      <c r="C1722" s="305" t="s">
        <v>363</v>
      </c>
      <c r="D1722" s="575">
        <v>535.28</v>
      </c>
    </row>
    <row r="1723" spans="1:4" ht="13.5" x14ac:dyDescent="0.25">
      <c r="A1723" s="306">
        <v>91324</v>
      </c>
      <c r="B1723" s="305" t="s">
        <v>12340</v>
      </c>
      <c r="C1723" s="305" t="s">
        <v>363</v>
      </c>
      <c r="D1723" s="575">
        <v>474.82</v>
      </c>
    </row>
    <row r="1724" spans="1:4" ht="13.5" x14ac:dyDescent="0.25">
      <c r="A1724" s="306">
        <v>91325</v>
      </c>
      <c r="B1724" s="305" t="s">
        <v>12341</v>
      </c>
      <c r="C1724" s="305" t="s">
        <v>363</v>
      </c>
      <c r="D1724" s="575">
        <v>430.68</v>
      </c>
    </row>
    <row r="1725" spans="1:4" ht="13.5" x14ac:dyDescent="0.25">
      <c r="A1725" s="306">
        <v>91326</v>
      </c>
      <c r="B1725" s="305" t="s">
        <v>12342</v>
      </c>
      <c r="C1725" s="305" t="s">
        <v>363</v>
      </c>
      <c r="D1725" s="575">
        <v>510.85</v>
      </c>
    </row>
    <row r="1726" spans="1:4" ht="13.5" x14ac:dyDescent="0.25">
      <c r="A1726" s="306">
        <v>91327</v>
      </c>
      <c r="B1726" s="305" t="s">
        <v>12343</v>
      </c>
      <c r="C1726" s="305" t="s">
        <v>363</v>
      </c>
      <c r="D1726" s="575">
        <v>500.41</v>
      </c>
    </row>
    <row r="1727" spans="1:4" ht="13.5" x14ac:dyDescent="0.25">
      <c r="A1727" s="306">
        <v>91328</v>
      </c>
      <c r="B1727" s="305" t="s">
        <v>12344</v>
      </c>
      <c r="C1727" s="305" t="s">
        <v>363</v>
      </c>
      <c r="D1727" s="575">
        <v>484.66</v>
      </c>
    </row>
    <row r="1728" spans="1:4" ht="13.5" x14ac:dyDescent="0.25">
      <c r="A1728" s="306">
        <v>91329</v>
      </c>
      <c r="B1728" s="305" t="s">
        <v>12345</v>
      </c>
      <c r="C1728" s="305" t="s">
        <v>363</v>
      </c>
      <c r="D1728" s="575">
        <v>459.92</v>
      </c>
    </row>
    <row r="1729" spans="1:4" ht="13.5" x14ac:dyDescent="0.25">
      <c r="A1729" s="306">
        <v>91330</v>
      </c>
      <c r="B1729" s="305" t="s">
        <v>12346</v>
      </c>
      <c r="C1729" s="305" t="s">
        <v>363</v>
      </c>
      <c r="D1729" s="575">
        <v>500.11</v>
      </c>
    </row>
    <row r="1730" spans="1:4" ht="13.5" x14ac:dyDescent="0.25">
      <c r="A1730" s="306">
        <v>91331</v>
      </c>
      <c r="B1730" s="305" t="s">
        <v>12347</v>
      </c>
      <c r="C1730" s="305" t="s">
        <v>363</v>
      </c>
      <c r="D1730" s="575">
        <v>475.27</v>
      </c>
    </row>
    <row r="1731" spans="1:4" ht="13.5" x14ac:dyDescent="0.25">
      <c r="A1731" s="306">
        <v>91332</v>
      </c>
      <c r="B1731" s="305" t="s">
        <v>12348</v>
      </c>
      <c r="C1731" s="305" t="s">
        <v>363</v>
      </c>
      <c r="D1731" s="575">
        <v>537.30999999999995</v>
      </c>
    </row>
    <row r="1732" spans="1:4" ht="13.5" x14ac:dyDescent="0.25">
      <c r="A1732" s="306">
        <v>91333</v>
      </c>
      <c r="B1732" s="305" t="s">
        <v>12349</v>
      </c>
      <c r="C1732" s="305" t="s">
        <v>363</v>
      </c>
      <c r="D1732" s="575">
        <v>512.37</v>
      </c>
    </row>
    <row r="1733" spans="1:4" ht="13.5" x14ac:dyDescent="0.25">
      <c r="A1733" s="306">
        <v>91334</v>
      </c>
      <c r="B1733" s="305" t="s">
        <v>12350</v>
      </c>
      <c r="C1733" s="305" t="s">
        <v>363</v>
      </c>
      <c r="D1733" s="575">
        <v>791.86</v>
      </c>
    </row>
    <row r="1734" spans="1:4" ht="13.5" x14ac:dyDescent="0.25">
      <c r="A1734" s="306">
        <v>91335</v>
      </c>
      <c r="B1734" s="305" t="s">
        <v>12351</v>
      </c>
      <c r="C1734" s="305" t="s">
        <v>363</v>
      </c>
      <c r="D1734" s="575">
        <v>766.92</v>
      </c>
    </row>
    <row r="1735" spans="1:4" ht="13.5" x14ac:dyDescent="0.25">
      <c r="A1735" s="306">
        <v>91336</v>
      </c>
      <c r="B1735" s="305" t="s">
        <v>12352</v>
      </c>
      <c r="C1735" s="305" t="s">
        <v>363</v>
      </c>
      <c r="D1735" s="576">
        <v>1000.84</v>
      </c>
    </row>
    <row r="1736" spans="1:4" ht="13.5" x14ac:dyDescent="0.25">
      <c r="A1736" s="306">
        <v>91337</v>
      </c>
      <c r="B1736" s="305" t="s">
        <v>12353</v>
      </c>
      <c r="C1736" s="305" t="s">
        <v>363</v>
      </c>
      <c r="D1736" s="575">
        <v>975.9</v>
      </c>
    </row>
    <row r="1737" spans="1:4" ht="13.5" x14ac:dyDescent="0.25">
      <c r="A1737" s="306">
        <v>100659</v>
      </c>
      <c r="B1737" s="305" t="s">
        <v>12354</v>
      </c>
      <c r="C1737" s="305" t="s">
        <v>282</v>
      </c>
      <c r="D1737" s="575">
        <v>4.08</v>
      </c>
    </row>
    <row r="1738" spans="1:4" ht="13.5" x14ac:dyDescent="0.25">
      <c r="A1738" s="306">
        <v>100660</v>
      </c>
      <c r="B1738" s="305" t="s">
        <v>12355</v>
      </c>
      <c r="C1738" s="305" t="s">
        <v>282</v>
      </c>
      <c r="D1738" s="575">
        <v>3.59</v>
      </c>
    </row>
    <row r="1739" spans="1:4" ht="13.5" x14ac:dyDescent="0.25">
      <c r="A1739" s="306">
        <v>100675</v>
      </c>
      <c r="B1739" s="305" t="s">
        <v>12356</v>
      </c>
      <c r="C1739" s="305" t="s">
        <v>363</v>
      </c>
      <c r="D1739" s="575">
        <v>410.98</v>
      </c>
    </row>
    <row r="1740" spans="1:4" ht="13.5" x14ac:dyDescent="0.25">
      <c r="A1740" s="306">
        <v>100676</v>
      </c>
      <c r="B1740" s="305" t="s">
        <v>12357</v>
      </c>
      <c r="C1740" s="305" t="s">
        <v>363</v>
      </c>
      <c r="D1740" s="575">
        <v>99.33</v>
      </c>
    </row>
    <row r="1741" spans="1:4" ht="13.5" x14ac:dyDescent="0.25">
      <c r="A1741" s="306">
        <v>100678</v>
      </c>
      <c r="B1741" s="305" t="s">
        <v>12358</v>
      </c>
      <c r="C1741" s="305" t="s">
        <v>363</v>
      </c>
      <c r="D1741" s="575">
        <v>568.16999999999996</v>
      </c>
    </row>
    <row r="1742" spans="1:4" ht="13.5" x14ac:dyDescent="0.25">
      <c r="A1742" s="306">
        <v>100679</v>
      </c>
      <c r="B1742" s="305" t="s">
        <v>12359</v>
      </c>
      <c r="C1742" s="305" t="s">
        <v>363</v>
      </c>
      <c r="D1742" s="575">
        <v>525.88</v>
      </c>
    </row>
    <row r="1743" spans="1:4" ht="13.5" x14ac:dyDescent="0.25">
      <c r="A1743" s="306">
        <v>100680</v>
      </c>
      <c r="B1743" s="305" t="s">
        <v>12360</v>
      </c>
      <c r="C1743" s="305" t="s">
        <v>363</v>
      </c>
      <c r="D1743" s="575">
        <v>529.88</v>
      </c>
    </row>
    <row r="1744" spans="1:4" ht="13.5" x14ac:dyDescent="0.25">
      <c r="A1744" s="306">
        <v>100681</v>
      </c>
      <c r="B1744" s="305" t="s">
        <v>12361</v>
      </c>
      <c r="C1744" s="305" t="s">
        <v>363</v>
      </c>
      <c r="D1744" s="575">
        <v>574.47</v>
      </c>
    </row>
    <row r="1745" spans="1:4" ht="13.5" x14ac:dyDescent="0.25">
      <c r="A1745" s="306">
        <v>100682</v>
      </c>
      <c r="B1745" s="305" t="s">
        <v>12362</v>
      </c>
      <c r="C1745" s="305" t="s">
        <v>363</v>
      </c>
      <c r="D1745" s="575">
        <v>528.69000000000005</v>
      </c>
    </row>
    <row r="1746" spans="1:4" ht="13.5" x14ac:dyDescent="0.25">
      <c r="A1746" s="306">
        <v>100683</v>
      </c>
      <c r="B1746" s="305" t="s">
        <v>12363</v>
      </c>
      <c r="C1746" s="305" t="s">
        <v>363</v>
      </c>
      <c r="D1746" s="575">
        <v>623.45000000000005</v>
      </c>
    </row>
    <row r="1747" spans="1:4" ht="13.5" x14ac:dyDescent="0.25">
      <c r="A1747" s="306">
        <v>100684</v>
      </c>
      <c r="B1747" s="305" t="s">
        <v>12364</v>
      </c>
      <c r="C1747" s="305" t="s">
        <v>363</v>
      </c>
      <c r="D1747" s="575">
        <v>578.41999999999996</v>
      </c>
    </row>
    <row r="1748" spans="1:4" ht="13.5" x14ac:dyDescent="0.25">
      <c r="A1748" s="306">
        <v>100685</v>
      </c>
      <c r="B1748" s="305" t="s">
        <v>12365</v>
      </c>
      <c r="C1748" s="305" t="s">
        <v>363</v>
      </c>
      <c r="D1748" s="575">
        <v>613.11</v>
      </c>
    </row>
    <row r="1749" spans="1:4" ht="13.5" x14ac:dyDescent="0.25">
      <c r="A1749" s="306">
        <v>100686</v>
      </c>
      <c r="B1749" s="305" t="s">
        <v>12366</v>
      </c>
      <c r="C1749" s="305" t="s">
        <v>363</v>
      </c>
      <c r="D1749" s="575">
        <v>567.98</v>
      </c>
    </row>
    <row r="1750" spans="1:4" ht="13.5" x14ac:dyDescent="0.25">
      <c r="A1750" s="306">
        <v>100687</v>
      </c>
      <c r="B1750" s="305" t="s">
        <v>12367</v>
      </c>
      <c r="C1750" s="305" t="s">
        <v>363</v>
      </c>
      <c r="D1750" s="575">
        <v>553.27</v>
      </c>
    </row>
    <row r="1751" spans="1:4" ht="13.5" x14ac:dyDescent="0.25">
      <c r="A1751" s="306">
        <v>100688</v>
      </c>
      <c r="B1751" s="305" t="s">
        <v>12368</v>
      </c>
      <c r="C1751" s="305" t="s">
        <v>363</v>
      </c>
      <c r="D1751" s="575">
        <v>510.98</v>
      </c>
    </row>
    <row r="1752" spans="1:4" ht="13.5" x14ac:dyDescent="0.25">
      <c r="A1752" s="306">
        <v>100689</v>
      </c>
      <c r="B1752" s="305" t="s">
        <v>12369</v>
      </c>
      <c r="C1752" s="305" t="s">
        <v>363</v>
      </c>
      <c r="D1752" s="575">
        <v>624.97</v>
      </c>
    </row>
    <row r="1753" spans="1:4" ht="13.5" x14ac:dyDescent="0.25">
      <c r="A1753" s="306">
        <v>100690</v>
      </c>
      <c r="B1753" s="305" t="s">
        <v>12370</v>
      </c>
      <c r="C1753" s="305" t="s">
        <v>363</v>
      </c>
      <c r="D1753" s="575">
        <v>579.94000000000005</v>
      </c>
    </row>
    <row r="1754" spans="1:4" ht="13.5" x14ac:dyDescent="0.25">
      <c r="A1754" s="306">
        <v>100691</v>
      </c>
      <c r="B1754" s="305" t="s">
        <v>12371</v>
      </c>
      <c r="C1754" s="305" t="s">
        <v>363</v>
      </c>
      <c r="D1754" s="575">
        <v>879.52</v>
      </c>
    </row>
    <row r="1755" spans="1:4" ht="13.5" x14ac:dyDescent="0.25">
      <c r="A1755" s="306">
        <v>100692</v>
      </c>
      <c r="B1755" s="305" t="s">
        <v>12372</v>
      </c>
      <c r="C1755" s="305" t="s">
        <v>363</v>
      </c>
      <c r="D1755" s="575">
        <v>834.49</v>
      </c>
    </row>
    <row r="1756" spans="1:4" ht="13.5" x14ac:dyDescent="0.25">
      <c r="A1756" s="306">
        <v>100693</v>
      </c>
      <c r="B1756" s="305" t="s">
        <v>12373</v>
      </c>
      <c r="C1756" s="305" t="s">
        <v>363</v>
      </c>
      <c r="D1756" s="576">
        <v>1088.5</v>
      </c>
    </row>
    <row r="1757" spans="1:4" ht="13.5" x14ac:dyDescent="0.25">
      <c r="A1757" s="306">
        <v>100694</v>
      </c>
      <c r="B1757" s="305" t="s">
        <v>12374</v>
      </c>
      <c r="C1757" s="305" t="s">
        <v>363</v>
      </c>
      <c r="D1757" s="576">
        <v>1043.47</v>
      </c>
    </row>
    <row r="1758" spans="1:4" ht="13.5" x14ac:dyDescent="0.25">
      <c r="A1758" s="306">
        <v>100695</v>
      </c>
      <c r="B1758" s="305" t="s">
        <v>12375</v>
      </c>
      <c r="C1758" s="305" t="s">
        <v>363</v>
      </c>
      <c r="D1758" s="575">
        <v>46.09</v>
      </c>
    </row>
    <row r="1759" spans="1:4" ht="13.5" x14ac:dyDescent="0.25">
      <c r="A1759" s="306">
        <v>100696</v>
      </c>
      <c r="B1759" s="305" t="s">
        <v>12376</v>
      </c>
      <c r="C1759" s="305" t="s">
        <v>363</v>
      </c>
      <c r="D1759" s="575">
        <v>51.3</v>
      </c>
    </row>
    <row r="1760" spans="1:4" ht="13.5" x14ac:dyDescent="0.25">
      <c r="A1760" s="306">
        <v>100697</v>
      </c>
      <c r="B1760" s="305" t="s">
        <v>12377</v>
      </c>
      <c r="C1760" s="305" t="s">
        <v>363</v>
      </c>
      <c r="D1760" s="575">
        <v>56.55</v>
      </c>
    </row>
    <row r="1761" spans="1:4" ht="13.5" x14ac:dyDescent="0.25">
      <c r="A1761" s="306">
        <v>100698</v>
      </c>
      <c r="B1761" s="305" t="s">
        <v>12378</v>
      </c>
      <c r="C1761" s="305" t="s">
        <v>363</v>
      </c>
      <c r="D1761" s="575">
        <v>61.78</v>
      </c>
    </row>
    <row r="1762" spans="1:4" ht="13.5" x14ac:dyDescent="0.25">
      <c r="A1762" s="306">
        <v>100699</v>
      </c>
      <c r="B1762" s="305" t="s">
        <v>12379</v>
      </c>
      <c r="C1762" s="305" t="s">
        <v>363</v>
      </c>
      <c r="D1762" s="575">
        <v>73.55</v>
      </c>
    </row>
    <row r="1763" spans="1:4" ht="13.5" x14ac:dyDescent="0.25">
      <c r="A1763" s="306">
        <v>100700</v>
      </c>
      <c r="B1763" s="305" t="s">
        <v>12380</v>
      </c>
      <c r="C1763" s="305" t="s">
        <v>363</v>
      </c>
      <c r="D1763" s="575">
        <v>547.83000000000004</v>
      </c>
    </row>
    <row r="1764" spans="1:4" ht="13.5" x14ac:dyDescent="0.25">
      <c r="A1764" s="306">
        <v>100712</v>
      </c>
      <c r="B1764" s="305" t="s">
        <v>12381</v>
      </c>
      <c r="C1764" s="305" t="s">
        <v>363</v>
      </c>
      <c r="D1764" s="575">
        <v>484.1</v>
      </c>
    </row>
    <row r="1765" spans="1:4" ht="13.5" x14ac:dyDescent="0.25">
      <c r="A1765" s="306">
        <v>100665</v>
      </c>
      <c r="B1765" s="305" t="s">
        <v>12382</v>
      </c>
      <c r="C1765" s="305" t="s">
        <v>521</v>
      </c>
      <c r="D1765" s="575">
        <v>703.2</v>
      </c>
    </row>
    <row r="1766" spans="1:4" ht="13.5" x14ac:dyDescent="0.25">
      <c r="A1766" s="306">
        <v>100666</v>
      </c>
      <c r="B1766" s="305" t="s">
        <v>12383</v>
      </c>
      <c r="C1766" s="305" t="s">
        <v>521</v>
      </c>
      <c r="D1766" s="575">
        <v>555.97</v>
      </c>
    </row>
    <row r="1767" spans="1:4" ht="13.5" x14ac:dyDescent="0.25">
      <c r="A1767" s="306">
        <v>100667</v>
      </c>
      <c r="B1767" s="305" t="s">
        <v>12384</v>
      </c>
      <c r="C1767" s="305" t="s">
        <v>521</v>
      </c>
      <c r="D1767" s="575">
        <v>911.33</v>
      </c>
    </row>
    <row r="1768" spans="1:4" ht="13.5" x14ac:dyDescent="0.25">
      <c r="A1768" s="306">
        <v>100668</v>
      </c>
      <c r="B1768" s="305" t="s">
        <v>12385</v>
      </c>
      <c r="C1768" s="305" t="s">
        <v>521</v>
      </c>
      <c r="D1768" s="576">
        <v>1100.5899999999999</v>
      </c>
    </row>
    <row r="1769" spans="1:4" ht="13.5" x14ac:dyDescent="0.25">
      <c r="A1769" s="306">
        <v>100669</v>
      </c>
      <c r="B1769" s="305" t="s">
        <v>12386</v>
      </c>
      <c r="C1769" s="305" t="s">
        <v>521</v>
      </c>
      <c r="D1769" s="575">
        <v>651.24</v>
      </c>
    </row>
    <row r="1770" spans="1:4" ht="13.5" x14ac:dyDescent="0.25">
      <c r="A1770" s="306">
        <v>100670</v>
      </c>
      <c r="B1770" s="305" t="s">
        <v>12387</v>
      </c>
      <c r="C1770" s="305" t="s">
        <v>521</v>
      </c>
      <c r="D1770" s="575">
        <v>871.68</v>
      </c>
    </row>
    <row r="1771" spans="1:4" ht="13.5" x14ac:dyDescent="0.25">
      <c r="A1771" s="306">
        <v>100671</v>
      </c>
      <c r="B1771" s="305" t="s">
        <v>12388</v>
      </c>
      <c r="C1771" s="305" t="s">
        <v>521</v>
      </c>
      <c r="D1771" s="576">
        <v>1083.17</v>
      </c>
    </row>
    <row r="1772" spans="1:4" ht="13.5" x14ac:dyDescent="0.25">
      <c r="A1772" s="306">
        <v>100672</v>
      </c>
      <c r="B1772" s="305" t="s">
        <v>12389</v>
      </c>
      <c r="C1772" s="305" t="s">
        <v>521</v>
      </c>
      <c r="D1772" s="575">
        <v>697.16</v>
      </c>
    </row>
    <row r="1773" spans="1:4" ht="13.5" x14ac:dyDescent="0.25">
      <c r="A1773" s="306">
        <v>100701</v>
      </c>
      <c r="B1773" s="305" t="s">
        <v>12390</v>
      </c>
      <c r="C1773" s="305" t="s">
        <v>521</v>
      </c>
      <c r="D1773" s="575">
        <v>283.12</v>
      </c>
    </row>
    <row r="1774" spans="1:4" ht="13.5" x14ac:dyDescent="0.25">
      <c r="A1774" s="306">
        <v>94559</v>
      </c>
      <c r="B1774" s="305" t="s">
        <v>12391</v>
      </c>
      <c r="C1774" s="305" t="s">
        <v>521</v>
      </c>
      <c r="D1774" s="575">
        <v>595.9</v>
      </c>
    </row>
    <row r="1775" spans="1:4" ht="13.5" x14ac:dyDescent="0.25">
      <c r="A1775" s="306">
        <v>94560</v>
      </c>
      <c r="B1775" s="305" t="s">
        <v>12392</v>
      </c>
      <c r="C1775" s="305" t="s">
        <v>521</v>
      </c>
      <c r="D1775" s="575">
        <v>537.19000000000005</v>
      </c>
    </row>
    <row r="1776" spans="1:4" ht="13.5" x14ac:dyDescent="0.25">
      <c r="A1776" s="306">
        <v>94562</v>
      </c>
      <c r="B1776" s="305" t="s">
        <v>12393</v>
      </c>
      <c r="C1776" s="305" t="s">
        <v>521</v>
      </c>
      <c r="D1776" s="575">
        <v>564.26</v>
      </c>
    </row>
    <row r="1777" spans="1:4" ht="13.5" x14ac:dyDescent="0.25">
      <c r="A1777" s="306">
        <v>94563</v>
      </c>
      <c r="B1777" s="305" t="s">
        <v>12394</v>
      </c>
      <c r="C1777" s="305" t="s">
        <v>521</v>
      </c>
      <c r="D1777" s="575">
        <v>708.66</v>
      </c>
    </row>
    <row r="1778" spans="1:4" ht="13.5" x14ac:dyDescent="0.25">
      <c r="A1778" s="306">
        <v>94587</v>
      </c>
      <c r="B1778" s="305" t="s">
        <v>12395</v>
      </c>
      <c r="C1778" s="305" t="s">
        <v>282</v>
      </c>
      <c r="D1778" s="575">
        <v>41.6</v>
      </c>
    </row>
    <row r="1779" spans="1:4" ht="13.5" x14ac:dyDescent="0.25">
      <c r="A1779" s="306">
        <v>94588</v>
      </c>
      <c r="B1779" s="305" t="s">
        <v>12396</v>
      </c>
      <c r="C1779" s="305" t="s">
        <v>282</v>
      </c>
      <c r="D1779" s="575">
        <v>35.44</v>
      </c>
    </row>
    <row r="1780" spans="1:4" ht="13.5" x14ac:dyDescent="0.25">
      <c r="A1780" s="306">
        <v>99837</v>
      </c>
      <c r="B1780" s="305" t="s">
        <v>1804</v>
      </c>
      <c r="C1780" s="305" t="s">
        <v>282</v>
      </c>
      <c r="D1780" s="575">
        <v>379.39</v>
      </c>
    </row>
    <row r="1781" spans="1:4" ht="13.5" x14ac:dyDescent="0.25">
      <c r="A1781" s="306">
        <v>99839</v>
      </c>
      <c r="B1781" s="305" t="s">
        <v>1805</v>
      </c>
      <c r="C1781" s="305" t="s">
        <v>282</v>
      </c>
      <c r="D1781" s="575">
        <v>332.63</v>
      </c>
    </row>
    <row r="1782" spans="1:4" ht="13.5" x14ac:dyDescent="0.25">
      <c r="A1782" s="306">
        <v>99841</v>
      </c>
      <c r="B1782" s="305" t="s">
        <v>1806</v>
      </c>
      <c r="C1782" s="305" t="s">
        <v>282</v>
      </c>
      <c r="D1782" s="576">
        <v>1068.68</v>
      </c>
    </row>
    <row r="1783" spans="1:4" ht="13.5" x14ac:dyDescent="0.25">
      <c r="A1783" s="306">
        <v>99855</v>
      </c>
      <c r="B1783" s="305" t="s">
        <v>1807</v>
      </c>
      <c r="C1783" s="305" t="s">
        <v>282</v>
      </c>
      <c r="D1783" s="575">
        <v>69.599999999999994</v>
      </c>
    </row>
    <row r="1784" spans="1:4" ht="13.5" x14ac:dyDescent="0.25">
      <c r="A1784" s="306">
        <v>99857</v>
      </c>
      <c r="B1784" s="305" t="s">
        <v>1808</v>
      </c>
      <c r="C1784" s="305" t="s">
        <v>282</v>
      </c>
      <c r="D1784" s="575">
        <v>65.06</v>
      </c>
    </row>
    <row r="1785" spans="1:4" ht="13.5" x14ac:dyDescent="0.25">
      <c r="A1785" s="306">
        <v>99861</v>
      </c>
      <c r="B1785" s="305" t="s">
        <v>1809</v>
      </c>
      <c r="C1785" s="305" t="s">
        <v>521</v>
      </c>
      <c r="D1785" s="575">
        <v>429.81</v>
      </c>
    </row>
    <row r="1786" spans="1:4" ht="13.5" x14ac:dyDescent="0.25">
      <c r="A1786" s="306">
        <v>99862</v>
      </c>
      <c r="B1786" s="305" t="s">
        <v>1810</v>
      </c>
      <c r="C1786" s="305" t="s">
        <v>521</v>
      </c>
      <c r="D1786" s="575">
        <v>431.66</v>
      </c>
    </row>
    <row r="1787" spans="1:4" ht="13.5" x14ac:dyDescent="0.25">
      <c r="A1787" s="306">
        <v>73665</v>
      </c>
      <c r="B1787" s="305" t="s">
        <v>1811</v>
      </c>
      <c r="C1787" s="305" t="s">
        <v>282</v>
      </c>
      <c r="D1787" s="575">
        <v>69.680000000000007</v>
      </c>
    </row>
    <row r="1788" spans="1:4" ht="13.5" x14ac:dyDescent="0.25">
      <c r="A1788" s="305" t="s">
        <v>1812</v>
      </c>
      <c r="B1788" s="305" t="s">
        <v>1813</v>
      </c>
      <c r="C1788" s="305" t="s">
        <v>282</v>
      </c>
      <c r="D1788" s="575">
        <v>252.34</v>
      </c>
    </row>
    <row r="1789" spans="1:4" ht="13.5" x14ac:dyDescent="0.25">
      <c r="A1789" s="306">
        <v>90838</v>
      </c>
      <c r="B1789" s="305" t="s">
        <v>12397</v>
      </c>
      <c r="C1789" s="305" t="s">
        <v>363</v>
      </c>
      <c r="D1789" s="575">
        <v>669</v>
      </c>
    </row>
    <row r="1790" spans="1:4" ht="13.5" x14ac:dyDescent="0.25">
      <c r="A1790" s="306">
        <v>91338</v>
      </c>
      <c r="B1790" s="305" t="s">
        <v>12398</v>
      </c>
      <c r="C1790" s="305" t="s">
        <v>521</v>
      </c>
      <c r="D1790" s="575">
        <v>826.1</v>
      </c>
    </row>
    <row r="1791" spans="1:4" ht="13.5" x14ac:dyDescent="0.25">
      <c r="A1791" s="306">
        <v>91341</v>
      </c>
      <c r="B1791" s="305" t="s">
        <v>12399</v>
      </c>
      <c r="C1791" s="305" t="s">
        <v>521</v>
      </c>
      <c r="D1791" s="575">
        <v>604.03</v>
      </c>
    </row>
    <row r="1792" spans="1:4" ht="13.5" x14ac:dyDescent="0.25">
      <c r="A1792" s="306">
        <v>94805</v>
      </c>
      <c r="B1792" s="305" t="s">
        <v>12400</v>
      </c>
      <c r="C1792" s="305" t="s">
        <v>363</v>
      </c>
      <c r="D1792" s="575">
        <v>959.11</v>
      </c>
    </row>
    <row r="1793" spans="1:4" ht="13.5" x14ac:dyDescent="0.25">
      <c r="A1793" s="306">
        <v>94806</v>
      </c>
      <c r="B1793" s="305" t="s">
        <v>12401</v>
      </c>
      <c r="C1793" s="305" t="s">
        <v>363</v>
      </c>
      <c r="D1793" s="575">
        <v>319.45999999999998</v>
      </c>
    </row>
    <row r="1794" spans="1:4" ht="13.5" x14ac:dyDescent="0.25">
      <c r="A1794" s="306">
        <v>94807</v>
      </c>
      <c r="B1794" s="305" t="s">
        <v>12402</v>
      </c>
      <c r="C1794" s="305" t="s">
        <v>363</v>
      </c>
      <c r="D1794" s="575">
        <v>378.9</v>
      </c>
    </row>
    <row r="1795" spans="1:4" ht="13.5" x14ac:dyDescent="0.25">
      <c r="A1795" s="306">
        <v>100702</v>
      </c>
      <c r="B1795" s="305" t="s">
        <v>12403</v>
      </c>
      <c r="C1795" s="305" t="s">
        <v>521</v>
      </c>
      <c r="D1795" s="575">
        <v>497.27</v>
      </c>
    </row>
    <row r="1796" spans="1:4" ht="13.5" x14ac:dyDescent="0.25">
      <c r="A1796" s="306">
        <v>84885</v>
      </c>
      <c r="B1796" s="305" t="s">
        <v>1814</v>
      </c>
      <c r="C1796" s="305" t="s">
        <v>363</v>
      </c>
      <c r="D1796" s="575">
        <v>593.35</v>
      </c>
    </row>
    <row r="1797" spans="1:4" ht="13.5" x14ac:dyDescent="0.25">
      <c r="A1797" s="306">
        <v>84886</v>
      </c>
      <c r="B1797" s="305" t="s">
        <v>1815</v>
      </c>
      <c r="C1797" s="305" t="s">
        <v>363</v>
      </c>
      <c r="D1797" s="576">
        <v>1007.52</v>
      </c>
    </row>
    <row r="1798" spans="1:4" ht="13.5" x14ac:dyDescent="0.25">
      <c r="A1798" s="306">
        <v>100703</v>
      </c>
      <c r="B1798" s="305" t="s">
        <v>12404</v>
      </c>
      <c r="C1798" s="305" t="s">
        <v>363</v>
      </c>
      <c r="D1798" s="575">
        <v>20.68</v>
      </c>
    </row>
    <row r="1799" spans="1:4" ht="13.5" x14ac:dyDescent="0.25">
      <c r="A1799" s="306">
        <v>100704</v>
      </c>
      <c r="B1799" s="305" t="s">
        <v>12405</v>
      </c>
      <c r="C1799" s="305" t="s">
        <v>363</v>
      </c>
      <c r="D1799" s="575">
        <v>157.26</v>
      </c>
    </row>
    <row r="1800" spans="1:4" ht="13.5" x14ac:dyDescent="0.25">
      <c r="A1800" s="306">
        <v>100705</v>
      </c>
      <c r="B1800" s="305" t="s">
        <v>12406</v>
      </c>
      <c r="C1800" s="305" t="s">
        <v>363</v>
      </c>
      <c r="D1800" s="575">
        <v>51.69</v>
      </c>
    </row>
    <row r="1801" spans="1:4" ht="13.5" x14ac:dyDescent="0.25">
      <c r="A1801" s="306">
        <v>100706</v>
      </c>
      <c r="B1801" s="305" t="s">
        <v>12407</v>
      </c>
      <c r="C1801" s="305" t="s">
        <v>363</v>
      </c>
      <c r="D1801" s="575">
        <v>94.58</v>
      </c>
    </row>
    <row r="1802" spans="1:4" ht="13.5" x14ac:dyDescent="0.25">
      <c r="A1802" s="306">
        <v>100707</v>
      </c>
      <c r="B1802" s="305" t="s">
        <v>12408</v>
      </c>
      <c r="C1802" s="305" t="s">
        <v>363</v>
      </c>
      <c r="D1802" s="575">
        <v>53.97</v>
      </c>
    </row>
    <row r="1803" spans="1:4" ht="13.5" x14ac:dyDescent="0.25">
      <c r="A1803" s="306">
        <v>100708</v>
      </c>
      <c r="B1803" s="305" t="s">
        <v>12409</v>
      </c>
      <c r="C1803" s="305" t="s">
        <v>363</v>
      </c>
      <c r="D1803" s="575">
        <v>69.64</v>
      </c>
    </row>
    <row r="1804" spans="1:4" ht="13.5" x14ac:dyDescent="0.25">
      <c r="A1804" s="306">
        <v>100709</v>
      </c>
      <c r="B1804" s="305" t="s">
        <v>12410</v>
      </c>
      <c r="C1804" s="305" t="s">
        <v>363</v>
      </c>
      <c r="D1804" s="575">
        <v>37.29</v>
      </c>
    </row>
    <row r="1805" spans="1:4" ht="13.5" x14ac:dyDescent="0.25">
      <c r="A1805" s="306">
        <v>100710</v>
      </c>
      <c r="B1805" s="305" t="s">
        <v>12411</v>
      </c>
      <c r="C1805" s="305" t="s">
        <v>363</v>
      </c>
      <c r="D1805" s="575">
        <v>94.5</v>
      </c>
    </row>
    <row r="1806" spans="1:4" ht="13.5" x14ac:dyDescent="0.25">
      <c r="A1806" s="306">
        <v>72116</v>
      </c>
      <c r="B1806" s="305" t="s">
        <v>1816</v>
      </c>
      <c r="C1806" s="305" t="s">
        <v>521</v>
      </c>
      <c r="D1806" s="575">
        <v>155.88</v>
      </c>
    </row>
    <row r="1807" spans="1:4" ht="13.5" x14ac:dyDescent="0.25">
      <c r="A1807" s="306">
        <v>72117</v>
      </c>
      <c r="B1807" s="305" t="s">
        <v>1817</v>
      </c>
      <c r="C1807" s="305" t="s">
        <v>521</v>
      </c>
      <c r="D1807" s="575">
        <v>200.48</v>
      </c>
    </row>
    <row r="1808" spans="1:4" ht="13.5" x14ac:dyDescent="0.25">
      <c r="A1808" s="306">
        <v>72118</v>
      </c>
      <c r="B1808" s="305" t="s">
        <v>1818</v>
      </c>
      <c r="C1808" s="305" t="s">
        <v>521</v>
      </c>
      <c r="D1808" s="575">
        <v>184.66</v>
      </c>
    </row>
    <row r="1809" spans="1:4" ht="13.5" x14ac:dyDescent="0.25">
      <c r="A1809" s="306">
        <v>72119</v>
      </c>
      <c r="B1809" s="305" t="s">
        <v>1819</v>
      </c>
      <c r="C1809" s="305" t="s">
        <v>521</v>
      </c>
      <c r="D1809" s="575">
        <v>230.48</v>
      </c>
    </row>
    <row r="1810" spans="1:4" ht="13.5" x14ac:dyDescent="0.25">
      <c r="A1810" s="306">
        <v>72120</v>
      </c>
      <c r="B1810" s="305" t="s">
        <v>1820</v>
      </c>
      <c r="C1810" s="305" t="s">
        <v>521</v>
      </c>
      <c r="D1810" s="575">
        <v>288.89</v>
      </c>
    </row>
    <row r="1811" spans="1:4" ht="13.5" x14ac:dyDescent="0.25">
      <c r="A1811" s="306">
        <v>72122</v>
      </c>
      <c r="B1811" s="305" t="s">
        <v>1821</v>
      </c>
      <c r="C1811" s="305" t="s">
        <v>521</v>
      </c>
      <c r="D1811" s="575">
        <v>171.64</v>
      </c>
    </row>
    <row r="1812" spans="1:4" ht="13.5" x14ac:dyDescent="0.25">
      <c r="A1812" s="306">
        <v>72123</v>
      </c>
      <c r="B1812" s="305" t="s">
        <v>1822</v>
      </c>
      <c r="C1812" s="305" t="s">
        <v>521</v>
      </c>
      <c r="D1812" s="575">
        <v>463.31</v>
      </c>
    </row>
    <row r="1813" spans="1:4" ht="13.5" x14ac:dyDescent="0.25">
      <c r="A1813" s="305" t="s">
        <v>1823</v>
      </c>
      <c r="B1813" s="305" t="s">
        <v>1824</v>
      </c>
      <c r="C1813" s="305" t="s">
        <v>363</v>
      </c>
      <c r="D1813" s="576">
        <v>1817.63</v>
      </c>
    </row>
    <row r="1814" spans="1:4" ht="13.5" x14ac:dyDescent="0.25">
      <c r="A1814" s="305" t="s">
        <v>1825</v>
      </c>
      <c r="B1814" s="305" t="s">
        <v>1826</v>
      </c>
      <c r="C1814" s="305" t="s">
        <v>521</v>
      </c>
      <c r="D1814" s="575">
        <v>560.99</v>
      </c>
    </row>
    <row r="1815" spans="1:4" ht="13.5" x14ac:dyDescent="0.25">
      <c r="A1815" s="305" t="s">
        <v>1827</v>
      </c>
      <c r="B1815" s="305" t="s">
        <v>1828</v>
      </c>
      <c r="C1815" s="305" t="s">
        <v>521</v>
      </c>
      <c r="D1815" s="575">
        <v>605.03</v>
      </c>
    </row>
    <row r="1816" spans="1:4" ht="13.5" x14ac:dyDescent="0.25">
      <c r="A1816" s="306">
        <v>84957</v>
      </c>
      <c r="B1816" s="305" t="s">
        <v>1829</v>
      </c>
      <c r="C1816" s="305" t="s">
        <v>521</v>
      </c>
      <c r="D1816" s="575">
        <v>239.58</v>
      </c>
    </row>
    <row r="1817" spans="1:4" ht="13.5" x14ac:dyDescent="0.25">
      <c r="A1817" s="306">
        <v>84959</v>
      </c>
      <c r="B1817" s="305" t="s">
        <v>1830</v>
      </c>
      <c r="C1817" s="305" t="s">
        <v>521</v>
      </c>
      <c r="D1817" s="575">
        <v>281.25</v>
      </c>
    </row>
    <row r="1818" spans="1:4" ht="13.5" x14ac:dyDescent="0.25">
      <c r="A1818" s="306">
        <v>85001</v>
      </c>
      <c r="B1818" s="305" t="s">
        <v>1831</v>
      </c>
      <c r="C1818" s="305" t="s">
        <v>521</v>
      </c>
      <c r="D1818" s="575">
        <v>267.36</v>
      </c>
    </row>
    <row r="1819" spans="1:4" ht="13.5" x14ac:dyDescent="0.25">
      <c r="A1819" s="306">
        <v>85002</v>
      </c>
      <c r="B1819" s="305" t="s">
        <v>1832</v>
      </c>
      <c r="C1819" s="305" t="s">
        <v>521</v>
      </c>
      <c r="D1819" s="575">
        <v>378.47</v>
      </c>
    </row>
    <row r="1820" spans="1:4" ht="13.5" x14ac:dyDescent="0.25">
      <c r="A1820" s="306">
        <v>85004</v>
      </c>
      <c r="B1820" s="305" t="s">
        <v>1833</v>
      </c>
      <c r="C1820" s="305" t="s">
        <v>521</v>
      </c>
      <c r="D1820" s="575">
        <v>184.02</v>
      </c>
    </row>
    <row r="1821" spans="1:4" ht="13.5" x14ac:dyDescent="0.25">
      <c r="A1821" s="306">
        <v>85005</v>
      </c>
      <c r="B1821" s="305" t="s">
        <v>1834</v>
      </c>
      <c r="C1821" s="305" t="s">
        <v>521</v>
      </c>
      <c r="D1821" s="575">
        <v>540.46</v>
      </c>
    </row>
    <row r="1822" spans="1:4" ht="13.5" x14ac:dyDescent="0.25">
      <c r="A1822" s="306">
        <v>94569</v>
      </c>
      <c r="B1822" s="305" t="s">
        <v>12412</v>
      </c>
      <c r="C1822" s="305" t="s">
        <v>521</v>
      </c>
      <c r="D1822" s="575">
        <v>518.41</v>
      </c>
    </row>
    <row r="1823" spans="1:4" ht="13.5" x14ac:dyDescent="0.25">
      <c r="A1823" s="306">
        <v>94570</v>
      </c>
      <c r="B1823" s="305" t="s">
        <v>12413</v>
      </c>
      <c r="C1823" s="305" t="s">
        <v>521</v>
      </c>
      <c r="D1823" s="575">
        <v>327.22000000000003</v>
      </c>
    </row>
    <row r="1824" spans="1:4" ht="13.5" x14ac:dyDescent="0.25">
      <c r="A1824" s="306">
        <v>94572</v>
      </c>
      <c r="B1824" s="305" t="s">
        <v>12414</v>
      </c>
      <c r="C1824" s="305" t="s">
        <v>521</v>
      </c>
      <c r="D1824" s="575">
        <v>491.67</v>
      </c>
    </row>
    <row r="1825" spans="1:4" ht="13.5" x14ac:dyDescent="0.25">
      <c r="A1825" s="306">
        <v>94573</v>
      </c>
      <c r="B1825" s="305" t="s">
        <v>12415</v>
      </c>
      <c r="C1825" s="305" t="s">
        <v>521</v>
      </c>
      <c r="D1825" s="575">
        <v>377.52</v>
      </c>
    </row>
    <row r="1826" spans="1:4" ht="13.5" x14ac:dyDescent="0.25">
      <c r="A1826" s="306">
        <v>94580</v>
      </c>
      <c r="B1826" s="305" t="s">
        <v>12416</v>
      </c>
      <c r="C1826" s="305" t="s">
        <v>521</v>
      </c>
      <c r="D1826" s="575">
        <v>555.73</v>
      </c>
    </row>
    <row r="1827" spans="1:4" ht="13.5" x14ac:dyDescent="0.25">
      <c r="A1827" s="306">
        <v>100674</v>
      </c>
      <c r="B1827" s="305" t="s">
        <v>12417</v>
      </c>
      <c r="C1827" s="305" t="s">
        <v>521</v>
      </c>
      <c r="D1827" s="575">
        <v>359.68</v>
      </c>
    </row>
    <row r="1828" spans="1:4" ht="13.5" x14ac:dyDescent="0.25">
      <c r="A1828" s="306">
        <v>101096</v>
      </c>
      <c r="B1828" s="305" t="s">
        <v>12418</v>
      </c>
      <c r="C1828" s="305" t="s">
        <v>1456</v>
      </c>
      <c r="D1828" s="576">
        <v>1042.03</v>
      </c>
    </row>
    <row r="1829" spans="1:4" ht="13.5" x14ac:dyDescent="0.25">
      <c r="A1829" s="306">
        <v>101097</v>
      </c>
      <c r="B1829" s="305" t="s">
        <v>12419</v>
      </c>
      <c r="C1829" s="305" t="s">
        <v>1456</v>
      </c>
      <c r="D1829" s="575">
        <v>988.64</v>
      </c>
    </row>
    <row r="1830" spans="1:4" ht="13.5" x14ac:dyDescent="0.25">
      <c r="A1830" s="306">
        <v>101098</v>
      </c>
      <c r="B1830" s="305" t="s">
        <v>12420</v>
      </c>
      <c r="C1830" s="305" t="s">
        <v>1456</v>
      </c>
      <c r="D1830" s="575">
        <v>917.26</v>
      </c>
    </row>
    <row r="1831" spans="1:4" ht="13.5" x14ac:dyDescent="0.25">
      <c r="A1831" s="306">
        <v>101099</v>
      </c>
      <c r="B1831" s="305" t="s">
        <v>12421</v>
      </c>
      <c r="C1831" s="305" t="s">
        <v>1456</v>
      </c>
      <c r="D1831" s="575">
        <v>842.83</v>
      </c>
    </row>
    <row r="1832" spans="1:4" ht="13.5" x14ac:dyDescent="0.25">
      <c r="A1832" s="306">
        <v>101100</v>
      </c>
      <c r="B1832" s="305" t="s">
        <v>12422</v>
      </c>
      <c r="C1832" s="305" t="s">
        <v>1456</v>
      </c>
      <c r="D1832" s="575">
        <v>763.61</v>
      </c>
    </row>
    <row r="1833" spans="1:4" ht="13.5" x14ac:dyDescent="0.25">
      <c r="A1833" s="306">
        <v>101101</v>
      </c>
      <c r="B1833" s="305" t="s">
        <v>12423</v>
      </c>
      <c r="C1833" s="305" t="s">
        <v>1456</v>
      </c>
      <c r="D1833" s="575">
        <v>747.56</v>
      </c>
    </row>
    <row r="1834" spans="1:4" ht="13.5" x14ac:dyDescent="0.25">
      <c r="A1834" s="306">
        <v>101102</v>
      </c>
      <c r="B1834" s="305" t="s">
        <v>12424</v>
      </c>
      <c r="C1834" s="305" t="s">
        <v>1456</v>
      </c>
      <c r="D1834" s="575">
        <v>727.59</v>
      </c>
    </row>
    <row r="1835" spans="1:4" ht="13.5" x14ac:dyDescent="0.25">
      <c r="A1835" s="306">
        <v>101103</v>
      </c>
      <c r="B1835" s="305" t="s">
        <v>12425</v>
      </c>
      <c r="C1835" s="305" t="s">
        <v>1456</v>
      </c>
      <c r="D1835" s="575">
        <v>686.53</v>
      </c>
    </row>
    <row r="1836" spans="1:4" ht="13.5" x14ac:dyDescent="0.25">
      <c r="A1836" s="306">
        <v>101104</v>
      </c>
      <c r="B1836" s="305" t="s">
        <v>12426</v>
      </c>
      <c r="C1836" s="305" t="s">
        <v>1456</v>
      </c>
      <c r="D1836" s="576">
        <v>1033.79</v>
      </c>
    </row>
    <row r="1837" spans="1:4" ht="13.5" x14ac:dyDescent="0.25">
      <c r="A1837" s="306">
        <v>101105</v>
      </c>
      <c r="B1837" s="305" t="s">
        <v>12427</v>
      </c>
      <c r="C1837" s="305" t="s">
        <v>1456</v>
      </c>
      <c r="D1837" s="575">
        <v>980.71</v>
      </c>
    </row>
    <row r="1838" spans="1:4" ht="13.5" x14ac:dyDescent="0.25">
      <c r="A1838" s="306">
        <v>101106</v>
      </c>
      <c r="B1838" s="305" t="s">
        <v>12428</v>
      </c>
      <c r="C1838" s="305" t="s">
        <v>1456</v>
      </c>
      <c r="D1838" s="575">
        <v>910.13</v>
      </c>
    </row>
    <row r="1839" spans="1:4" ht="13.5" x14ac:dyDescent="0.25">
      <c r="A1839" s="306">
        <v>101107</v>
      </c>
      <c r="B1839" s="305" t="s">
        <v>12429</v>
      </c>
      <c r="C1839" s="305" t="s">
        <v>1456</v>
      </c>
      <c r="D1839" s="575">
        <v>836.29</v>
      </c>
    </row>
    <row r="1840" spans="1:4" ht="13.5" x14ac:dyDescent="0.25">
      <c r="A1840" s="306">
        <v>101108</v>
      </c>
      <c r="B1840" s="305" t="s">
        <v>12430</v>
      </c>
      <c r="C1840" s="305" t="s">
        <v>1456</v>
      </c>
      <c r="D1840" s="575">
        <v>751.43</v>
      </c>
    </row>
    <row r="1841" spans="1:4" ht="13.5" x14ac:dyDescent="0.25">
      <c r="A1841" s="306">
        <v>101109</v>
      </c>
      <c r="B1841" s="305" t="s">
        <v>12431</v>
      </c>
      <c r="C1841" s="305" t="s">
        <v>1456</v>
      </c>
      <c r="D1841" s="575">
        <v>735.9</v>
      </c>
    </row>
    <row r="1842" spans="1:4" ht="13.5" x14ac:dyDescent="0.25">
      <c r="A1842" s="306">
        <v>101110</v>
      </c>
      <c r="B1842" s="305" t="s">
        <v>12432</v>
      </c>
      <c r="C1842" s="305" t="s">
        <v>1456</v>
      </c>
      <c r="D1842" s="575">
        <v>717.18</v>
      </c>
    </row>
    <row r="1843" spans="1:4" ht="13.5" x14ac:dyDescent="0.25">
      <c r="A1843" s="306">
        <v>101111</v>
      </c>
      <c r="B1843" s="305" t="s">
        <v>12433</v>
      </c>
      <c r="C1843" s="305" t="s">
        <v>1456</v>
      </c>
      <c r="D1843" s="575">
        <v>677.15</v>
      </c>
    </row>
    <row r="1844" spans="1:4" ht="13.5" x14ac:dyDescent="0.25">
      <c r="A1844" s="306">
        <v>101112</v>
      </c>
      <c r="B1844" s="305" t="s">
        <v>12434</v>
      </c>
      <c r="C1844" s="305" t="s">
        <v>1456</v>
      </c>
      <c r="D1844" s="575">
        <v>755.44</v>
      </c>
    </row>
    <row r="1845" spans="1:4" ht="13.5" x14ac:dyDescent="0.25">
      <c r="A1845" s="306">
        <v>101113</v>
      </c>
      <c r="B1845" s="305" t="s">
        <v>12435</v>
      </c>
      <c r="C1845" s="305" t="s">
        <v>1456</v>
      </c>
      <c r="D1845" s="575">
        <v>750.58</v>
      </c>
    </row>
    <row r="1846" spans="1:4" ht="13.5" x14ac:dyDescent="0.25">
      <c r="A1846" s="306">
        <v>95601</v>
      </c>
      <c r="B1846" s="305" t="s">
        <v>1835</v>
      </c>
      <c r="C1846" s="305" t="s">
        <v>363</v>
      </c>
      <c r="D1846" s="575">
        <v>18.38</v>
      </c>
    </row>
    <row r="1847" spans="1:4" ht="13.5" x14ac:dyDescent="0.25">
      <c r="A1847" s="306">
        <v>95602</v>
      </c>
      <c r="B1847" s="305" t="s">
        <v>1836</v>
      </c>
      <c r="C1847" s="305" t="s">
        <v>363</v>
      </c>
      <c r="D1847" s="575">
        <v>23.41</v>
      </c>
    </row>
    <row r="1848" spans="1:4" ht="13.5" x14ac:dyDescent="0.25">
      <c r="A1848" s="306">
        <v>95603</v>
      </c>
      <c r="B1848" s="305" t="s">
        <v>1837</v>
      </c>
      <c r="C1848" s="305" t="s">
        <v>363</v>
      </c>
      <c r="D1848" s="575">
        <v>30.72</v>
      </c>
    </row>
    <row r="1849" spans="1:4" ht="13.5" x14ac:dyDescent="0.25">
      <c r="A1849" s="306">
        <v>95604</v>
      </c>
      <c r="B1849" s="305" t="s">
        <v>1838</v>
      </c>
      <c r="C1849" s="305" t="s">
        <v>363</v>
      </c>
      <c r="D1849" s="575">
        <v>40.450000000000003</v>
      </c>
    </row>
    <row r="1850" spans="1:4" ht="13.5" x14ac:dyDescent="0.25">
      <c r="A1850" s="306">
        <v>95605</v>
      </c>
      <c r="B1850" s="305" t="s">
        <v>1839</v>
      </c>
      <c r="C1850" s="305" t="s">
        <v>363</v>
      </c>
      <c r="D1850" s="575">
        <v>63.41</v>
      </c>
    </row>
    <row r="1851" spans="1:4" ht="13.5" x14ac:dyDescent="0.25">
      <c r="A1851" s="306">
        <v>95607</v>
      </c>
      <c r="B1851" s="305" t="s">
        <v>1840</v>
      </c>
      <c r="C1851" s="305" t="s">
        <v>363</v>
      </c>
      <c r="D1851" s="575">
        <v>5.48</v>
      </c>
    </row>
    <row r="1852" spans="1:4" ht="13.5" x14ac:dyDescent="0.25">
      <c r="A1852" s="306">
        <v>95608</v>
      </c>
      <c r="B1852" s="305" t="s">
        <v>1841</v>
      </c>
      <c r="C1852" s="305" t="s">
        <v>363</v>
      </c>
      <c r="D1852" s="575">
        <v>6.31</v>
      </c>
    </row>
    <row r="1853" spans="1:4" ht="13.5" x14ac:dyDescent="0.25">
      <c r="A1853" s="306">
        <v>95609</v>
      </c>
      <c r="B1853" s="305" t="s">
        <v>1842</v>
      </c>
      <c r="C1853" s="305" t="s">
        <v>363</v>
      </c>
      <c r="D1853" s="575">
        <v>7.04</v>
      </c>
    </row>
    <row r="1854" spans="1:4" ht="13.5" x14ac:dyDescent="0.25">
      <c r="A1854" s="306">
        <v>100651</v>
      </c>
      <c r="B1854" s="305" t="s">
        <v>12436</v>
      </c>
      <c r="C1854" s="305" t="s">
        <v>282</v>
      </c>
      <c r="D1854" s="575">
        <v>104.13</v>
      </c>
    </row>
    <row r="1855" spans="1:4" ht="13.5" x14ac:dyDescent="0.25">
      <c r="A1855" s="306">
        <v>100652</v>
      </c>
      <c r="B1855" s="305" t="s">
        <v>12437</v>
      </c>
      <c r="C1855" s="305" t="s">
        <v>282</v>
      </c>
      <c r="D1855" s="575">
        <v>203.22</v>
      </c>
    </row>
    <row r="1856" spans="1:4" ht="13.5" x14ac:dyDescent="0.25">
      <c r="A1856" s="306">
        <v>100653</v>
      </c>
      <c r="B1856" s="305" t="s">
        <v>12438</v>
      </c>
      <c r="C1856" s="305" t="s">
        <v>282</v>
      </c>
      <c r="D1856" s="575">
        <v>341.96</v>
      </c>
    </row>
    <row r="1857" spans="1:4" ht="13.5" x14ac:dyDescent="0.25">
      <c r="A1857" s="306">
        <v>100654</v>
      </c>
      <c r="B1857" s="305" t="s">
        <v>12439</v>
      </c>
      <c r="C1857" s="305" t="s">
        <v>282</v>
      </c>
      <c r="D1857" s="575">
        <v>458.89</v>
      </c>
    </row>
    <row r="1858" spans="1:4" ht="13.5" x14ac:dyDescent="0.25">
      <c r="A1858" s="306">
        <v>100655</v>
      </c>
      <c r="B1858" s="305" t="s">
        <v>12440</v>
      </c>
      <c r="C1858" s="305" t="s">
        <v>282</v>
      </c>
      <c r="D1858" s="575">
        <v>533.21</v>
      </c>
    </row>
    <row r="1859" spans="1:4" ht="13.5" x14ac:dyDescent="0.25">
      <c r="A1859" s="306">
        <v>100656</v>
      </c>
      <c r="B1859" s="305" t="s">
        <v>12441</v>
      </c>
      <c r="C1859" s="305" t="s">
        <v>282</v>
      </c>
      <c r="D1859" s="575">
        <v>68.91</v>
      </c>
    </row>
    <row r="1860" spans="1:4" ht="13.5" x14ac:dyDescent="0.25">
      <c r="A1860" s="306">
        <v>100657</v>
      </c>
      <c r="B1860" s="305" t="s">
        <v>12442</v>
      </c>
      <c r="C1860" s="305" t="s">
        <v>282</v>
      </c>
      <c r="D1860" s="575">
        <v>88.36</v>
      </c>
    </row>
    <row r="1861" spans="1:4" ht="13.5" x14ac:dyDescent="0.25">
      <c r="A1861" s="306">
        <v>100658</v>
      </c>
      <c r="B1861" s="305" t="s">
        <v>12443</v>
      </c>
      <c r="C1861" s="305" t="s">
        <v>282</v>
      </c>
      <c r="D1861" s="575">
        <v>201.94</v>
      </c>
    </row>
    <row r="1862" spans="1:4" ht="13.5" x14ac:dyDescent="0.25">
      <c r="A1862" s="306">
        <v>100889</v>
      </c>
      <c r="B1862" s="305" t="s">
        <v>12444</v>
      </c>
      <c r="C1862" s="305" t="s">
        <v>506</v>
      </c>
      <c r="D1862" s="575">
        <v>7.67</v>
      </c>
    </row>
    <row r="1863" spans="1:4" ht="13.5" x14ac:dyDescent="0.25">
      <c r="A1863" s="306">
        <v>100890</v>
      </c>
      <c r="B1863" s="305" t="s">
        <v>12445</v>
      </c>
      <c r="C1863" s="305" t="s">
        <v>506</v>
      </c>
      <c r="D1863" s="575">
        <v>7.53</v>
      </c>
    </row>
    <row r="1864" spans="1:4" ht="13.5" x14ac:dyDescent="0.25">
      <c r="A1864" s="306">
        <v>100892</v>
      </c>
      <c r="B1864" s="305" t="s">
        <v>12446</v>
      </c>
      <c r="C1864" s="305" t="s">
        <v>506</v>
      </c>
      <c r="D1864" s="575">
        <v>7.38</v>
      </c>
    </row>
    <row r="1865" spans="1:4" ht="13.5" x14ac:dyDescent="0.25">
      <c r="A1865" s="306">
        <v>100893</v>
      </c>
      <c r="B1865" s="305" t="s">
        <v>12447</v>
      </c>
      <c r="C1865" s="305" t="s">
        <v>506</v>
      </c>
      <c r="D1865" s="575">
        <v>7.26</v>
      </c>
    </row>
    <row r="1866" spans="1:4" ht="13.5" x14ac:dyDescent="0.25">
      <c r="A1866" s="306">
        <v>100894</v>
      </c>
      <c r="B1866" s="305" t="s">
        <v>12448</v>
      </c>
      <c r="C1866" s="305" t="s">
        <v>506</v>
      </c>
      <c r="D1866" s="575">
        <v>7.17</v>
      </c>
    </row>
    <row r="1867" spans="1:4" ht="13.5" x14ac:dyDescent="0.25">
      <c r="A1867" s="306">
        <v>100896</v>
      </c>
      <c r="B1867" s="305" t="s">
        <v>12449</v>
      </c>
      <c r="C1867" s="305" t="s">
        <v>282</v>
      </c>
      <c r="D1867" s="575">
        <v>47.01</v>
      </c>
    </row>
    <row r="1868" spans="1:4" ht="13.5" x14ac:dyDescent="0.25">
      <c r="A1868" s="306">
        <v>100897</v>
      </c>
      <c r="B1868" s="305" t="s">
        <v>12450</v>
      </c>
      <c r="C1868" s="305" t="s">
        <v>282</v>
      </c>
      <c r="D1868" s="575">
        <v>93.59</v>
      </c>
    </row>
    <row r="1869" spans="1:4" ht="13.5" x14ac:dyDescent="0.25">
      <c r="A1869" s="306">
        <v>100898</v>
      </c>
      <c r="B1869" s="305" t="s">
        <v>12451</v>
      </c>
      <c r="C1869" s="305" t="s">
        <v>282</v>
      </c>
      <c r="D1869" s="575">
        <v>183.43</v>
      </c>
    </row>
    <row r="1870" spans="1:4" ht="13.5" x14ac:dyDescent="0.25">
      <c r="A1870" s="306">
        <v>100899</v>
      </c>
      <c r="B1870" s="305" t="s">
        <v>12452</v>
      </c>
      <c r="C1870" s="305" t="s">
        <v>282</v>
      </c>
      <c r="D1870" s="575">
        <v>65.989999999999995</v>
      </c>
    </row>
    <row r="1871" spans="1:4" ht="13.5" x14ac:dyDescent="0.25">
      <c r="A1871" s="306">
        <v>100900</v>
      </c>
      <c r="B1871" s="305" t="s">
        <v>12453</v>
      </c>
      <c r="C1871" s="305" t="s">
        <v>282</v>
      </c>
      <c r="D1871" s="575">
        <v>211.68</v>
      </c>
    </row>
    <row r="1872" spans="1:4" ht="13.5" x14ac:dyDescent="0.25">
      <c r="A1872" s="306">
        <v>100929</v>
      </c>
      <c r="B1872" s="305" t="s">
        <v>12454</v>
      </c>
      <c r="C1872" s="305" t="s">
        <v>282</v>
      </c>
      <c r="D1872" s="575">
        <v>197.21</v>
      </c>
    </row>
    <row r="1873" spans="1:4" ht="13.5" x14ac:dyDescent="0.25">
      <c r="A1873" s="306">
        <v>100930</v>
      </c>
      <c r="B1873" s="305" t="s">
        <v>12455</v>
      </c>
      <c r="C1873" s="305" t="s">
        <v>282</v>
      </c>
      <c r="D1873" s="575">
        <v>296.93</v>
      </c>
    </row>
    <row r="1874" spans="1:4" ht="13.5" x14ac:dyDescent="0.25">
      <c r="A1874" s="306">
        <v>100931</v>
      </c>
      <c r="B1874" s="305" t="s">
        <v>12456</v>
      </c>
      <c r="C1874" s="305" t="s">
        <v>282</v>
      </c>
      <c r="D1874" s="575">
        <v>384.48</v>
      </c>
    </row>
    <row r="1875" spans="1:4" ht="13.5" x14ac:dyDescent="0.25">
      <c r="A1875" s="306">
        <v>100932</v>
      </c>
      <c r="B1875" s="305" t="s">
        <v>12457</v>
      </c>
      <c r="C1875" s="305" t="s">
        <v>282</v>
      </c>
      <c r="D1875" s="575">
        <v>512.77</v>
      </c>
    </row>
    <row r="1876" spans="1:4" ht="13.5" x14ac:dyDescent="0.25">
      <c r="A1876" s="306">
        <v>100933</v>
      </c>
      <c r="B1876" s="305" t="s">
        <v>12458</v>
      </c>
      <c r="C1876" s="305" t="s">
        <v>282</v>
      </c>
      <c r="D1876" s="575">
        <v>248.96</v>
      </c>
    </row>
    <row r="1877" spans="1:4" ht="13.5" x14ac:dyDescent="0.25">
      <c r="A1877" s="306">
        <v>100934</v>
      </c>
      <c r="B1877" s="305" t="s">
        <v>12459</v>
      </c>
      <c r="C1877" s="305" t="s">
        <v>282</v>
      </c>
      <c r="D1877" s="575">
        <v>361.61</v>
      </c>
    </row>
    <row r="1878" spans="1:4" ht="13.5" x14ac:dyDescent="0.25">
      <c r="A1878" s="306">
        <v>100935</v>
      </c>
      <c r="B1878" s="305" t="s">
        <v>12460</v>
      </c>
      <c r="C1878" s="305" t="s">
        <v>282</v>
      </c>
      <c r="D1878" s="575">
        <v>465.84</v>
      </c>
    </row>
    <row r="1879" spans="1:4" ht="13.5" x14ac:dyDescent="0.25">
      <c r="A1879" s="306">
        <v>100936</v>
      </c>
      <c r="B1879" s="305" t="s">
        <v>12461</v>
      </c>
      <c r="C1879" s="305" t="s">
        <v>282</v>
      </c>
      <c r="D1879" s="575">
        <v>607.62</v>
      </c>
    </row>
    <row r="1880" spans="1:4" ht="13.5" x14ac:dyDescent="0.25">
      <c r="A1880" s="306">
        <v>101173</v>
      </c>
      <c r="B1880" s="305" t="s">
        <v>12462</v>
      </c>
      <c r="C1880" s="305" t="s">
        <v>282</v>
      </c>
      <c r="D1880" s="575">
        <v>47.93</v>
      </c>
    </row>
    <row r="1881" spans="1:4" ht="13.5" x14ac:dyDescent="0.25">
      <c r="A1881" s="306">
        <v>101174</v>
      </c>
      <c r="B1881" s="305" t="s">
        <v>12463</v>
      </c>
      <c r="C1881" s="305" t="s">
        <v>282</v>
      </c>
      <c r="D1881" s="575">
        <v>67.38</v>
      </c>
    </row>
    <row r="1882" spans="1:4" ht="13.5" x14ac:dyDescent="0.25">
      <c r="A1882" s="306">
        <v>101175</v>
      </c>
      <c r="B1882" s="305" t="s">
        <v>12464</v>
      </c>
      <c r="C1882" s="305" t="s">
        <v>282</v>
      </c>
      <c r="D1882" s="575">
        <v>92.04</v>
      </c>
    </row>
    <row r="1883" spans="1:4" ht="13.5" x14ac:dyDescent="0.25">
      <c r="A1883" s="306">
        <v>101176</v>
      </c>
      <c r="B1883" s="305" t="s">
        <v>12465</v>
      </c>
      <c r="C1883" s="305" t="s">
        <v>282</v>
      </c>
      <c r="D1883" s="575">
        <v>117.86</v>
      </c>
    </row>
    <row r="1884" spans="1:4" ht="13.5" x14ac:dyDescent="0.25">
      <c r="A1884" s="306">
        <v>95240</v>
      </c>
      <c r="B1884" s="305" t="s">
        <v>1843</v>
      </c>
      <c r="C1884" s="305" t="s">
        <v>521</v>
      </c>
      <c r="D1884" s="575">
        <v>14.98</v>
      </c>
    </row>
    <row r="1885" spans="1:4" ht="13.5" x14ac:dyDescent="0.25">
      <c r="A1885" s="306">
        <v>95241</v>
      </c>
      <c r="B1885" s="305" t="s">
        <v>1844</v>
      </c>
      <c r="C1885" s="305" t="s">
        <v>521</v>
      </c>
      <c r="D1885" s="575">
        <v>24.96</v>
      </c>
    </row>
    <row r="1886" spans="1:4" ht="13.5" x14ac:dyDescent="0.25">
      <c r="A1886" s="306">
        <v>96616</v>
      </c>
      <c r="B1886" s="305" t="s">
        <v>1845</v>
      </c>
      <c r="C1886" s="305" t="s">
        <v>1456</v>
      </c>
      <c r="D1886" s="575">
        <v>518.95000000000005</v>
      </c>
    </row>
    <row r="1887" spans="1:4" ht="13.5" x14ac:dyDescent="0.25">
      <c r="A1887" s="306">
        <v>96617</v>
      </c>
      <c r="B1887" s="305" t="s">
        <v>1846</v>
      </c>
      <c r="C1887" s="305" t="s">
        <v>521</v>
      </c>
      <c r="D1887" s="575">
        <v>15.56</v>
      </c>
    </row>
    <row r="1888" spans="1:4" ht="13.5" x14ac:dyDescent="0.25">
      <c r="A1888" s="306">
        <v>96619</v>
      </c>
      <c r="B1888" s="305" t="s">
        <v>1847</v>
      </c>
      <c r="C1888" s="305" t="s">
        <v>521</v>
      </c>
      <c r="D1888" s="575">
        <v>25.93</v>
      </c>
    </row>
    <row r="1889" spans="1:4" ht="13.5" x14ac:dyDescent="0.25">
      <c r="A1889" s="306">
        <v>96620</v>
      </c>
      <c r="B1889" s="305" t="s">
        <v>1848</v>
      </c>
      <c r="C1889" s="305" t="s">
        <v>1456</v>
      </c>
      <c r="D1889" s="575">
        <v>499.54</v>
      </c>
    </row>
    <row r="1890" spans="1:4" ht="13.5" x14ac:dyDescent="0.25">
      <c r="A1890" s="306">
        <v>96621</v>
      </c>
      <c r="B1890" s="305" t="s">
        <v>1849</v>
      </c>
      <c r="C1890" s="305" t="s">
        <v>1456</v>
      </c>
      <c r="D1890" s="575">
        <v>187.72</v>
      </c>
    </row>
    <row r="1891" spans="1:4" ht="13.5" x14ac:dyDescent="0.25">
      <c r="A1891" s="306">
        <v>96622</v>
      </c>
      <c r="B1891" s="305" t="s">
        <v>1850</v>
      </c>
      <c r="C1891" s="305" t="s">
        <v>1456</v>
      </c>
      <c r="D1891" s="575">
        <v>130.62</v>
      </c>
    </row>
    <row r="1892" spans="1:4" ht="13.5" x14ac:dyDescent="0.25">
      <c r="A1892" s="306">
        <v>96623</v>
      </c>
      <c r="B1892" s="305" t="s">
        <v>1851</v>
      </c>
      <c r="C1892" s="305" t="s">
        <v>1456</v>
      </c>
      <c r="D1892" s="575">
        <v>174.44</v>
      </c>
    </row>
    <row r="1893" spans="1:4" ht="13.5" x14ac:dyDescent="0.25">
      <c r="A1893" s="306">
        <v>96624</v>
      </c>
      <c r="B1893" s="305" t="s">
        <v>11393</v>
      </c>
      <c r="C1893" s="305" t="s">
        <v>1456</v>
      </c>
      <c r="D1893" s="575">
        <v>125.94</v>
      </c>
    </row>
    <row r="1894" spans="1:4" ht="13.5" x14ac:dyDescent="0.25">
      <c r="A1894" s="306">
        <v>97082</v>
      </c>
      <c r="B1894" s="305" t="s">
        <v>1852</v>
      </c>
      <c r="C1894" s="305" t="s">
        <v>1456</v>
      </c>
      <c r="D1894" s="575">
        <v>49.19</v>
      </c>
    </row>
    <row r="1895" spans="1:4" ht="13.5" x14ac:dyDescent="0.25">
      <c r="A1895" s="306">
        <v>97083</v>
      </c>
      <c r="B1895" s="305" t="s">
        <v>1853</v>
      </c>
      <c r="C1895" s="305" t="s">
        <v>521</v>
      </c>
      <c r="D1895" s="575">
        <v>2.54</v>
      </c>
    </row>
    <row r="1896" spans="1:4" ht="13.5" x14ac:dyDescent="0.25">
      <c r="A1896" s="306">
        <v>97084</v>
      </c>
      <c r="B1896" s="305" t="s">
        <v>1854</v>
      </c>
      <c r="C1896" s="305" t="s">
        <v>521</v>
      </c>
      <c r="D1896" s="575">
        <v>0.53</v>
      </c>
    </row>
    <row r="1897" spans="1:4" ht="13.5" x14ac:dyDescent="0.25">
      <c r="A1897" s="306">
        <v>97086</v>
      </c>
      <c r="B1897" s="305" t="s">
        <v>1855</v>
      </c>
      <c r="C1897" s="305" t="s">
        <v>521</v>
      </c>
      <c r="D1897" s="575">
        <v>81.849999999999994</v>
      </c>
    </row>
    <row r="1898" spans="1:4" ht="13.5" x14ac:dyDescent="0.25">
      <c r="A1898" s="306">
        <v>97094</v>
      </c>
      <c r="B1898" s="305" t="s">
        <v>1856</v>
      </c>
      <c r="C1898" s="305" t="s">
        <v>1456</v>
      </c>
      <c r="D1898" s="575">
        <v>560.04</v>
      </c>
    </row>
    <row r="1899" spans="1:4" ht="13.5" x14ac:dyDescent="0.25">
      <c r="A1899" s="306">
        <v>97095</v>
      </c>
      <c r="B1899" s="305" t="s">
        <v>1857</v>
      </c>
      <c r="C1899" s="305" t="s">
        <v>1456</v>
      </c>
      <c r="D1899" s="575">
        <v>526.07000000000005</v>
      </c>
    </row>
    <row r="1900" spans="1:4" ht="13.5" x14ac:dyDescent="0.25">
      <c r="A1900" s="306">
        <v>97096</v>
      </c>
      <c r="B1900" s="305" t="s">
        <v>1858</v>
      </c>
      <c r="C1900" s="305" t="s">
        <v>1456</v>
      </c>
      <c r="D1900" s="575">
        <v>508.62</v>
      </c>
    </row>
    <row r="1901" spans="1:4" ht="13.5" x14ac:dyDescent="0.25">
      <c r="A1901" s="306">
        <v>97097</v>
      </c>
      <c r="B1901" s="305" t="s">
        <v>12466</v>
      </c>
      <c r="C1901" s="305" t="s">
        <v>521</v>
      </c>
      <c r="D1901" s="575">
        <v>29.11</v>
      </c>
    </row>
    <row r="1902" spans="1:4" ht="13.5" x14ac:dyDescent="0.25">
      <c r="A1902" s="306">
        <v>100322</v>
      </c>
      <c r="B1902" s="305" t="s">
        <v>11394</v>
      </c>
      <c r="C1902" s="305" t="s">
        <v>1456</v>
      </c>
      <c r="D1902" s="575">
        <v>125.94</v>
      </c>
    </row>
    <row r="1903" spans="1:4" ht="13.5" x14ac:dyDescent="0.25">
      <c r="A1903" s="306">
        <v>100323</v>
      </c>
      <c r="B1903" s="305" t="s">
        <v>11395</v>
      </c>
      <c r="C1903" s="305" t="s">
        <v>1456</v>
      </c>
      <c r="D1903" s="575">
        <v>106.17</v>
      </c>
    </row>
    <row r="1904" spans="1:4" ht="13.5" x14ac:dyDescent="0.25">
      <c r="A1904" s="306">
        <v>100324</v>
      </c>
      <c r="B1904" s="305" t="s">
        <v>11396</v>
      </c>
      <c r="C1904" s="305" t="s">
        <v>1456</v>
      </c>
      <c r="D1904" s="575">
        <v>125.93</v>
      </c>
    </row>
    <row r="1905" spans="1:4" ht="13.5" x14ac:dyDescent="0.25">
      <c r="A1905" s="306">
        <v>90996</v>
      </c>
      <c r="B1905" s="305" t="s">
        <v>1859</v>
      </c>
      <c r="C1905" s="305" t="s">
        <v>521</v>
      </c>
      <c r="D1905" s="575">
        <v>12.28</v>
      </c>
    </row>
    <row r="1906" spans="1:4" ht="13.5" x14ac:dyDescent="0.25">
      <c r="A1906" s="306">
        <v>90997</v>
      </c>
      <c r="B1906" s="305" t="s">
        <v>1860</v>
      </c>
      <c r="C1906" s="305" t="s">
        <v>521</v>
      </c>
      <c r="D1906" s="575">
        <v>16.829999999999998</v>
      </c>
    </row>
    <row r="1907" spans="1:4" ht="13.5" x14ac:dyDescent="0.25">
      <c r="A1907" s="306">
        <v>90998</v>
      </c>
      <c r="B1907" s="305" t="s">
        <v>1861</v>
      </c>
      <c r="C1907" s="305" t="s">
        <v>521</v>
      </c>
      <c r="D1907" s="575">
        <v>20.41</v>
      </c>
    </row>
    <row r="1908" spans="1:4" ht="13.5" x14ac:dyDescent="0.25">
      <c r="A1908" s="306">
        <v>91000</v>
      </c>
      <c r="B1908" s="305" t="s">
        <v>1862</v>
      </c>
      <c r="C1908" s="305" t="s">
        <v>521</v>
      </c>
      <c r="D1908" s="575">
        <v>15.48</v>
      </c>
    </row>
    <row r="1909" spans="1:4" ht="13.5" x14ac:dyDescent="0.25">
      <c r="A1909" s="306">
        <v>91002</v>
      </c>
      <c r="B1909" s="305" t="s">
        <v>1863</v>
      </c>
      <c r="C1909" s="305" t="s">
        <v>521</v>
      </c>
      <c r="D1909" s="575">
        <v>14.2</v>
      </c>
    </row>
    <row r="1910" spans="1:4" ht="13.5" x14ac:dyDescent="0.25">
      <c r="A1910" s="306">
        <v>91003</v>
      </c>
      <c r="B1910" s="305" t="s">
        <v>1864</v>
      </c>
      <c r="C1910" s="305" t="s">
        <v>521</v>
      </c>
      <c r="D1910" s="575">
        <v>16.510000000000002</v>
      </c>
    </row>
    <row r="1911" spans="1:4" ht="13.5" x14ac:dyDescent="0.25">
      <c r="A1911" s="306">
        <v>91004</v>
      </c>
      <c r="B1911" s="305" t="s">
        <v>1865</v>
      </c>
      <c r="C1911" s="305" t="s">
        <v>521</v>
      </c>
      <c r="D1911" s="575">
        <v>13.05</v>
      </c>
    </row>
    <row r="1912" spans="1:4" ht="13.5" x14ac:dyDescent="0.25">
      <c r="A1912" s="306">
        <v>91005</v>
      </c>
      <c r="B1912" s="305" t="s">
        <v>1866</v>
      </c>
      <c r="C1912" s="305" t="s">
        <v>521</v>
      </c>
      <c r="D1912" s="575">
        <v>15.72</v>
      </c>
    </row>
    <row r="1913" spans="1:4" ht="13.5" x14ac:dyDescent="0.25">
      <c r="A1913" s="306">
        <v>91006</v>
      </c>
      <c r="B1913" s="305" t="s">
        <v>1867</v>
      </c>
      <c r="C1913" s="305" t="s">
        <v>521</v>
      </c>
      <c r="D1913" s="575">
        <v>12.04</v>
      </c>
    </row>
    <row r="1914" spans="1:4" ht="13.5" x14ac:dyDescent="0.25">
      <c r="A1914" s="306">
        <v>91007</v>
      </c>
      <c r="B1914" s="305" t="s">
        <v>1868</v>
      </c>
      <c r="C1914" s="305" t="s">
        <v>521</v>
      </c>
      <c r="D1914" s="575">
        <v>10.77</v>
      </c>
    </row>
    <row r="1915" spans="1:4" ht="13.5" x14ac:dyDescent="0.25">
      <c r="A1915" s="306">
        <v>91008</v>
      </c>
      <c r="B1915" s="305" t="s">
        <v>1869</v>
      </c>
      <c r="C1915" s="305" t="s">
        <v>521</v>
      </c>
      <c r="D1915" s="575">
        <v>13.07</v>
      </c>
    </row>
    <row r="1916" spans="1:4" ht="13.5" x14ac:dyDescent="0.25">
      <c r="A1916" s="306">
        <v>92263</v>
      </c>
      <c r="B1916" s="305" t="s">
        <v>1870</v>
      </c>
      <c r="C1916" s="305" t="s">
        <v>521</v>
      </c>
      <c r="D1916" s="575">
        <v>95.32</v>
      </c>
    </row>
    <row r="1917" spans="1:4" ht="13.5" x14ac:dyDescent="0.25">
      <c r="A1917" s="306">
        <v>92264</v>
      </c>
      <c r="B1917" s="305" t="s">
        <v>1871</v>
      </c>
      <c r="C1917" s="305" t="s">
        <v>521</v>
      </c>
      <c r="D1917" s="575">
        <v>102.78</v>
      </c>
    </row>
    <row r="1918" spans="1:4" ht="13.5" x14ac:dyDescent="0.25">
      <c r="A1918" s="306">
        <v>92265</v>
      </c>
      <c r="B1918" s="305" t="s">
        <v>1872</v>
      </c>
      <c r="C1918" s="305" t="s">
        <v>521</v>
      </c>
      <c r="D1918" s="575">
        <v>76.06</v>
      </c>
    </row>
    <row r="1919" spans="1:4" ht="13.5" x14ac:dyDescent="0.25">
      <c r="A1919" s="306">
        <v>92266</v>
      </c>
      <c r="B1919" s="305" t="s">
        <v>1873</v>
      </c>
      <c r="C1919" s="305" t="s">
        <v>521</v>
      </c>
      <c r="D1919" s="575">
        <v>82.71</v>
      </c>
    </row>
    <row r="1920" spans="1:4" ht="13.5" x14ac:dyDescent="0.25">
      <c r="A1920" s="306">
        <v>92267</v>
      </c>
      <c r="B1920" s="305" t="s">
        <v>1874</v>
      </c>
      <c r="C1920" s="305" t="s">
        <v>521</v>
      </c>
      <c r="D1920" s="575">
        <v>31.6</v>
      </c>
    </row>
    <row r="1921" spans="1:4" ht="13.5" x14ac:dyDescent="0.25">
      <c r="A1921" s="306">
        <v>92268</v>
      </c>
      <c r="B1921" s="305" t="s">
        <v>1875</v>
      </c>
      <c r="C1921" s="305" t="s">
        <v>521</v>
      </c>
      <c r="D1921" s="575">
        <v>37.47</v>
      </c>
    </row>
    <row r="1922" spans="1:4" ht="13.5" x14ac:dyDescent="0.25">
      <c r="A1922" s="306">
        <v>92269</v>
      </c>
      <c r="B1922" s="305" t="s">
        <v>1876</v>
      </c>
      <c r="C1922" s="305" t="s">
        <v>521</v>
      </c>
      <c r="D1922" s="575">
        <v>64.13</v>
      </c>
    </row>
    <row r="1923" spans="1:4" ht="13.5" x14ac:dyDescent="0.25">
      <c r="A1923" s="306">
        <v>92270</v>
      </c>
      <c r="B1923" s="305" t="s">
        <v>1877</v>
      </c>
      <c r="C1923" s="305" t="s">
        <v>521</v>
      </c>
      <c r="D1923" s="575">
        <v>51.25</v>
      </c>
    </row>
    <row r="1924" spans="1:4" ht="13.5" x14ac:dyDescent="0.25">
      <c r="A1924" s="306">
        <v>92271</v>
      </c>
      <c r="B1924" s="305" t="s">
        <v>1878</v>
      </c>
      <c r="C1924" s="305" t="s">
        <v>521</v>
      </c>
      <c r="D1924" s="575">
        <v>34.32</v>
      </c>
    </row>
    <row r="1925" spans="1:4" ht="13.5" x14ac:dyDescent="0.25">
      <c r="A1925" s="306">
        <v>92272</v>
      </c>
      <c r="B1925" s="305" t="s">
        <v>1879</v>
      </c>
      <c r="C1925" s="305" t="s">
        <v>282</v>
      </c>
      <c r="D1925" s="575">
        <v>16.059999999999999</v>
      </c>
    </row>
    <row r="1926" spans="1:4" ht="13.5" x14ac:dyDescent="0.25">
      <c r="A1926" s="306">
        <v>92273</v>
      </c>
      <c r="B1926" s="305" t="s">
        <v>1880</v>
      </c>
      <c r="C1926" s="305" t="s">
        <v>282</v>
      </c>
      <c r="D1926" s="575">
        <v>6.3</v>
      </c>
    </row>
    <row r="1927" spans="1:4" ht="13.5" x14ac:dyDescent="0.25">
      <c r="A1927" s="306">
        <v>92408</v>
      </c>
      <c r="B1927" s="305" t="s">
        <v>1881</v>
      </c>
      <c r="C1927" s="305" t="s">
        <v>521</v>
      </c>
      <c r="D1927" s="575">
        <v>144.49</v>
      </c>
    </row>
    <row r="1928" spans="1:4" ht="13.5" x14ac:dyDescent="0.25">
      <c r="A1928" s="306">
        <v>92409</v>
      </c>
      <c r="B1928" s="305" t="s">
        <v>1882</v>
      </c>
      <c r="C1928" s="305" t="s">
        <v>521</v>
      </c>
      <c r="D1928" s="575">
        <v>135.30000000000001</v>
      </c>
    </row>
    <row r="1929" spans="1:4" ht="13.5" x14ac:dyDescent="0.25">
      <c r="A1929" s="306">
        <v>92410</v>
      </c>
      <c r="B1929" s="305" t="s">
        <v>1883</v>
      </c>
      <c r="C1929" s="305" t="s">
        <v>521</v>
      </c>
      <c r="D1929" s="575">
        <v>103.83</v>
      </c>
    </row>
    <row r="1930" spans="1:4" ht="13.5" x14ac:dyDescent="0.25">
      <c r="A1930" s="306">
        <v>92411</v>
      </c>
      <c r="B1930" s="305" t="s">
        <v>1884</v>
      </c>
      <c r="C1930" s="305" t="s">
        <v>521</v>
      </c>
      <c r="D1930" s="575">
        <v>95.71</v>
      </c>
    </row>
    <row r="1931" spans="1:4" ht="13.5" x14ac:dyDescent="0.25">
      <c r="A1931" s="306">
        <v>92412</v>
      </c>
      <c r="B1931" s="305" t="s">
        <v>1885</v>
      </c>
      <c r="C1931" s="305" t="s">
        <v>521</v>
      </c>
      <c r="D1931" s="575">
        <v>71.459999999999994</v>
      </c>
    </row>
    <row r="1932" spans="1:4" ht="13.5" x14ac:dyDescent="0.25">
      <c r="A1932" s="306">
        <v>92413</v>
      </c>
      <c r="B1932" s="305" t="s">
        <v>1886</v>
      </c>
      <c r="C1932" s="305" t="s">
        <v>521</v>
      </c>
      <c r="D1932" s="575">
        <v>65.2</v>
      </c>
    </row>
    <row r="1933" spans="1:4" ht="13.5" x14ac:dyDescent="0.25">
      <c r="A1933" s="306">
        <v>92414</v>
      </c>
      <c r="B1933" s="305" t="s">
        <v>1887</v>
      </c>
      <c r="C1933" s="305" t="s">
        <v>521</v>
      </c>
      <c r="D1933" s="575">
        <v>87.86</v>
      </c>
    </row>
    <row r="1934" spans="1:4" ht="13.5" x14ac:dyDescent="0.25">
      <c r="A1934" s="306">
        <v>92415</v>
      </c>
      <c r="B1934" s="305" t="s">
        <v>1888</v>
      </c>
      <c r="C1934" s="305" t="s">
        <v>521</v>
      </c>
      <c r="D1934" s="575">
        <v>79.739999999999995</v>
      </c>
    </row>
    <row r="1935" spans="1:4" ht="13.5" x14ac:dyDescent="0.25">
      <c r="A1935" s="306">
        <v>92416</v>
      </c>
      <c r="B1935" s="305" t="s">
        <v>1889</v>
      </c>
      <c r="C1935" s="305" t="s">
        <v>521</v>
      </c>
      <c r="D1935" s="575">
        <v>104.54</v>
      </c>
    </row>
    <row r="1936" spans="1:4" ht="13.5" x14ac:dyDescent="0.25">
      <c r="A1936" s="306">
        <v>92417</v>
      </c>
      <c r="B1936" s="305" t="s">
        <v>1890</v>
      </c>
      <c r="C1936" s="305" t="s">
        <v>521</v>
      </c>
      <c r="D1936" s="575">
        <v>96.46</v>
      </c>
    </row>
    <row r="1937" spans="1:4" ht="13.5" x14ac:dyDescent="0.25">
      <c r="A1937" s="306">
        <v>92418</v>
      </c>
      <c r="B1937" s="305" t="s">
        <v>1891</v>
      </c>
      <c r="C1937" s="305" t="s">
        <v>521</v>
      </c>
      <c r="D1937" s="575">
        <v>55.02</v>
      </c>
    </row>
    <row r="1938" spans="1:4" ht="13.5" x14ac:dyDescent="0.25">
      <c r="A1938" s="306">
        <v>92419</v>
      </c>
      <c r="B1938" s="305" t="s">
        <v>1892</v>
      </c>
      <c r="C1938" s="305" t="s">
        <v>521</v>
      </c>
      <c r="D1938" s="575">
        <v>48.81</v>
      </c>
    </row>
    <row r="1939" spans="1:4" ht="13.5" x14ac:dyDescent="0.25">
      <c r="A1939" s="306">
        <v>92420</v>
      </c>
      <c r="B1939" s="305" t="s">
        <v>1893</v>
      </c>
      <c r="C1939" s="305" t="s">
        <v>521</v>
      </c>
      <c r="D1939" s="575">
        <v>67.86</v>
      </c>
    </row>
    <row r="1940" spans="1:4" ht="13.5" x14ac:dyDescent="0.25">
      <c r="A1940" s="306">
        <v>92421</v>
      </c>
      <c r="B1940" s="305" t="s">
        <v>1894</v>
      </c>
      <c r="C1940" s="305" t="s">
        <v>521</v>
      </c>
      <c r="D1940" s="575">
        <v>61.63</v>
      </c>
    </row>
    <row r="1941" spans="1:4" ht="13.5" x14ac:dyDescent="0.25">
      <c r="A1941" s="306">
        <v>92422</v>
      </c>
      <c r="B1941" s="305" t="s">
        <v>1895</v>
      </c>
      <c r="C1941" s="305" t="s">
        <v>521</v>
      </c>
      <c r="D1941" s="575">
        <v>44.45</v>
      </c>
    </row>
    <row r="1942" spans="1:4" ht="13.5" x14ac:dyDescent="0.25">
      <c r="A1942" s="306">
        <v>92423</v>
      </c>
      <c r="B1942" s="305" t="s">
        <v>1896</v>
      </c>
      <c r="C1942" s="305" t="s">
        <v>521</v>
      </c>
      <c r="D1942" s="575">
        <v>39.04</v>
      </c>
    </row>
    <row r="1943" spans="1:4" ht="13.5" x14ac:dyDescent="0.25">
      <c r="A1943" s="306">
        <v>92424</v>
      </c>
      <c r="B1943" s="305" t="s">
        <v>1897</v>
      </c>
      <c r="C1943" s="305" t="s">
        <v>521</v>
      </c>
      <c r="D1943" s="575">
        <v>55.62</v>
      </c>
    </row>
    <row r="1944" spans="1:4" ht="13.5" x14ac:dyDescent="0.25">
      <c r="A1944" s="306">
        <v>92425</v>
      </c>
      <c r="B1944" s="305" t="s">
        <v>1898</v>
      </c>
      <c r="C1944" s="305" t="s">
        <v>521</v>
      </c>
      <c r="D1944" s="575">
        <v>50.2</v>
      </c>
    </row>
    <row r="1945" spans="1:4" ht="13.5" x14ac:dyDescent="0.25">
      <c r="A1945" s="306">
        <v>92426</v>
      </c>
      <c r="B1945" s="305" t="s">
        <v>1899</v>
      </c>
      <c r="C1945" s="305" t="s">
        <v>521</v>
      </c>
      <c r="D1945" s="575">
        <v>39.11</v>
      </c>
    </row>
    <row r="1946" spans="1:4" ht="13.5" x14ac:dyDescent="0.25">
      <c r="A1946" s="306">
        <v>92427</v>
      </c>
      <c r="B1946" s="305" t="s">
        <v>1900</v>
      </c>
      <c r="C1946" s="305" t="s">
        <v>521</v>
      </c>
      <c r="D1946" s="575">
        <v>34.1</v>
      </c>
    </row>
    <row r="1947" spans="1:4" ht="13.5" x14ac:dyDescent="0.25">
      <c r="A1947" s="306">
        <v>92428</v>
      </c>
      <c r="B1947" s="305" t="s">
        <v>1901</v>
      </c>
      <c r="C1947" s="305" t="s">
        <v>521</v>
      </c>
      <c r="D1947" s="575">
        <v>49.45</v>
      </c>
    </row>
    <row r="1948" spans="1:4" ht="13.5" x14ac:dyDescent="0.25">
      <c r="A1948" s="306">
        <v>92429</v>
      </c>
      <c r="B1948" s="305" t="s">
        <v>1902</v>
      </c>
      <c r="C1948" s="305" t="s">
        <v>521</v>
      </c>
      <c r="D1948" s="575">
        <v>44.43</v>
      </c>
    </row>
    <row r="1949" spans="1:4" ht="13.5" x14ac:dyDescent="0.25">
      <c r="A1949" s="306">
        <v>92430</v>
      </c>
      <c r="B1949" s="305" t="s">
        <v>1903</v>
      </c>
      <c r="C1949" s="305" t="s">
        <v>521</v>
      </c>
      <c r="D1949" s="575">
        <v>34.549999999999997</v>
      </c>
    </row>
    <row r="1950" spans="1:4" ht="13.5" x14ac:dyDescent="0.25">
      <c r="A1950" s="306">
        <v>92431</v>
      </c>
      <c r="B1950" s="305" t="s">
        <v>1904</v>
      </c>
      <c r="C1950" s="305" t="s">
        <v>521</v>
      </c>
      <c r="D1950" s="575">
        <v>29.79</v>
      </c>
    </row>
    <row r="1951" spans="1:4" ht="13.5" x14ac:dyDescent="0.25">
      <c r="A1951" s="306">
        <v>92432</v>
      </c>
      <c r="B1951" s="305" t="s">
        <v>1905</v>
      </c>
      <c r="C1951" s="305" t="s">
        <v>521</v>
      </c>
      <c r="D1951" s="575">
        <v>44.36</v>
      </c>
    </row>
    <row r="1952" spans="1:4" ht="13.5" x14ac:dyDescent="0.25">
      <c r="A1952" s="306">
        <v>92433</v>
      </c>
      <c r="B1952" s="305" t="s">
        <v>1906</v>
      </c>
      <c r="C1952" s="305" t="s">
        <v>521</v>
      </c>
      <c r="D1952" s="575">
        <v>39.6</v>
      </c>
    </row>
    <row r="1953" spans="1:4" ht="13.5" x14ac:dyDescent="0.25">
      <c r="A1953" s="306">
        <v>92434</v>
      </c>
      <c r="B1953" s="305" t="s">
        <v>1907</v>
      </c>
      <c r="C1953" s="305" t="s">
        <v>521</v>
      </c>
      <c r="D1953" s="575">
        <v>32.74</v>
      </c>
    </row>
    <row r="1954" spans="1:4" ht="13.5" x14ac:dyDescent="0.25">
      <c r="A1954" s="306">
        <v>92435</v>
      </c>
      <c r="B1954" s="305" t="s">
        <v>1908</v>
      </c>
      <c r="C1954" s="305" t="s">
        <v>521</v>
      </c>
      <c r="D1954" s="575">
        <v>28.13</v>
      </c>
    </row>
    <row r="1955" spans="1:4" ht="13.5" x14ac:dyDescent="0.25">
      <c r="A1955" s="306">
        <v>92436</v>
      </c>
      <c r="B1955" s="305" t="s">
        <v>1909</v>
      </c>
      <c r="C1955" s="305" t="s">
        <v>521</v>
      </c>
      <c r="D1955" s="575">
        <v>42.2</v>
      </c>
    </row>
    <row r="1956" spans="1:4" ht="13.5" x14ac:dyDescent="0.25">
      <c r="A1956" s="306">
        <v>92437</v>
      </c>
      <c r="B1956" s="305" t="s">
        <v>1910</v>
      </c>
      <c r="C1956" s="305" t="s">
        <v>521</v>
      </c>
      <c r="D1956" s="575">
        <v>37.61</v>
      </c>
    </row>
    <row r="1957" spans="1:4" ht="13.5" x14ac:dyDescent="0.25">
      <c r="A1957" s="306">
        <v>92438</v>
      </c>
      <c r="B1957" s="305" t="s">
        <v>1911</v>
      </c>
      <c r="C1957" s="305" t="s">
        <v>521</v>
      </c>
      <c r="D1957" s="575">
        <v>31.42</v>
      </c>
    </row>
    <row r="1958" spans="1:4" ht="13.5" x14ac:dyDescent="0.25">
      <c r="A1958" s="306">
        <v>92439</v>
      </c>
      <c r="B1958" s="305" t="s">
        <v>1912</v>
      </c>
      <c r="C1958" s="305" t="s">
        <v>521</v>
      </c>
      <c r="D1958" s="575">
        <v>26.94</v>
      </c>
    </row>
    <row r="1959" spans="1:4" ht="13.5" x14ac:dyDescent="0.25">
      <c r="A1959" s="306">
        <v>92440</v>
      </c>
      <c r="B1959" s="305" t="s">
        <v>1913</v>
      </c>
      <c r="C1959" s="305" t="s">
        <v>521</v>
      </c>
      <c r="D1959" s="575">
        <v>40.630000000000003</v>
      </c>
    </row>
    <row r="1960" spans="1:4" ht="13.5" x14ac:dyDescent="0.25">
      <c r="A1960" s="306">
        <v>92441</v>
      </c>
      <c r="B1960" s="305" t="s">
        <v>1914</v>
      </c>
      <c r="C1960" s="305" t="s">
        <v>521</v>
      </c>
      <c r="D1960" s="575">
        <v>36.18</v>
      </c>
    </row>
    <row r="1961" spans="1:4" ht="13.5" x14ac:dyDescent="0.25">
      <c r="A1961" s="306">
        <v>92442</v>
      </c>
      <c r="B1961" s="305" t="s">
        <v>1915</v>
      </c>
      <c r="C1961" s="305" t="s">
        <v>521</v>
      </c>
      <c r="D1961" s="575">
        <v>28.81</v>
      </c>
    </row>
    <row r="1962" spans="1:4" ht="13.5" x14ac:dyDescent="0.25">
      <c r="A1962" s="306">
        <v>92443</v>
      </c>
      <c r="B1962" s="305" t="s">
        <v>1916</v>
      </c>
      <c r="C1962" s="305" t="s">
        <v>521</v>
      </c>
      <c r="D1962" s="575">
        <v>24.48</v>
      </c>
    </row>
    <row r="1963" spans="1:4" ht="13.5" x14ac:dyDescent="0.25">
      <c r="A1963" s="306">
        <v>92444</v>
      </c>
      <c r="B1963" s="305" t="s">
        <v>1917</v>
      </c>
      <c r="C1963" s="305" t="s">
        <v>521</v>
      </c>
      <c r="D1963" s="575">
        <v>37.729999999999997</v>
      </c>
    </row>
    <row r="1964" spans="1:4" ht="13.5" x14ac:dyDescent="0.25">
      <c r="A1964" s="306">
        <v>92445</v>
      </c>
      <c r="B1964" s="305" t="s">
        <v>1918</v>
      </c>
      <c r="C1964" s="305" t="s">
        <v>521</v>
      </c>
      <c r="D1964" s="575">
        <v>33.4</v>
      </c>
    </row>
    <row r="1965" spans="1:4" ht="13.5" x14ac:dyDescent="0.25">
      <c r="A1965" s="306">
        <v>92446</v>
      </c>
      <c r="B1965" s="305" t="s">
        <v>1919</v>
      </c>
      <c r="C1965" s="305" t="s">
        <v>521</v>
      </c>
      <c r="D1965" s="575">
        <v>126.57</v>
      </c>
    </row>
    <row r="1966" spans="1:4" ht="13.5" x14ac:dyDescent="0.25">
      <c r="A1966" s="306">
        <v>92447</v>
      </c>
      <c r="B1966" s="305" t="s">
        <v>1920</v>
      </c>
      <c r="C1966" s="305" t="s">
        <v>521</v>
      </c>
      <c r="D1966" s="575">
        <v>92.94</v>
      </c>
    </row>
    <row r="1967" spans="1:4" ht="13.5" x14ac:dyDescent="0.25">
      <c r="A1967" s="306">
        <v>92448</v>
      </c>
      <c r="B1967" s="305" t="s">
        <v>1921</v>
      </c>
      <c r="C1967" s="305" t="s">
        <v>521</v>
      </c>
      <c r="D1967" s="575">
        <v>75.02</v>
      </c>
    </row>
    <row r="1968" spans="1:4" ht="13.5" x14ac:dyDescent="0.25">
      <c r="A1968" s="306">
        <v>92449</v>
      </c>
      <c r="B1968" s="305" t="s">
        <v>1922</v>
      </c>
      <c r="C1968" s="305" t="s">
        <v>521</v>
      </c>
      <c r="D1968" s="575">
        <v>148.69</v>
      </c>
    </row>
    <row r="1969" spans="1:4" ht="13.5" x14ac:dyDescent="0.25">
      <c r="A1969" s="306">
        <v>92450</v>
      </c>
      <c r="B1969" s="305" t="s">
        <v>1923</v>
      </c>
      <c r="C1969" s="305" t="s">
        <v>521</v>
      </c>
      <c r="D1969" s="575">
        <v>145.66999999999999</v>
      </c>
    </row>
    <row r="1970" spans="1:4" ht="13.5" x14ac:dyDescent="0.25">
      <c r="A1970" s="306">
        <v>92451</v>
      </c>
      <c r="B1970" s="305" t="s">
        <v>1924</v>
      </c>
      <c r="C1970" s="305" t="s">
        <v>521</v>
      </c>
      <c r="D1970" s="575">
        <v>105.78</v>
      </c>
    </row>
    <row r="1971" spans="1:4" ht="13.5" x14ac:dyDescent="0.25">
      <c r="A1971" s="306">
        <v>92452</v>
      </c>
      <c r="B1971" s="305" t="s">
        <v>1925</v>
      </c>
      <c r="C1971" s="305" t="s">
        <v>521</v>
      </c>
      <c r="D1971" s="575">
        <v>97.03</v>
      </c>
    </row>
    <row r="1972" spans="1:4" ht="13.5" x14ac:dyDescent="0.25">
      <c r="A1972" s="306">
        <v>92453</v>
      </c>
      <c r="B1972" s="305" t="s">
        <v>1926</v>
      </c>
      <c r="C1972" s="305" t="s">
        <v>521</v>
      </c>
      <c r="D1972" s="575">
        <v>125.92</v>
      </c>
    </row>
    <row r="1973" spans="1:4" ht="13.5" x14ac:dyDescent="0.25">
      <c r="A1973" s="306">
        <v>92454</v>
      </c>
      <c r="B1973" s="305" t="s">
        <v>1927</v>
      </c>
      <c r="C1973" s="305" t="s">
        <v>521</v>
      </c>
      <c r="D1973" s="575">
        <v>125.83</v>
      </c>
    </row>
    <row r="1974" spans="1:4" ht="13.5" x14ac:dyDescent="0.25">
      <c r="A1974" s="306">
        <v>92455</v>
      </c>
      <c r="B1974" s="305" t="s">
        <v>1928</v>
      </c>
      <c r="C1974" s="305" t="s">
        <v>521</v>
      </c>
      <c r="D1974" s="575">
        <v>85.75</v>
      </c>
    </row>
    <row r="1975" spans="1:4" ht="13.5" x14ac:dyDescent="0.25">
      <c r="A1975" s="306">
        <v>92456</v>
      </c>
      <c r="B1975" s="305" t="s">
        <v>1929</v>
      </c>
      <c r="C1975" s="305" t="s">
        <v>521</v>
      </c>
      <c r="D1975" s="575">
        <v>77.599999999999994</v>
      </c>
    </row>
    <row r="1976" spans="1:4" ht="13.5" x14ac:dyDescent="0.25">
      <c r="A1976" s="306">
        <v>92457</v>
      </c>
      <c r="B1976" s="305" t="s">
        <v>1930</v>
      </c>
      <c r="C1976" s="305" t="s">
        <v>521</v>
      </c>
      <c r="D1976" s="575">
        <v>108.63</v>
      </c>
    </row>
    <row r="1977" spans="1:4" ht="13.5" x14ac:dyDescent="0.25">
      <c r="A1977" s="306">
        <v>92458</v>
      </c>
      <c r="B1977" s="305" t="s">
        <v>1931</v>
      </c>
      <c r="C1977" s="305" t="s">
        <v>521</v>
      </c>
      <c r="D1977" s="575">
        <v>113.12</v>
      </c>
    </row>
    <row r="1978" spans="1:4" ht="13.5" x14ac:dyDescent="0.25">
      <c r="A1978" s="306">
        <v>92459</v>
      </c>
      <c r="B1978" s="305" t="s">
        <v>1932</v>
      </c>
      <c r="C1978" s="305" t="s">
        <v>521</v>
      </c>
      <c r="D1978" s="575">
        <v>72.19</v>
      </c>
    </row>
    <row r="1979" spans="1:4" ht="13.5" x14ac:dyDescent="0.25">
      <c r="A1979" s="306">
        <v>92460</v>
      </c>
      <c r="B1979" s="305" t="s">
        <v>1933</v>
      </c>
      <c r="C1979" s="305" t="s">
        <v>521</v>
      </c>
      <c r="D1979" s="575">
        <v>64.09</v>
      </c>
    </row>
    <row r="1980" spans="1:4" ht="13.5" x14ac:dyDescent="0.25">
      <c r="A1980" s="306">
        <v>92461</v>
      </c>
      <c r="B1980" s="305" t="s">
        <v>1934</v>
      </c>
      <c r="C1980" s="305" t="s">
        <v>521</v>
      </c>
      <c r="D1980" s="575">
        <v>99.34</v>
      </c>
    </row>
    <row r="1981" spans="1:4" ht="13.5" x14ac:dyDescent="0.25">
      <c r="A1981" s="306">
        <v>92462</v>
      </c>
      <c r="B1981" s="305" t="s">
        <v>1935</v>
      </c>
      <c r="C1981" s="305" t="s">
        <v>521</v>
      </c>
      <c r="D1981" s="575">
        <v>104.99</v>
      </c>
    </row>
    <row r="1982" spans="1:4" ht="13.5" x14ac:dyDescent="0.25">
      <c r="A1982" s="306">
        <v>92463</v>
      </c>
      <c r="B1982" s="305" t="s">
        <v>1936</v>
      </c>
      <c r="C1982" s="305" t="s">
        <v>521</v>
      </c>
      <c r="D1982" s="575">
        <v>64.78</v>
      </c>
    </row>
    <row r="1983" spans="1:4" ht="13.5" x14ac:dyDescent="0.25">
      <c r="A1983" s="306">
        <v>92464</v>
      </c>
      <c r="B1983" s="305" t="s">
        <v>1937</v>
      </c>
      <c r="C1983" s="305" t="s">
        <v>521</v>
      </c>
      <c r="D1983" s="575">
        <v>57.94</v>
      </c>
    </row>
    <row r="1984" spans="1:4" ht="13.5" x14ac:dyDescent="0.25">
      <c r="A1984" s="306">
        <v>92465</v>
      </c>
      <c r="B1984" s="305" t="s">
        <v>1938</v>
      </c>
      <c r="C1984" s="305" t="s">
        <v>521</v>
      </c>
      <c r="D1984" s="575">
        <v>78.45</v>
      </c>
    </row>
    <row r="1985" spans="1:4" ht="13.5" x14ac:dyDescent="0.25">
      <c r="A1985" s="306">
        <v>92466</v>
      </c>
      <c r="B1985" s="305" t="s">
        <v>1939</v>
      </c>
      <c r="C1985" s="305" t="s">
        <v>521</v>
      </c>
      <c r="D1985" s="575">
        <v>97.42</v>
      </c>
    </row>
    <row r="1986" spans="1:4" ht="13.5" x14ac:dyDescent="0.25">
      <c r="A1986" s="306">
        <v>92467</v>
      </c>
      <c r="B1986" s="305" t="s">
        <v>1940</v>
      </c>
      <c r="C1986" s="305" t="s">
        <v>521</v>
      </c>
      <c r="D1986" s="575">
        <v>51.78</v>
      </c>
    </row>
    <row r="1987" spans="1:4" ht="13.5" x14ac:dyDescent="0.25">
      <c r="A1987" s="306">
        <v>92468</v>
      </c>
      <c r="B1987" s="305" t="s">
        <v>1941</v>
      </c>
      <c r="C1987" s="305" t="s">
        <v>521</v>
      </c>
      <c r="D1987" s="575">
        <v>50.91</v>
      </c>
    </row>
    <row r="1988" spans="1:4" ht="13.5" x14ac:dyDescent="0.25">
      <c r="A1988" s="306">
        <v>92469</v>
      </c>
      <c r="B1988" s="305" t="s">
        <v>1942</v>
      </c>
      <c r="C1988" s="305" t="s">
        <v>521</v>
      </c>
      <c r="D1988" s="575">
        <v>71.489999999999995</v>
      </c>
    </row>
    <row r="1989" spans="1:4" ht="13.5" x14ac:dyDescent="0.25">
      <c r="A1989" s="306">
        <v>92470</v>
      </c>
      <c r="B1989" s="305" t="s">
        <v>1943</v>
      </c>
      <c r="C1989" s="305" t="s">
        <v>521</v>
      </c>
      <c r="D1989" s="575">
        <v>93.03</v>
      </c>
    </row>
    <row r="1990" spans="1:4" ht="13.5" x14ac:dyDescent="0.25">
      <c r="A1990" s="306">
        <v>92471</v>
      </c>
      <c r="B1990" s="305" t="s">
        <v>1944</v>
      </c>
      <c r="C1990" s="305" t="s">
        <v>521</v>
      </c>
      <c r="D1990" s="575">
        <v>47.24</v>
      </c>
    </row>
    <row r="1991" spans="1:4" ht="13.5" x14ac:dyDescent="0.25">
      <c r="A1991" s="306">
        <v>92472</v>
      </c>
      <c r="B1991" s="305" t="s">
        <v>1945</v>
      </c>
      <c r="C1991" s="305" t="s">
        <v>521</v>
      </c>
      <c r="D1991" s="575">
        <v>47.2</v>
      </c>
    </row>
    <row r="1992" spans="1:4" ht="13.5" x14ac:dyDescent="0.25">
      <c r="A1992" s="306">
        <v>92473</v>
      </c>
      <c r="B1992" s="305" t="s">
        <v>1946</v>
      </c>
      <c r="C1992" s="305" t="s">
        <v>521</v>
      </c>
      <c r="D1992" s="575">
        <v>65.77</v>
      </c>
    </row>
    <row r="1993" spans="1:4" ht="13.5" x14ac:dyDescent="0.25">
      <c r="A1993" s="306">
        <v>92474</v>
      </c>
      <c r="B1993" s="305" t="s">
        <v>1947</v>
      </c>
      <c r="C1993" s="305" t="s">
        <v>521</v>
      </c>
      <c r="D1993" s="575">
        <v>89.19</v>
      </c>
    </row>
    <row r="1994" spans="1:4" ht="13.5" x14ac:dyDescent="0.25">
      <c r="A1994" s="306">
        <v>92475</v>
      </c>
      <c r="B1994" s="305" t="s">
        <v>1948</v>
      </c>
      <c r="C1994" s="305" t="s">
        <v>521</v>
      </c>
      <c r="D1994" s="575">
        <v>43.5</v>
      </c>
    </row>
    <row r="1995" spans="1:4" ht="13.5" x14ac:dyDescent="0.25">
      <c r="A1995" s="306">
        <v>92476</v>
      </c>
      <c r="B1995" s="305" t="s">
        <v>1949</v>
      </c>
      <c r="C1995" s="305" t="s">
        <v>521</v>
      </c>
      <c r="D1995" s="575">
        <v>43.99</v>
      </c>
    </row>
    <row r="1996" spans="1:4" ht="13.5" x14ac:dyDescent="0.25">
      <c r="A1996" s="306">
        <v>92477</v>
      </c>
      <c r="B1996" s="305" t="s">
        <v>1950</v>
      </c>
      <c r="C1996" s="305" t="s">
        <v>521</v>
      </c>
      <c r="D1996" s="575">
        <v>53.8</v>
      </c>
    </row>
    <row r="1997" spans="1:4" ht="13.5" x14ac:dyDescent="0.25">
      <c r="A1997" s="306">
        <v>92478</v>
      </c>
      <c r="B1997" s="305" t="s">
        <v>1951</v>
      </c>
      <c r="C1997" s="305" t="s">
        <v>521</v>
      </c>
      <c r="D1997" s="575">
        <v>81.75</v>
      </c>
    </row>
    <row r="1998" spans="1:4" ht="13.5" x14ac:dyDescent="0.25">
      <c r="A1998" s="306">
        <v>92479</v>
      </c>
      <c r="B1998" s="305" t="s">
        <v>1952</v>
      </c>
      <c r="C1998" s="305" t="s">
        <v>521</v>
      </c>
      <c r="D1998" s="575">
        <v>35.65</v>
      </c>
    </row>
    <row r="1999" spans="1:4" ht="13.5" x14ac:dyDescent="0.25">
      <c r="A1999" s="306">
        <v>92480</v>
      </c>
      <c r="B1999" s="305" t="s">
        <v>1953</v>
      </c>
      <c r="C1999" s="305" t="s">
        <v>521</v>
      </c>
      <c r="D1999" s="575">
        <v>37.71</v>
      </c>
    </row>
    <row r="2000" spans="1:4" ht="13.5" x14ac:dyDescent="0.25">
      <c r="A2000" s="306">
        <v>92481</v>
      </c>
      <c r="B2000" s="305" t="s">
        <v>1954</v>
      </c>
      <c r="C2000" s="305" t="s">
        <v>521</v>
      </c>
      <c r="D2000" s="575">
        <v>166.23</v>
      </c>
    </row>
    <row r="2001" spans="1:4" ht="13.5" x14ac:dyDescent="0.25">
      <c r="A2001" s="306">
        <v>92482</v>
      </c>
      <c r="B2001" s="305" t="s">
        <v>1955</v>
      </c>
      <c r="C2001" s="305" t="s">
        <v>521</v>
      </c>
      <c r="D2001" s="575">
        <v>155.53</v>
      </c>
    </row>
    <row r="2002" spans="1:4" ht="13.5" x14ac:dyDescent="0.25">
      <c r="A2002" s="306">
        <v>92483</v>
      </c>
      <c r="B2002" s="305" t="s">
        <v>1956</v>
      </c>
      <c r="C2002" s="305" t="s">
        <v>521</v>
      </c>
      <c r="D2002" s="575">
        <v>130.22999999999999</v>
      </c>
    </row>
    <row r="2003" spans="1:4" ht="13.5" x14ac:dyDescent="0.25">
      <c r="A2003" s="306">
        <v>92484</v>
      </c>
      <c r="B2003" s="305" t="s">
        <v>1957</v>
      </c>
      <c r="C2003" s="305" t="s">
        <v>521</v>
      </c>
      <c r="D2003" s="575">
        <v>120.77</v>
      </c>
    </row>
    <row r="2004" spans="1:4" ht="13.5" x14ac:dyDescent="0.25">
      <c r="A2004" s="306">
        <v>92485</v>
      </c>
      <c r="B2004" s="305" t="s">
        <v>1958</v>
      </c>
      <c r="C2004" s="305" t="s">
        <v>521</v>
      </c>
      <c r="D2004" s="575">
        <v>94.99</v>
      </c>
    </row>
    <row r="2005" spans="1:4" ht="13.5" x14ac:dyDescent="0.25">
      <c r="A2005" s="306">
        <v>92486</v>
      </c>
      <c r="B2005" s="305" t="s">
        <v>1959</v>
      </c>
      <c r="C2005" s="305" t="s">
        <v>521</v>
      </c>
      <c r="D2005" s="575">
        <v>87.73</v>
      </c>
    </row>
    <row r="2006" spans="1:4" ht="13.5" x14ac:dyDescent="0.25">
      <c r="A2006" s="306">
        <v>92487</v>
      </c>
      <c r="B2006" s="305" t="s">
        <v>1960</v>
      </c>
      <c r="C2006" s="305" t="s">
        <v>521</v>
      </c>
      <c r="D2006" s="575">
        <v>49.71</v>
      </c>
    </row>
    <row r="2007" spans="1:4" ht="13.5" x14ac:dyDescent="0.25">
      <c r="A2007" s="306">
        <v>92488</v>
      </c>
      <c r="B2007" s="305" t="s">
        <v>1961</v>
      </c>
      <c r="C2007" s="305" t="s">
        <v>521</v>
      </c>
      <c r="D2007" s="575">
        <v>47.21</v>
      </c>
    </row>
    <row r="2008" spans="1:4" ht="13.5" x14ac:dyDescent="0.25">
      <c r="A2008" s="306">
        <v>92489</v>
      </c>
      <c r="B2008" s="305" t="s">
        <v>1962</v>
      </c>
      <c r="C2008" s="305" t="s">
        <v>521</v>
      </c>
      <c r="D2008" s="575">
        <v>33.78</v>
      </c>
    </row>
    <row r="2009" spans="1:4" ht="13.5" x14ac:dyDescent="0.25">
      <c r="A2009" s="306">
        <v>92490</v>
      </c>
      <c r="B2009" s="305" t="s">
        <v>1963</v>
      </c>
      <c r="C2009" s="305" t="s">
        <v>521</v>
      </c>
      <c r="D2009" s="575">
        <v>31.49</v>
      </c>
    </row>
    <row r="2010" spans="1:4" ht="13.5" x14ac:dyDescent="0.25">
      <c r="A2010" s="306">
        <v>92491</v>
      </c>
      <c r="B2010" s="305" t="s">
        <v>1964</v>
      </c>
      <c r="C2010" s="305" t="s">
        <v>521</v>
      </c>
      <c r="D2010" s="575">
        <v>47.1</v>
      </c>
    </row>
    <row r="2011" spans="1:4" ht="13.5" x14ac:dyDescent="0.25">
      <c r="A2011" s="306">
        <v>92492</v>
      </c>
      <c r="B2011" s="305" t="s">
        <v>1965</v>
      </c>
      <c r="C2011" s="305" t="s">
        <v>521</v>
      </c>
      <c r="D2011" s="575">
        <v>44.71</v>
      </c>
    </row>
    <row r="2012" spans="1:4" ht="13.5" x14ac:dyDescent="0.25">
      <c r="A2012" s="306">
        <v>92493</v>
      </c>
      <c r="B2012" s="305" t="s">
        <v>1966</v>
      </c>
      <c r="C2012" s="305" t="s">
        <v>521</v>
      </c>
      <c r="D2012" s="575">
        <v>30.77</v>
      </c>
    </row>
    <row r="2013" spans="1:4" ht="13.5" x14ac:dyDescent="0.25">
      <c r="A2013" s="306">
        <v>92494</v>
      </c>
      <c r="B2013" s="305" t="s">
        <v>1967</v>
      </c>
      <c r="C2013" s="305" t="s">
        <v>521</v>
      </c>
      <c r="D2013" s="575">
        <v>29.35</v>
      </c>
    </row>
    <row r="2014" spans="1:4" ht="13.5" x14ac:dyDescent="0.25">
      <c r="A2014" s="306">
        <v>92495</v>
      </c>
      <c r="B2014" s="305" t="s">
        <v>1968</v>
      </c>
      <c r="C2014" s="305" t="s">
        <v>521</v>
      </c>
      <c r="D2014" s="575">
        <v>45.32</v>
      </c>
    </row>
    <row r="2015" spans="1:4" ht="13.5" x14ac:dyDescent="0.25">
      <c r="A2015" s="306">
        <v>92496</v>
      </c>
      <c r="B2015" s="305" t="s">
        <v>1969</v>
      </c>
      <c r="C2015" s="305" t="s">
        <v>521</v>
      </c>
      <c r="D2015" s="575">
        <v>43.03</v>
      </c>
    </row>
    <row r="2016" spans="1:4" ht="13.5" x14ac:dyDescent="0.25">
      <c r="A2016" s="306">
        <v>92497</v>
      </c>
      <c r="B2016" s="305" t="s">
        <v>1970</v>
      </c>
      <c r="C2016" s="305" t="s">
        <v>521</v>
      </c>
      <c r="D2016" s="575">
        <v>30.05</v>
      </c>
    </row>
    <row r="2017" spans="1:4" ht="13.5" x14ac:dyDescent="0.25">
      <c r="A2017" s="306">
        <v>92498</v>
      </c>
      <c r="B2017" s="305" t="s">
        <v>1971</v>
      </c>
      <c r="C2017" s="305" t="s">
        <v>521</v>
      </c>
      <c r="D2017" s="575">
        <v>27.92</v>
      </c>
    </row>
    <row r="2018" spans="1:4" ht="13.5" x14ac:dyDescent="0.25">
      <c r="A2018" s="306">
        <v>92499</v>
      </c>
      <c r="B2018" s="305" t="s">
        <v>1972</v>
      </c>
      <c r="C2018" s="305" t="s">
        <v>521</v>
      </c>
      <c r="D2018" s="575">
        <v>44.27</v>
      </c>
    </row>
    <row r="2019" spans="1:4" ht="13.5" x14ac:dyDescent="0.25">
      <c r="A2019" s="306">
        <v>92500</v>
      </c>
      <c r="B2019" s="305" t="s">
        <v>1973</v>
      </c>
      <c r="C2019" s="305" t="s">
        <v>521</v>
      </c>
      <c r="D2019" s="575">
        <v>42.04</v>
      </c>
    </row>
    <row r="2020" spans="1:4" ht="13.5" x14ac:dyDescent="0.25">
      <c r="A2020" s="306">
        <v>92501</v>
      </c>
      <c r="B2020" s="305" t="s">
        <v>1974</v>
      </c>
      <c r="C2020" s="305" t="s">
        <v>521</v>
      </c>
      <c r="D2020" s="575">
        <v>29.19</v>
      </c>
    </row>
    <row r="2021" spans="1:4" ht="13.5" x14ac:dyDescent="0.25">
      <c r="A2021" s="306">
        <v>92502</v>
      </c>
      <c r="B2021" s="305" t="s">
        <v>1975</v>
      </c>
      <c r="C2021" s="305" t="s">
        <v>521</v>
      </c>
      <c r="D2021" s="575">
        <v>27.1</v>
      </c>
    </row>
    <row r="2022" spans="1:4" ht="13.5" x14ac:dyDescent="0.25">
      <c r="A2022" s="306">
        <v>92503</v>
      </c>
      <c r="B2022" s="305" t="s">
        <v>1976</v>
      </c>
      <c r="C2022" s="305" t="s">
        <v>521</v>
      </c>
      <c r="D2022" s="575">
        <v>42.55</v>
      </c>
    </row>
    <row r="2023" spans="1:4" ht="13.5" x14ac:dyDescent="0.25">
      <c r="A2023" s="306">
        <v>92504</v>
      </c>
      <c r="B2023" s="305" t="s">
        <v>1977</v>
      </c>
      <c r="C2023" s="305" t="s">
        <v>521</v>
      </c>
      <c r="D2023" s="575">
        <v>32.549999999999997</v>
      </c>
    </row>
    <row r="2024" spans="1:4" ht="13.5" x14ac:dyDescent="0.25">
      <c r="A2024" s="306">
        <v>92505</v>
      </c>
      <c r="B2024" s="305" t="s">
        <v>1978</v>
      </c>
      <c r="C2024" s="305" t="s">
        <v>521</v>
      </c>
      <c r="D2024" s="575">
        <v>27.73</v>
      </c>
    </row>
    <row r="2025" spans="1:4" ht="13.5" x14ac:dyDescent="0.25">
      <c r="A2025" s="306">
        <v>92506</v>
      </c>
      <c r="B2025" s="305" t="s">
        <v>1979</v>
      </c>
      <c r="C2025" s="305" t="s">
        <v>521</v>
      </c>
      <c r="D2025" s="575">
        <v>25.73</v>
      </c>
    </row>
    <row r="2026" spans="1:4" ht="13.5" x14ac:dyDescent="0.25">
      <c r="A2026" s="306">
        <v>92507</v>
      </c>
      <c r="B2026" s="305" t="s">
        <v>1980</v>
      </c>
      <c r="C2026" s="305" t="s">
        <v>521</v>
      </c>
      <c r="D2026" s="575">
        <v>57.89</v>
      </c>
    </row>
    <row r="2027" spans="1:4" ht="13.5" x14ac:dyDescent="0.25">
      <c r="A2027" s="306">
        <v>92508</v>
      </c>
      <c r="B2027" s="305" t="s">
        <v>1981</v>
      </c>
      <c r="C2027" s="305" t="s">
        <v>521</v>
      </c>
      <c r="D2027" s="575">
        <v>55.89</v>
      </c>
    </row>
    <row r="2028" spans="1:4" ht="13.5" x14ac:dyDescent="0.25">
      <c r="A2028" s="306">
        <v>92509</v>
      </c>
      <c r="B2028" s="305" t="s">
        <v>1982</v>
      </c>
      <c r="C2028" s="305" t="s">
        <v>521</v>
      </c>
      <c r="D2028" s="575">
        <v>38.39</v>
      </c>
    </row>
    <row r="2029" spans="1:4" ht="13.5" x14ac:dyDescent="0.25">
      <c r="A2029" s="306">
        <v>92510</v>
      </c>
      <c r="B2029" s="305" t="s">
        <v>1983</v>
      </c>
      <c r="C2029" s="305" t="s">
        <v>521</v>
      </c>
      <c r="D2029" s="575">
        <v>36.549999999999997</v>
      </c>
    </row>
    <row r="2030" spans="1:4" ht="13.5" x14ac:dyDescent="0.25">
      <c r="A2030" s="306">
        <v>92511</v>
      </c>
      <c r="B2030" s="305" t="s">
        <v>1984</v>
      </c>
      <c r="C2030" s="305" t="s">
        <v>521</v>
      </c>
      <c r="D2030" s="575">
        <v>43.67</v>
      </c>
    </row>
    <row r="2031" spans="1:4" ht="13.5" x14ac:dyDescent="0.25">
      <c r="A2031" s="306">
        <v>92512</v>
      </c>
      <c r="B2031" s="305" t="s">
        <v>1985</v>
      </c>
      <c r="C2031" s="305" t="s">
        <v>521</v>
      </c>
      <c r="D2031" s="575">
        <v>42.13</v>
      </c>
    </row>
    <row r="2032" spans="1:4" ht="13.5" x14ac:dyDescent="0.25">
      <c r="A2032" s="306">
        <v>92513</v>
      </c>
      <c r="B2032" s="305" t="s">
        <v>1986</v>
      </c>
      <c r="C2032" s="305" t="s">
        <v>521</v>
      </c>
      <c r="D2032" s="575">
        <v>26.86</v>
      </c>
    </row>
    <row r="2033" spans="1:4" ht="13.5" x14ac:dyDescent="0.25">
      <c r="A2033" s="306">
        <v>92514</v>
      </c>
      <c r="B2033" s="305" t="s">
        <v>1987</v>
      </c>
      <c r="C2033" s="305" t="s">
        <v>521</v>
      </c>
      <c r="D2033" s="575">
        <v>25.44</v>
      </c>
    </row>
    <row r="2034" spans="1:4" ht="13.5" x14ac:dyDescent="0.25">
      <c r="A2034" s="306">
        <v>92515</v>
      </c>
      <c r="B2034" s="305" t="s">
        <v>1988</v>
      </c>
      <c r="C2034" s="305" t="s">
        <v>521</v>
      </c>
      <c r="D2034" s="575">
        <v>37.67</v>
      </c>
    </row>
    <row r="2035" spans="1:4" ht="13.5" x14ac:dyDescent="0.25">
      <c r="A2035" s="306">
        <v>92516</v>
      </c>
      <c r="B2035" s="305" t="s">
        <v>1989</v>
      </c>
      <c r="C2035" s="305" t="s">
        <v>521</v>
      </c>
      <c r="D2035" s="575">
        <v>36.35</v>
      </c>
    </row>
    <row r="2036" spans="1:4" ht="13.5" x14ac:dyDescent="0.25">
      <c r="A2036" s="306">
        <v>92517</v>
      </c>
      <c r="B2036" s="305" t="s">
        <v>1990</v>
      </c>
      <c r="C2036" s="305" t="s">
        <v>521</v>
      </c>
      <c r="D2036" s="575">
        <v>22.06</v>
      </c>
    </row>
    <row r="2037" spans="1:4" ht="13.5" x14ac:dyDescent="0.25">
      <c r="A2037" s="306">
        <v>92518</v>
      </c>
      <c r="B2037" s="305" t="s">
        <v>1991</v>
      </c>
      <c r="C2037" s="305" t="s">
        <v>521</v>
      </c>
      <c r="D2037" s="575">
        <v>20.82</v>
      </c>
    </row>
    <row r="2038" spans="1:4" ht="13.5" x14ac:dyDescent="0.25">
      <c r="A2038" s="306">
        <v>92519</v>
      </c>
      <c r="B2038" s="305" t="s">
        <v>1992</v>
      </c>
      <c r="C2038" s="305" t="s">
        <v>521</v>
      </c>
      <c r="D2038" s="575">
        <v>34.61</v>
      </c>
    </row>
    <row r="2039" spans="1:4" ht="13.5" x14ac:dyDescent="0.25">
      <c r="A2039" s="306">
        <v>92520</v>
      </c>
      <c r="B2039" s="305" t="s">
        <v>1993</v>
      </c>
      <c r="C2039" s="305" t="s">
        <v>521</v>
      </c>
      <c r="D2039" s="575">
        <v>33.39</v>
      </c>
    </row>
    <row r="2040" spans="1:4" ht="13.5" x14ac:dyDescent="0.25">
      <c r="A2040" s="306">
        <v>92521</v>
      </c>
      <c r="B2040" s="305" t="s">
        <v>1994</v>
      </c>
      <c r="C2040" s="305" t="s">
        <v>521</v>
      </c>
      <c r="D2040" s="575">
        <v>19.59</v>
      </c>
    </row>
    <row r="2041" spans="1:4" ht="13.5" x14ac:dyDescent="0.25">
      <c r="A2041" s="306">
        <v>92522</v>
      </c>
      <c r="B2041" s="305" t="s">
        <v>1995</v>
      </c>
      <c r="C2041" s="305" t="s">
        <v>521</v>
      </c>
      <c r="D2041" s="575">
        <v>18.440000000000001</v>
      </c>
    </row>
    <row r="2042" spans="1:4" ht="13.5" x14ac:dyDescent="0.25">
      <c r="A2042" s="306">
        <v>92523</v>
      </c>
      <c r="B2042" s="305" t="s">
        <v>1996</v>
      </c>
      <c r="C2042" s="305" t="s">
        <v>521</v>
      </c>
      <c r="D2042" s="575">
        <v>32.630000000000003</v>
      </c>
    </row>
    <row r="2043" spans="1:4" ht="13.5" x14ac:dyDescent="0.25">
      <c r="A2043" s="306">
        <v>92524</v>
      </c>
      <c r="B2043" s="305" t="s">
        <v>1997</v>
      </c>
      <c r="C2043" s="305" t="s">
        <v>521</v>
      </c>
      <c r="D2043" s="575">
        <v>31.46</v>
      </c>
    </row>
    <row r="2044" spans="1:4" ht="13.5" x14ac:dyDescent="0.25">
      <c r="A2044" s="306">
        <v>92525</v>
      </c>
      <c r="B2044" s="305" t="s">
        <v>1998</v>
      </c>
      <c r="C2044" s="305" t="s">
        <v>521</v>
      </c>
      <c r="D2044" s="575">
        <v>17.96</v>
      </c>
    </row>
    <row r="2045" spans="1:4" ht="13.5" x14ac:dyDescent="0.25">
      <c r="A2045" s="306">
        <v>92526</v>
      </c>
      <c r="B2045" s="305" t="s">
        <v>1999</v>
      </c>
      <c r="C2045" s="305" t="s">
        <v>521</v>
      </c>
      <c r="D2045" s="575">
        <v>16.850000000000001</v>
      </c>
    </row>
    <row r="2046" spans="1:4" ht="13.5" x14ac:dyDescent="0.25">
      <c r="A2046" s="306">
        <v>92527</v>
      </c>
      <c r="B2046" s="305" t="s">
        <v>2000</v>
      </c>
      <c r="C2046" s="305" t="s">
        <v>521</v>
      </c>
      <c r="D2046" s="575">
        <v>31.52</v>
      </c>
    </row>
    <row r="2047" spans="1:4" ht="13.5" x14ac:dyDescent="0.25">
      <c r="A2047" s="306">
        <v>92528</v>
      </c>
      <c r="B2047" s="305" t="s">
        <v>2001</v>
      </c>
      <c r="C2047" s="305" t="s">
        <v>521</v>
      </c>
      <c r="D2047" s="575">
        <v>30.39</v>
      </c>
    </row>
    <row r="2048" spans="1:4" ht="13.5" x14ac:dyDescent="0.25">
      <c r="A2048" s="306">
        <v>92529</v>
      </c>
      <c r="B2048" s="305" t="s">
        <v>2002</v>
      </c>
      <c r="C2048" s="305" t="s">
        <v>521</v>
      </c>
      <c r="D2048" s="575">
        <v>17.07</v>
      </c>
    </row>
    <row r="2049" spans="1:4" ht="13.5" x14ac:dyDescent="0.25">
      <c r="A2049" s="306">
        <v>92530</v>
      </c>
      <c r="B2049" s="305" t="s">
        <v>2003</v>
      </c>
      <c r="C2049" s="305" t="s">
        <v>521</v>
      </c>
      <c r="D2049" s="575">
        <v>16</v>
      </c>
    </row>
    <row r="2050" spans="1:4" ht="13.5" x14ac:dyDescent="0.25">
      <c r="A2050" s="306">
        <v>92531</v>
      </c>
      <c r="B2050" s="305" t="s">
        <v>2004</v>
      </c>
      <c r="C2050" s="305" t="s">
        <v>521</v>
      </c>
      <c r="D2050" s="575">
        <v>30.67</v>
      </c>
    </row>
    <row r="2051" spans="1:4" ht="13.5" x14ac:dyDescent="0.25">
      <c r="A2051" s="306">
        <v>92532</v>
      </c>
      <c r="B2051" s="305" t="s">
        <v>2005</v>
      </c>
      <c r="C2051" s="305" t="s">
        <v>521</v>
      </c>
      <c r="D2051" s="575">
        <v>29.56</v>
      </c>
    </row>
    <row r="2052" spans="1:4" ht="13.5" x14ac:dyDescent="0.25">
      <c r="A2052" s="306">
        <v>92533</v>
      </c>
      <c r="B2052" s="305" t="s">
        <v>2006</v>
      </c>
      <c r="C2052" s="305" t="s">
        <v>521</v>
      </c>
      <c r="D2052" s="575">
        <v>16.399999999999999</v>
      </c>
    </row>
    <row r="2053" spans="1:4" ht="13.5" x14ac:dyDescent="0.25">
      <c r="A2053" s="306">
        <v>92534</v>
      </c>
      <c r="B2053" s="305" t="s">
        <v>2007</v>
      </c>
      <c r="C2053" s="305" t="s">
        <v>521</v>
      </c>
      <c r="D2053" s="575">
        <v>15.39</v>
      </c>
    </row>
    <row r="2054" spans="1:4" ht="13.5" x14ac:dyDescent="0.25">
      <c r="A2054" s="306">
        <v>92535</v>
      </c>
      <c r="B2054" s="305" t="s">
        <v>2008</v>
      </c>
      <c r="C2054" s="305" t="s">
        <v>521</v>
      </c>
      <c r="D2054" s="575">
        <v>29.21</v>
      </c>
    </row>
    <row r="2055" spans="1:4" ht="13.5" x14ac:dyDescent="0.25">
      <c r="A2055" s="306">
        <v>92536</v>
      </c>
      <c r="B2055" s="305" t="s">
        <v>2009</v>
      </c>
      <c r="C2055" s="305" t="s">
        <v>521</v>
      </c>
      <c r="D2055" s="575">
        <v>28.13</v>
      </c>
    </row>
    <row r="2056" spans="1:4" ht="13.5" x14ac:dyDescent="0.25">
      <c r="A2056" s="306">
        <v>92537</v>
      </c>
      <c r="B2056" s="305" t="s">
        <v>2010</v>
      </c>
      <c r="C2056" s="305" t="s">
        <v>521</v>
      </c>
      <c r="D2056" s="575">
        <v>15.15</v>
      </c>
    </row>
    <row r="2057" spans="1:4" ht="13.5" x14ac:dyDescent="0.25">
      <c r="A2057" s="306">
        <v>92538</v>
      </c>
      <c r="B2057" s="305" t="s">
        <v>2011</v>
      </c>
      <c r="C2057" s="305" t="s">
        <v>521</v>
      </c>
      <c r="D2057" s="575">
        <v>14.17</v>
      </c>
    </row>
    <row r="2058" spans="1:4" ht="13.5" x14ac:dyDescent="0.25">
      <c r="A2058" s="306">
        <v>95934</v>
      </c>
      <c r="B2058" s="305" t="s">
        <v>2012</v>
      </c>
      <c r="C2058" s="305" t="s">
        <v>521</v>
      </c>
      <c r="D2058" s="575">
        <v>96.5</v>
      </c>
    </row>
    <row r="2059" spans="1:4" ht="13.5" x14ac:dyDescent="0.25">
      <c r="A2059" s="306">
        <v>95935</v>
      </c>
      <c r="B2059" s="305" t="s">
        <v>2013</v>
      </c>
      <c r="C2059" s="305" t="s">
        <v>521</v>
      </c>
      <c r="D2059" s="575">
        <v>88.98</v>
      </c>
    </row>
    <row r="2060" spans="1:4" ht="13.5" x14ac:dyDescent="0.25">
      <c r="A2060" s="306">
        <v>95936</v>
      </c>
      <c r="B2060" s="305" t="s">
        <v>2014</v>
      </c>
      <c r="C2060" s="305" t="s">
        <v>521</v>
      </c>
      <c r="D2060" s="575">
        <v>88.45</v>
      </c>
    </row>
    <row r="2061" spans="1:4" ht="13.5" x14ac:dyDescent="0.25">
      <c r="A2061" s="306">
        <v>95937</v>
      </c>
      <c r="B2061" s="305" t="s">
        <v>2015</v>
      </c>
      <c r="C2061" s="305" t="s">
        <v>521</v>
      </c>
      <c r="D2061" s="575">
        <v>227.75</v>
      </c>
    </row>
    <row r="2062" spans="1:4" ht="13.5" x14ac:dyDescent="0.25">
      <c r="A2062" s="306">
        <v>95938</v>
      </c>
      <c r="B2062" s="305" t="s">
        <v>2016</v>
      </c>
      <c r="C2062" s="305" t="s">
        <v>521</v>
      </c>
      <c r="D2062" s="575">
        <v>187.58</v>
      </c>
    </row>
    <row r="2063" spans="1:4" ht="13.5" x14ac:dyDescent="0.25">
      <c r="A2063" s="306">
        <v>95939</v>
      </c>
      <c r="B2063" s="305" t="s">
        <v>2017</v>
      </c>
      <c r="C2063" s="305" t="s">
        <v>521</v>
      </c>
      <c r="D2063" s="575">
        <v>138.33000000000001</v>
      </c>
    </row>
    <row r="2064" spans="1:4" ht="13.5" x14ac:dyDescent="0.25">
      <c r="A2064" s="306">
        <v>95940</v>
      </c>
      <c r="B2064" s="305" t="s">
        <v>2018</v>
      </c>
      <c r="C2064" s="305" t="s">
        <v>521</v>
      </c>
      <c r="D2064" s="575">
        <v>106.46</v>
      </c>
    </row>
    <row r="2065" spans="1:4" ht="13.5" x14ac:dyDescent="0.25">
      <c r="A2065" s="306">
        <v>95941</v>
      </c>
      <c r="B2065" s="305" t="s">
        <v>2019</v>
      </c>
      <c r="C2065" s="305" t="s">
        <v>521</v>
      </c>
      <c r="D2065" s="575">
        <v>93.73</v>
      </c>
    </row>
    <row r="2066" spans="1:4" ht="13.5" x14ac:dyDescent="0.25">
      <c r="A2066" s="306">
        <v>95942</v>
      </c>
      <c r="B2066" s="305" t="s">
        <v>2020</v>
      </c>
      <c r="C2066" s="305" t="s">
        <v>521</v>
      </c>
      <c r="D2066" s="575">
        <v>85.8</v>
      </c>
    </row>
    <row r="2067" spans="1:4" ht="13.5" x14ac:dyDescent="0.25">
      <c r="A2067" s="306">
        <v>96252</v>
      </c>
      <c r="B2067" s="305" t="s">
        <v>2021</v>
      </c>
      <c r="C2067" s="305" t="s">
        <v>521</v>
      </c>
      <c r="D2067" s="575">
        <v>140.32</v>
      </c>
    </row>
    <row r="2068" spans="1:4" ht="13.5" x14ac:dyDescent="0.25">
      <c r="A2068" s="306">
        <v>96257</v>
      </c>
      <c r="B2068" s="305" t="s">
        <v>2022</v>
      </c>
      <c r="C2068" s="305" t="s">
        <v>521</v>
      </c>
      <c r="D2068" s="575">
        <v>123.82</v>
      </c>
    </row>
    <row r="2069" spans="1:4" ht="13.5" x14ac:dyDescent="0.25">
      <c r="A2069" s="306">
        <v>96258</v>
      </c>
      <c r="B2069" s="305" t="s">
        <v>2023</v>
      </c>
      <c r="C2069" s="305" t="s">
        <v>521</v>
      </c>
      <c r="D2069" s="575">
        <v>115.76</v>
      </c>
    </row>
    <row r="2070" spans="1:4" ht="13.5" x14ac:dyDescent="0.25">
      <c r="A2070" s="306">
        <v>96259</v>
      </c>
      <c r="B2070" s="305" t="s">
        <v>2024</v>
      </c>
      <c r="C2070" s="305" t="s">
        <v>521</v>
      </c>
      <c r="D2070" s="575">
        <v>142.66999999999999</v>
      </c>
    </row>
    <row r="2071" spans="1:4" ht="13.5" x14ac:dyDescent="0.25">
      <c r="A2071" s="306">
        <v>96529</v>
      </c>
      <c r="B2071" s="305" t="s">
        <v>2025</v>
      </c>
      <c r="C2071" s="305" t="s">
        <v>521</v>
      </c>
      <c r="D2071" s="575">
        <v>185.76</v>
      </c>
    </row>
    <row r="2072" spans="1:4" ht="13.5" x14ac:dyDescent="0.25">
      <c r="A2072" s="306">
        <v>96530</v>
      </c>
      <c r="B2072" s="305" t="s">
        <v>2026</v>
      </c>
      <c r="C2072" s="305" t="s">
        <v>521</v>
      </c>
      <c r="D2072" s="575">
        <v>88.14</v>
      </c>
    </row>
    <row r="2073" spans="1:4" ht="13.5" x14ac:dyDescent="0.25">
      <c r="A2073" s="306">
        <v>96531</v>
      </c>
      <c r="B2073" s="305" t="s">
        <v>2027</v>
      </c>
      <c r="C2073" s="305" t="s">
        <v>521</v>
      </c>
      <c r="D2073" s="575">
        <v>68.150000000000006</v>
      </c>
    </row>
    <row r="2074" spans="1:4" ht="13.5" x14ac:dyDescent="0.25">
      <c r="A2074" s="306">
        <v>96532</v>
      </c>
      <c r="B2074" s="305" t="s">
        <v>2028</v>
      </c>
      <c r="C2074" s="305" t="s">
        <v>521</v>
      </c>
      <c r="D2074" s="575">
        <v>125.22</v>
      </c>
    </row>
    <row r="2075" spans="1:4" ht="13.5" x14ac:dyDescent="0.25">
      <c r="A2075" s="306">
        <v>96533</v>
      </c>
      <c r="B2075" s="305" t="s">
        <v>2029</v>
      </c>
      <c r="C2075" s="305" t="s">
        <v>521</v>
      </c>
      <c r="D2075" s="575">
        <v>59.04</v>
      </c>
    </row>
    <row r="2076" spans="1:4" ht="13.5" x14ac:dyDescent="0.25">
      <c r="A2076" s="306">
        <v>96534</v>
      </c>
      <c r="B2076" s="305" t="s">
        <v>2030</v>
      </c>
      <c r="C2076" s="305" t="s">
        <v>521</v>
      </c>
      <c r="D2076" s="575">
        <v>52.1</v>
      </c>
    </row>
    <row r="2077" spans="1:4" ht="13.5" x14ac:dyDescent="0.25">
      <c r="A2077" s="306">
        <v>96535</v>
      </c>
      <c r="B2077" s="305" t="s">
        <v>2031</v>
      </c>
      <c r="C2077" s="305" t="s">
        <v>521</v>
      </c>
      <c r="D2077" s="575">
        <v>93.69</v>
      </c>
    </row>
    <row r="2078" spans="1:4" ht="13.5" x14ac:dyDescent="0.25">
      <c r="A2078" s="306">
        <v>96536</v>
      </c>
      <c r="B2078" s="305" t="s">
        <v>2032</v>
      </c>
      <c r="C2078" s="305" t="s">
        <v>521</v>
      </c>
      <c r="D2078" s="575">
        <v>43.88</v>
      </c>
    </row>
    <row r="2079" spans="1:4" ht="13.5" x14ac:dyDescent="0.25">
      <c r="A2079" s="306">
        <v>96537</v>
      </c>
      <c r="B2079" s="305" t="s">
        <v>2033</v>
      </c>
      <c r="C2079" s="305" t="s">
        <v>521</v>
      </c>
      <c r="D2079" s="575">
        <v>113.07</v>
      </c>
    </row>
    <row r="2080" spans="1:4" ht="13.5" x14ac:dyDescent="0.25">
      <c r="A2080" s="306">
        <v>96538</v>
      </c>
      <c r="B2080" s="305" t="s">
        <v>2034</v>
      </c>
      <c r="C2080" s="305" t="s">
        <v>521</v>
      </c>
      <c r="D2080" s="575">
        <v>176.13</v>
      </c>
    </row>
    <row r="2081" spans="1:4" ht="13.5" x14ac:dyDescent="0.25">
      <c r="A2081" s="306">
        <v>96539</v>
      </c>
      <c r="B2081" s="305" t="s">
        <v>2035</v>
      </c>
      <c r="C2081" s="305" t="s">
        <v>521</v>
      </c>
      <c r="D2081" s="575">
        <v>79.44</v>
      </c>
    </row>
    <row r="2082" spans="1:4" ht="13.5" x14ac:dyDescent="0.25">
      <c r="A2082" s="306">
        <v>96540</v>
      </c>
      <c r="B2082" s="305" t="s">
        <v>2036</v>
      </c>
      <c r="C2082" s="305" t="s">
        <v>521</v>
      </c>
      <c r="D2082" s="575">
        <v>83.22</v>
      </c>
    </row>
    <row r="2083" spans="1:4" ht="13.5" x14ac:dyDescent="0.25">
      <c r="A2083" s="306">
        <v>96541</v>
      </c>
      <c r="B2083" s="305" t="s">
        <v>2037</v>
      </c>
      <c r="C2083" s="305" t="s">
        <v>521</v>
      </c>
      <c r="D2083" s="575">
        <v>128.6</v>
      </c>
    </row>
    <row r="2084" spans="1:4" ht="13.5" x14ac:dyDescent="0.25">
      <c r="A2084" s="306">
        <v>96542</v>
      </c>
      <c r="B2084" s="305" t="s">
        <v>2038</v>
      </c>
      <c r="C2084" s="305" t="s">
        <v>521</v>
      </c>
      <c r="D2084" s="575">
        <v>61.94</v>
      </c>
    </row>
    <row r="2085" spans="1:4" ht="13.5" x14ac:dyDescent="0.25">
      <c r="A2085" s="306">
        <v>96543</v>
      </c>
      <c r="B2085" s="305" t="s">
        <v>2039</v>
      </c>
      <c r="C2085" s="305" t="s">
        <v>506</v>
      </c>
      <c r="D2085" s="575">
        <v>14.33</v>
      </c>
    </row>
    <row r="2086" spans="1:4" ht="13.5" x14ac:dyDescent="0.25">
      <c r="A2086" s="306">
        <v>97747</v>
      </c>
      <c r="B2086" s="305" t="s">
        <v>2040</v>
      </c>
      <c r="C2086" s="305" t="s">
        <v>521</v>
      </c>
      <c r="D2086" s="575">
        <v>131.69999999999999</v>
      </c>
    </row>
    <row r="2087" spans="1:4" ht="13.5" x14ac:dyDescent="0.25">
      <c r="A2087" s="306">
        <v>89996</v>
      </c>
      <c r="B2087" s="305" t="s">
        <v>2041</v>
      </c>
      <c r="C2087" s="305" t="s">
        <v>506</v>
      </c>
      <c r="D2087" s="575">
        <v>8.26</v>
      </c>
    </row>
    <row r="2088" spans="1:4" ht="13.5" x14ac:dyDescent="0.25">
      <c r="A2088" s="306">
        <v>89997</v>
      </c>
      <c r="B2088" s="305" t="s">
        <v>2042</v>
      </c>
      <c r="C2088" s="305" t="s">
        <v>506</v>
      </c>
      <c r="D2088" s="575">
        <v>6.7</v>
      </c>
    </row>
    <row r="2089" spans="1:4" ht="13.5" x14ac:dyDescent="0.25">
      <c r="A2089" s="306">
        <v>89998</v>
      </c>
      <c r="B2089" s="305" t="s">
        <v>2043</v>
      </c>
      <c r="C2089" s="305" t="s">
        <v>506</v>
      </c>
      <c r="D2089" s="575">
        <v>7.81</v>
      </c>
    </row>
    <row r="2090" spans="1:4" ht="13.5" x14ac:dyDescent="0.25">
      <c r="A2090" s="306">
        <v>89999</v>
      </c>
      <c r="B2090" s="305" t="s">
        <v>2044</v>
      </c>
      <c r="C2090" s="305" t="s">
        <v>506</v>
      </c>
      <c r="D2090" s="575">
        <v>11.51</v>
      </c>
    </row>
    <row r="2091" spans="1:4" ht="13.5" x14ac:dyDescent="0.25">
      <c r="A2091" s="306">
        <v>90000</v>
      </c>
      <c r="B2091" s="305" t="s">
        <v>2045</v>
      </c>
      <c r="C2091" s="305" t="s">
        <v>506</v>
      </c>
      <c r="D2091" s="575">
        <v>9.3699999999999992</v>
      </c>
    </row>
    <row r="2092" spans="1:4" ht="13.5" x14ac:dyDescent="0.25">
      <c r="A2092" s="306">
        <v>91593</v>
      </c>
      <c r="B2092" s="305" t="s">
        <v>2046</v>
      </c>
      <c r="C2092" s="305" t="s">
        <v>506</v>
      </c>
      <c r="D2092" s="575">
        <v>8.17</v>
      </c>
    </row>
    <row r="2093" spans="1:4" ht="13.5" x14ac:dyDescent="0.25">
      <c r="A2093" s="306">
        <v>91594</v>
      </c>
      <c r="B2093" s="305" t="s">
        <v>2047</v>
      </c>
      <c r="C2093" s="305" t="s">
        <v>506</v>
      </c>
      <c r="D2093" s="575">
        <v>8.51</v>
      </c>
    </row>
    <row r="2094" spans="1:4" ht="13.5" x14ac:dyDescent="0.25">
      <c r="A2094" s="306">
        <v>91595</v>
      </c>
      <c r="B2094" s="305" t="s">
        <v>2048</v>
      </c>
      <c r="C2094" s="305" t="s">
        <v>506</v>
      </c>
      <c r="D2094" s="575">
        <v>9.1</v>
      </c>
    </row>
    <row r="2095" spans="1:4" ht="13.5" x14ac:dyDescent="0.25">
      <c r="A2095" s="306">
        <v>91596</v>
      </c>
      <c r="B2095" s="305" t="s">
        <v>2049</v>
      </c>
      <c r="C2095" s="305" t="s">
        <v>506</v>
      </c>
      <c r="D2095" s="575">
        <v>8.43</v>
      </c>
    </row>
    <row r="2096" spans="1:4" ht="13.5" x14ac:dyDescent="0.25">
      <c r="A2096" s="306">
        <v>91597</v>
      </c>
      <c r="B2096" s="305" t="s">
        <v>2050</v>
      </c>
      <c r="C2096" s="305" t="s">
        <v>506</v>
      </c>
      <c r="D2096" s="575">
        <v>6.05</v>
      </c>
    </row>
    <row r="2097" spans="1:4" ht="13.5" x14ac:dyDescent="0.25">
      <c r="A2097" s="306">
        <v>91598</v>
      </c>
      <c r="B2097" s="305" t="s">
        <v>2051</v>
      </c>
      <c r="C2097" s="305" t="s">
        <v>506</v>
      </c>
      <c r="D2097" s="575">
        <v>8.31</v>
      </c>
    </row>
    <row r="2098" spans="1:4" ht="13.5" x14ac:dyDescent="0.25">
      <c r="A2098" s="306">
        <v>91599</v>
      </c>
      <c r="B2098" s="305" t="s">
        <v>2052</v>
      </c>
      <c r="C2098" s="305" t="s">
        <v>506</v>
      </c>
      <c r="D2098" s="575">
        <v>6.36</v>
      </c>
    </row>
    <row r="2099" spans="1:4" ht="13.5" x14ac:dyDescent="0.25">
      <c r="A2099" s="306">
        <v>91600</v>
      </c>
      <c r="B2099" s="305" t="s">
        <v>2053</v>
      </c>
      <c r="C2099" s="305" t="s">
        <v>506</v>
      </c>
      <c r="D2099" s="575">
        <v>10.57</v>
      </c>
    </row>
    <row r="2100" spans="1:4" ht="13.5" x14ac:dyDescent="0.25">
      <c r="A2100" s="306">
        <v>91601</v>
      </c>
      <c r="B2100" s="305" t="s">
        <v>2054</v>
      </c>
      <c r="C2100" s="305" t="s">
        <v>506</v>
      </c>
      <c r="D2100" s="575">
        <v>9.64</v>
      </c>
    </row>
    <row r="2101" spans="1:4" ht="13.5" x14ac:dyDescent="0.25">
      <c r="A2101" s="306">
        <v>91602</v>
      </c>
      <c r="B2101" s="305" t="s">
        <v>2055</v>
      </c>
      <c r="C2101" s="305" t="s">
        <v>506</v>
      </c>
      <c r="D2101" s="575">
        <v>8.8000000000000007</v>
      </c>
    </row>
    <row r="2102" spans="1:4" ht="13.5" x14ac:dyDescent="0.25">
      <c r="A2102" s="306">
        <v>91603</v>
      </c>
      <c r="B2102" s="305" t="s">
        <v>2056</v>
      </c>
      <c r="C2102" s="305" t="s">
        <v>506</v>
      </c>
      <c r="D2102" s="575">
        <v>8.31</v>
      </c>
    </row>
    <row r="2103" spans="1:4" ht="13.5" x14ac:dyDescent="0.25">
      <c r="A2103" s="306">
        <v>92759</v>
      </c>
      <c r="B2103" s="305" t="s">
        <v>2057</v>
      </c>
      <c r="C2103" s="305" t="s">
        <v>506</v>
      </c>
      <c r="D2103" s="575">
        <v>11.92</v>
      </c>
    </row>
    <row r="2104" spans="1:4" ht="13.5" x14ac:dyDescent="0.25">
      <c r="A2104" s="306">
        <v>92760</v>
      </c>
      <c r="B2104" s="305" t="s">
        <v>2058</v>
      </c>
      <c r="C2104" s="305" t="s">
        <v>506</v>
      </c>
      <c r="D2104" s="575">
        <v>10.97</v>
      </c>
    </row>
    <row r="2105" spans="1:4" ht="13.5" x14ac:dyDescent="0.25">
      <c r="A2105" s="306">
        <v>92761</v>
      </c>
      <c r="B2105" s="305" t="s">
        <v>2059</v>
      </c>
      <c r="C2105" s="305" t="s">
        <v>506</v>
      </c>
      <c r="D2105" s="575">
        <v>10.11</v>
      </c>
    </row>
    <row r="2106" spans="1:4" ht="13.5" x14ac:dyDescent="0.25">
      <c r="A2106" s="306">
        <v>92762</v>
      </c>
      <c r="B2106" s="305" t="s">
        <v>2060</v>
      </c>
      <c r="C2106" s="305" t="s">
        <v>506</v>
      </c>
      <c r="D2106" s="575">
        <v>8.9700000000000006</v>
      </c>
    </row>
    <row r="2107" spans="1:4" ht="13.5" x14ac:dyDescent="0.25">
      <c r="A2107" s="306">
        <v>92763</v>
      </c>
      <c r="B2107" s="305" t="s">
        <v>2061</v>
      </c>
      <c r="C2107" s="305" t="s">
        <v>506</v>
      </c>
      <c r="D2107" s="575">
        <v>7.52</v>
      </c>
    </row>
    <row r="2108" spans="1:4" ht="13.5" x14ac:dyDescent="0.25">
      <c r="A2108" s="306">
        <v>92764</v>
      </c>
      <c r="B2108" s="305" t="s">
        <v>2062</v>
      </c>
      <c r="C2108" s="305" t="s">
        <v>506</v>
      </c>
      <c r="D2108" s="575">
        <v>7.09</v>
      </c>
    </row>
    <row r="2109" spans="1:4" ht="13.5" x14ac:dyDescent="0.25">
      <c r="A2109" s="306">
        <v>92765</v>
      </c>
      <c r="B2109" s="305" t="s">
        <v>2063</v>
      </c>
      <c r="C2109" s="305" t="s">
        <v>506</v>
      </c>
      <c r="D2109" s="575">
        <v>7.91</v>
      </c>
    </row>
    <row r="2110" spans="1:4" ht="13.5" x14ac:dyDescent="0.25">
      <c r="A2110" s="306">
        <v>92766</v>
      </c>
      <c r="B2110" s="305" t="s">
        <v>2064</v>
      </c>
      <c r="C2110" s="305" t="s">
        <v>506</v>
      </c>
      <c r="D2110" s="575">
        <v>7.7</v>
      </c>
    </row>
    <row r="2111" spans="1:4" ht="13.5" x14ac:dyDescent="0.25">
      <c r="A2111" s="306">
        <v>92767</v>
      </c>
      <c r="B2111" s="305" t="s">
        <v>2065</v>
      </c>
      <c r="C2111" s="305" t="s">
        <v>506</v>
      </c>
      <c r="D2111" s="575">
        <v>12.05</v>
      </c>
    </row>
    <row r="2112" spans="1:4" ht="13.5" x14ac:dyDescent="0.25">
      <c r="A2112" s="306">
        <v>92768</v>
      </c>
      <c r="B2112" s="305" t="s">
        <v>2066</v>
      </c>
      <c r="C2112" s="305" t="s">
        <v>506</v>
      </c>
      <c r="D2112" s="575">
        <v>10.57</v>
      </c>
    </row>
    <row r="2113" spans="1:4" ht="13.5" x14ac:dyDescent="0.25">
      <c r="A2113" s="306">
        <v>92769</v>
      </c>
      <c r="B2113" s="305" t="s">
        <v>2067</v>
      </c>
      <c r="C2113" s="305" t="s">
        <v>506</v>
      </c>
      <c r="D2113" s="575">
        <v>9.9499999999999993</v>
      </c>
    </row>
    <row r="2114" spans="1:4" ht="13.5" x14ac:dyDescent="0.25">
      <c r="A2114" s="306">
        <v>92770</v>
      </c>
      <c r="B2114" s="305" t="s">
        <v>2068</v>
      </c>
      <c r="C2114" s="305" t="s">
        <v>506</v>
      </c>
      <c r="D2114" s="575">
        <v>9.3800000000000008</v>
      </c>
    </row>
    <row r="2115" spans="1:4" ht="13.5" x14ac:dyDescent="0.25">
      <c r="A2115" s="306">
        <v>92771</v>
      </c>
      <c r="B2115" s="305" t="s">
        <v>2069</v>
      </c>
      <c r="C2115" s="305" t="s">
        <v>506</v>
      </c>
      <c r="D2115" s="575">
        <v>8.3800000000000008</v>
      </c>
    </row>
    <row r="2116" spans="1:4" ht="13.5" x14ac:dyDescent="0.25">
      <c r="A2116" s="306">
        <v>92772</v>
      </c>
      <c r="B2116" s="305" t="s">
        <v>2070</v>
      </c>
      <c r="C2116" s="305" t="s">
        <v>506</v>
      </c>
      <c r="D2116" s="575">
        <v>7.09</v>
      </c>
    </row>
    <row r="2117" spans="1:4" ht="13.5" x14ac:dyDescent="0.25">
      <c r="A2117" s="306">
        <v>92773</v>
      </c>
      <c r="B2117" s="305" t="s">
        <v>2071</v>
      </c>
      <c r="C2117" s="305" t="s">
        <v>506</v>
      </c>
      <c r="D2117" s="575">
        <v>6.78</v>
      </c>
    </row>
    <row r="2118" spans="1:4" ht="13.5" x14ac:dyDescent="0.25">
      <c r="A2118" s="306">
        <v>92774</v>
      </c>
      <c r="B2118" s="305" t="s">
        <v>2072</v>
      </c>
      <c r="C2118" s="305" t="s">
        <v>506</v>
      </c>
      <c r="D2118" s="575">
        <v>7.69</v>
      </c>
    </row>
    <row r="2119" spans="1:4" ht="13.5" x14ac:dyDescent="0.25">
      <c r="A2119" s="306">
        <v>92775</v>
      </c>
      <c r="B2119" s="305" t="s">
        <v>2073</v>
      </c>
      <c r="C2119" s="305" t="s">
        <v>506</v>
      </c>
      <c r="D2119" s="575">
        <v>14.51</v>
      </c>
    </row>
    <row r="2120" spans="1:4" ht="13.5" x14ac:dyDescent="0.25">
      <c r="A2120" s="306">
        <v>92776</v>
      </c>
      <c r="B2120" s="305" t="s">
        <v>2074</v>
      </c>
      <c r="C2120" s="305" t="s">
        <v>506</v>
      </c>
      <c r="D2120" s="575">
        <v>12.93</v>
      </c>
    </row>
    <row r="2121" spans="1:4" ht="13.5" x14ac:dyDescent="0.25">
      <c r="A2121" s="306">
        <v>92777</v>
      </c>
      <c r="B2121" s="305" t="s">
        <v>2075</v>
      </c>
      <c r="C2121" s="305" t="s">
        <v>506</v>
      </c>
      <c r="D2121" s="575">
        <v>11.59</v>
      </c>
    </row>
    <row r="2122" spans="1:4" ht="13.5" x14ac:dyDescent="0.25">
      <c r="A2122" s="306">
        <v>92778</v>
      </c>
      <c r="B2122" s="305" t="s">
        <v>2076</v>
      </c>
      <c r="C2122" s="305" t="s">
        <v>506</v>
      </c>
      <c r="D2122" s="575">
        <v>10.07</v>
      </c>
    </row>
    <row r="2123" spans="1:4" ht="13.5" x14ac:dyDescent="0.25">
      <c r="A2123" s="306">
        <v>92779</v>
      </c>
      <c r="B2123" s="305" t="s">
        <v>2077</v>
      </c>
      <c r="C2123" s="305" t="s">
        <v>506</v>
      </c>
      <c r="D2123" s="575">
        <v>8.32</v>
      </c>
    </row>
    <row r="2124" spans="1:4" ht="13.5" x14ac:dyDescent="0.25">
      <c r="A2124" s="306">
        <v>92780</v>
      </c>
      <c r="B2124" s="305" t="s">
        <v>2078</v>
      </c>
      <c r="C2124" s="305" t="s">
        <v>506</v>
      </c>
      <c r="D2124" s="575">
        <v>7.64</v>
      </c>
    </row>
    <row r="2125" spans="1:4" ht="13.5" x14ac:dyDescent="0.25">
      <c r="A2125" s="306">
        <v>92781</v>
      </c>
      <c r="B2125" s="305" t="s">
        <v>2079</v>
      </c>
      <c r="C2125" s="305" t="s">
        <v>506</v>
      </c>
      <c r="D2125" s="575">
        <v>8.27</v>
      </c>
    </row>
    <row r="2126" spans="1:4" ht="13.5" x14ac:dyDescent="0.25">
      <c r="A2126" s="306">
        <v>92782</v>
      </c>
      <c r="B2126" s="305" t="s">
        <v>2080</v>
      </c>
      <c r="C2126" s="305" t="s">
        <v>506</v>
      </c>
      <c r="D2126" s="575">
        <v>7.91</v>
      </c>
    </row>
    <row r="2127" spans="1:4" ht="13.5" x14ac:dyDescent="0.25">
      <c r="A2127" s="306">
        <v>92783</v>
      </c>
      <c r="B2127" s="305" t="s">
        <v>2081</v>
      </c>
      <c r="C2127" s="305" t="s">
        <v>506</v>
      </c>
      <c r="D2127" s="575">
        <v>14.24</v>
      </c>
    </row>
    <row r="2128" spans="1:4" ht="13.5" x14ac:dyDescent="0.25">
      <c r="A2128" s="306">
        <v>92784</v>
      </c>
      <c r="B2128" s="305" t="s">
        <v>2082</v>
      </c>
      <c r="C2128" s="305" t="s">
        <v>506</v>
      </c>
      <c r="D2128" s="575">
        <v>12.35</v>
      </c>
    </row>
    <row r="2129" spans="1:4" ht="13.5" x14ac:dyDescent="0.25">
      <c r="A2129" s="306">
        <v>92785</v>
      </c>
      <c r="B2129" s="305" t="s">
        <v>2083</v>
      </c>
      <c r="C2129" s="305" t="s">
        <v>506</v>
      </c>
      <c r="D2129" s="575">
        <v>11.29</v>
      </c>
    </row>
    <row r="2130" spans="1:4" ht="13.5" x14ac:dyDescent="0.25">
      <c r="A2130" s="306">
        <v>92786</v>
      </c>
      <c r="B2130" s="305" t="s">
        <v>2084</v>
      </c>
      <c r="C2130" s="305" t="s">
        <v>506</v>
      </c>
      <c r="D2130" s="575">
        <v>10.36</v>
      </c>
    </row>
    <row r="2131" spans="1:4" ht="13.5" x14ac:dyDescent="0.25">
      <c r="A2131" s="306">
        <v>92787</v>
      </c>
      <c r="B2131" s="305" t="s">
        <v>2085</v>
      </c>
      <c r="C2131" s="305" t="s">
        <v>506</v>
      </c>
      <c r="D2131" s="575">
        <v>9.11</v>
      </c>
    </row>
    <row r="2132" spans="1:4" ht="13.5" x14ac:dyDescent="0.25">
      <c r="A2132" s="306">
        <v>92788</v>
      </c>
      <c r="B2132" s="305" t="s">
        <v>2086</v>
      </c>
      <c r="C2132" s="305" t="s">
        <v>506</v>
      </c>
      <c r="D2132" s="575">
        <v>7.6</v>
      </c>
    </row>
    <row r="2133" spans="1:4" ht="13.5" x14ac:dyDescent="0.25">
      <c r="A2133" s="306">
        <v>92789</v>
      </c>
      <c r="B2133" s="305" t="s">
        <v>2087</v>
      </c>
      <c r="C2133" s="305" t="s">
        <v>506</v>
      </c>
      <c r="D2133" s="575">
        <v>7.11</v>
      </c>
    </row>
    <row r="2134" spans="1:4" ht="13.5" x14ac:dyDescent="0.25">
      <c r="A2134" s="306">
        <v>92790</v>
      </c>
      <c r="B2134" s="305" t="s">
        <v>2088</v>
      </c>
      <c r="C2134" s="305" t="s">
        <v>506</v>
      </c>
      <c r="D2134" s="575">
        <v>7.89</v>
      </c>
    </row>
    <row r="2135" spans="1:4" ht="13.5" x14ac:dyDescent="0.25">
      <c r="A2135" s="306">
        <v>92791</v>
      </c>
      <c r="B2135" s="305" t="s">
        <v>2089</v>
      </c>
      <c r="C2135" s="305" t="s">
        <v>506</v>
      </c>
      <c r="D2135" s="575">
        <v>8.25</v>
      </c>
    </row>
    <row r="2136" spans="1:4" ht="13.5" x14ac:dyDescent="0.25">
      <c r="A2136" s="306">
        <v>92792</v>
      </c>
      <c r="B2136" s="305" t="s">
        <v>2090</v>
      </c>
      <c r="C2136" s="305" t="s">
        <v>506</v>
      </c>
      <c r="D2136" s="575">
        <v>8.08</v>
      </c>
    </row>
    <row r="2137" spans="1:4" ht="13.5" x14ac:dyDescent="0.25">
      <c r="A2137" s="306">
        <v>92793</v>
      </c>
      <c r="B2137" s="305" t="s">
        <v>2091</v>
      </c>
      <c r="C2137" s="305" t="s">
        <v>506</v>
      </c>
      <c r="D2137" s="575">
        <v>7.88</v>
      </c>
    </row>
    <row r="2138" spans="1:4" ht="13.5" x14ac:dyDescent="0.25">
      <c r="A2138" s="306">
        <v>92794</v>
      </c>
      <c r="B2138" s="305" t="s">
        <v>2092</v>
      </c>
      <c r="C2138" s="305" t="s">
        <v>506</v>
      </c>
      <c r="D2138" s="575">
        <v>7.21</v>
      </c>
    </row>
    <row r="2139" spans="1:4" ht="13.5" x14ac:dyDescent="0.25">
      <c r="A2139" s="306">
        <v>92795</v>
      </c>
      <c r="B2139" s="305" t="s">
        <v>2093</v>
      </c>
      <c r="C2139" s="305" t="s">
        <v>506</v>
      </c>
      <c r="D2139" s="575">
        <v>6.16</v>
      </c>
    </row>
    <row r="2140" spans="1:4" ht="13.5" x14ac:dyDescent="0.25">
      <c r="A2140" s="306">
        <v>92796</v>
      </c>
      <c r="B2140" s="305" t="s">
        <v>2094</v>
      </c>
      <c r="C2140" s="305" t="s">
        <v>506</v>
      </c>
      <c r="D2140" s="575">
        <v>6.07</v>
      </c>
    </row>
    <row r="2141" spans="1:4" ht="13.5" x14ac:dyDescent="0.25">
      <c r="A2141" s="306">
        <v>92797</v>
      </c>
      <c r="B2141" s="305" t="s">
        <v>2095</v>
      </c>
      <c r="C2141" s="305" t="s">
        <v>506</v>
      </c>
      <c r="D2141" s="575">
        <v>7.13</v>
      </c>
    </row>
    <row r="2142" spans="1:4" ht="13.5" x14ac:dyDescent="0.25">
      <c r="A2142" s="306">
        <v>92798</v>
      </c>
      <c r="B2142" s="305" t="s">
        <v>2096</v>
      </c>
      <c r="C2142" s="305" t="s">
        <v>506</v>
      </c>
      <c r="D2142" s="575">
        <v>7.11</v>
      </c>
    </row>
    <row r="2143" spans="1:4" ht="13.5" x14ac:dyDescent="0.25">
      <c r="A2143" s="306">
        <v>92799</v>
      </c>
      <c r="B2143" s="305" t="s">
        <v>2097</v>
      </c>
      <c r="C2143" s="305" t="s">
        <v>506</v>
      </c>
      <c r="D2143" s="575">
        <v>8.67</v>
      </c>
    </row>
    <row r="2144" spans="1:4" ht="13.5" x14ac:dyDescent="0.25">
      <c r="A2144" s="306">
        <v>92800</v>
      </c>
      <c r="B2144" s="305" t="s">
        <v>2098</v>
      </c>
      <c r="C2144" s="305" t="s">
        <v>506</v>
      </c>
      <c r="D2144" s="575">
        <v>7.77</v>
      </c>
    </row>
    <row r="2145" spans="1:4" ht="13.5" x14ac:dyDescent="0.25">
      <c r="A2145" s="306">
        <v>92801</v>
      </c>
      <c r="B2145" s="305" t="s">
        <v>2099</v>
      </c>
      <c r="C2145" s="305" t="s">
        <v>506</v>
      </c>
      <c r="D2145" s="575">
        <v>7.79</v>
      </c>
    </row>
    <row r="2146" spans="1:4" ht="13.5" x14ac:dyDescent="0.25">
      <c r="A2146" s="306">
        <v>92802</v>
      </c>
      <c r="B2146" s="305" t="s">
        <v>2100</v>
      </c>
      <c r="C2146" s="305" t="s">
        <v>506</v>
      </c>
      <c r="D2146" s="575">
        <v>7.73</v>
      </c>
    </row>
    <row r="2147" spans="1:4" ht="13.5" x14ac:dyDescent="0.25">
      <c r="A2147" s="306">
        <v>92803</v>
      </c>
      <c r="B2147" s="305" t="s">
        <v>2101</v>
      </c>
      <c r="C2147" s="305" t="s">
        <v>506</v>
      </c>
      <c r="D2147" s="575">
        <v>7.12</v>
      </c>
    </row>
    <row r="2148" spans="1:4" ht="13.5" x14ac:dyDescent="0.25">
      <c r="A2148" s="306">
        <v>92804</v>
      </c>
      <c r="B2148" s="305" t="s">
        <v>2102</v>
      </c>
      <c r="C2148" s="305" t="s">
        <v>506</v>
      </c>
      <c r="D2148" s="575">
        <v>6.11</v>
      </c>
    </row>
    <row r="2149" spans="1:4" ht="13.5" x14ac:dyDescent="0.25">
      <c r="A2149" s="306">
        <v>92805</v>
      </c>
      <c r="B2149" s="305" t="s">
        <v>2103</v>
      </c>
      <c r="C2149" s="305" t="s">
        <v>506</v>
      </c>
      <c r="D2149" s="575">
        <v>6.04</v>
      </c>
    </row>
    <row r="2150" spans="1:4" ht="13.5" x14ac:dyDescent="0.25">
      <c r="A2150" s="306">
        <v>92806</v>
      </c>
      <c r="B2150" s="305" t="s">
        <v>2104</v>
      </c>
      <c r="C2150" s="305" t="s">
        <v>506</v>
      </c>
      <c r="D2150" s="575">
        <v>7.12</v>
      </c>
    </row>
    <row r="2151" spans="1:4" ht="13.5" x14ac:dyDescent="0.25">
      <c r="A2151" s="306">
        <v>92875</v>
      </c>
      <c r="B2151" s="305" t="s">
        <v>2105</v>
      </c>
      <c r="C2151" s="305" t="s">
        <v>506</v>
      </c>
      <c r="D2151" s="575">
        <v>7.45</v>
      </c>
    </row>
    <row r="2152" spans="1:4" ht="13.5" x14ac:dyDescent="0.25">
      <c r="A2152" s="306">
        <v>92876</v>
      </c>
      <c r="B2152" s="305" t="s">
        <v>2106</v>
      </c>
      <c r="C2152" s="305" t="s">
        <v>506</v>
      </c>
      <c r="D2152" s="575">
        <v>7.18</v>
      </c>
    </row>
    <row r="2153" spans="1:4" ht="13.5" x14ac:dyDescent="0.25">
      <c r="A2153" s="306">
        <v>92877</v>
      </c>
      <c r="B2153" s="305" t="s">
        <v>2107</v>
      </c>
      <c r="C2153" s="305" t="s">
        <v>506</v>
      </c>
      <c r="D2153" s="575">
        <v>7.73</v>
      </c>
    </row>
    <row r="2154" spans="1:4" ht="13.5" x14ac:dyDescent="0.25">
      <c r="A2154" s="306">
        <v>92878</v>
      </c>
      <c r="B2154" s="305" t="s">
        <v>2108</v>
      </c>
      <c r="C2154" s="305" t="s">
        <v>506</v>
      </c>
      <c r="D2154" s="575">
        <v>7.6</v>
      </c>
    </row>
    <row r="2155" spans="1:4" ht="13.5" x14ac:dyDescent="0.25">
      <c r="A2155" s="306">
        <v>92879</v>
      </c>
      <c r="B2155" s="305" t="s">
        <v>2109</v>
      </c>
      <c r="C2155" s="305" t="s">
        <v>506</v>
      </c>
      <c r="D2155" s="575">
        <v>7.51</v>
      </c>
    </row>
    <row r="2156" spans="1:4" ht="13.5" x14ac:dyDescent="0.25">
      <c r="A2156" s="306">
        <v>92880</v>
      </c>
      <c r="B2156" s="305" t="s">
        <v>2110</v>
      </c>
      <c r="C2156" s="305" t="s">
        <v>506</v>
      </c>
      <c r="D2156" s="575">
        <v>7.67</v>
      </c>
    </row>
    <row r="2157" spans="1:4" ht="13.5" x14ac:dyDescent="0.25">
      <c r="A2157" s="306">
        <v>92881</v>
      </c>
      <c r="B2157" s="305" t="s">
        <v>2111</v>
      </c>
      <c r="C2157" s="305" t="s">
        <v>506</v>
      </c>
      <c r="D2157" s="575">
        <v>7.65</v>
      </c>
    </row>
    <row r="2158" spans="1:4" ht="13.5" x14ac:dyDescent="0.25">
      <c r="A2158" s="306">
        <v>92882</v>
      </c>
      <c r="B2158" s="305" t="s">
        <v>2112</v>
      </c>
      <c r="C2158" s="305" t="s">
        <v>506</v>
      </c>
      <c r="D2158" s="575">
        <v>10.34</v>
      </c>
    </row>
    <row r="2159" spans="1:4" ht="13.5" x14ac:dyDescent="0.25">
      <c r="A2159" s="306">
        <v>92883</v>
      </c>
      <c r="B2159" s="305" t="s">
        <v>2113</v>
      </c>
      <c r="C2159" s="305" t="s">
        <v>506</v>
      </c>
      <c r="D2159" s="575">
        <v>9.41</v>
      </c>
    </row>
    <row r="2160" spans="1:4" ht="13.5" x14ac:dyDescent="0.25">
      <c r="A2160" s="306">
        <v>92884</v>
      </c>
      <c r="B2160" s="305" t="s">
        <v>2114</v>
      </c>
      <c r="C2160" s="305" t="s">
        <v>506</v>
      </c>
      <c r="D2160" s="575">
        <v>9.49</v>
      </c>
    </row>
    <row r="2161" spans="1:4" ht="13.5" x14ac:dyDescent="0.25">
      <c r="A2161" s="306">
        <v>92885</v>
      </c>
      <c r="B2161" s="305" t="s">
        <v>2115</v>
      </c>
      <c r="C2161" s="305" t="s">
        <v>506</v>
      </c>
      <c r="D2161" s="575">
        <v>8.9600000000000009</v>
      </c>
    </row>
    <row r="2162" spans="1:4" ht="13.5" x14ac:dyDescent="0.25">
      <c r="A2162" s="306">
        <v>92886</v>
      </c>
      <c r="B2162" s="305" t="s">
        <v>2116</v>
      </c>
      <c r="C2162" s="305" t="s">
        <v>506</v>
      </c>
      <c r="D2162" s="575">
        <v>8.5299999999999994</v>
      </c>
    </row>
    <row r="2163" spans="1:4" ht="13.5" x14ac:dyDescent="0.25">
      <c r="A2163" s="306">
        <v>92887</v>
      </c>
      <c r="B2163" s="305" t="s">
        <v>2117</v>
      </c>
      <c r="C2163" s="305" t="s">
        <v>506</v>
      </c>
      <c r="D2163" s="575">
        <v>8.4499999999999993</v>
      </c>
    </row>
    <row r="2164" spans="1:4" ht="13.5" x14ac:dyDescent="0.25">
      <c r="A2164" s="306">
        <v>92888</v>
      </c>
      <c r="B2164" s="305" t="s">
        <v>2118</v>
      </c>
      <c r="C2164" s="305" t="s">
        <v>506</v>
      </c>
      <c r="D2164" s="575">
        <v>8.24</v>
      </c>
    </row>
    <row r="2165" spans="1:4" ht="13.5" x14ac:dyDescent="0.25">
      <c r="A2165" s="306">
        <v>92915</v>
      </c>
      <c r="B2165" s="305" t="s">
        <v>2119</v>
      </c>
      <c r="C2165" s="305" t="s">
        <v>506</v>
      </c>
      <c r="D2165" s="575">
        <v>13.21</v>
      </c>
    </row>
    <row r="2166" spans="1:4" ht="13.5" x14ac:dyDescent="0.25">
      <c r="A2166" s="306">
        <v>92916</v>
      </c>
      <c r="B2166" s="305" t="s">
        <v>2120</v>
      </c>
      <c r="C2166" s="305" t="s">
        <v>506</v>
      </c>
      <c r="D2166" s="575">
        <v>11.96</v>
      </c>
    </row>
    <row r="2167" spans="1:4" ht="13.5" x14ac:dyDescent="0.25">
      <c r="A2167" s="306">
        <v>92917</v>
      </c>
      <c r="B2167" s="305" t="s">
        <v>2121</v>
      </c>
      <c r="C2167" s="305" t="s">
        <v>506</v>
      </c>
      <c r="D2167" s="575">
        <v>10.86</v>
      </c>
    </row>
    <row r="2168" spans="1:4" ht="13.5" x14ac:dyDescent="0.25">
      <c r="A2168" s="306">
        <v>92919</v>
      </c>
      <c r="B2168" s="305" t="s">
        <v>2122</v>
      </c>
      <c r="C2168" s="305" t="s">
        <v>506</v>
      </c>
      <c r="D2168" s="575">
        <v>9.52</v>
      </c>
    </row>
    <row r="2169" spans="1:4" ht="13.5" x14ac:dyDescent="0.25">
      <c r="A2169" s="306">
        <v>92921</v>
      </c>
      <c r="B2169" s="305" t="s">
        <v>2123</v>
      </c>
      <c r="C2169" s="305" t="s">
        <v>506</v>
      </c>
      <c r="D2169" s="575">
        <v>7.92</v>
      </c>
    </row>
    <row r="2170" spans="1:4" ht="13.5" x14ac:dyDescent="0.25">
      <c r="A2170" s="306">
        <v>92922</v>
      </c>
      <c r="B2170" s="305" t="s">
        <v>2124</v>
      </c>
      <c r="C2170" s="305" t="s">
        <v>506</v>
      </c>
      <c r="D2170" s="575">
        <v>7.37</v>
      </c>
    </row>
    <row r="2171" spans="1:4" ht="13.5" x14ac:dyDescent="0.25">
      <c r="A2171" s="306">
        <v>92923</v>
      </c>
      <c r="B2171" s="305" t="s">
        <v>2125</v>
      </c>
      <c r="C2171" s="305" t="s">
        <v>506</v>
      </c>
      <c r="D2171" s="575">
        <v>8.1</v>
      </c>
    </row>
    <row r="2172" spans="1:4" ht="13.5" x14ac:dyDescent="0.25">
      <c r="A2172" s="306">
        <v>92924</v>
      </c>
      <c r="B2172" s="305" t="s">
        <v>2126</v>
      </c>
      <c r="C2172" s="305" t="s">
        <v>506</v>
      </c>
      <c r="D2172" s="575">
        <v>7.8</v>
      </c>
    </row>
    <row r="2173" spans="1:4" ht="13.5" x14ac:dyDescent="0.25">
      <c r="A2173" s="306">
        <v>95445</v>
      </c>
      <c r="B2173" s="305" t="s">
        <v>2127</v>
      </c>
      <c r="C2173" s="305" t="s">
        <v>506</v>
      </c>
      <c r="D2173" s="575">
        <v>6.54</v>
      </c>
    </row>
    <row r="2174" spans="1:4" ht="13.5" x14ac:dyDescent="0.25">
      <c r="A2174" s="306">
        <v>95446</v>
      </c>
      <c r="B2174" s="305" t="s">
        <v>2128</v>
      </c>
      <c r="C2174" s="305" t="s">
        <v>506</v>
      </c>
      <c r="D2174" s="575">
        <v>7.05</v>
      </c>
    </row>
    <row r="2175" spans="1:4" ht="13.5" x14ac:dyDescent="0.25">
      <c r="A2175" s="306">
        <v>95448</v>
      </c>
      <c r="B2175" s="305" t="s">
        <v>12467</v>
      </c>
      <c r="C2175" s="305" t="s">
        <v>506</v>
      </c>
      <c r="D2175" s="575">
        <v>7.81</v>
      </c>
    </row>
    <row r="2176" spans="1:4" ht="13.5" x14ac:dyDescent="0.25">
      <c r="A2176" s="306">
        <v>95576</v>
      </c>
      <c r="B2176" s="305" t="s">
        <v>2129</v>
      </c>
      <c r="C2176" s="305" t="s">
        <v>506</v>
      </c>
      <c r="D2176" s="575">
        <v>10.31</v>
      </c>
    </row>
    <row r="2177" spans="1:4" ht="13.5" x14ac:dyDescent="0.25">
      <c r="A2177" s="306">
        <v>95577</v>
      </c>
      <c r="B2177" s="305" t="s">
        <v>2130</v>
      </c>
      <c r="C2177" s="305" t="s">
        <v>506</v>
      </c>
      <c r="D2177" s="575">
        <v>9.2200000000000006</v>
      </c>
    </row>
    <row r="2178" spans="1:4" ht="13.5" x14ac:dyDescent="0.25">
      <c r="A2178" s="306">
        <v>95578</v>
      </c>
      <c r="B2178" s="305" t="s">
        <v>2131</v>
      </c>
      <c r="C2178" s="305" t="s">
        <v>506</v>
      </c>
      <c r="D2178" s="575">
        <v>7.84</v>
      </c>
    </row>
    <row r="2179" spans="1:4" ht="13.5" x14ac:dyDescent="0.25">
      <c r="A2179" s="306">
        <v>95579</v>
      </c>
      <c r="B2179" s="305" t="s">
        <v>2132</v>
      </c>
      <c r="C2179" s="305" t="s">
        <v>506</v>
      </c>
      <c r="D2179" s="575">
        <v>7.42</v>
      </c>
    </row>
    <row r="2180" spans="1:4" ht="13.5" x14ac:dyDescent="0.25">
      <c r="A2180" s="306">
        <v>95580</v>
      </c>
      <c r="B2180" s="305" t="s">
        <v>2133</v>
      </c>
      <c r="C2180" s="305" t="s">
        <v>506</v>
      </c>
      <c r="D2180" s="575">
        <v>8.2899999999999991</v>
      </c>
    </row>
    <row r="2181" spans="1:4" ht="13.5" x14ac:dyDescent="0.25">
      <c r="A2181" s="306">
        <v>95581</v>
      </c>
      <c r="B2181" s="305" t="s">
        <v>2134</v>
      </c>
      <c r="C2181" s="305" t="s">
        <v>506</v>
      </c>
      <c r="D2181" s="575">
        <v>8.09</v>
      </c>
    </row>
    <row r="2182" spans="1:4" ht="13.5" x14ac:dyDescent="0.25">
      <c r="A2182" s="306">
        <v>95582</v>
      </c>
      <c r="B2182" s="305" t="s">
        <v>12468</v>
      </c>
      <c r="C2182" s="305" t="s">
        <v>506</v>
      </c>
      <c r="D2182" s="575">
        <v>8.65</v>
      </c>
    </row>
    <row r="2183" spans="1:4" ht="13.5" x14ac:dyDescent="0.25">
      <c r="A2183" s="306">
        <v>95583</v>
      </c>
      <c r="B2183" s="305" t="s">
        <v>2135</v>
      </c>
      <c r="C2183" s="305" t="s">
        <v>506</v>
      </c>
      <c r="D2183" s="575">
        <v>13.75</v>
      </c>
    </row>
    <row r="2184" spans="1:4" ht="13.5" x14ac:dyDescent="0.25">
      <c r="A2184" s="306">
        <v>95584</v>
      </c>
      <c r="B2184" s="305" t="s">
        <v>2136</v>
      </c>
      <c r="C2184" s="305" t="s">
        <v>506</v>
      </c>
      <c r="D2184" s="575">
        <v>11.64</v>
      </c>
    </row>
    <row r="2185" spans="1:4" ht="13.5" x14ac:dyDescent="0.25">
      <c r="A2185" s="306">
        <v>95585</v>
      </c>
      <c r="B2185" s="305" t="s">
        <v>2137</v>
      </c>
      <c r="C2185" s="305" t="s">
        <v>506</v>
      </c>
      <c r="D2185" s="575">
        <v>10.76</v>
      </c>
    </row>
    <row r="2186" spans="1:4" ht="13.5" x14ac:dyDescent="0.25">
      <c r="A2186" s="306">
        <v>95586</v>
      </c>
      <c r="B2186" s="305" t="s">
        <v>2138</v>
      </c>
      <c r="C2186" s="305" t="s">
        <v>506</v>
      </c>
      <c r="D2186" s="575">
        <v>9.56</v>
      </c>
    </row>
    <row r="2187" spans="1:4" ht="13.5" x14ac:dyDescent="0.25">
      <c r="A2187" s="306">
        <v>95587</v>
      </c>
      <c r="B2187" s="305" t="s">
        <v>2139</v>
      </c>
      <c r="C2187" s="305" t="s">
        <v>506</v>
      </c>
      <c r="D2187" s="575">
        <v>8.1199999999999992</v>
      </c>
    </row>
    <row r="2188" spans="1:4" ht="13.5" x14ac:dyDescent="0.25">
      <c r="A2188" s="306">
        <v>95588</v>
      </c>
      <c r="B2188" s="305" t="s">
        <v>2140</v>
      </c>
      <c r="C2188" s="305" t="s">
        <v>506</v>
      </c>
      <c r="D2188" s="575">
        <v>7.65</v>
      </c>
    </row>
    <row r="2189" spans="1:4" ht="13.5" x14ac:dyDescent="0.25">
      <c r="A2189" s="306">
        <v>95589</v>
      </c>
      <c r="B2189" s="305" t="s">
        <v>2141</v>
      </c>
      <c r="C2189" s="305" t="s">
        <v>506</v>
      </c>
      <c r="D2189" s="575">
        <v>8.4600000000000009</v>
      </c>
    </row>
    <row r="2190" spans="1:4" ht="13.5" x14ac:dyDescent="0.25">
      <c r="A2190" s="306">
        <v>95590</v>
      </c>
      <c r="B2190" s="305" t="s">
        <v>2142</v>
      </c>
      <c r="C2190" s="305" t="s">
        <v>506</v>
      </c>
      <c r="D2190" s="575">
        <v>8.25</v>
      </c>
    </row>
    <row r="2191" spans="1:4" ht="13.5" x14ac:dyDescent="0.25">
      <c r="A2191" s="306">
        <v>95591</v>
      </c>
      <c r="B2191" s="305" t="s">
        <v>12469</v>
      </c>
      <c r="C2191" s="305" t="s">
        <v>506</v>
      </c>
      <c r="D2191" s="575">
        <v>8.74</v>
      </c>
    </row>
    <row r="2192" spans="1:4" ht="13.5" x14ac:dyDescent="0.25">
      <c r="A2192" s="306">
        <v>95592</v>
      </c>
      <c r="B2192" s="305" t="s">
        <v>2143</v>
      </c>
      <c r="C2192" s="305" t="s">
        <v>506</v>
      </c>
      <c r="D2192" s="575">
        <v>16.850000000000001</v>
      </c>
    </row>
    <row r="2193" spans="1:4" ht="13.5" x14ac:dyDescent="0.25">
      <c r="A2193" s="306">
        <v>95593</v>
      </c>
      <c r="B2193" s="305" t="s">
        <v>2144</v>
      </c>
      <c r="C2193" s="305" t="s">
        <v>506</v>
      </c>
      <c r="D2193" s="575">
        <v>13.51</v>
      </c>
    </row>
    <row r="2194" spans="1:4" ht="13.5" x14ac:dyDescent="0.25">
      <c r="A2194" s="306">
        <v>95943</v>
      </c>
      <c r="B2194" s="305" t="s">
        <v>2145</v>
      </c>
      <c r="C2194" s="305" t="s">
        <v>506</v>
      </c>
      <c r="D2194" s="575">
        <v>17.62</v>
      </c>
    </row>
    <row r="2195" spans="1:4" ht="13.5" x14ac:dyDescent="0.25">
      <c r="A2195" s="306">
        <v>95944</v>
      </c>
      <c r="B2195" s="305" t="s">
        <v>2146</v>
      </c>
      <c r="C2195" s="305" t="s">
        <v>506</v>
      </c>
      <c r="D2195" s="575">
        <v>15.84</v>
      </c>
    </row>
    <row r="2196" spans="1:4" ht="13.5" x14ac:dyDescent="0.25">
      <c r="A2196" s="306">
        <v>95945</v>
      </c>
      <c r="B2196" s="305" t="s">
        <v>2147</v>
      </c>
      <c r="C2196" s="305" t="s">
        <v>506</v>
      </c>
      <c r="D2196" s="575">
        <v>12.62</v>
      </c>
    </row>
    <row r="2197" spans="1:4" ht="13.5" x14ac:dyDescent="0.25">
      <c r="A2197" s="306">
        <v>95946</v>
      </c>
      <c r="B2197" s="305" t="s">
        <v>2148</v>
      </c>
      <c r="C2197" s="305" t="s">
        <v>506</v>
      </c>
      <c r="D2197" s="575">
        <v>9.91</v>
      </c>
    </row>
    <row r="2198" spans="1:4" ht="13.5" x14ac:dyDescent="0.25">
      <c r="A2198" s="306">
        <v>95947</v>
      </c>
      <c r="B2198" s="305" t="s">
        <v>2149</v>
      </c>
      <c r="C2198" s="305" t="s">
        <v>506</v>
      </c>
      <c r="D2198" s="575">
        <v>7.55</v>
      </c>
    </row>
    <row r="2199" spans="1:4" ht="13.5" x14ac:dyDescent="0.25">
      <c r="A2199" s="306">
        <v>95948</v>
      </c>
      <c r="B2199" s="305" t="s">
        <v>2150</v>
      </c>
      <c r="C2199" s="305" t="s">
        <v>506</v>
      </c>
      <c r="D2199" s="575">
        <v>6.56</v>
      </c>
    </row>
    <row r="2200" spans="1:4" ht="13.5" x14ac:dyDescent="0.25">
      <c r="A2200" s="306">
        <v>96544</v>
      </c>
      <c r="B2200" s="305" t="s">
        <v>2151</v>
      </c>
      <c r="C2200" s="305" t="s">
        <v>506</v>
      </c>
      <c r="D2200" s="575">
        <v>12.82</v>
      </c>
    </row>
    <row r="2201" spans="1:4" ht="13.5" x14ac:dyDescent="0.25">
      <c r="A2201" s="306">
        <v>96545</v>
      </c>
      <c r="B2201" s="305" t="s">
        <v>2152</v>
      </c>
      <c r="C2201" s="305" t="s">
        <v>506</v>
      </c>
      <c r="D2201" s="575">
        <v>11.56</v>
      </c>
    </row>
    <row r="2202" spans="1:4" ht="13.5" x14ac:dyDescent="0.25">
      <c r="A2202" s="306">
        <v>96546</v>
      </c>
      <c r="B2202" s="305" t="s">
        <v>2153</v>
      </c>
      <c r="C2202" s="305" t="s">
        <v>506</v>
      </c>
      <c r="D2202" s="575">
        <v>10.119999999999999</v>
      </c>
    </row>
    <row r="2203" spans="1:4" ht="13.5" x14ac:dyDescent="0.25">
      <c r="A2203" s="306">
        <v>96547</v>
      </c>
      <c r="B2203" s="305" t="s">
        <v>2154</v>
      </c>
      <c r="C2203" s="305" t="s">
        <v>506</v>
      </c>
      <c r="D2203" s="575">
        <v>8.44</v>
      </c>
    </row>
    <row r="2204" spans="1:4" ht="13.5" x14ac:dyDescent="0.25">
      <c r="A2204" s="306">
        <v>96548</v>
      </c>
      <c r="B2204" s="305" t="s">
        <v>2155</v>
      </c>
      <c r="C2204" s="305" t="s">
        <v>506</v>
      </c>
      <c r="D2204" s="575">
        <v>7.81</v>
      </c>
    </row>
    <row r="2205" spans="1:4" ht="13.5" x14ac:dyDescent="0.25">
      <c r="A2205" s="306">
        <v>96549</v>
      </c>
      <c r="B2205" s="305" t="s">
        <v>2156</v>
      </c>
      <c r="C2205" s="305" t="s">
        <v>506</v>
      </c>
      <c r="D2205" s="575">
        <v>8.5</v>
      </c>
    </row>
    <row r="2206" spans="1:4" ht="13.5" x14ac:dyDescent="0.25">
      <c r="A2206" s="306">
        <v>96550</v>
      </c>
      <c r="B2206" s="305" t="s">
        <v>2157</v>
      </c>
      <c r="C2206" s="305" t="s">
        <v>506</v>
      </c>
      <c r="D2206" s="575">
        <v>8.19</v>
      </c>
    </row>
    <row r="2207" spans="1:4" ht="13.5" x14ac:dyDescent="0.25">
      <c r="A2207" s="306">
        <v>100066</v>
      </c>
      <c r="B2207" s="305" t="s">
        <v>2158</v>
      </c>
      <c r="C2207" s="305" t="s">
        <v>506</v>
      </c>
      <c r="D2207" s="575">
        <v>8.3000000000000007</v>
      </c>
    </row>
    <row r="2208" spans="1:4" ht="13.5" x14ac:dyDescent="0.25">
      <c r="A2208" s="306">
        <v>100067</v>
      </c>
      <c r="B2208" s="305" t="s">
        <v>2159</v>
      </c>
      <c r="C2208" s="305" t="s">
        <v>506</v>
      </c>
      <c r="D2208" s="575">
        <v>9.4499999999999993</v>
      </c>
    </row>
    <row r="2209" spans="1:4" ht="13.5" x14ac:dyDescent="0.25">
      <c r="A2209" s="306">
        <v>100068</v>
      </c>
      <c r="B2209" s="305" t="s">
        <v>2160</v>
      </c>
      <c r="C2209" s="305" t="s">
        <v>506</v>
      </c>
      <c r="D2209" s="575">
        <v>7.11</v>
      </c>
    </row>
    <row r="2210" spans="1:4" ht="13.5" x14ac:dyDescent="0.25">
      <c r="A2210" s="306">
        <v>89993</v>
      </c>
      <c r="B2210" s="305" t="s">
        <v>2161</v>
      </c>
      <c r="C2210" s="305" t="s">
        <v>1456</v>
      </c>
      <c r="D2210" s="575">
        <v>763.99</v>
      </c>
    </row>
    <row r="2211" spans="1:4" ht="13.5" x14ac:dyDescent="0.25">
      <c r="A2211" s="306">
        <v>89994</v>
      </c>
      <c r="B2211" s="305" t="s">
        <v>2162</v>
      </c>
      <c r="C2211" s="305" t="s">
        <v>1456</v>
      </c>
      <c r="D2211" s="575">
        <v>654.82000000000005</v>
      </c>
    </row>
    <row r="2212" spans="1:4" ht="13.5" x14ac:dyDescent="0.25">
      <c r="A2212" s="306">
        <v>89995</v>
      </c>
      <c r="B2212" s="305" t="s">
        <v>2163</v>
      </c>
      <c r="C2212" s="305" t="s">
        <v>1456</v>
      </c>
      <c r="D2212" s="575">
        <v>736.06</v>
      </c>
    </row>
    <row r="2213" spans="1:4" ht="13.5" x14ac:dyDescent="0.25">
      <c r="A2213" s="306">
        <v>90278</v>
      </c>
      <c r="B2213" s="305" t="s">
        <v>2164</v>
      </c>
      <c r="C2213" s="305" t="s">
        <v>1456</v>
      </c>
      <c r="D2213" s="575">
        <v>388.45</v>
      </c>
    </row>
    <row r="2214" spans="1:4" ht="13.5" x14ac:dyDescent="0.25">
      <c r="A2214" s="306">
        <v>90279</v>
      </c>
      <c r="B2214" s="305" t="s">
        <v>2165</v>
      </c>
      <c r="C2214" s="305" t="s">
        <v>1456</v>
      </c>
      <c r="D2214" s="575">
        <v>416.85</v>
      </c>
    </row>
    <row r="2215" spans="1:4" ht="13.5" x14ac:dyDescent="0.25">
      <c r="A2215" s="306">
        <v>90280</v>
      </c>
      <c r="B2215" s="305" t="s">
        <v>2166</v>
      </c>
      <c r="C2215" s="305" t="s">
        <v>1456</v>
      </c>
      <c r="D2215" s="575">
        <v>466.75</v>
      </c>
    </row>
    <row r="2216" spans="1:4" ht="13.5" x14ac:dyDescent="0.25">
      <c r="A2216" s="306">
        <v>90281</v>
      </c>
      <c r="B2216" s="305" t="s">
        <v>2167</v>
      </c>
      <c r="C2216" s="305" t="s">
        <v>1456</v>
      </c>
      <c r="D2216" s="575">
        <v>538.35</v>
      </c>
    </row>
    <row r="2217" spans="1:4" ht="13.5" x14ac:dyDescent="0.25">
      <c r="A2217" s="306">
        <v>90282</v>
      </c>
      <c r="B2217" s="305" t="s">
        <v>2168</v>
      </c>
      <c r="C2217" s="305" t="s">
        <v>1456</v>
      </c>
      <c r="D2217" s="575">
        <v>392.1</v>
      </c>
    </row>
    <row r="2218" spans="1:4" ht="13.5" x14ac:dyDescent="0.25">
      <c r="A2218" s="306">
        <v>90283</v>
      </c>
      <c r="B2218" s="305" t="s">
        <v>2169</v>
      </c>
      <c r="C2218" s="305" t="s">
        <v>1456</v>
      </c>
      <c r="D2218" s="575">
        <v>421.78</v>
      </c>
    </row>
    <row r="2219" spans="1:4" ht="13.5" x14ac:dyDescent="0.25">
      <c r="A2219" s="306">
        <v>90284</v>
      </c>
      <c r="B2219" s="305" t="s">
        <v>2170</v>
      </c>
      <c r="C2219" s="305" t="s">
        <v>1456</v>
      </c>
      <c r="D2219" s="575">
        <v>472.74</v>
      </c>
    </row>
    <row r="2220" spans="1:4" ht="13.5" x14ac:dyDescent="0.25">
      <c r="A2220" s="306">
        <v>90285</v>
      </c>
      <c r="B2220" s="305" t="s">
        <v>2171</v>
      </c>
      <c r="C2220" s="305" t="s">
        <v>1456</v>
      </c>
      <c r="D2220" s="575">
        <v>547.25</v>
      </c>
    </row>
    <row r="2221" spans="1:4" ht="13.5" x14ac:dyDescent="0.25">
      <c r="A2221" s="306">
        <v>90853</v>
      </c>
      <c r="B2221" s="305" t="s">
        <v>2172</v>
      </c>
      <c r="C2221" s="305" t="s">
        <v>1456</v>
      </c>
      <c r="D2221" s="575">
        <v>562.57000000000005</v>
      </c>
    </row>
    <row r="2222" spans="1:4" ht="13.5" x14ac:dyDescent="0.25">
      <c r="A2222" s="306">
        <v>90854</v>
      </c>
      <c r="B2222" s="305" t="s">
        <v>2173</v>
      </c>
      <c r="C2222" s="305" t="s">
        <v>1456</v>
      </c>
      <c r="D2222" s="575">
        <v>545.77</v>
      </c>
    </row>
    <row r="2223" spans="1:4" ht="13.5" x14ac:dyDescent="0.25">
      <c r="A2223" s="306">
        <v>90855</v>
      </c>
      <c r="B2223" s="305" t="s">
        <v>2174</v>
      </c>
      <c r="C2223" s="305" t="s">
        <v>1456</v>
      </c>
      <c r="D2223" s="575">
        <v>594.07000000000005</v>
      </c>
    </row>
    <row r="2224" spans="1:4" ht="13.5" x14ac:dyDescent="0.25">
      <c r="A2224" s="306">
        <v>90856</v>
      </c>
      <c r="B2224" s="305" t="s">
        <v>2175</v>
      </c>
      <c r="C2224" s="305" t="s">
        <v>1456</v>
      </c>
      <c r="D2224" s="575">
        <v>566.30999999999995</v>
      </c>
    </row>
    <row r="2225" spans="1:4" ht="13.5" x14ac:dyDescent="0.25">
      <c r="A2225" s="306">
        <v>90857</v>
      </c>
      <c r="B2225" s="305" t="s">
        <v>2176</v>
      </c>
      <c r="C2225" s="305" t="s">
        <v>1456</v>
      </c>
      <c r="D2225" s="575">
        <v>548.25</v>
      </c>
    </row>
    <row r="2226" spans="1:4" ht="13.5" x14ac:dyDescent="0.25">
      <c r="A2226" s="306">
        <v>90858</v>
      </c>
      <c r="B2226" s="305" t="s">
        <v>2177</v>
      </c>
      <c r="C2226" s="305" t="s">
        <v>1456</v>
      </c>
      <c r="D2226" s="575">
        <v>611.23</v>
      </c>
    </row>
    <row r="2227" spans="1:4" ht="13.5" x14ac:dyDescent="0.25">
      <c r="A2227" s="306">
        <v>90859</v>
      </c>
      <c r="B2227" s="305" t="s">
        <v>2178</v>
      </c>
      <c r="C2227" s="305" t="s">
        <v>1456</v>
      </c>
      <c r="D2227" s="575">
        <v>566.34</v>
      </c>
    </row>
    <row r="2228" spans="1:4" ht="13.5" x14ac:dyDescent="0.25">
      <c r="A2228" s="306">
        <v>90860</v>
      </c>
      <c r="B2228" s="305" t="s">
        <v>2179</v>
      </c>
      <c r="C2228" s="305" t="s">
        <v>1456</v>
      </c>
      <c r="D2228" s="575">
        <v>571.53</v>
      </c>
    </row>
    <row r="2229" spans="1:4" ht="13.5" x14ac:dyDescent="0.25">
      <c r="A2229" s="306">
        <v>90861</v>
      </c>
      <c r="B2229" s="305" t="s">
        <v>2180</v>
      </c>
      <c r="C2229" s="305" t="s">
        <v>1456</v>
      </c>
      <c r="D2229" s="575">
        <v>553.46</v>
      </c>
    </row>
    <row r="2230" spans="1:4" ht="13.5" x14ac:dyDescent="0.25">
      <c r="A2230" s="306">
        <v>90862</v>
      </c>
      <c r="B2230" s="305" t="s">
        <v>2181</v>
      </c>
      <c r="C2230" s="305" t="s">
        <v>1456</v>
      </c>
      <c r="D2230" s="575">
        <v>533.27</v>
      </c>
    </row>
    <row r="2231" spans="1:4" ht="13.5" x14ac:dyDescent="0.25">
      <c r="A2231" s="306">
        <v>92718</v>
      </c>
      <c r="B2231" s="305" t="s">
        <v>2182</v>
      </c>
      <c r="C2231" s="305" t="s">
        <v>1456</v>
      </c>
      <c r="D2231" s="575">
        <v>629.26</v>
      </c>
    </row>
    <row r="2232" spans="1:4" ht="13.5" x14ac:dyDescent="0.25">
      <c r="A2232" s="306">
        <v>92719</v>
      </c>
      <c r="B2232" s="305" t="s">
        <v>2183</v>
      </c>
      <c r="C2232" s="305" t="s">
        <v>1456</v>
      </c>
      <c r="D2232" s="575">
        <v>492.01</v>
      </c>
    </row>
    <row r="2233" spans="1:4" ht="13.5" x14ac:dyDescent="0.25">
      <c r="A2233" s="306">
        <v>92720</v>
      </c>
      <c r="B2233" s="305" t="s">
        <v>2184</v>
      </c>
      <c r="C2233" s="305" t="s">
        <v>1456</v>
      </c>
      <c r="D2233" s="575">
        <v>526.22</v>
      </c>
    </row>
    <row r="2234" spans="1:4" ht="13.5" x14ac:dyDescent="0.25">
      <c r="A2234" s="306">
        <v>92721</v>
      </c>
      <c r="B2234" s="305" t="s">
        <v>2185</v>
      </c>
      <c r="C2234" s="305" t="s">
        <v>1456</v>
      </c>
      <c r="D2234" s="575">
        <v>483.62</v>
      </c>
    </row>
    <row r="2235" spans="1:4" ht="13.5" x14ac:dyDescent="0.25">
      <c r="A2235" s="306">
        <v>92722</v>
      </c>
      <c r="B2235" s="305" t="s">
        <v>2186</v>
      </c>
      <c r="C2235" s="305" t="s">
        <v>1456</v>
      </c>
      <c r="D2235" s="575">
        <v>522.69000000000005</v>
      </c>
    </row>
    <row r="2236" spans="1:4" ht="13.5" x14ac:dyDescent="0.25">
      <c r="A2236" s="306">
        <v>92723</v>
      </c>
      <c r="B2236" s="305" t="s">
        <v>2187</v>
      </c>
      <c r="C2236" s="305" t="s">
        <v>1456</v>
      </c>
      <c r="D2236" s="575">
        <v>511.23</v>
      </c>
    </row>
    <row r="2237" spans="1:4" ht="13.5" x14ac:dyDescent="0.25">
      <c r="A2237" s="306">
        <v>92724</v>
      </c>
      <c r="B2237" s="305" t="s">
        <v>2188</v>
      </c>
      <c r="C2237" s="305" t="s">
        <v>1456</v>
      </c>
      <c r="D2237" s="575">
        <v>508.17</v>
      </c>
    </row>
    <row r="2238" spans="1:4" ht="13.5" x14ac:dyDescent="0.25">
      <c r="A2238" s="306">
        <v>92725</v>
      </c>
      <c r="B2238" s="305" t="s">
        <v>2189</v>
      </c>
      <c r="C2238" s="305" t="s">
        <v>1456</v>
      </c>
      <c r="D2238" s="575">
        <v>506.89</v>
      </c>
    </row>
    <row r="2239" spans="1:4" ht="13.5" x14ac:dyDescent="0.25">
      <c r="A2239" s="306">
        <v>92726</v>
      </c>
      <c r="B2239" s="305" t="s">
        <v>2190</v>
      </c>
      <c r="C2239" s="305" t="s">
        <v>1456</v>
      </c>
      <c r="D2239" s="575">
        <v>504.73</v>
      </c>
    </row>
    <row r="2240" spans="1:4" ht="13.5" x14ac:dyDescent="0.25">
      <c r="A2240" s="306">
        <v>92727</v>
      </c>
      <c r="B2240" s="305" t="s">
        <v>2191</v>
      </c>
      <c r="C2240" s="305" t="s">
        <v>1456</v>
      </c>
      <c r="D2240" s="575">
        <v>566.99</v>
      </c>
    </row>
    <row r="2241" spans="1:4" ht="13.5" x14ac:dyDescent="0.25">
      <c r="A2241" s="306">
        <v>92728</v>
      </c>
      <c r="B2241" s="305" t="s">
        <v>2192</v>
      </c>
      <c r="C2241" s="305" t="s">
        <v>1456</v>
      </c>
      <c r="D2241" s="575">
        <v>544.96</v>
      </c>
    </row>
    <row r="2242" spans="1:4" ht="13.5" x14ac:dyDescent="0.25">
      <c r="A2242" s="306">
        <v>92729</v>
      </c>
      <c r="B2242" s="305" t="s">
        <v>2193</v>
      </c>
      <c r="C2242" s="305" t="s">
        <v>1456</v>
      </c>
      <c r="D2242" s="575">
        <v>535.64</v>
      </c>
    </row>
    <row r="2243" spans="1:4" ht="13.5" x14ac:dyDescent="0.25">
      <c r="A2243" s="306">
        <v>92730</v>
      </c>
      <c r="B2243" s="305" t="s">
        <v>2194</v>
      </c>
      <c r="C2243" s="305" t="s">
        <v>1456</v>
      </c>
      <c r="D2243" s="575">
        <v>520.07000000000005</v>
      </c>
    </row>
    <row r="2244" spans="1:4" ht="13.5" x14ac:dyDescent="0.25">
      <c r="A2244" s="306">
        <v>92731</v>
      </c>
      <c r="B2244" s="305" t="s">
        <v>2195</v>
      </c>
      <c r="C2244" s="305" t="s">
        <v>1456</v>
      </c>
      <c r="D2244" s="575">
        <v>538.28</v>
      </c>
    </row>
    <row r="2245" spans="1:4" ht="13.5" x14ac:dyDescent="0.25">
      <c r="A2245" s="306">
        <v>92732</v>
      </c>
      <c r="B2245" s="305" t="s">
        <v>2196</v>
      </c>
      <c r="C2245" s="305" t="s">
        <v>1456</v>
      </c>
      <c r="D2245" s="575">
        <v>523.14</v>
      </c>
    </row>
    <row r="2246" spans="1:4" ht="13.5" x14ac:dyDescent="0.25">
      <c r="A2246" s="306">
        <v>92733</v>
      </c>
      <c r="B2246" s="305" t="s">
        <v>2197</v>
      </c>
      <c r="C2246" s="305" t="s">
        <v>1456</v>
      </c>
      <c r="D2246" s="575">
        <v>516.71</v>
      </c>
    </row>
    <row r="2247" spans="1:4" ht="13.5" x14ac:dyDescent="0.25">
      <c r="A2247" s="306">
        <v>92734</v>
      </c>
      <c r="B2247" s="305" t="s">
        <v>2198</v>
      </c>
      <c r="C2247" s="305" t="s">
        <v>1456</v>
      </c>
      <c r="D2247" s="575">
        <v>506.02</v>
      </c>
    </row>
    <row r="2248" spans="1:4" ht="13.5" x14ac:dyDescent="0.25">
      <c r="A2248" s="306">
        <v>92735</v>
      </c>
      <c r="B2248" s="305" t="s">
        <v>2199</v>
      </c>
      <c r="C2248" s="305" t="s">
        <v>1456</v>
      </c>
      <c r="D2248" s="575">
        <v>511.11</v>
      </c>
    </row>
    <row r="2249" spans="1:4" ht="13.5" x14ac:dyDescent="0.25">
      <c r="A2249" s="306">
        <v>92736</v>
      </c>
      <c r="B2249" s="305" t="s">
        <v>2200</v>
      </c>
      <c r="C2249" s="305" t="s">
        <v>1456</v>
      </c>
      <c r="D2249" s="575">
        <v>499.75</v>
      </c>
    </row>
    <row r="2250" spans="1:4" ht="13.5" x14ac:dyDescent="0.25">
      <c r="A2250" s="306">
        <v>92739</v>
      </c>
      <c r="B2250" s="305" t="s">
        <v>2201</v>
      </c>
      <c r="C2250" s="305" t="s">
        <v>1456</v>
      </c>
      <c r="D2250" s="575">
        <v>483.29</v>
      </c>
    </row>
    <row r="2251" spans="1:4" ht="13.5" x14ac:dyDescent="0.25">
      <c r="A2251" s="306">
        <v>92740</v>
      </c>
      <c r="B2251" s="305" t="s">
        <v>2202</v>
      </c>
      <c r="C2251" s="305" t="s">
        <v>1456</v>
      </c>
      <c r="D2251" s="575">
        <v>477.68</v>
      </c>
    </row>
    <row r="2252" spans="1:4" ht="13.5" x14ac:dyDescent="0.25">
      <c r="A2252" s="306">
        <v>92741</v>
      </c>
      <c r="B2252" s="305" t="s">
        <v>2203</v>
      </c>
      <c r="C2252" s="305" t="s">
        <v>1456</v>
      </c>
      <c r="D2252" s="575">
        <v>687.15</v>
      </c>
    </row>
    <row r="2253" spans="1:4" ht="13.5" x14ac:dyDescent="0.25">
      <c r="A2253" s="306">
        <v>92742</v>
      </c>
      <c r="B2253" s="305" t="s">
        <v>2204</v>
      </c>
      <c r="C2253" s="305" t="s">
        <v>1456</v>
      </c>
      <c r="D2253" s="575">
        <v>907.03</v>
      </c>
    </row>
    <row r="2254" spans="1:4" ht="13.5" x14ac:dyDescent="0.25">
      <c r="A2254" s="306">
        <v>92873</v>
      </c>
      <c r="B2254" s="305" t="s">
        <v>2205</v>
      </c>
      <c r="C2254" s="305" t="s">
        <v>1456</v>
      </c>
      <c r="D2254" s="575">
        <v>169.69</v>
      </c>
    </row>
    <row r="2255" spans="1:4" ht="13.5" x14ac:dyDescent="0.25">
      <c r="A2255" s="306">
        <v>92874</v>
      </c>
      <c r="B2255" s="305" t="s">
        <v>2206</v>
      </c>
      <c r="C2255" s="305" t="s">
        <v>1456</v>
      </c>
      <c r="D2255" s="575">
        <v>28.35</v>
      </c>
    </row>
    <row r="2256" spans="1:4" ht="13.5" x14ac:dyDescent="0.25">
      <c r="A2256" s="306">
        <v>94962</v>
      </c>
      <c r="B2256" s="305" t="s">
        <v>2207</v>
      </c>
      <c r="C2256" s="305" t="s">
        <v>1456</v>
      </c>
      <c r="D2256" s="575">
        <v>324.19</v>
      </c>
    </row>
    <row r="2257" spans="1:4" ht="13.5" x14ac:dyDescent="0.25">
      <c r="A2257" s="306">
        <v>94963</v>
      </c>
      <c r="B2257" s="305" t="s">
        <v>2208</v>
      </c>
      <c r="C2257" s="305" t="s">
        <v>1456</v>
      </c>
      <c r="D2257" s="575">
        <v>365.75</v>
      </c>
    </row>
    <row r="2258" spans="1:4" ht="13.5" x14ac:dyDescent="0.25">
      <c r="A2258" s="306">
        <v>94964</v>
      </c>
      <c r="B2258" s="305" t="s">
        <v>2209</v>
      </c>
      <c r="C2258" s="305" t="s">
        <v>1456</v>
      </c>
      <c r="D2258" s="575">
        <v>404.07</v>
      </c>
    </row>
    <row r="2259" spans="1:4" ht="13.5" x14ac:dyDescent="0.25">
      <c r="A2259" s="306">
        <v>94965</v>
      </c>
      <c r="B2259" s="305" t="s">
        <v>2210</v>
      </c>
      <c r="C2259" s="305" t="s">
        <v>1456</v>
      </c>
      <c r="D2259" s="575">
        <v>424.33</v>
      </c>
    </row>
    <row r="2260" spans="1:4" ht="13.5" x14ac:dyDescent="0.25">
      <c r="A2260" s="306">
        <v>94966</v>
      </c>
      <c r="B2260" s="305" t="s">
        <v>2211</v>
      </c>
      <c r="C2260" s="305" t="s">
        <v>1456</v>
      </c>
      <c r="D2260" s="575">
        <v>441.21</v>
      </c>
    </row>
    <row r="2261" spans="1:4" ht="13.5" x14ac:dyDescent="0.25">
      <c r="A2261" s="306">
        <v>94967</v>
      </c>
      <c r="B2261" s="305" t="s">
        <v>2212</v>
      </c>
      <c r="C2261" s="305" t="s">
        <v>1456</v>
      </c>
      <c r="D2261" s="575">
        <v>509.92</v>
      </c>
    </row>
    <row r="2262" spans="1:4" ht="13.5" x14ac:dyDescent="0.25">
      <c r="A2262" s="306">
        <v>94968</v>
      </c>
      <c r="B2262" s="305" t="s">
        <v>2213</v>
      </c>
      <c r="C2262" s="305" t="s">
        <v>1456</v>
      </c>
      <c r="D2262" s="575">
        <v>321.55</v>
      </c>
    </row>
    <row r="2263" spans="1:4" ht="13.5" x14ac:dyDescent="0.25">
      <c r="A2263" s="306">
        <v>94969</v>
      </c>
      <c r="B2263" s="305" t="s">
        <v>2214</v>
      </c>
      <c r="C2263" s="305" t="s">
        <v>1456</v>
      </c>
      <c r="D2263" s="575">
        <v>360.48</v>
      </c>
    </row>
    <row r="2264" spans="1:4" ht="13.5" x14ac:dyDescent="0.25">
      <c r="A2264" s="306">
        <v>94970</v>
      </c>
      <c r="B2264" s="305" t="s">
        <v>2215</v>
      </c>
      <c r="C2264" s="305" t="s">
        <v>1456</v>
      </c>
      <c r="D2264" s="575">
        <v>394.35</v>
      </c>
    </row>
    <row r="2265" spans="1:4" ht="13.5" x14ac:dyDescent="0.25">
      <c r="A2265" s="306">
        <v>94971</v>
      </c>
      <c r="B2265" s="305" t="s">
        <v>2216</v>
      </c>
      <c r="C2265" s="305" t="s">
        <v>1456</v>
      </c>
      <c r="D2265" s="575">
        <v>419.32</v>
      </c>
    </row>
    <row r="2266" spans="1:4" ht="13.5" x14ac:dyDescent="0.25">
      <c r="A2266" s="306">
        <v>94972</v>
      </c>
      <c r="B2266" s="305" t="s">
        <v>2217</v>
      </c>
      <c r="C2266" s="305" t="s">
        <v>1456</v>
      </c>
      <c r="D2266" s="575">
        <v>436.03</v>
      </c>
    </row>
    <row r="2267" spans="1:4" ht="13.5" x14ac:dyDescent="0.25">
      <c r="A2267" s="306">
        <v>94973</v>
      </c>
      <c r="B2267" s="305" t="s">
        <v>2218</v>
      </c>
      <c r="C2267" s="305" t="s">
        <v>1456</v>
      </c>
      <c r="D2267" s="575">
        <v>503.68</v>
      </c>
    </row>
    <row r="2268" spans="1:4" ht="13.5" x14ac:dyDescent="0.25">
      <c r="A2268" s="306">
        <v>94974</v>
      </c>
      <c r="B2268" s="305" t="s">
        <v>2219</v>
      </c>
      <c r="C2268" s="305" t="s">
        <v>1456</v>
      </c>
      <c r="D2268" s="575">
        <v>436.5</v>
      </c>
    </row>
    <row r="2269" spans="1:4" ht="13.5" x14ac:dyDescent="0.25">
      <c r="A2269" s="306">
        <v>94975</v>
      </c>
      <c r="B2269" s="305" t="s">
        <v>2220</v>
      </c>
      <c r="C2269" s="305" t="s">
        <v>1456</v>
      </c>
      <c r="D2269" s="575">
        <v>475.7</v>
      </c>
    </row>
    <row r="2270" spans="1:4" ht="13.5" x14ac:dyDescent="0.25">
      <c r="A2270" s="306">
        <v>96555</v>
      </c>
      <c r="B2270" s="305" t="s">
        <v>2221</v>
      </c>
      <c r="C2270" s="305" t="s">
        <v>1456</v>
      </c>
      <c r="D2270" s="575">
        <v>592.45000000000005</v>
      </c>
    </row>
    <row r="2271" spans="1:4" ht="13.5" x14ac:dyDescent="0.25">
      <c r="A2271" s="306">
        <v>96556</v>
      </c>
      <c r="B2271" s="305" t="s">
        <v>2222</v>
      </c>
      <c r="C2271" s="305" t="s">
        <v>1456</v>
      </c>
      <c r="D2271" s="575">
        <v>658.52</v>
      </c>
    </row>
    <row r="2272" spans="1:4" ht="13.5" x14ac:dyDescent="0.25">
      <c r="A2272" s="306">
        <v>96557</v>
      </c>
      <c r="B2272" s="305" t="s">
        <v>2223</v>
      </c>
      <c r="C2272" s="305" t="s">
        <v>1456</v>
      </c>
      <c r="D2272" s="575">
        <v>551.84</v>
      </c>
    </row>
    <row r="2273" spans="1:4" ht="13.5" x14ac:dyDescent="0.25">
      <c r="A2273" s="306">
        <v>96558</v>
      </c>
      <c r="B2273" s="305" t="s">
        <v>2224</v>
      </c>
      <c r="C2273" s="305" t="s">
        <v>1456</v>
      </c>
      <c r="D2273" s="575">
        <v>557.88</v>
      </c>
    </row>
    <row r="2274" spans="1:4" ht="13.5" x14ac:dyDescent="0.25">
      <c r="A2274" s="306">
        <v>99235</v>
      </c>
      <c r="B2274" s="305" t="s">
        <v>2225</v>
      </c>
      <c r="C2274" s="305" t="s">
        <v>1456</v>
      </c>
      <c r="D2274" s="575">
        <v>539.07000000000005</v>
      </c>
    </row>
    <row r="2275" spans="1:4" ht="13.5" x14ac:dyDescent="0.25">
      <c r="A2275" s="306">
        <v>99431</v>
      </c>
      <c r="B2275" s="305" t="s">
        <v>2226</v>
      </c>
      <c r="C2275" s="305" t="s">
        <v>1456</v>
      </c>
      <c r="D2275" s="575">
        <v>560.25</v>
      </c>
    </row>
    <row r="2276" spans="1:4" ht="13.5" x14ac:dyDescent="0.25">
      <c r="A2276" s="306">
        <v>99432</v>
      </c>
      <c r="B2276" s="305" t="s">
        <v>2227</v>
      </c>
      <c r="C2276" s="305" t="s">
        <v>1456</v>
      </c>
      <c r="D2276" s="575">
        <v>532.29999999999995</v>
      </c>
    </row>
    <row r="2277" spans="1:4" ht="13.5" x14ac:dyDescent="0.25">
      <c r="A2277" s="306">
        <v>99433</v>
      </c>
      <c r="B2277" s="305" t="s">
        <v>2228</v>
      </c>
      <c r="C2277" s="305" t="s">
        <v>1456</v>
      </c>
      <c r="D2277" s="575">
        <v>591.66999999999996</v>
      </c>
    </row>
    <row r="2278" spans="1:4" ht="13.5" x14ac:dyDescent="0.25">
      <c r="A2278" s="306">
        <v>99434</v>
      </c>
      <c r="B2278" s="305" t="s">
        <v>2229</v>
      </c>
      <c r="C2278" s="305" t="s">
        <v>1456</v>
      </c>
      <c r="D2278" s="575">
        <v>563.99</v>
      </c>
    </row>
    <row r="2279" spans="1:4" ht="13.5" x14ac:dyDescent="0.25">
      <c r="A2279" s="306">
        <v>99435</v>
      </c>
      <c r="B2279" s="305" t="s">
        <v>2230</v>
      </c>
      <c r="C2279" s="305" t="s">
        <v>1456</v>
      </c>
      <c r="D2279" s="575">
        <v>545.99</v>
      </c>
    </row>
    <row r="2280" spans="1:4" ht="13.5" x14ac:dyDescent="0.25">
      <c r="A2280" s="306">
        <v>99436</v>
      </c>
      <c r="B2280" s="305" t="s">
        <v>2231</v>
      </c>
      <c r="C2280" s="305" t="s">
        <v>1456</v>
      </c>
      <c r="D2280" s="575">
        <v>608.83000000000004</v>
      </c>
    </row>
    <row r="2281" spans="1:4" ht="13.5" x14ac:dyDescent="0.25">
      <c r="A2281" s="306">
        <v>99437</v>
      </c>
      <c r="B2281" s="305" t="s">
        <v>2232</v>
      </c>
      <c r="C2281" s="305" t="s">
        <v>1456</v>
      </c>
      <c r="D2281" s="575">
        <v>572.46</v>
      </c>
    </row>
    <row r="2282" spans="1:4" ht="13.5" x14ac:dyDescent="0.25">
      <c r="A2282" s="306">
        <v>99438</v>
      </c>
      <c r="B2282" s="305" t="s">
        <v>2233</v>
      </c>
      <c r="C2282" s="305" t="s">
        <v>1456</v>
      </c>
      <c r="D2282" s="575">
        <v>577.65</v>
      </c>
    </row>
    <row r="2283" spans="1:4" ht="13.5" x14ac:dyDescent="0.25">
      <c r="A2283" s="306">
        <v>99439</v>
      </c>
      <c r="B2283" s="305" t="s">
        <v>2234</v>
      </c>
      <c r="C2283" s="305" t="s">
        <v>1456</v>
      </c>
      <c r="D2283" s="575">
        <v>551.17999999999995</v>
      </c>
    </row>
    <row r="2284" spans="1:4" ht="13.5" x14ac:dyDescent="0.25">
      <c r="A2284" s="305" t="s">
        <v>2235</v>
      </c>
      <c r="B2284" s="305" t="s">
        <v>2236</v>
      </c>
      <c r="C2284" s="305" t="s">
        <v>521</v>
      </c>
      <c r="D2284" s="575">
        <v>84.51</v>
      </c>
    </row>
    <row r="2285" spans="1:4" ht="13.5" x14ac:dyDescent="0.25">
      <c r="A2285" s="305" t="s">
        <v>2237</v>
      </c>
      <c r="B2285" s="305" t="s">
        <v>2238</v>
      </c>
      <c r="C2285" s="305" t="s">
        <v>521</v>
      </c>
      <c r="D2285" s="575">
        <v>93.62</v>
      </c>
    </row>
    <row r="2286" spans="1:4" ht="13.5" x14ac:dyDescent="0.25">
      <c r="A2286" s="305" t="s">
        <v>2239</v>
      </c>
      <c r="B2286" s="305" t="s">
        <v>2240</v>
      </c>
      <c r="C2286" s="305" t="s">
        <v>521</v>
      </c>
      <c r="D2286" s="575">
        <v>112.66</v>
      </c>
    </row>
    <row r="2287" spans="1:4" ht="13.5" x14ac:dyDescent="0.25">
      <c r="A2287" s="305" t="s">
        <v>2241</v>
      </c>
      <c r="B2287" s="305" t="s">
        <v>2242</v>
      </c>
      <c r="C2287" s="305" t="s">
        <v>521</v>
      </c>
      <c r="D2287" s="575">
        <v>130.32</v>
      </c>
    </row>
    <row r="2288" spans="1:4" ht="13.5" x14ac:dyDescent="0.25">
      <c r="A2288" s="305" t="s">
        <v>2243</v>
      </c>
      <c r="B2288" s="305" t="s">
        <v>2244</v>
      </c>
      <c r="C2288" s="305" t="s">
        <v>521</v>
      </c>
      <c r="D2288" s="575">
        <v>77.510000000000005</v>
      </c>
    </row>
    <row r="2289" spans="1:4" ht="13.5" x14ac:dyDescent="0.25">
      <c r="A2289" s="305" t="s">
        <v>2245</v>
      </c>
      <c r="B2289" s="305" t="s">
        <v>2246</v>
      </c>
      <c r="C2289" s="305" t="s">
        <v>521</v>
      </c>
      <c r="D2289" s="575">
        <v>85.62</v>
      </c>
    </row>
    <row r="2290" spans="1:4" ht="13.5" x14ac:dyDescent="0.25">
      <c r="A2290" s="306">
        <v>101165</v>
      </c>
      <c r="B2290" s="305" t="s">
        <v>12470</v>
      </c>
      <c r="C2290" s="305" t="s">
        <v>1456</v>
      </c>
      <c r="D2290" s="575">
        <v>754.21</v>
      </c>
    </row>
    <row r="2291" spans="1:4" ht="13.5" x14ac:dyDescent="0.25">
      <c r="A2291" s="306">
        <v>101166</v>
      </c>
      <c r="B2291" s="305" t="s">
        <v>12471</v>
      </c>
      <c r="C2291" s="305" t="s">
        <v>1456</v>
      </c>
      <c r="D2291" s="575">
        <v>460.31</v>
      </c>
    </row>
    <row r="2292" spans="1:4" ht="13.5" x14ac:dyDescent="0.25">
      <c r="A2292" s="306">
        <v>98576</v>
      </c>
      <c r="B2292" s="305" t="s">
        <v>2247</v>
      </c>
      <c r="C2292" s="305" t="s">
        <v>282</v>
      </c>
      <c r="D2292" s="575">
        <v>14.75</v>
      </c>
    </row>
    <row r="2293" spans="1:4" ht="13.5" x14ac:dyDescent="0.25">
      <c r="A2293" s="306">
        <v>93182</v>
      </c>
      <c r="B2293" s="305" t="s">
        <v>2248</v>
      </c>
      <c r="C2293" s="305" t="s">
        <v>282</v>
      </c>
      <c r="D2293" s="575">
        <v>24.79</v>
      </c>
    </row>
    <row r="2294" spans="1:4" ht="13.5" x14ac:dyDescent="0.25">
      <c r="A2294" s="306">
        <v>93183</v>
      </c>
      <c r="B2294" s="305" t="s">
        <v>2249</v>
      </c>
      <c r="C2294" s="305" t="s">
        <v>282</v>
      </c>
      <c r="D2294" s="575">
        <v>31.38</v>
      </c>
    </row>
    <row r="2295" spans="1:4" ht="13.5" x14ac:dyDescent="0.25">
      <c r="A2295" s="306">
        <v>93184</v>
      </c>
      <c r="B2295" s="305" t="s">
        <v>2250</v>
      </c>
      <c r="C2295" s="305" t="s">
        <v>282</v>
      </c>
      <c r="D2295" s="575">
        <v>18.850000000000001</v>
      </c>
    </row>
    <row r="2296" spans="1:4" ht="13.5" x14ac:dyDescent="0.25">
      <c r="A2296" s="306">
        <v>93185</v>
      </c>
      <c r="B2296" s="305" t="s">
        <v>2251</v>
      </c>
      <c r="C2296" s="305" t="s">
        <v>282</v>
      </c>
      <c r="D2296" s="575">
        <v>30.88</v>
      </c>
    </row>
    <row r="2297" spans="1:4" ht="13.5" x14ac:dyDescent="0.25">
      <c r="A2297" s="306">
        <v>93186</v>
      </c>
      <c r="B2297" s="305" t="s">
        <v>2252</v>
      </c>
      <c r="C2297" s="305" t="s">
        <v>282</v>
      </c>
      <c r="D2297" s="575">
        <v>41.68</v>
      </c>
    </row>
    <row r="2298" spans="1:4" ht="13.5" x14ac:dyDescent="0.25">
      <c r="A2298" s="306">
        <v>93187</v>
      </c>
      <c r="B2298" s="305" t="s">
        <v>2253</v>
      </c>
      <c r="C2298" s="305" t="s">
        <v>282</v>
      </c>
      <c r="D2298" s="575">
        <v>48.03</v>
      </c>
    </row>
    <row r="2299" spans="1:4" ht="13.5" x14ac:dyDescent="0.25">
      <c r="A2299" s="306">
        <v>93188</v>
      </c>
      <c r="B2299" s="305" t="s">
        <v>2254</v>
      </c>
      <c r="C2299" s="305" t="s">
        <v>282</v>
      </c>
      <c r="D2299" s="575">
        <v>38.19</v>
      </c>
    </row>
    <row r="2300" spans="1:4" ht="13.5" x14ac:dyDescent="0.25">
      <c r="A2300" s="306">
        <v>93189</v>
      </c>
      <c r="B2300" s="305" t="s">
        <v>2255</v>
      </c>
      <c r="C2300" s="305" t="s">
        <v>282</v>
      </c>
      <c r="D2300" s="575">
        <v>48.22</v>
      </c>
    </row>
    <row r="2301" spans="1:4" ht="13.5" x14ac:dyDescent="0.25">
      <c r="A2301" s="306">
        <v>93190</v>
      </c>
      <c r="B2301" s="305" t="s">
        <v>2256</v>
      </c>
      <c r="C2301" s="305" t="s">
        <v>282</v>
      </c>
      <c r="D2301" s="575">
        <v>34.729999999999997</v>
      </c>
    </row>
    <row r="2302" spans="1:4" ht="13.5" x14ac:dyDescent="0.25">
      <c r="A2302" s="306">
        <v>93191</v>
      </c>
      <c r="B2302" s="305" t="s">
        <v>2257</v>
      </c>
      <c r="C2302" s="305" t="s">
        <v>282</v>
      </c>
      <c r="D2302" s="575">
        <v>36.19</v>
      </c>
    </row>
    <row r="2303" spans="1:4" ht="13.5" x14ac:dyDescent="0.25">
      <c r="A2303" s="306">
        <v>93192</v>
      </c>
      <c r="B2303" s="305" t="s">
        <v>2258</v>
      </c>
      <c r="C2303" s="305" t="s">
        <v>282</v>
      </c>
      <c r="D2303" s="575">
        <v>36.15</v>
      </c>
    </row>
    <row r="2304" spans="1:4" ht="13.5" x14ac:dyDescent="0.25">
      <c r="A2304" s="306">
        <v>93193</v>
      </c>
      <c r="B2304" s="305" t="s">
        <v>2259</v>
      </c>
      <c r="C2304" s="305" t="s">
        <v>282</v>
      </c>
      <c r="D2304" s="575">
        <v>36.42</v>
      </c>
    </row>
    <row r="2305" spans="1:4" ht="13.5" x14ac:dyDescent="0.25">
      <c r="A2305" s="306">
        <v>93194</v>
      </c>
      <c r="B2305" s="305" t="s">
        <v>2260</v>
      </c>
      <c r="C2305" s="305" t="s">
        <v>282</v>
      </c>
      <c r="D2305" s="575">
        <v>24.48</v>
      </c>
    </row>
    <row r="2306" spans="1:4" ht="13.5" x14ac:dyDescent="0.25">
      <c r="A2306" s="306">
        <v>93195</v>
      </c>
      <c r="B2306" s="305" t="s">
        <v>2261</v>
      </c>
      <c r="C2306" s="305" t="s">
        <v>282</v>
      </c>
      <c r="D2306" s="575">
        <v>28.9</v>
      </c>
    </row>
    <row r="2307" spans="1:4" ht="13.5" x14ac:dyDescent="0.25">
      <c r="A2307" s="306">
        <v>93196</v>
      </c>
      <c r="B2307" s="305" t="s">
        <v>2262</v>
      </c>
      <c r="C2307" s="305" t="s">
        <v>282</v>
      </c>
      <c r="D2307" s="575">
        <v>40.64</v>
      </c>
    </row>
    <row r="2308" spans="1:4" ht="13.5" x14ac:dyDescent="0.25">
      <c r="A2308" s="306">
        <v>93197</v>
      </c>
      <c r="B2308" s="305" t="s">
        <v>2263</v>
      </c>
      <c r="C2308" s="305" t="s">
        <v>282</v>
      </c>
      <c r="D2308" s="575">
        <v>45.11</v>
      </c>
    </row>
    <row r="2309" spans="1:4" ht="13.5" x14ac:dyDescent="0.25">
      <c r="A2309" s="306">
        <v>93198</v>
      </c>
      <c r="B2309" s="305" t="s">
        <v>2264</v>
      </c>
      <c r="C2309" s="305" t="s">
        <v>282</v>
      </c>
      <c r="D2309" s="575">
        <v>32.58</v>
      </c>
    </row>
    <row r="2310" spans="1:4" ht="13.5" x14ac:dyDescent="0.25">
      <c r="A2310" s="306">
        <v>93199</v>
      </c>
      <c r="B2310" s="305" t="s">
        <v>2265</v>
      </c>
      <c r="C2310" s="305" t="s">
        <v>282</v>
      </c>
      <c r="D2310" s="575">
        <v>32.119999999999997</v>
      </c>
    </row>
    <row r="2311" spans="1:4" ht="13.5" x14ac:dyDescent="0.25">
      <c r="A2311" s="306">
        <v>93200</v>
      </c>
      <c r="B2311" s="305" t="s">
        <v>2266</v>
      </c>
      <c r="C2311" s="305" t="s">
        <v>282</v>
      </c>
      <c r="D2311" s="575">
        <v>2.4900000000000002</v>
      </c>
    </row>
    <row r="2312" spans="1:4" ht="13.5" x14ac:dyDescent="0.25">
      <c r="A2312" s="306">
        <v>93201</v>
      </c>
      <c r="B2312" s="305" t="s">
        <v>2267</v>
      </c>
      <c r="C2312" s="305" t="s">
        <v>282</v>
      </c>
      <c r="D2312" s="575">
        <v>5.03</v>
      </c>
    </row>
    <row r="2313" spans="1:4" ht="13.5" x14ac:dyDescent="0.25">
      <c r="A2313" s="306">
        <v>93202</v>
      </c>
      <c r="B2313" s="305" t="s">
        <v>2268</v>
      </c>
      <c r="C2313" s="305" t="s">
        <v>282</v>
      </c>
      <c r="D2313" s="575">
        <v>19.260000000000002</v>
      </c>
    </row>
    <row r="2314" spans="1:4" ht="13.5" x14ac:dyDescent="0.25">
      <c r="A2314" s="306">
        <v>93203</v>
      </c>
      <c r="B2314" s="305" t="s">
        <v>2269</v>
      </c>
      <c r="C2314" s="305" t="s">
        <v>282</v>
      </c>
      <c r="D2314" s="575">
        <v>13.38</v>
      </c>
    </row>
    <row r="2315" spans="1:4" ht="13.5" x14ac:dyDescent="0.25">
      <c r="A2315" s="306">
        <v>93204</v>
      </c>
      <c r="B2315" s="305" t="s">
        <v>2270</v>
      </c>
      <c r="C2315" s="305" t="s">
        <v>282</v>
      </c>
      <c r="D2315" s="575">
        <v>33.72</v>
      </c>
    </row>
    <row r="2316" spans="1:4" ht="13.5" x14ac:dyDescent="0.25">
      <c r="A2316" s="306">
        <v>93205</v>
      </c>
      <c r="B2316" s="305" t="s">
        <v>2271</v>
      </c>
      <c r="C2316" s="305" t="s">
        <v>282</v>
      </c>
      <c r="D2316" s="575">
        <v>30.7</v>
      </c>
    </row>
    <row r="2317" spans="1:4" ht="13.5" x14ac:dyDescent="0.25">
      <c r="A2317" s="306">
        <v>85233</v>
      </c>
      <c r="B2317" s="305" t="s">
        <v>2272</v>
      </c>
      <c r="C2317" s="305" t="s">
        <v>1456</v>
      </c>
      <c r="D2317" s="576">
        <v>2468.69</v>
      </c>
    </row>
    <row r="2318" spans="1:4" ht="13.5" x14ac:dyDescent="0.25">
      <c r="A2318" s="306">
        <v>95952</v>
      </c>
      <c r="B2318" s="305" t="s">
        <v>2273</v>
      </c>
      <c r="C2318" s="305" t="s">
        <v>1456</v>
      </c>
      <c r="D2318" s="576">
        <v>1616.75</v>
      </c>
    </row>
    <row r="2319" spans="1:4" ht="13.5" x14ac:dyDescent="0.25">
      <c r="A2319" s="306">
        <v>95953</v>
      </c>
      <c r="B2319" s="305" t="s">
        <v>2274</v>
      </c>
      <c r="C2319" s="305" t="s">
        <v>1456</v>
      </c>
      <c r="D2319" s="576">
        <v>2527.63</v>
      </c>
    </row>
    <row r="2320" spans="1:4" ht="13.5" x14ac:dyDescent="0.25">
      <c r="A2320" s="306">
        <v>95954</v>
      </c>
      <c r="B2320" s="305" t="s">
        <v>2275</v>
      </c>
      <c r="C2320" s="305" t="s">
        <v>1456</v>
      </c>
      <c r="D2320" s="576">
        <v>1838.36</v>
      </c>
    </row>
    <row r="2321" spans="1:4" ht="13.5" x14ac:dyDescent="0.25">
      <c r="A2321" s="306">
        <v>95955</v>
      </c>
      <c r="B2321" s="305" t="s">
        <v>2276</v>
      </c>
      <c r="C2321" s="305" t="s">
        <v>1456</v>
      </c>
      <c r="D2321" s="576">
        <v>2256.5</v>
      </c>
    </row>
    <row r="2322" spans="1:4" ht="13.5" x14ac:dyDescent="0.25">
      <c r="A2322" s="306">
        <v>95956</v>
      </c>
      <c r="B2322" s="305" t="s">
        <v>2277</v>
      </c>
      <c r="C2322" s="305" t="s">
        <v>1456</v>
      </c>
      <c r="D2322" s="576">
        <v>1793.37</v>
      </c>
    </row>
    <row r="2323" spans="1:4" ht="13.5" x14ac:dyDescent="0.25">
      <c r="A2323" s="306">
        <v>95957</v>
      </c>
      <c r="B2323" s="305" t="s">
        <v>2278</v>
      </c>
      <c r="C2323" s="305" t="s">
        <v>1456</v>
      </c>
      <c r="D2323" s="576">
        <v>2303.91</v>
      </c>
    </row>
    <row r="2324" spans="1:4" ht="13.5" x14ac:dyDescent="0.25">
      <c r="A2324" s="306">
        <v>95969</v>
      </c>
      <c r="B2324" s="305" t="s">
        <v>2279</v>
      </c>
      <c r="C2324" s="305" t="s">
        <v>1456</v>
      </c>
      <c r="D2324" s="576">
        <v>2118.7800000000002</v>
      </c>
    </row>
    <row r="2325" spans="1:4" ht="13.5" x14ac:dyDescent="0.25">
      <c r="A2325" s="306">
        <v>97733</v>
      </c>
      <c r="B2325" s="305" t="s">
        <v>2280</v>
      </c>
      <c r="C2325" s="305" t="s">
        <v>1456</v>
      </c>
      <c r="D2325" s="576">
        <v>2678.18</v>
      </c>
    </row>
    <row r="2326" spans="1:4" ht="13.5" x14ac:dyDescent="0.25">
      <c r="A2326" s="306">
        <v>97734</v>
      </c>
      <c r="B2326" s="305" t="s">
        <v>2281</v>
      </c>
      <c r="C2326" s="305" t="s">
        <v>1456</v>
      </c>
      <c r="D2326" s="576">
        <v>2330.1</v>
      </c>
    </row>
    <row r="2327" spans="1:4" ht="13.5" x14ac:dyDescent="0.25">
      <c r="A2327" s="306">
        <v>97735</v>
      </c>
      <c r="B2327" s="305" t="s">
        <v>2282</v>
      </c>
      <c r="C2327" s="305" t="s">
        <v>1456</v>
      </c>
      <c r="D2327" s="576">
        <v>1951.35</v>
      </c>
    </row>
    <row r="2328" spans="1:4" ht="13.5" x14ac:dyDescent="0.25">
      <c r="A2328" s="306">
        <v>97736</v>
      </c>
      <c r="B2328" s="305" t="s">
        <v>2283</v>
      </c>
      <c r="C2328" s="305" t="s">
        <v>1456</v>
      </c>
      <c r="D2328" s="576">
        <v>1234.3599999999999</v>
      </c>
    </row>
    <row r="2329" spans="1:4" ht="13.5" x14ac:dyDescent="0.25">
      <c r="A2329" s="306">
        <v>97737</v>
      </c>
      <c r="B2329" s="305" t="s">
        <v>2284</v>
      </c>
      <c r="C2329" s="305" t="s">
        <v>1456</v>
      </c>
      <c r="D2329" s="576">
        <v>2673.54</v>
      </c>
    </row>
    <row r="2330" spans="1:4" ht="13.5" x14ac:dyDescent="0.25">
      <c r="A2330" s="306">
        <v>97738</v>
      </c>
      <c r="B2330" s="305" t="s">
        <v>2285</v>
      </c>
      <c r="C2330" s="305" t="s">
        <v>1456</v>
      </c>
      <c r="D2330" s="576">
        <v>3496.12</v>
      </c>
    </row>
    <row r="2331" spans="1:4" ht="13.5" x14ac:dyDescent="0.25">
      <c r="A2331" s="306">
        <v>97739</v>
      </c>
      <c r="B2331" s="305" t="s">
        <v>2286</v>
      </c>
      <c r="C2331" s="305" t="s">
        <v>1456</v>
      </c>
      <c r="D2331" s="576">
        <v>2193.81</v>
      </c>
    </row>
    <row r="2332" spans="1:4" ht="13.5" x14ac:dyDescent="0.25">
      <c r="A2332" s="306">
        <v>97740</v>
      </c>
      <c r="B2332" s="305" t="s">
        <v>2287</v>
      </c>
      <c r="C2332" s="305" t="s">
        <v>1456</v>
      </c>
      <c r="D2332" s="576">
        <v>1596.04</v>
      </c>
    </row>
    <row r="2333" spans="1:4" ht="13.5" x14ac:dyDescent="0.25">
      <c r="A2333" s="306">
        <v>98615</v>
      </c>
      <c r="B2333" s="305" t="s">
        <v>2288</v>
      </c>
      <c r="C2333" s="305" t="s">
        <v>521</v>
      </c>
      <c r="D2333" s="575">
        <v>107.58</v>
      </c>
    </row>
    <row r="2334" spans="1:4" ht="13.5" x14ac:dyDescent="0.25">
      <c r="A2334" s="306">
        <v>98616</v>
      </c>
      <c r="B2334" s="305" t="s">
        <v>2289</v>
      </c>
      <c r="C2334" s="305" t="s">
        <v>521</v>
      </c>
      <c r="D2334" s="575">
        <v>87.93</v>
      </c>
    </row>
    <row r="2335" spans="1:4" ht="13.5" x14ac:dyDescent="0.25">
      <c r="A2335" s="306">
        <v>98617</v>
      </c>
      <c r="B2335" s="305" t="s">
        <v>2290</v>
      </c>
      <c r="C2335" s="305" t="s">
        <v>521</v>
      </c>
      <c r="D2335" s="575">
        <v>82.18</v>
      </c>
    </row>
    <row r="2336" spans="1:4" ht="13.5" x14ac:dyDescent="0.25">
      <c r="A2336" s="306">
        <v>98618</v>
      </c>
      <c r="B2336" s="305" t="s">
        <v>2291</v>
      </c>
      <c r="C2336" s="305" t="s">
        <v>521</v>
      </c>
      <c r="D2336" s="575">
        <v>112.39</v>
      </c>
    </row>
    <row r="2337" spans="1:4" ht="13.5" x14ac:dyDescent="0.25">
      <c r="A2337" s="306">
        <v>98619</v>
      </c>
      <c r="B2337" s="305" t="s">
        <v>2292</v>
      </c>
      <c r="C2337" s="305" t="s">
        <v>521</v>
      </c>
      <c r="D2337" s="575">
        <v>103.69</v>
      </c>
    </row>
    <row r="2338" spans="1:4" ht="13.5" x14ac:dyDescent="0.25">
      <c r="A2338" s="306">
        <v>98620</v>
      </c>
      <c r="B2338" s="305" t="s">
        <v>2293</v>
      </c>
      <c r="C2338" s="305" t="s">
        <v>521</v>
      </c>
      <c r="D2338" s="575">
        <v>99.27</v>
      </c>
    </row>
    <row r="2339" spans="1:4" ht="13.5" x14ac:dyDescent="0.25">
      <c r="A2339" s="306">
        <v>98621</v>
      </c>
      <c r="B2339" s="305" t="s">
        <v>2294</v>
      </c>
      <c r="C2339" s="305" t="s">
        <v>521</v>
      </c>
      <c r="D2339" s="575">
        <v>129.11000000000001</v>
      </c>
    </row>
    <row r="2340" spans="1:4" ht="13.5" x14ac:dyDescent="0.25">
      <c r="A2340" s="306">
        <v>98622</v>
      </c>
      <c r="B2340" s="305" t="s">
        <v>2295</v>
      </c>
      <c r="C2340" s="305" t="s">
        <v>521</v>
      </c>
      <c r="D2340" s="575">
        <v>122.12</v>
      </c>
    </row>
    <row r="2341" spans="1:4" ht="13.5" x14ac:dyDescent="0.25">
      <c r="A2341" s="306">
        <v>98623</v>
      </c>
      <c r="B2341" s="305" t="s">
        <v>2296</v>
      </c>
      <c r="C2341" s="305" t="s">
        <v>521</v>
      </c>
      <c r="D2341" s="575">
        <v>118.53</v>
      </c>
    </row>
    <row r="2342" spans="1:4" ht="13.5" x14ac:dyDescent="0.25">
      <c r="A2342" s="306">
        <v>98624</v>
      </c>
      <c r="B2342" s="305" t="s">
        <v>2297</v>
      </c>
      <c r="C2342" s="305" t="s">
        <v>521</v>
      </c>
      <c r="D2342" s="575">
        <v>147.12</v>
      </c>
    </row>
    <row r="2343" spans="1:4" ht="13.5" x14ac:dyDescent="0.25">
      <c r="A2343" s="306">
        <v>98625</v>
      </c>
      <c r="B2343" s="305" t="s">
        <v>2298</v>
      </c>
      <c r="C2343" s="305" t="s">
        <v>521</v>
      </c>
      <c r="D2343" s="575">
        <v>141.18</v>
      </c>
    </row>
    <row r="2344" spans="1:4" ht="13.5" x14ac:dyDescent="0.25">
      <c r="A2344" s="306">
        <v>98626</v>
      </c>
      <c r="B2344" s="305" t="s">
        <v>2299</v>
      </c>
      <c r="C2344" s="305" t="s">
        <v>521</v>
      </c>
      <c r="D2344" s="575">
        <v>138.09</v>
      </c>
    </row>
    <row r="2345" spans="1:4" ht="13.5" x14ac:dyDescent="0.25">
      <c r="A2345" s="306">
        <v>98655</v>
      </c>
      <c r="B2345" s="305" t="s">
        <v>2300</v>
      </c>
      <c r="C2345" s="305" t="s">
        <v>282</v>
      </c>
      <c r="D2345" s="575">
        <v>485.63</v>
      </c>
    </row>
    <row r="2346" spans="1:4" ht="13.5" x14ac:dyDescent="0.25">
      <c r="A2346" s="306">
        <v>98656</v>
      </c>
      <c r="B2346" s="305" t="s">
        <v>2301</v>
      </c>
      <c r="C2346" s="305" t="s">
        <v>282</v>
      </c>
      <c r="D2346" s="575">
        <v>491.7</v>
      </c>
    </row>
    <row r="2347" spans="1:4" ht="13.5" x14ac:dyDescent="0.25">
      <c r="A2347" s="306">
        <v>98657</v>
      </c>
      <c r="B2347" s="305" t="s">
        <v>2302</v>
      </c>
      <c r="C2347" s="305" t="s">
        <v>282</v>
      </c>
      <c r="D2347" s="575">
        <v>497.77</v>
      </c>
    </row>
    <row r="2348" spans="1:4" ht="13.5" x14ac:dyDescent="0.25">
      <c r="A2348" s="306">
        <v>98658</v>
      </c>
      <c r="B2348" s="305" t="s">
        <v>2303</v>
      </c>
      <c r="C2348" s="305" t="s">
        <v>282</v>
      </c>
      <c r="D2348" s="575">
        <v>503.84</v>
      </c>
    </row>
    <row r="2349" spans="1:4" ht="13.5" x14ac:dyDescent="0.25">
      <c r="A2349" s="306">
        <v>98659</v>
      </c>
      <c r="B2349" s="305" t="s">
        <v>2304</v>
      </c>
      <c r="C2349" s="305" t="s">
        <v>282</v>
      </c>
      <c r="D2349" s="575">
        <v>515.99</v>
      </c>
    </row>
    <row r="2350" spans="1:4" ht="13.5" x14ac:dyDescent="0.25">
      <c r="A2350" s="306">
        <v>98746</v>
      </c>
      <c r="B2350" s="305" t="s">
        <v>2305</v>
      </c>
      <c r="C2350" s="305" t="s">
        <v>282</v>
      </c>
      <c r="D2350" s="575">
        <v>43.46</v>
      </c>
    </row>
    <row r="2351" spans="1:4" ht="13.5" x14ac:dyDescent="0.25">
      <c r="A2351" s="306">
        <v>98749</v>
      </c>
      <c r="B2351" s="305" t="s">
        <v>2306</v>
      </c>
      <c r="C2351" s="305" t="s">
        <v>282</v>
      </c>
      <c r="D2351" s="575">
        <v>49.78</v>
      </c>
    </row>
    <row r="2352" spans="1:4" ht="13.5" x14ac:dyDescent="0.25">
      <c r="A2352" s="306">
        <v>98750</v>
      </c>
      <c r="B2352" s="305" t="s">
        <v>2307</v>
      </c>
      <c r="C2352" s="305" t="s">
        <v>282</v>
      </c>
      <c r="D2352" s="575">
        <v>57.22</v>
      </c>
    </row>
    <row r="2353" spans="1:4" ht="13.5" x14ac:dyDescent="0.25">
      <c r="A2353" s="306">
        <v>98751</v>
      </c>
      <c r="B2353" s="305" t="s">
        <v>2308</v>
      </c>
      <c r="C2353" s="305" t="s">
        <v>282</v>
      </c>
      <c r="D2353" s="575">
        <v>76.58</v>
      </c>
    </row>
    <row r="2354" spans="1:4" ht="13.5" x14ac:dyDescent="0.25">
      <c r="A2354" s="306">
        <v>98752</v>
      </c>
      <c r="B2354" s="305" t="s">
        <v>2309</v>
      </c>
      <c r="C2354" s="305" t="s">
        <v>282</v>
      </c>
      <c r="D2354" s="575">
        <v>99.57</v>
      </c>
    </row>
    <row r="2355" spans="1:4" ht="13.5" x14ac:dyDescent="0.25">
      <c r="A2355" s="306">
        <v>98753</v>
      </c>
      <c r="B2355" s="305" t="s">
        <v>2310</v>
      </c>
      <c r="C2355" s="305" t="s">
        <v>282</v>
      </c>
      <c r="D2355" s="575">
        <v>127.93</v>
      </c>
    </row>
    <row r="2356" spans="1:4" ht="13.5" x14ac:dyDescent="0.25">
      <c r="A2356" s="306">
        <v>100763</v>
      </c>
      <c r="B2356" s="305" t="s">
        <v>12472</v>
      </c>
      <c r="C2356" s="305" t="s">
        <v>506</v>
      </c>
      <c r="D2356" s="575">
        <v>9.58</v>
      </c>
    </row>
    <row r="2357" spans="1:4" ht="13.5" x14ac:dyDescent="0.25">
      <c r="A2357" s="306">
        <v>100764</v>
      </c>
      <c r="B2357" s="305" t="s">
        <v>12473</v>
      </c>
      <c r="C2357" s="305" t="s">
        <v>506</v>
      </c>
      <c r="D2357" s="575">
        <v>9.4499999999999993</v>
      </c>
    </row>
    <row r="2358" spans="1:4" ht="13.5" x14ac:dyDescent="0.25">
      <c r="A2358" s="306">
        <v>100765</v>
      </c>
      <c r="B2358" s="305" t="s">
        <v>12474</v>
      </c>
      <c r="C2358" s="305" t="s">
        <v>506</v>
      </c>
      <c r="D2358" s="575">
        <v>8.5500000000000007</v>
      </c>
    </row>
    <row r="2359" spans="1:4" ht="13.5" x14ac:dyDescent="0.25">
      <c r="A2359" s="306">
        <v>100766</v>
      </c>
      <c r="B2359" s="305" t="s">
        <v>12475</v>
      </c>
      <c r="C2359" s="305" t="s">
        <v>506</v>
      </c>
      <c r="D2359" s="575">
        <v>8.74</v>
      </c>
    </row>
    <row r="2360" spans="1:4" ht="13.5" x14ac:dyDescent="0.25">
      <c r="A2360" s="306">
        <v>100767</v>
      </c>
      <c r="B2360" s="305" t="s">
        <v>12476</v>
      </c>
      <c r="C2360" s="305" t="s">
        <v>506</v>
      </c>
      <c r="D2360" s="575">
        <v>10.029999999999999</v>
      </c>
    </row>
    <row r="2361" spans="1:4" ht="13.5" x14ac:dyDescent="0.25">
      <c r="A2361" s="306">
        <v>100768</v>
      </c>
      <c r="B2361" s="305" t="s">
        <v>12477</v>
      </c>
      <c r="C2361" s="305" t="s">
        <v>506</v>
      </c>
      <c r="D2361" s="575">
        <v>14.18</v>
      </c>
    </row>
    <row r="2362" spans="1:4" ht="13.5" x14ac:dyDescent="0.25">
      <c r="A2362" s="306">
        <v>100769</v>
      </c>
      <c r="B2362" s="305" t="s">
        <v>12478</v>
      </c>
      <c r="C2362" s="305" t="s">
        <v>506</v>
      </c>
      <c r="D2362" s="575">
        <v>14.91</v>
      </c>
    </row>
    <row r="2363" spans="1:4" ht="13.5" x14ac:dyDescent="0.25">
      <c r="A2363" s="306">
        <v>100770</v>
      </c>
      <c r="B2363" s="305" t="s">
        <v>12479</v>
      </c>
      <c r="C2363" s="305" t="s">
        <v>506</v>
      </c>
      <c r="D2363" s="575">
        <v>14.35</v>
      </c>
    </row>
    <row r="2364" spans="1:4" ht="13.5" x14ac:dyDescent="0.25">
      <c r="A2364" s="306">
        <v>100771</v>
      </c>
      <c r="B2364" s="305" t="s">
        <v>12480</v>
      </c>
      <c r="C2364" s="305" t="s">
        <v>506</v>
      </c>
      <c r="D2364" s="575">
        <v>17.309999999999999</v>
      </c>
    </row>
    <row r="2365" spans="1:4" ht="13.5" x14ac:dyDescent="0.25">
      <c r="A2365" s="306">
        <v>100772</v>
      </c>
      <c r="B2365" s="305" t="s">
        <v>12481</v>
      </c>
      <c r="C2365" s="305" t="s">
        <v>506</v>
      </c>
      <c r="D2365" s="575">
        <v>9.6999999999999993</v>
      </c>
    </row>
    <row r="2366" spans="1:4" ht="13.5" x14ac:dyDescent="0.25">
      <c r="A2366" s="306">
        <v>100773</v>
      </c>
      <c r="B2366" s="305" t="s">
        <v>12482</v>
      </c>
      <c r="C2366" s="305" t="s">
        <v>506</v>
      </c>
      <c r="D2366" s="575">
        <v>12.63</v>
      </c>
    </row>
    <row r="2367" spans="1:4" ht="13.5" x14ac:dyDescent="0.25">
      <c r="A2367" s="306">
        <v>100774</v>
      </c>
      <c r="B2367" s="305" t="s">
        <v>12483</v>
      </c>
      <c r="C2367" s="305" t="s">
        <v>506</v>
      </c>
      <c r="D2367" s="575">
        <v>6.63</v>
      </c>
    </row>
    <row r="2368" spans="1:4" ht="13.5" x14ac:dyDescent="0.25">
      <c r="A2368" s="306">
        <v>100775</v>
      </c>
      <c r="B2368" s="305" t="s">
        <v>12484</v>
      </c>
      <c r="C2368" s="305" t="s">
        <v>506</v>
      </c>
      <c r="D2368" s="575">
        <v>8.17</v>
      </c>
    </row>
    <row r="2369" spans="1:4" ht="13.5" x14ac:dyDescent="0.25">
      <c r="A2369" s="306">
        <v>100776</v>
      </c>
      <c r="B2369" s="305" t="s">
        <v>12485</v>
      </c>
      <c r="C2369" s="305" t="s">
        <v>506</v>
      </c>
      <c r="D2369" s="575">
        <v>12.68</v>
      </c>
    </row>
    <row r="2370" spans="1:4" ht="13.5" x14ac:dyDescent="0.25">
      <c r="A2370" s="306">
        <v>100777</v>
      </c>
      <c r="B2370" s="305" t="s">
        <v>12486</v>
      </c>
      <c r="C2370" s="305" t="s">
        <v>506</v>
      </c>
      <c r="D2370" s="575">
        <v>8.94</v>
      </c>
    </row>
    <row r="2371" spans="1:4" ht="13.5" x14ac:dyDescent="0.25">
      <c r="A2371" s="306">
        <v>100778</v>
      </c>
      <c r="B2371" s="305" t="s">
        <v>12487</v>
      </c>
      <c r="C2371" s="305" t="s">
        <v>506</v>
      </c>
      <c r="D2371" s="575">
        <v>5.47</v>
      </c>
    </row>
    <row r="2372" spans="1:4" ht="13.5" x14ac:dyDescent="0.25">
      <c r="A2372" s="306">
        <v>98560</v>
      </c>
      <c r="B2372" s="305" t="s">
        <v>2311</v>
      </c>
      <c r="C2372" s="305" t="s">
        <v>521</v>
      </c>
      <c r="D2372" s="575">
        <v>39.06</v>
      </c>
    </row>
    <row r="2373" spans="1:4" ht="13.5" x14ac:dyDescent="0.25">
      <c r="A2373" s="306">
        <v>98561</v>
      </c>
      <c r="B2373" s="305" t="s">
        <v>2312</v>
      </c>
      <c r="C2373" s="305" t="s">
        <v>521</v>
      </c>
      <c r="D2373" s="575">
        <v>34.229999999999997</v>
      </c>
    </row>
    <row r="2374" spans="1:4" ht="13.5" x14ac:dyDescent="0.25">
      <c r="A2374" s="306">
        <v>98562</v>
      </c>
      <c r="B2374" s="305" t="s">
        <v>2313</v>
      </c>
      <c r="C2374" s="305" t="s">
        <v>521</v>
      </c>
      <c r="D2374" s="575">
        <v>34.770000000000003</v>
      </c>
    </row>
    <row r="2375" spans="1:4" ht="13.5" x14ac:dyDescent="0.25">
      <c r="A2375" s="306">
        <v>98555</v>
      </c>
      <c r="B2375" s="305" t="s">
        <v>2314</v>
      </c>
      <c r="C2375" s="305" t="s">
        <v>521</v>
      </c>
      <c r="D2375" s="575">
        <v>21.23</v>
      </c>
    </row>
    <row r="2376" spans="1:4" ht="13.5" x14ac:dyDescent="0.25">
      <c r="A2376" s="306">
        <v>98556</v>
      </c>
      <c r="B2376" s="305" t="s">
        <v>2315</v>
      </c>
      <c r="C2376" s="305" t="s">
        <v>521</v>
      </c>
      <c r="D2376" s="575">
        <v>38.4</v>
      </c>
    </row>
    <row r="2377" spans="1:4" ht="13.5" x14ac:dyDescent="0.25">
      <c r="A2377" s="306">
        <v>98558</v>
      </c>
      <c r="B2377" s="305" t="s">
        <v>2316</v>
      </c>
      <c r="C2377" s="305" t="s">
        <v>363</v>
      </c>
      <c r="D2377" s="575">
        <v>5.83</v>
      </c>
    </row>
    <row r="2378" spans="1:4" ht="13.5" x14ac:dyDescent="0.25">
      <c r="A2378" s="306">
        <v>98559</v>
      </c>
      <c r="B2378" s="305" t="s">
        <v>2317</v>
      </c>
      <c r="C2378" s="305" t="s">
        <v>282</v>
      </c>
      <c r="D2378" s="575">
        <v>3.21</v>
      </c>
    </row>
    <row r="2379" spans="1:4" ht="13.5" x14ac:dyDescent="0.25">
      <c r="A2379" s="306">
        <v>98546</v>
      </c>
      <c r="B2379" s="305" t="s">
        <v>2318</v>
      </c>
      <c r="C2379" s="305" t="s">
        <v>521</v>
      </c>
      <c r="D2379" s="575">
        <v>73.150000000000006</v>
      </c>
    </row>
    <row r="2380" spans="1:4" ht="13.5" x14ac:dyDescent="0.25">
      <c r="A2380" s="306">
        <v>98547</v>
      </c>
      <c r="B2380" s="305" t="s">
        <v>2319</v>
      </c>
      <c r="C2380" s="305" t="s">
        <v>521</v>
      </c>
      <c r="D2380" s="575">
        <v>132.51</v>
      </c>
    </row>
    <row r="2381" spans="1:4" ht="13.5" x14ac:dyDescent="0.25">
      <c r="A2381" s="306">
        <v>98553</v>
      </c>
      <c r="B2381" s="305" t="s">
        <v>12488</v>
      </c>
      <c r="C2381" s="305" t="s">
        <v>521</v>
      </c>
      <c r="D2381" s="575">
        <v>103.88</v>
      </c>
    </row>
    <row r="2382" spans="1:4" ht="13.5" x14ac:dyDescent="0.25">
      <c r="A2382" s="306">
        <v>98554</v>
      </c>
      <c r="B2382" s="305" t="s">
        <v>12489</v>
      </c>
      <c r="C2382" s="305" t="s">
        <v>521</v>
      </c>
      <c r="D2382" s="575">
        <v>35.65</v>
      </c>
    </row>
    <row r="2383" spans="1:4" ht="13.5" x14ac:dyDescent="0.25">
      <c r="A2383" s="306">
        <v>98557</v>
      </c>
      <c r="B2383" s="305" t="s">
        <v>2320</v>
      </c>
      <c r="C2383" s="305" t="s">
        <v>521</v>
      </c>
      <c r="D2383" s="575">
        <v>27.04</v>
      </c>
    </row>
    <row r="2384" spans="1:4" ht="13.5" x14ac:dyDescent="0.25">
      <c r="A2384" s="306">
        <v>98563</v>
      </c>
      <c r="B2384" s="305" t="s">
        <v>2321</v>
      </c>
      <c r="C2384" s="305" t="s">
        <v>521</v>
      </c>
      <c r="D2384" s="575">
        <v>28.48</v>
      </c>
    </row>
    <row r="2385" spans="1:4" ht="13.5" x14ac:dyDescent="0.25">
      <c r="A2385" s="306">
        <v>98564</v>
      </c>
      <c r="B2385" s="305" t="s">
        <v>2322</v>
      </c>
      <c r="C2385" s="305" t="s">
        <v>521</v>
      </c>
      <c r="D2385" s="575">
        <v>36.159999999999997</v>
      </c>
    </row>
    <row r="2386" spans="1:4" ht="13.5" x14ac:dyDescent="0.25">
      <c r="A2386" s="306">
        <v>98565</v>
      </c>
      <c r="B2386" s="305" t="s">
        <v>2323</v>
      </c>
      <c r="C2386" s="305" t="s">
        <v>521</v>
      </c>
      <c r="D2386" s="575">
        <v>41.05</v>
      </c>
    </row>
    <row r="2387" spans="1:4" ht="13.5" x14ac:dyDescent="0.25">
      <c r="A2387" s="306">
        <v>98566</v>
      </c>
      <c r="B2387" s="305" t="s">
        <v>2324</v>
      </c>
      <c r="C2387" s="305" t="s">
        <v>521</v>
      </c>
      <c r="D2387" s="575">
        <v>48.72</v>
      </c>
    </row>
    <row r="2388" spans="1:4" ht="13.5" x14ac:dyDescent="0.25">
      <c r="A2388" s="306">
        <v>98567</v>
      </c>
      <c r="B2388" s="305" t="s">
        <v>2325</v>
      </c>
      <c r="C2388" s="305" t="s">
        <v>521</v>
      </c>
      <c r="D2388" s="575">
        <v>52.94</v>
      </c>
    </row>
    <row r="2389" spans="1:4" ht="13.5" x14ac:dyDescent="0.25">
      <c r="A2389" s="306">
        <v>98568</v>
      </c>
      <c r="B2389" s="305" t="s">
        <v>2326</v>
      </c>
      <c r="C2389" s="305" t="s">
        <v>521</v>
      </c>
      <c r="D2389" s="575">
        <v>60.59</v>
      </c>
    </row>
    <row r="2390" spans="1:4" ht="13.5" x14ac:dyDescent="0.25">
      <c r="A2390" s="306">
        <v>98569</v>
      </c>
      <c r="B2390" s="305" t="s">
        <v>2327</v>
      </c>
      <c r="C2390" s="305" t="s">
        <v>521</v>
      </c>
      <c r="D2390" s="575">
        <v>65.48</v>
      </c>
    </row>
    <row r="2391" spans="1:4" ht="13.5" x14ac:dyDescent="0.25">
      <c r="A2391" s="306">
        <v>98570</v>
      </c>
      <c r="B2391" s="305" t="s">
        <v>2328</v>
      </c>
      <c r="C2391" s="305" t="s">
        <v>521</v>
      </c>
      <c r="D2391" s="575">
        <v>73.17</v>
      </c>
    </row>
    <row r="2392" spans="1:4" ht="13.5" x14ac:dyDescent="0.25">
      <c r="A2392" s="306">
        <v>98571</v>
      </c>
      <c r="B2392" s="305" t="s">
        <v>2329</v>
      </c>
      <c r="C2392" s="305" t="s">
        <v>521</v>
      </c>
      <c r="D2392" s="575">
        <v>33.67</v>
      </c>
    </row>
    <row r="2393" spans="1:4" ht="13.5" x14ac:dyDescent="0.25">
      <c r="A2393" s="306">
        <v>98572</v>
      </c>
      <c r="B2393" s="305" t="s">
        <v>2330</v>
      </c>
      <c r="C2393" s="305" t="s">
        <v>521</v>
      </c>
      <c r="D2393" s="575">
        <v>41.56</v>
      </c>
    </row>
    <row r="2394" spans="1:4" ht="13.5" x14ac:dyDescent="0.25">
      <c r="A2394" s="306">
        <v>98573</v>
      </c>
      <c r="B2394" s="305" t="s">
        <v>2331</v>
      </c>
      <c r="C2394" s="305" t="s">
        <v>521</v>
      </c>
      <c r="D2394" s="575">
        <v>48.91</v>
      </c>
    </row>
    <row r="2395" spans="1:4" ht="13.5" x14ac:dyDescent="0.25">
      <c r="A2395" s="306">
        <v>91831</v>
      </c>
      <c r="B2395" s="305" t="s">
        <v>2332</v>
      </c>
      <c r="C2395" s="305" t="s">
        <v>282</v>
      </c>
      <c r="D2395" s="575">
        <v>6.45</v>
      </c>
    </row>
    <row r="2396" spans="1:4" ht="13.5" x14ac:dyDescent="0.25">
      <c r="A2396" s="306">
        <v>91833</v>
      </c>
      <c r="B2396" s="305" t="s">
        <v>2333</v>
      </c>
      <c r="C2396" s="305" t="s">
        <v>282</v>
      </c>
      <c r="D2396" s="575">
        <v>6.79</v>
      </c>
    </row>
    <row r="2397" spans="1:4" ht="13.5" x14ac:dyDescent="0.25">
      <c r="A2397" s="306">
        <v>91834</v>
      </c>
      <c r="B2397" s="305" t="s">
        <v>2334</v>
      </c>
      <c r="C2397" s="305" t="s">
        <v>282</v>
      </c>
      <c r="D2397" s="575">
        <v>7.14</v>
      </c>
    </row>
    <row r="2398" spans="1:4" ht="13.5" x14ac:dyDescent="0.25">
      <c r="A2398" s="306">
        <v>91835</v>
      </c>
      <c r="B2398" s="305" t="s">
        <v>2335</v>
      </c>
      <c r="C2398" s="305" t="s">
        <v>282</v>
      </c>
      <c r="D2398" s="575">
        <v>8.02</v>
      </c>
    </row>
    <row r="2399" spans="1:4" ht="13.5" x14ac:dyDescent="0.25">
      <c r="A2399" s="306">
        <v>91836</v>
      </c>
      <c r="B2399" s="305" t="s">
        <v>2336</v>
      </c>
      <c r="C2399" s="305" t="s">
        <v>282</v>
      </c>
      <c r="D2399" s="575">
        <v>9.09</v>
      </c>
    </row>
    <row r="2400" spans="1:4" ht="13.5" x14ac:dyDescent="0.25">
      <c r="A2400" s="306">
        <v>91837</v>
      </c>
      <c r="B2400" s="305" t="s">
        <v>2337</v>
      </c>
      <c r="C2400" s="305" t="s">
        <v>282</v>
      </c>
      <c r="D2400" s="575">
        <v>11.14</v>
      </c>
    </row>
    <row r="2401" spans="1:4" ht="13.5" x14ac:dyDescent="0.25">
      <c r="A2401" s="306">
        <v>91839</v>
      </c>
      <c r="B2401" s="305" t="s">
        <v>2338</v>
      </c>
      <c r="C2401" s="305" t="s">
        <v>282</v>
      </c>
      <c r="D2401" s="575">
        <v>8.5</v>
      </c>
    </row>
    <row r="2402" spans="1:4" ht="13.5" x14ac:dyDescent="0.25">
      <c r="A2402" s="306">
        <v>91840</v>
      </c>
      <c r="B2402" s="305" t="s">
        <v>2339</v>
      </c>
      <c r="C2402" s="305" t="s">
        <v>282</v>
      </c>
      <c r="D2402" s="575">
        <v>10.54</v>
      </c>
    </row>
    <row r="2403" spans="1:4" ht="13.5" x14ac:dyDescent="0.25">
      <c r="A2403" s="306">
        <v>91841</v>
      </c>
      <c r="B2403" s="305" t="s">
        <v>2340</v>
      </c>
      <c r="C2403" s="305" t="s">
        <v>282</v>
      </c>
      <c r="D2403" s="575">
        <v>10.01</v>
      </c>
    </row>
    <row r="2404" spans="1:4" ht="13.5" x14ac:dyDescent="0.25">
      <c r="A2404" s="306">
        <v>91842</v>
      </c>
      <c r="B2404" s="305" t="s">
        <v>2341</v>
      </c>
      <c r="C2404" s="305" t="s">
        <v>282</v>
      </c>
      <c r="D2404" s="575">
        <v>4.25</v>
      </c>
    </row>
    <row r="2405" spans="1:4" ht="13.5" x14ac:dyDescent="0.25">
      <c r="A2405" s="306">
        <v>91843</v>
      </c>
      <c r="B2405" s="305" t="s">
        <v>2342</v>
      </c>
      <c r="C2405" s="305" t="s">
        <v>282</v>
      </c>
      <c r="D2405" s="575">
        <v>4.59</v>
      </c>
    </row>
    <row r="2406" spans="1:4" ht="13.5" x14ac:dyDescent="0.25">
      <c r="A2406" s="306">
        <v>91844</v>
      </c>
      <c r="B2406" s="305" t="s">
        <v>2343</v>
      </c>
      <c r="C2406" s="305" t="s">
        <v>282</v>
      </c>
      <c r="D2406" s="575">
        <v>4.9400000000000004</v>
      </c>
    </row>
    <row r="2407" spans="1:4" ht="13.5" x14ac:dyDescent="0.25">
      <c r="A2407" s="306">
        <v>91845</v>
      </c>
      <c r="B2407" s="305" t="s">
        <v>2344</v>
      </c>
      <c r="C2407" s="305" t="s">
        <v>282</v>
      </c>
      <c r="D2407" s="575">
        <v>5.82</v>
      </c>
    </row>
    <row r="2408" spans="1:4" ht="13.5" x14ac:dyDescent="0.25">
      <c r="A2408" s="306">
        <v>91846</v>
      </c>
      <c r="B2408" s="305" t="s">
        <v>2345</v>
      </c>
      <c r="C2408" s="305" t="s">
        <v>282</v>
      </c>
      <c r="D2408" s="575">
        <v>6.88</v>
      </c>
    </row>
    <row r="2409" spans="1:4" ht="13.5" x14ac:dyDescent="0.25">
      <c r="A2409" s="306">
        <v>91847</v>
      </c>
      <c r="B2409" s="305" t="s">
        <v>2346</v>
      </c>
      <c r="C2409" s="305" t="s">
        <v>282</v>
      </c>
      <c r="D2409" s="575">
        <v>8.93</v>
      </c>
    </row>
    <row r="2410" spans="1:4" ht="13.5" x14ac:dyDescent="0.25">
      <c r="A2410" s="306">
        <v>91849</v>
      </c>
      <c r="B2410" s="305" t="s">
        <v>2347</v>
      </c>
      <c r="C2410" s="305" t="s">
        <v>282</v>
      </c>
      <c r="D2410" s="575">
        <v>6.29</v>
      </c>
    </row>
    <row r="2411" spans="1:4" ht="13.5" x14ac:dyDescent="0.25">
      <c r="A2411" s="306">
        <v>91850</v>
      </c>
      <c r="B2411" s="305" t="s">
        <v>2348</v>
      </c>
      <c r="C2411" s="305" t="s">
        <v>282</v>
      </c>
      <c r="D2411" s="575">
        <v>8.3800000000000008</v>
      </c>
    </row>
    <row r="2412" spans="1:4" ht="13.5" x14ac:dyDescent="0.25">
      <c r="A2412" s="306">
        <v>91851</v>
      </c>
      <c r="B2412" s="305" t="s">
        <v>2349</v>
      </c>
      <c r="C2412" s="305" t="s">
        <v>282</v>
      </c>
      <c r="D2412" s="575">
        <v>7.85</v>
      </c>
    </row>
    <row r="2413" spans="1:4" ht="13.5" x14ac:dyDescent="0.25">
      <c r="A2413" s="306">
        <v>91852</v>
      </c>
      <c r="B2413" s="305" t="s">
        <v>2350</v>
      </c>
      <c r="C2413" s="305" t="s">
        <v>282</v>
      </c>
      <c r="D2413" s="575">
        <v>6.23</v>
      </c>
    </row>
    <row r="2414" spans="1:4" ht="13.5" x14ac:dyDescent="0.25">
      <c r="A2414" s="306">
        <v>91853</v>
      </c>
      <c r="B2414" s="305" t="s">
        <v>2351</v>
      </c>
      <c r="C2414" s="305" t="s">
        <v>282</v>
      </c>
      <c r="D2414" s="575">
        <v>6.54</v>
      </c>
    </row>
    <row r="2415" spans="1:4" ht="13.5" x14ac:dyDescent="0.25">
      <c r="A2415" s="306">
        <v>91854</v>
      </c>
      <c r="B2415" s="305" t="s">
        <v>2352</v>
      </c>
      <c r="C2415" s="305" t="s">
        <v>282</v>
      </c>
      <c r="D2415" s="575">
        <v>6.92</v>
      </c>
    </row>
    <row r="2416" spans="1:4" ht="13.5" x14ac:dyDescent="0.25">
      <c r="A2416" s="306">
        <v>91855</v>
      </c>
      <c r="B2416" s="305" t="s">
        <v>2353</v>
      </c>
      <c r="C2416" s="305" t="s">
        <v>282</v>
      </c>
      <c r="D2416" s="575">
        <v>7.73</v>
      </c>
    </row>
    <row r="2417" spans="1:4" ht="13.5" x14ac:dyDescent="0.25">
      <c r="A2417" s="306">
        <v>91856</v>
      </c>
      <c r="B2417" s="305" t="s">
        <v>2354</v>
      </c>
      <c r="C2417" s="305" t="s">
        <v>282</v>
      </c>
      <c r="D2417" s="575">
        <v>8.77</v>
      </c>
    </row>
    <row r="2418" spans="1:4" ht="13.5" x14ac:dyDescent="0.25">
      <c r="A2418" s="306">
        <v>91857</v>
      </c>
      <c r="B2418" s="305" t="s">
        <v>2355</v>
      </c>
      <c r="C2418" s="305" t="s">
        <v>282</v>
      </c>
      <c r="D2418" s="575">
        <v>10.67</v>
      </c>
    </row>
    <row r="2419" spans="1:4" ht="13.5" x14ac:dyDescent="0.25">
      <c r="A2419" s="306">
        <v>91859</v>
      </c>
      <c r="B2419" s="305" t="s">
        <v>2356</v>
      </c>
      <c r="C2419" s="305" t="s">
        <v>282</v>
      </c>
      <c r="D2419" s="575">
        <v>8.23</v>
      </c>
    </row>
    <row r="2420" spans="1:4" ht="13.5" x14ac:dyDescent="0.25">
      <c r="A2420" s="306">
        <v>91860</v>
      </c>
      <c r="B2420" s="305" t="s">
        <v>2357</v>
      </c>
      <c r="C2420" s="305" t="s">
        <v>282</v>
      </c>
      <c r="D2420" s="575">
        <v>10.220000000000001</v>
      </c>
    </row>
    <row r="2421" spans="1:4" ht="13.5" x14ac:dyDescent="0.25">
      <c r="A2421" s="306">
        <v>91861</v>
      </c>
      <c r="B2421" s="305" t="s">
        <v>2358</v>
      </c>
      <c r="C2421" s="305" t="s">
        <v>282</v>
      </c>
      <c r="D2421" s="575">
        <v>9.73</v>
      </c>
    </row>
    <row r="2422" spans="1:4" ht="13.5" x14ac:dyDescent="0.25">
      <c r="A2422" s="306">
        <v>91862</v>
      </c>
      <c r="B2422" s="305" t="s">
        <v>2359</v>
      </c>
      <c r="C2422" s="305" t="s">
        <v>282</v>
      </c>
      <c r="D2422" s="575">
        <v>7.65</v>
      </c>
    </row>
    <row r="2423" spans="1:4" ht="13.5" x14ac:dyDescent="0.25">
      <c r="A2423" s="306">
        <v>91863</v>
      </c>
      <c r="B2423" s="305" t="s">
        <v>2360</v>
      </c>
      <c r="C2423" s="305" t="s">
        <v>282</v>
      </c>
      <c r="D2423" s="575">
        <v>8.86</v>
      </c>
    </row>
    <row r="2424" spans="1:4" ht="13.5" x14ac:dyDescent="0.25">
      <c r="A2424" s="306">
        <v>91864</v>
      </c>
      <c r="B2424" s="305" t="s">
        <v>2361</v>
      </c>
      <c r="C2424" s="305" t="s">
        <v>282</v>
      </c>
      <c r="D2424" s="575">
        <v>11.43</v>
      </c>
    </row>
    <row r="2425" spans="1:4" ht="13.5" x14ac:dyDescent="0.25">
      <c r="A2425" s="306">
        <v>91865</v>
      </c>
      <c r="B2425" s="305" t="s">
        <v>2362</v>
      </c>
      <c r="C2425" s="305" t="s">
        <v>282</v>
      </c>
      <c r="D2425" s="575">
        <v>14.01</v>
      </c>
    </row>
    <row r="2426" spans="1:4" ht="13.5" x14ac:dyDescent="0.25">
      <c r="A2426" s="306">
        <v>91866</v>
      </c>
      <c r="B2426" s="305" t="s">
        <v>2363</v>
      </c>
      <c r="C2426" s="305" t="s">
        <v>282</v>
      </c>
      <c r="D2426" s="575">
        <v>5.56</v>
      </c>
    </row>
    <row r="2427" spans="1:4" ht="13.5" x14ac:dyDescent="0.25">
      <c r="A2427" s="306">
        <v>91867</v>
      </c>
      <c r="B2427" s="305" t="s">
        <v>2364</v>
      </c>
      <c r="C2427" s="305" t="s">
        <v>282</v>
      </c>
      <c r="D2427" s="575">
        <v>6.77</v>
      </c>
    </row>
    <row r="2428" spans="1:4" ht="13.5" x14ac:dyDescent="0.25">
      <c r="A2428" s="306">
        <v>91868</v>
      </c>
      <c r="B2428" s="305" t="s">
        <v>2365</v>
      </c>
      <c r="C2428" s="305" t="s">
        <v>282</v>
      </c>
      <c r="D2428" s="575">
        <v>9.33</v>
      </c>
    </row>
    <row r="2429" spans="1:4" ht="13.5" x14ac:dyDescent="0.25">
      <c r="A2429" s="306">
        <v>91869</v>
      </c>
      <c r="B2429" s="305" t="s">
        <v>2366</v>
      </c>
      <c r="C2429" s="305" t="s">
        <v>282</v>
      </c>
      <c r="D2429" s="575">
        <v>11.93</v>
      </c>
    </row>
    <row r="2430" spans="1:4" ht="13.5" x14ac:dyDescent="0.25">
      <c r="A2430" s="306">
        <v>91870</v>
      </c>
      <c r="B2430" s="305" t="s">
        <v>2367</v>
      </c>
      <c r="C2430" s="305" t="s">
        <v>282</v>
      </c>
      <c r="D2430" s="575">
        <v>8.0399999999999991</v>
      </c>
    </row>
    <row r="2431" spans="1:4" ht="13.5" x14ac:dyDescent="0.25">
      <c r="A2431" s="306">
        <v>91871</v>
      </c>
      <c r="B2431" s="305" t="s">
        <v>2368</v>
      </c>
      <c r="C2431" s="305" t="s">
        <v>282</v>
      </c>
      <c r="D2431" s="575">
        <v>9.2899999999999991</v>
      </c>
    </row>
    <row r="2432" spans="1:4" ht="13.5" x14ac:dyDescent="0.25">
      <c r="A2432" s="306">
        <v>91872</v>
      </c>
      <c r="B2432" s="305" t="s">
        <v>2369</v>
      </c>
      <c r="C2432" s="305" t="s">
        <v>282</v>
      </c>
      <c r="D2432" s="575">
        <v>11.85</v>
      </c>
    </row>
    <row r="2433" spans="1:4" ht="13.5" x14ac:dyDescent="0.25">
      <c r="A2433" s="306">
        <v>91873</v>
      </c>
      <c r="B2433" s="305" t="s">
        <v>2370</v>
      </c>
      <c r="C2433" s="305" t="s">
        <v>282</v>
      </c>
      <c r="D2433" s="575">
        <v>14.4</v>
      </c>
    </row>
    <row r="2434" spans="1:4" ht="13.5" x14ac:dyDescent="0.25">
      <c r="A2434" s="306">
        <v>93008</v>
      </c>
      <c r="B2434" s="305" t="s">
        <v>2371</v>
      </c>
      <c r="C2434" s="305" t="s">
        <v>282</v>
      </c>
      <c r="D2434" s="575">
        <v>11.5</v>
      </c>
    </row>
    <row r="2435" spans="1:4" ht="13.5" x14ac:dyDescent="0.25">
      <c r="A2435" s="306">
        <v>93009</v>
      </c>
      <c r="B2435" s="305" t="s">
        <v>2372</v>
      </c>
      <c r="C2435" s="305" t="s">
        <v>282</v>
      </c>
      <c r="D2435" s="575">
        <v>16.77</v>
      </c>
    </row>
    <row r="2436" spans="1:4" ht="13.5" x14ac:dyDescent="0.25">
      <c r="A2436" s="306">
        <v>93010</v>
      </c>
      <c r="B2436" s="305" t="s">
        <v>2373</v>
      </c>
      <c r="C2436" s="305" t="s">
        <v>282</v>
      </c>
      <c r="D2436" s="575">
        <v>23.2</v>
      </c>
    </row>
    <row r="2437" spans="1:4" ht="13.5" x14ac:dyDescent="0.25">
      <c r="A2437" s="306">
        <v>93011</v>
      </c>
      <c r="B2437" s="305" t="s">
        <v>2374</v>
      </c>
      <c r="C2437" s="305" t="s">
        <v>282</v>
      </c>
      <c r="D2437" s="575">
        <v>28.28</v>
      </c>
    </row>
    <row r="2438" spans="1:4" ht="13.5" x14ac:dyDescent="0.25">
      <c r="A2438" s="306">
        <v>93012</v>
      </c>
      <c r="B2438" s="305" t="s">
        <v>2375</v>
      </c>
      <c r="C2438" s="305" t="s">
        <v>282</v>
      </c>
      <c r="D2438" s="575">
        <v>42.47</v>
      </c>
    </row>
    <row r="2439" spans="1:4" ht="13.5" x14ac:dyDescent="0.25">
      <c r="A2439" s="306">
        <v>95726</v>
      </c>
      <c r="B2439" s="305" t="s">
        <v>2376</v>
      </c>
      <c r="C2439" s="305" t="s">
        <v>282</v>
      </c>
      <c r="D2439" s="575">
        <v>5.43</v>
      </c>
    </row>
    <row r="2440" spans="1:4" ht="13.5" x14ac:dyDescent="0.25">
      <c r="A2440" s="306">
        <v>95727</v>
      </c>
      <c r="B2440" s="305" t="s">
        <v>2377</v>
      </c>
      <c r="C2440" s="305" t="s">
        <v>282</v>
      </c>
      <c r="D2440" s="575">
        <v>6.09</v>
      </c>
    </row>
    <row r="2441" spans="1:4" ht="13.5" x14ac:dyDescent="0.25">
      <c r="A2441" s="306">
        <v>95728</v>
      </c>
      <c r="B2441" s="305" t="s">
        <v>2378</v>
      </c>
      <c r="C2441" s="305" t="s">
        <v>282</v>
      </c>
      <c r="D2441" s="575">
        <v>7.48</v>
      </c>
    </row>
    <row r="2442" spans="1:4" ht="13.5" x14ac:dyDescent="0.25">
      <c r="A2442" s="306">
        <v>95729</v>
      </c>
      <c r="B2442" s="305" t="s">
        <v>2379</v>
      </c>
      <c r="C2442" s="305" t="s">
        <v>282</v>
      </c>
      <c r="D2442" s="575">
        <v>7.01</v>
      </c>
    </row>
    <row r="2443" spans="1:4" ht="13.5" x14ac:dyDescent="0.25">
      <c r="A2443" s="306">
        <v>95730</v>
      </c>
      <c r="B2443" s="305" t="s">
        <v>2380</v>
      </c>
      <c r="C2443" s="305" t="s">
        <v>282</v>
      </c>
      <c r="D2443" s="575">
        <v>7.67</v>
      </c>
    </row>
    <row r="2444" spans="1:4" ht="13.5" x14ac:dyDescent="0.25">
      <c r="A2444" s="306">
        <v>95731</v>
      </c>
      <c r="B2444" s="305" t="s">
        <v>2381</v>
      </c>
      <c r="C2444" s="305" t="s">
        <v>282</v>
      </c>
      <c r="D2444" s="575">
        <v>9.07</v>
      </c>
    </row>
    <row r="2445" spans="1:4" ht="13.5" x14ac:dyDescent="0.25">
      <c r="A2445" s="306">
        <v>95732</v>
      </c>
      <c r="B2445" s="305" t="s">
        <v>2382</v>
      </c>
      <c r="C2445" s="305" t="s">
        <v>363</v>
      </c>
      <c r="D2445" s="575">
        <v>3.28</v>
      </c>
    </row>
    <row r="2446" spans="1:4" ht="13.5" x14ac:dyDescent="0.25">
      <c r="A2446" s="306">
        <v>95745</v>
      </c>
      <c r="B2446" s="305" t="s">
        <v>2383</v>
      </c>
      <c r="C2446" s="305" t="s">
        <v>282</v>
      </c>
      <c r="D2446" s="575">
        <v>17.5</v>
      </c>
    </row>
    <row r="2447" spans="1:4" ht="13.5" x14ac:dyDescent="0.25">
      <c r="A2447" s="306">
        <v>95746</v>
      </c>
      <c r="B2447" s="305" t="s">
        <v>2384</v>
      </c>
      <c r="C2447" s="305" t="s">
        <v>282</v>
      </c>
      <c r="D2447" s="575">
        <v>21.63</v>
      </c>
    </row>
    <row r="2448" spans="1:4" ht="13.5" x14ac:dyDescent="0.25">
      <c r="A2448" s="306">
        <v>95747</v>
      </c>
      <c r="B2448" s="305" t="s">
        <v>2385</v>
      </c>
      <c r="C2448" s="305" t="s">
        <v>282</v>
      </c>
      <c r="D2448" s="575">
        <v>35.4</v>
      </c>
    </row>
    <row r="2449" spans="1:4" ht="13.5" x14ac:dyDescent="0.25">
      <c r="A2449" s="306">
        <v>95748</v>
      </c>
      <c r="B2449" s="305" t="s">
        <v>2386</v>
      </c>
      <c r="C2449" s="305" t="s">
        <v>282</v>
      </c>
      <c r="D2449" s="575">
        <v>38.200000000000003</v>
      </c>
    </row>
    <row r="2450" spans="1:4" ht="13.5" x14ac:dyDescent="0.25">
      <c r="A2450" s="306">
        <v>95749</v>
      </c>
      <c r="B2450" s="305" t="s">
        <v>2387</v>
      </c>
      <c r="C2450" s="305" t="s">
        <v>282</v>
      </c>
      <c r="D2450" s="575">
        <v>22.66</v>
      </c>
    </row>
    <row r="2451" spans="1:4" ht="13.5" x14ac:dyDescent="0.25">
      <c r="A2451" s="306">
        <v>95750</v>
      </c>
      <c r="B2451" s="305" t="s">
        <v>2388</v>
      </c>
      <c r="C2451" s="305" t="s">
        <v>282</v>
      </c>
      <c r="D2451" s="575">
        <v>26.66</v>
      </c>
    </row>
    <row r="2452" spans="1:4" ht="13.5" x14ac:dyDescent="0.25">
      <c r="A2452" s="306">
        <v>95751</v>
      </c>
      <c r="B2452" s="305" t="s">
        <v>2389</v>
      </c>
      <c r="C2452" s="305" t="s">
        <v>282</v>
      </c>
      <c r="D2452" s="575">
        <v>40.29</v>
      </c>
    </row>
    <row r="2453" spans="1:4" ht="13.5" x14ac:dyDescent="0.25">
      <c r="A2453" s="306">
        <v>95752</v>
      </c>
      <c r="B2453" s="305" t="s">
        <v>2390</v>
      </c>
      <c r="C2453" s="305" t="s">
        <v>282</v>
      </c>
      <c r="D2453" s="575">
        <v>42.9</v>
      </c>
    </row>
    <row r="2454" spans="1:4" ht="13.5" x14ac:dyDescent="0.25">
      <c r="A2454" s="306">
        <v>97667</v>
      </c>
      <c r="B2454" s="305" t="s">
        <v>2391</v>
      </c>
      <c r="C2454" s="305" t="s">
        <v>282</v>
      </c>
      <c r="D2454" s="575">
        <v>6.29</v>
      </c>
    </row>
    <row r="2455" spans="1:4" ht="13.5" x14ac:dyDescent="0.25">
      <c r="A2455" s="306">
        <v>97668</v>
      </c>
      <c r="B2455" s="305" t="s">
        <v>2392</v>
      </c>
      <c r="C2455" s="305" t="s">
        <v>282</v>
      </c>
      <c r="D2455" s="575">
        <v>9.64</v>
      </c>
    </row>
    <row r="2456" spans="1:4" ht="13.5" x14ac:dyDescent="0.25">
      <c r="A2456" s="306">
        <v>97669</v>
      </c>
      <c r="B2456" s="305" t="s">
        <v>2393</v>
      </c>
      <c r="C2456" s="305" t="s">
        <v>282</v>
      </c>
      <c r="D2456" s="575">
        <v>15.34</v>
      </c>
    </row>
    <row r="2457" spans="1:4" ht="13.5" x14ac:dyDescent="0.25">
      <c r="A2457" s="306">
        <v>97670</v>
      </c>
      <c r="B2457" s="305" t="s">
        <v>2394</v>
      </c>
      <c r="C2457" s="305" t="s">
        <v>282</v>
      </c>
      <c r="D2457" s="575">
        <v>19.75</v>
      </c>
    </row>
    <row r="2458" spans="1:4" ht="13.5" x14ac:dyDescent="0.25">
      <c r="A2458" s="306">
        <v>91874</v>
      </c>
      <c r="B2458" s="305" t="s">
        <v>2395</v>
      </c>
      <c r="C2458" s="305" t="s">
        <v>363</v>
      </c>
      <c r="D2458" s="575">
        <v>3.61</v>
      </c>
    </row>
    <row r="2459" spans="1:4" ht="13.5" x14ac:dyDescent="0.25">
      <c r="A2459" s="306">
        <v>91875</v>
      </c>
      <c r="B2459" s="305" t="s">
        <v>2396</v>
      </c>
      <c r="C2459" s="305" t="s">
        <v>363</v>
      </c>
      <c r="D2459" s="575">
        <v>4.7699999999999996</v>
      </c>
    </row>
    <row r="2460" spans="1:4" ht="13.5" x14ac:dyDescent="0.25">
      <c r="A2460" s="306">
        <v>91876</v>
      </c>
      <c r="B2460" s="305" t="s">
        <v>2397</v>
      </c>
      <c r="C2460" s="305" t="s">
        <v>363</v>
      </c>
      <c r="D2460" s="575">
        <v>6.28</v>
      </c>
    </row>
    <row r="2461" spans="1:4" ht="13.5" x14ac:dyDescent="0.25">
      <c r="A2461" s="306">
        <v>91877</v>
      </c>
      <c r="B2461" s="305" t="s">
        <v>2398</v>
      </c>
      <c r="C2461" s="305" t="s">
        <v>363</v>
      </c>
      <c r="D2461" s="575">
        <v>8.2799999999999994</v>
      </c>
    </row>
    <row r="2462" spans="1:4" ht="13.5" x14ac:dyDescent="0.25">
      <c r="A2462" s="306">
        <v>91878</v>
      </c>
      <c r="B2462" s="305" t="s">
        <v>2399</v>
      </c>
      <c r="C2462" s="305" t="s">
        <v>363</v>
      </c>
      <c r="D2462" s="575">
        <v>4.71</v>
      </c>
    </row>
    <row r="2463" spans="1:4" ht="13.5" x14ac:dyDescent="0.25">
      <c r="A2463" s="306">
        <v>91879</v>
      </c>
      <c r="B2463" s="305" t="s">
        <v>2400</v>
      </c>
      <c r="C2463" s="305" t="s">
        <v>363</v>
      </c>
      <c r="D2463" s="575">
        <v>5.82</v>
      </c>
    </row>
    <row r="2464" spans="1:4" ht="13.5" x14ac:dyDescent="0.25">
      <c r="A2464" s="306">
        <v>91880</v>
      </c>
      <c r="B2464" s="305" t="s">
        <v>2401</v>
      </c>
      <c r="C2464" s="305" t="s">
        <v>363</v>
      </c>
      <c r="D2464" s="575">
        <v>7.37</v>
      </c>
    </row>
    <row r="2465" spans="1:4" ht="13.5" x14ac:dyDescent="0.25">
      <c r="A2465" s="306">
        <v>91881</v>
      </c>
      <c r="B2465" s="305" t="s">
        <v>2402</v>
      </c>
      <c r="C2465" s="305" t="s">
        <v>363</v>
      </c>
      <c r="D2465" s="575">
        <v>9.36</v>
      </c>
    </row>
    <row r="2466" spans="1:4" ht="13.5" x14ac:dyDescent="0.25">
      <c r="A2466" s="306">
        <v>91882</v>
      </c>
      <c r="B2466" s="305" t="s">
        <v>2403</v>
      </c>
      <c r="C2466" s="305" t="s">
        <v>363</v>
      </c>
      <c r="D2466" s="575">
        <v>5.86</v>
      </c>
    </row>
    <row r="2467" spans="1:4" ht="13.5" x14ac:dyDescent="0.25">
      <c r="A2467" s="306">
        <v>91884</v>
      </c>
      <c r="B2467" s="305" t="s">
        <v>2404</v>
      </c>
      <c r="C2467" s="305" t="s">
        <v>363</v>
      </c>
      <c r="D2467" s="575">
        <v>6.72</v>
      </c>
    </row>
    <row r="2468" spans="1:4" ht="13.5" x14ac:dyDescent="0.25">
      <c r="A2468" s="306">
        <v>91885</v>
      </c>
      <c r="B2468" s="305" t="s">
        <v>2405</v>
      </c>
      <c r="C2468" s="305" t="s">
        <v>363</v>
      </c>
      <c r="D2468" s="575">
        <v>7.88</v>
      </c>
    </row>
    <row r="2469" spans="1:4" ht="13.5" x14ac:dyDescent="0.25">
      <c r="A2469" s="306">
        <v>91886</v>
      </c>
      <c r="B2469" s="305" t="s">
        <v>2406</v>
      </c>
      <c r="C2469" s="305" t="s">
        <v>363</v>
      </c>
      <c r="D2469" s="575">
        <v>9.4700000000000006</v>
      </c>
    </row>
    <row r="2470" spans="1:4" ht="13.5" x14ac:dyDescent="0.25">
      <c r="A2470" s="306">
        <v>91887</v>
      </c>
      <c r="B2470" s="305" t="s">
        <v>2407</v>
      </c>
      <c r="C2470" s="305" t="s">
        <v>363</v>
      </c>
      <c r="D2470" s="575">
        <v>6.46</v>
      </c>
    </row>
    <row r="2471" spans="1:4" ht="13.5" x14ac:dyDescent="0.25">
      <c r="A2471" s="306">
        <v>91889</v>
      </c>
      <c r="B2471" s="305" t="s">
        <v>2408</v>
      </c>
      <c r="C2471" s="305" t="s">
        <v>363</v>
      </c>
      <c r="D2471" s="575">
        <v>6.26</v>
      </c>
    </row>
    <row r="2472" spans="1:4" ht="13.5" x14ac:dyDescent="0.25">
      <c r="A2472" s="306">
        <v>91890</v>
      </c>
      <c r="B2472" s="305" t="s">
        <v>2409</v>
      </c>
      <c r="C2472" s="305" t="s">
        <v>363</v>
      </c>
      <c r="D2472" s="575">
        <v>7.79</v>
      </c>
    </row>
    <row r="2473" spans="1:4" ht="13.5" x14ac:dyDescent="0.25">
      <c r="A2473" s="306">
        <v>91892</v>
      </c>
      <c r="B2473" s="305" t="s">
        <v>2410</v>
      </c>
      <c r="C2473" s="305" t="s">
        <v>363</v>
      </c>
      <c r="D2473" s="575">
        <v>9.1</v>
      </c>
    </row>
    <row r="2474" spans="1:4" ht="13.5" x14ac:dyDescent="0.25">
      <c r="A2474" s="306">
        <v>91893</v>
      </c>
      <c r="B2474" s="305" t="s">
        <v>2411</v>
      </c>
      <c r="C2474" s="305" t="s">
        <v>363</v>
      </c>
      <c r="D2474" s="575">
        <v>10.55</v>
      </c>
    </row>
    <row r="2475" spans="1:4" ht="13.5" x14ac:dyDescent="0.25">
      <c r="A2475" s="306">
        <v>91895</v>
      </c>
      <c r="B2475" s="305" t="s">
        <v>2412</v>
      </c>
      <c r="C2475" s="305" t="s">
        <v>363</v>
      </c>
      <c r="D2475" s="575">
        <v>11.88</v>
      </c>
    </row>
    <row r="2476" spans="1:4" ht="13.5" x14ac:dyDescent="0.25">
      <c r="A2476" s="306">
        <v>91896</v>
      </c>
      <c r="B2476" s="305" t="s">
        <v>2413</v>
      </c>
      <c r="C2476" s="305" t="s">
        <v>363</v>
      </c>
      <c r="D2476" s="575">
        <v>12.96</v>
      </c>
    </row>
    <row r="2477" spans="1:4" ht="13.5" x14ac:dyDescent="0.25">
      <c r="A2477" s="306">
        <v>91898</v>
      </c>
      <c r="B2477" s="305" t="s">
        <v>2414</v>
      </c>
      <c r="C2477" s="305" t="s">
        <v>363</v>
      </c>
      <c r="D2477" s="575">
        <v>14.38</v>
      </c>
    </row>
    <row r="2478" spans="1:4" ht="13.5" x14ac:dyDescent="0.25">
      <c r="A2478" s="306">
        <v>91899</v>
      </c>
      <c r="B2478" s="305" t="s">
        <v>2415</v>
      </c>
      <c r="C2478" s="305" t="s">
        <v>363</v>
      </c>
      <c r="D2478" s="575">
        <v>8.0299999999999994</v>
      </c>
    </row>
    <row r="2479" spans="1:4" ht="13.5" x14ac:dyDescent="0.25">
      <c r="A2479" s="306">
        <v>91901</v>
      </c>
      <c r="B2479" s="305" t="s">
        <v>2416</v>
      </c>
      <c r="C2479" s="305" t="s">
        <v>363</v>
      </c>
      <c r="D2479" s="575">
        <v>7.83</v>
      </c>
    </row>
    <row r="2480" spans="1:4" ht="13.5" x14ac:dyDescent="0.25">
      <c r="A2480" s="306">
        <v>91902</v>
      </c>
      <c r="B2480" s="305" t="s">
        <v>2417</v>
      </c>
      <c r="C2480" s="305" t="s">
        <v>363</v>
      </c>
      <c r="D2480" s="575">
        <v>9.35</v>
      </c>
    </row>
    <row r="2481" spans="1:4" ht="13.5" x14ac:dyDescent="0.25">
      <c r="A2481" s="306">
        <v>91904</v>
      </c>
      <c r="B2481" s="305" t="s">
        <v>2418</v>
      </c>
      <c r="C2481" s="305" t="s">
        <v>363</v>
      </c>
      <c r="D2481" s="575">
        <v>10.66</v>
      </c>
    </row>
    <row r="2482" spans="1:4" ht="13.5" x14ac:dyDescent="0.25">
      <c r="A2482" s="306">
        <v>91905</v>
      </c>
      <c r="B2482" s="305" t="s">
        <v>2419</v>
      </c>
      <c r="C2482" s="305" t="s">
        <v>363</v>
      </c>
      <c r="D2482" s="575">
        <v>12.12</v>
      </c>
    </row>
    <row r="2483" spans="1:4" ht="13.5" x14ac:dyDescent="0.25">
      <c r="A2483" s="306">
        <v>91907</v>
      </c>
      <c r="B2483" s="305" t="s">
        <v>2420</v>
      </c>
      <c r="C2483" s="305" t="s">
        <v>363</v>
      </c>
      <c r="D2483" s="575">
        <v>13.45</v>
      </c>
    </row>
    <row r="2484" spans="1:4" ht="13.5" x14ac:dyDescent="0.25">
      <c r="A2484" s="306">
        <v>91908</v>
      </c>
      <c r="B2484" s="305" t="s">
        <v>2421</v>
      </c>
      <c r="C2484" s="305" t="s">
        <v>363</v>
      </c>
      <c r="D2484" s="575">
        <v>14.56</v>
      </c>
    </row>
    <row r="2485" spans="1:4" ht="13.5" x14ac:dyDescent="0.25">
      <c r="A2485" s="306">
        <v>91910</v>
      </c>
      <c r="B2485" s="305" t="s">
        <v>2422</v>
      </c>
      <c r="C2485" s="305" t="s">
        <v>363</v>
      </c>
      <c r="D2485" s="575">
        <v>15.98</v>
      </c>
    </row>
    <row r="2486" spans="1:4" ht="13.5" x14ac:dyDescent="0.25">
      <c r="A2486" s="306">
        <v>91911</v>
      </c>
      <c r="B2486" s="305" t="s">
        <v>2423</v>
      </c>
      <c r="C2486" s="305" t="s">
        <v>363</v>
      </c>
      <c r="D2486" s="575">
        <v>9.82</v>
      </c>
    </row>
    <row r="2487" spans="1:4" ht="13.5" x14ac:dyDescent="0.25">
      <c r="A2487" s="306">
        <v>91913</v>
      </c>
      <c r="B2487" s="305" t="s">
        <v>2424</v>
      </c>
      <c r="C2487" s="305" t="s">
        <v>363</v>
      </c>
      <c r="D2487" s="575">
        <v>9.6199999999999992</v>
      </c>
    </row>
    <row r="2488" spans="1:4" ht="13.5" x14ac:dyDescent="0.25">
      <c r="A2488" s="306">
        <v>91914</v>
      </c>
      <c r="B2488" s="305" t="s">
        <v>2425</v>
      </c>
      <c r="C2488" s="305" t="s">
        <v>363</v>
      </c>
      <c r="D2488" s="575">
        <v>10.73</v>
      </c>
    </row>
    <row r="2489" spans="1:4" ht="13.5" x14ac:dyDescent="0.25">
      <c r="A2489" s="306">
        <v>91916</v>
      </c>
      <c r="B2489" s="305" t="s">
        <v>2426</v>
      </c>
      <c r="C2489" s="305" t="s">
        <v>363</v>
      </c>
      <c r="D2489" s="575">
        <v>12.04</v>
      </c>
    </row>
    <row r="2490" spans="1:4" ht="13.5" x14ac:dyDescent="0.25">
      <c r="A2490" s="306">
        <v>91917</v>
      </c>
      <c r="B2490" s="305" t="s">
        <v>2427</v>
      </c>
      <c r="C2490" s="305" t="s">
        <v>363</v>
      </c>
      <c r="D2490" s="575">
        <v>12.94</v>
      </c>
    </row>
    <row r="2491" spans="1:4" ht="13.5" x14ac:dyDescent="0.25">
      <c r="A2491" s="306">
        <v>91919</v>
      </c>
      <c r="B2491" s="305" t="s">
        <v>2428</v>
      </c>
      <c r="C2491" s="305" t="s">
        <v>363</v>
      </c>
      <c r="D2491" s="575">
        <v>14.27</v>
      </c>
    </row>
    <row r="2492" spans="1:4" ht="13.5" x14ac:dyDescent="0.25">
      <c r="A2492" s="306">
        <v>91920</v>
      </c>
      <c r="B2492" s="305" t="s">
        <v>2429</v>
      </c>
      <c r="C2492" s="305" t="s">
        <v>363</v>
      </c>
      <c r="D2492" s="575">
        <v>14.75</v>
      </c>
    </row>
    <row r="2493" spans="1:4" ht="13.5" x14ac:dyDescent="0.25">
      <c r="A2493" s="306">
        <v>91922</v>
      </c>
      <c r="B2493" s="305" t="s">
        <v>2430</v>
      </c>
      <c r="C2493" s="305" t="s">
        <v>363</v>
      </c>
      <c r="D2493" s="575">
        <v>16.170000000000002</v>
      </c>
    </row>
    <row r="2494" spans="1:4" ht="13.5" x14ac:dyDescent="0.25">
      <c r="A2494" s="306">
        <v>93013</v>
      </c>
      <c r="B2494" s="305" t="s">
        <v>2431</v>
      </c>
      <c r="C2494" s="305" t="s">
        <v>363</v>
      </c>
      <c r="D2494" s="575">
        <v>10.71</v>
      </c>
    </row>
    <row r="2495" spans="1:4" ht="13.5" x14ac:dyDescent="0.25">
      <c r="A2495" s="306">
        <v>93014</v>
      </c>
      <c r="B2495" s="305" t="s">
        <v>2432</v>
      </c>
      <c r="C2495" s="305" t="s">
        <v>363</v>
      </c>
      <c r="D2495" s="575">
        <v>13.03</v>
      </c>
    </row>
    <row r="2496" spans="1:4" ht="13.5" x14ac:dyDescent="0.25">
      <c r="A2496" s="306">
        <v>93015</v>
      </c>
      <c r="B2496" s="305" t="s">
        <v>2433</v>
      </c>
      <c r="C2496" s="305" t="s">
        <v>363</v>
      </c>
      <c r="D2496" s="575">
        <v>19.07</v>
      </c>
    </row>
    <row r="2497" spans="1:4" ht="13.5" x14ac:dyDescent="0.25">
      <c r="A2497" s="306">
        <v>93016</v>
      </c>
      <c r="B2497" s="305" t="s">
        <v>2434</v>
      </c>
      <c r="C2497" s="305" t="s">
        <v>363</v>
      </c>
      <c r="D2497" s="575">
        <v>22.93</v>
      </c>
    </row>
    <row r="2498" spans="1:4" ht="13.5" x14ac:dyDescent="0.25">
      <c r="A2498" s="306">
        <v>93017</v>
      </c>
      <c r="B2498" s="305" t="s">
        <v>2435</v>
      </c>
      <c r="C2498" s="305" t="s">
        <v>363</v>
      </c>
      <c r="D2498" s="575">
        <v>33.79</v>
      </c>
    </row>
    <row r="2499" spans="1:4" ht="13.5" x14ac:dyDescent="0.25">
      <c r="A2499" s="306">
        <v>93018</v>
      </c>
      <c r="B2499" s="305" t="s">
        <v>2436</v>
      </c>
      <c r="C2499" s="305" t="s">
        <v>363</v>
      </c>
      <c r="D2499" s="575">
        <v>16.309999999999999</v>
      </c>
    </row>
    <row r="2500" spans="1:4" ht="13.5" x14ac:dyDescent="0.25">
      <c r="A2500" s="306">
        <v>93020</v>
      </c>
      <c r="B2500" s="305" t="s">
        <v>2437</v>
      </c>
      <c r="C2500" s="305" t="s">
        <v>363</v>
      </c>
      <c r="D2500" s="575">
        <v>20.56</v>
      </c>
    </row>
    <row r="2501" spans="1:4" ht="13.5" x14ac:dyDescent="0.25">
      <c r="A2501" s="306">
        <v>93022</v>
      </c>
      <c r="B2501" s="305" t="s">
        <v>2438</v>
      </c>
      <c r="C2501" s="305" t="s">
        <v>363</v>
      </c>
      <c r="D2501" s="575">
        <v>32.93</v>
      </c>
    </row>
    <row r="2502" spans="1:4" ht="13.5" x14ac:dyDescent="0.25">
      <c r="A2502" s="306">
        <v>93024</v>
      </c>
      <c r="B2502" s="305" t="s">
        <v>2439</v>
      </c>
      <c r="C2502" s="305" t="s">
        <v>363</v>
      </c>
      <c r="D2502" s="575">
        <v>34.81</v>
      </c>
    </row>
    <row r="2503" spans="1:4" ht="13.5" x14ac:dyDescent="0.25">
      <c r="A2503" s="306">
        <v>93026</v>
      </c>
      <c r="B2503" s="305" t="s">
        <v>2440</v>
      </c>
      <c r="C2503" s="305" t="s">
        <v>363</v>
      </c>
      <c r="D2503" s="575">
        <v>55.33</v>
      </c>
    </row>
    <row r="2504" spans="1:4" ht="13.5" x14ac:dyDescent="0.25">
      <c r="A2504" s="306">
        <v>95733</v>
      </c>
      <c r="B2504" s="305" t="s">
        <v>2441</v>
      </c>
      <c r="C2504" s="305" t="s">
        <v>363</v>
      </c>
      <c r="D2504" s="575">
        <v>4.2699999999999996</v>
      </c>
    </row>
    <row r="2505" spans="1:4" ht="13.5" x14ac:dyDescent="0.25">
      <c r="A2505" s="306">
        <v>95734</v>
      </c>
      <c r="B2505" s="305" t="s">
        <v>2442</v>
      </c>
      <c r="C2505" s="305" t="s">
        <v>363</v>
      </c>
      <c r="D2505" s="575">
        <v>5.67</v>
      </c>
    </row>
    <row r="2506" spans="1:4" ht="13.5" x14ac:dyDescent="0.25">
      <c r="A2506" s="306">
        <v>95735</v>
      </c>
      <c r="B2506" s="305" t="s">
        <v>2443</v>
      </c>
      <c r="C2506" s="305" t="s">
        <v>363</v>
      </c>
      <c r="D2506" s="575">
        <v>4.93</v>
      </c>
    </row>
    <row r="2507" spans="1:4" ht="13.5" x14ac:dyDescent="0.25">
      <c r="A2507" s="306">
        <v>95736</v>
      </c>
      <c r="B2507" s="305" t="s">
        <v>2444</v>
      </c>
      <c r="C2507" s="305" t="s">
        <v>363</v>
      </c>
      <c r="D2507" s="575">
        <v>5.73</v>
      </c>
    </row>
    <row r="2508" spans="1:4" ht="13.5" x14ac:dyDescent="0.25">
      <c r="A2508" s="306">
        <v>95738</v>
      </c>
      <c r="B2508" s="305" t="s">
        <v>2445</v>
      </c>
      <c r="C2508" s="305" t="s">
        <v>363</v>
      </c>
      <c r="D2508" s="575">
        <v>6.86</v>
      </c>
    </row>
    <row r="2509" spans="1:4" ht="13.5" x14ac:dyDescent="0.25">
      <c r="A2509" s="306">
        <v>95753</v>
      </c>
      <c r="B2509" s="305" t="s">
        <v>2446</v>
      </c>
      <c r="C2509" s="305" t="s">
        <v>363</v>
      </c>
      <c r="D2509" s="575">
        <v>5.63</v>
      </c>
    </row>
    <row r="2510" spans="1:4" ht="13.5" x14ac:dyDescent="0.25">
      <c r="A2510" s="306">
        <v>95754</v>
      </c>
      <c r="B2510" s="305" t="s">
        <v>2447</v>
      </c>
      <c r="C2510" s="305" t="s">
        <v>363</v>
      </c>
      <c r="D2510" s="575">
        <v>7.03</v>
      </c>
    </row>
    <row r="2511" spans="1:4" ht="13.5" x14ac:dyDescent="0.25">
      <c r="A2511" s="306">
        <v>95755</v>
      </c>
      <c r="B2511" s="305" t="s">
        <v>2448</v>
      </c>
      <c r="C2511" s="305" t="s">
        <v>363</v>
      </c>
      <c r="D2511" s="575">
        <v>10.11</v>
      </c>
    </row>
    <row r="2512" spans="1:4" ht="13.5" x14ac:dyDescent="0.25">
      <c r="A2512" s="306">
        <v>95756</v>
      </c>
      <c r="B2512" s="305" t="s">
        <v>2449</v>
      </c>
      <c r="C2512" s="305" t="s">
        <v>363</v>
      </c>
      <c r="D2512" s="575">
        <v>13.45</v>
      </c>
    </row>
    <row r="2513" spans="1:4" ht="13.5" x14ac:dyDescent="0.25">
      <c r="A2513" s="306">
        <v>95757</v>
      </c>
      <c r="B2513" s="305" t="s">
        <v>2450</v>
      </c>
      <c r="C2513" s="305" t="s">
        <v>363</v>
      </c>
      <c r="D2513" s="575">
        <v>8.51</v>
      </c>
    </row>
    <row r="2514" spans="1:4" ht="13.5" x14ac:dyDescent="0.25">
      <c r="A2514" s="306">
        <v>95758</v>
      </c>
      <c r="B2514" s="305" t="s">
        <v>2451</v>
      </c>
      <c r="C2514" s="305" t="s">
        <v>363</v>
      </c>
      <c r="D2514" s="575">
        <v>9.56</v>
      </c>
    </row>
    <row r="2515" spans="1:4" ht="13.5" x14ac:dyDescent="0.25">
      <c r="A2515" s="306">
        <v>95759</v>
      </c>
      <c r="B2515" s="305" t="s">
        <v>2452</v>
      </c>
      <c r="C2515" s="305" t="s">
        <v>363</v>
      </c>
      <c r="D2515" s="575">
        <v>12.17</v>
      </c>
    </row>
    <row r="2516" spans="1:4" ht="13.5" x14ac:dyDescent="0.25">
      <c r="A2516" s="306">
        <v>95760</v>
      </c>
      <c r="B2516" s="305" t="s">
        <v>2453</v>
      </c>
      <c r="C2516" s="305" t="s">
        <v>363</v>
      </c>
      <c r="D2516" s="575">
        <v>14.96</v>
      </c>
    </row>
    <row r="2517" spans="1:4" ht="13.5" x14ac:dyDescent="0.25">
      <c r="A2517" s="306">
        <v>97559</v>
      </c>
      <c r="B2517" s="305" t="s">
        <v>2454</v>
      </c>
      <c r="C2517" s="305" t="s">
        <v>363</v>
      </c>
      <c r="D2517" s="575">
        <v>7.64</v>
      </c>
    </row>
    <row r="2518" spans="1:4" ht="13.5" x14ac:dyDescent="0.25">
      <c r="A2518" s="306">
        <v>97562</v>
      </c>
      <c r="B2518" s="305" t="s">
        <v>2455</v>
      </c>
      <c r="C2518" s="305" t="s">
        <v>363</v>
      </c>
      <c r="D2518" s="575">
        <v>9.1999999999999993</v>
      </c>
    </row>
    <row r="2519" spans="1:4" ht="13.5" x14ac:dyDescent="0.25">
      <c r="A2519" s="306">
        <v>97564</v>
      </c>
      <c r="B2519" s="305" t="s">
        <v>2456</v>
      </c>
      <c r="C2519" s="305" t="s">
        <v>363</v>
      </c>
      <c r="D2519" s="575">
        <v>10.58</v>
      </c>
    </row>
    <row r="2520" spans="1:4" ht="13.5" x14ac:dyDescent="0.25">
      <c r="A2520" s="306">
        <v>91924</v>
      </c>
      <c r="B2520" s="305" t="s">
        <v>2457</v>
      </c>
      <c r="C2520" s="305" t="s">
        <v>282</v>
      </c>
      <c r="D2520" s="575">
        <v>1.94</v>
      </c>
    </row>
    <row r="2521" spans="1:4" ht="13.5" x14ac:dyDescent="0.25">
      <c r="A2521" s="306">
        <v>91925</v>
      </c>
      <c r="B2521" s="305" t="s">
        <v>2458</v>
      </c>
      <c r="C2521" s="305" t="s">
        <v>282</v>
      </c>
      <c r="D2521" s="575">
        <v>2.66</v>
      </c>
    </row>
    <row r="2522" spans="1:4" ht="13.5" x14ac:dyDescent="0.25">
      <c r="A2522" s="306">
        <v>91926</v>
      </c>
      <c r="B2522" s="305" t="s">
        <v>2459</v>
      </c>
      <c r="C2522" s="305" t="s">
        <v>282</v>
      </c>
      <c r="D2522" s="575">
        <v>2.77</v>
      </c>
    </row>
    <row r="2523" spans="1:4" ht="13.5" x14ac:dyDescent="0.25">
      <c r="A2523" s="306">
        <v>91927</v>
      </c>
      <c r="B2523" s="305" t="s">
        <v>2460</v>
      </c>
      <c r="C2523" s="305" t="s">
        <v>282</v>
      </c>
      <c r="D2523" s="575">
        <v>3.56</v>
      </c>
    </row>
    <row r="2524" spans="1:4" ht="13.5" x14ac:dyDescent="0.25">
      <c r="A2524" s="306">
        <v>91928</v>
      </c>
      <c r="B2524" s="305" t="s">
        <v>2461</v>
      </c>
      <c r="C2524" s="305" t="s">
        <v>282</v>
      </c>
      <c r="D2524" s="575">
        <v>4.4400000000000004</v>
      </c>
    </row>
    <row r="2525" spans="1:4" ht="13.5" x14ac:dyDescent="0.25">
      <c r="A2525" s="306">
        <v>91929</v>
      </c>
      <c r="B2525" s="305" t="s">
        <v>2462</v>
      </c>
      <c r="C2525" s="305" t="s">
        <v>282</v>
      </c>
      <c r="D2525" s="575">
        <v>5</v>
      </c>
    </row>
    <row r="2526" spans="1:4" ht="13.5" x14ac:dyDescent="0.25">
      <c r="A2526" s="306">
        <v>91930</v>
      </c>
      <c r="B2526" s="305" t="s">
        <v>2463</v>
      </c>
      <c r="C2526" s="305" t="s">
        <v>282</v>
      </c>
      <c r="D2526" s="575">
        <v>6.05</v>
      </c>
    </row>
    <row r="2527" spans="1:4" ht="13.5" x14ac:dyDescent="0.25">
      <c r="A2527" s="306">
        <v>91931</v>
      </c>
      <c r="B2527" s="305" t="s">
        <v>2464</v>
      </c>
      <c r="C2527" s="305" t="s">
        <v>282</v>
      </c>
      <c r="D2527" s="575">
        <v>6.72</v>
      </c>
    </row>
    <row r="2528" spans="1:4" ht="13.5" x14ac:dyDescent="0.25">
      <c r="A2528" s="306">
        <v>91932</v>
      </c>
      <c r="B2528" s="305" t="s">
        <v>2465</v>
      </c>
      <c r="C2528" s="305" t="s">
        <v>282</v>
      </c>
      <c r="D2528" s="575">
        <v>9.89</v>
      </c>
    </row>
    <row r="2529" spans="1:4" ht="13.5" x14ac:dyDescent="0.25">
      <c r="A2529" s="306">
        <v>91933</v>
      </c>
      <c r="B2529" s="305" t="s">
        <v>2466</v>
      </c>
      <c r="C2529" s="305" t="s">
        <v>282</v>
      </c>
      <c r="D2529" s="575">
        <v>10.52</v>
      </c>
    </row>
    <row r="2530" spans="1:4" ht="13.5" x14ac:dyDescent="0.25">
      <c r="A2530" s="306">
        <v>91934</v>
      </c>
      <c r="B2530" s="305" t="s">
        <v>2467</v>
      </c>
      <c r="C2530" s="305" t="s">
        <v>282</v>
      </c>
      <c r="D2530" s="575">
        <v>15.1</v>
      </c>
    </row>
    <row r="2531" spans="1:4" ht="13.5" x14ac:dyDescent="0.25">
      <c r="A2531" s="306">
        <v>91935</v>
      </c>
      <c r="B2531" s="305" t="s">
        <v>2468</v>
      </c>
      <c r="C2531" s="305" t="s">
        <v>282</v>
      </c>
      <c r="D2531" s="575">
        <v>16.010000000000002</v>
      </c>
    </row>
    <row r="2532" spans="1:4" ht="13.5" x14ac:dyDescent="0.25">
      <c r="A2532" s="306">
        <v>92979</v>
      </c>
      <c r="B2532" s="305" t="s">
        <v>2469</v>
      </c>
      <c r="C2532" s="305" t="s">
        <v>282</v>
      </c>
      <c r="D2532" s="575">
        <v>6.38</v>
      </c>
    </row>
    <row r="2533" spans="1:4" ht="13.5" x14ac:dyDescent="0.25">
      <c r="A2533" s="306">
        <v>92980</v>
      </c>
      <c r="B2533" s="305" t="s">
        <v>2470</v>
      </c>
      <c r="C2533" s="305" t="s">
        <v>282</v>
      </c>
      <c r="D2533" s="575">
        <v>6.93</v>
      </c>
    </row>
    <row r="2534" spans="1:4" ht="13.5" x14ac:dyDescent="0.25">
      <c r="A2534" s="306">
        <v>92981</v>
      </c>
      <c r="B2534" s="305" t="s">
        <v>2471</v>
      </c>
      <c r="C2534" s="305" t="s">
        <v>282</v>
      </c>
      <c r="D2534" s="575">
        <v>9.82</v>
      </c>
    </row>
    <row r="2535" spans="1:4" ht="13.5" x14ac:dyDescent="0.25">
      <c r="A2535" s="306">
        <v>92982</v>
      </c>
      <c r="B2535" s="305" t="s">
        <v>2472</v>
      </c>
      <c r="C2535" s="305" t="s">
        <v>282</v>
      </c>
      <c r="D2535" s="575">
        <v>10.61</v>
      </c>
    </row>
    <row r="2536" spans="1:4" ht="13.5" x14ac:dyDescent="0.25">
      <c r="A2536" s="306">
        <v>92983</v>
      </c>
      <c r="B2536" s="305" t="s">
        <v>2473</v>
      </c>
      <c r="C2536" s="305" t="s">
        <v>282</v>
      </c>
      <c r="D2536" s="575">
        <v>17.170000000000002</v>
      </c>
    </row>
    <row r="2537" spans="1:4" ht="13.5" x14ac:dyDescent="0.25">
      <c r="A2537" s="306">
        <v>92984</v>
      </c>
      <c r="B2537" s="305" t="s">
        <v>2474</v>
      </c>
      <c r="C2537" s="305" t="s">
        <v>282</v>
      </c>
      <c r="D2537" s="575">
        <v>17.61</v>
      </c>
    </row>
    <row r="2538" spans="1:4" ht="13.5" x14ac:dyDescent="0.25">
      <c r="A2538" s="306">
        <v>92985</v>
      </c>
      <c r="B2538" s="305" t="s">
        <v>2475</v>
      </c>
      <c r="C2538" s="305" t="s">
        <v>282</v>
      </c>
      <c r="D2538" s="575">
        <v>23.04</v>
      </c>
    </row>
    <row r="2539" spans="1:4" ht="13.5" x14ac:dyDescent="0.25">
      <c r="A2539" s="306">
        <v>92986</v>
      </c>
      <c r="B2539" s="305" t="s">
        <v>2476</v>
      </c>
      <c r="C2539" s="305" t="s">
        <v>282</v>
      </c>
      <c r="D2539" s="575">
        <v>23.69</v>
      </c>
    </row>
    <row r="2540" spans="1:4" ht="13.5" x14ac:dyDescent="0.25">
      <c r="A2540" s="306">
        <v>92987</v>
      </c>
      <c r="B2540" s="305" t="s">
        <v>2477</v>
      </c>
      <c r="C2540" s="305" t="s">
        <v>282</v>
      </c>
      <c r="D2540" s="575">
        <v>33.07</v>
      </c>
    </row>
    <row r="2541" spans="1:4" ht="13.5" x14ac:dyDescent="0.25">
      <c r="A2541" s="306">
        <v>92988</v>
      </c>
      <c r="B2541" s="305" t="s">
        <v>2478</v>
      </c>
      <c r="C2541" s="305" t="s">
        <v>282</v>
      </c>
      <c r="D2541" s="575">
        <v>33.15</v>
      </c>
    </row>
    <row r="2542" spans="1:4" ht="13.5" x14ac:dyDescent="0.25">
      <c r="A2542" s="306">
        <v>92989</v>
      </c>
      <c r="B2542" s="305" t="s">
        <v>2479</v>
      </c>
      <c r="C2542" s="305" t="s">
        <v>282</v>
      </c>
      <c r="D2542" s="575">
        <v>45.84</v>
      </c>
    </row>
    <row r="2543" spans="1:4" ht="13.5" x14ac:dyDescent="0.25">
      <c r="A2543" s="306">
        <v>92990</v>
      </c>
      <c r="B2543" s="305" t="s">
        <v>2480</v>
      </c>
      <c r="C2543" s="305" t="s">
        <v>282</v>
      </c>
      <c r="D2543" s="575">
        <v>45.33</v>
      </c>
    </row>
    <row r="2544" spans="1:4" ht="13.5" x14ac:dyDescent="0.25">
      <c r="A2544" s="306">
        <v>92991</v>
      </c>
      <c r="B2544" s="305" t="s">
        <v>2481</v>
      </c>
      <c r="C2544" s="305" t="s">
        <v>282</v>
      </c>
      <c r="D2544" s="575">
        <v>59.74</v>
      </c>
    </row>
    <row r="2545" spans="1:4" ht="13.5" x14ac:dyDescent="0.25">
      <c r="A2545" s="306">
        <v>92992</v>
      </c>
      <c r="B2545" s="305" t="s">
        <v>2482</v>
      </c>
      <c r="C2545" s="305" t="s">
        <v>282</v>
      </c>
      <c r="D2545" s="575">
        <v>59.78</v>
      </c>
    </row>
    <row r="2546" spans="1:4" ht="13.5" x14ac:dyDescent="0.25">
      <c r="A2546" s="306">
        <v>92993</v>
      </c>
      <c r="B2546" s="305" t="s">
        <v>2483</v>
      </c>
      <c r="C2546" s="305" t="s">
        <v>282</v>
      </c>
      <c r="D2546" s="575">
        <v>76.52</v>
      </c>
    </row>
    <row r="2547" spans="1:4" ht="13.5" x14ac:dyDescent="0.25">
      <c r="A2547" s="306">
        <v>92994</v>
      </c>
      <c r="B2547" s="305" t="s">
        <v>2484</v>
      </c>
      <c r="C2547" s="305" t="s">
        <v>282</v>
      </c>
      <c r="D2547" s="575">
        <v>77.27</v>
      </c>
    </row>
    <row r="2548" spans="1:4" ht="13.5" x14ac:dyDescent="0.25">
      <c r="A2548" s="306">
        <v>92995</v>
      </c>
      <c r="B2548" s="305" t="s">
        <v>2485</v>
      </c>
      <c r="C2548" s="305" t="s">
        <v>282</v>
      </c>
      <c r="D2548" s="575">
        <v>95.12</v>
      </c>
    </row>
    <row r="2549" spans="1:4" ht="13.5" x14ac:dyDescent="0.25">
      <c r="A2549" s="306">
        <v>92996</v>
      </c>
      <c r="B2549" s="305" t="s">
        <v>2486</v>
      </c>
      <c r="C2549" s="305" t="s">
        <v>282</v>
      </c>
      <c r="D2549" s="575">
        <v>95.38</v>
      </c>
    </row>
    <row r="2550" spans="1:4" ht="13.5" x14ac:dyDescent="0.25">
      <c r="A2550" s="306">
        <v>92997</v>
      </c>
      <c r="B2550" s="305" t="s">
        <v>2487</v>
      </c>
      <c r="C2550" s="305" t="s">
        <v>282</v>
      </c>
      <c r="D2550" s="575">
        <v>115.54</v>
      </c>
    </row>
    <row r="2551" spans="1:4" ht="13.5" x14ac:dyDescent="0.25">
      <c r="A2551" s="306">
        <v>92998</v>
      </c>
      <c r="B2551" s="305" t="s">
        <v>2488</v>
      </c>
      <c r="C2551" s="305" t="s">
        <v>282</v>
      </c>
      <c r="D2551" s="575">
        <v>116.64</v>
      </c>
    </row>
    <row r="2552" spans="1:4" ht="13.5" x14ac:dyDescent="0.25">
      <c r="A2552" s="306">
        <v>92999</v>
      </c>
      <c r="B2552" s="305" t="s">
        <v>2489</v>
      </c>
      <c r="C2552" s="305" t="s">
        <v>282</v>
      </c>
      <c r="D2552" s="575">
        <v>152.07</v>
      </c>
    </row>
    <row r="2553" spans="1:4" ht="13.5" x14ac:dyDescent="0.25">
      <c r="A2553" s="306">
        <v>93000</v>
      </c>
      <c r="B2553" s="305" t="s">
        <v>2490</v>
      </c>
      <c r="C2553" s="305" t="s">
        <v>282</v>
      </c>
      <c r="D2553" s="575">
        <v>152.99</v>
      </c>
    </row>
    <row r="2554" spans="1:4" ht="13.5" x14ac:dyDescent="0.25">
      <c r="A2554" s="306">
        <v>93001</v>
      </c>
      <c r="B2554" s="305" t="s">
        <v>2491</v>
      </c>
      <c r="C2554" s="305" t="s">
        <v>282</v>
      </c>
      <c r="D2554" s="575">
        <v>185.66</v>
      </c>
    </row>
    <row r="2555" spans="1:4" ht="13.5" x14ac:dyDescent="0.25">
      <c r="A2555" s="306">
        <v>93002</v>
      </c>
      <c r="B2555" s="305" t="s">
        <v>2492</v>
      </c>
      <c r="C2555" s="305" t="s">
        <v>282</v>
      </c>
      <c r="D2555" s="575">
        <v>190.77</v>
      </c>
    </row>
    <row r="2556" spans="1:4" ht="13.5" x14ac:dyDescent="0.25">
      <c r="A2556" s="306">
        <v>83446</v>
      </c>
      <c r="B2556" s="305" t="s">
        <v>2493</v>
      </c>
      <c r="C2556" s="305" t="s">
        <v>363</v>
      </c>
      <c r="D2556" s="575">
        <v>172.7</v>
      </c>
    </row>
    <row r="2557" spans="1:4" ht="13.5" x14ac:dyDescent="0.25">
      <c r="A2557" s="306">
        <v>91936</v>
      </c>
      <c r="B2557" s="305" t="s">
        <v>2494</v>
      </c>
      <c r="C2557" s="305" t="s">
        <v>363</v>
      </c>
      <c r="D2557" s="575">
        <v>9.39</v>
      </c>
    </row>
    <row r="2558" spans="1:4" ht="13.5" x14ac:dyDescent="0.25">
      <c r="A2558" s="306">
        <v>91937</v>
      </c>
      <c r="B2558" s="305" t="s">
        <v>2495</v>
      </c>
      <c r="C2558" s="305" t="s">
        <v>363</v>
      </c>
      <c r="D2558" s="575">
        <v>8.14</v>
      </c>
    </row>
    <row r="2559" spans="1:4" ht="13.5" x14ac:dyDescent="0.25">
      <c r="A2559" s="306">
        <v>91939</v>
      </c>
      <c r="B2559" s="305" t="s">
        <v>2496</v>
      </c>
      <c r="C2559" s="305" t="s">
        <v>363</v>
      </c>
      <c r="D2559" s="575">
        <v>21.44</v>
      </c>
    </row>
    <row r="2560" spans="1:4" ht="13.5" x14ac:dyDescent="0.25">
      <c r="A2560" s="306">
        <v>91940</v>
      </c>
      <c r="B2560" s="305" t="s">
        <v>2497</v>
      </c>
      <c r="C2560" s="305" t="s">
        <v>363</v>
      </c>
      <c r="D2560" s="575">
        <v>11.28</v>
      </c>
    </row>
    <row r="2561" spans="1:4" ht="13.5" x14ac:dyDescent="0.25">
      <c r="A2561" s="306">
        <v>91941</v>
      </c>
      <c r="B2561" s="305" t="s">
        <v>2498</v>
      </c>
      <c r="C2561" s="305" t="s">
        <v>363</v>
      </c>
      <c r="D2561" s="575">
        <v>7.47</v>
      </c>
    </row>
    <row r="2562" spans="1:4" ht="13.5" x14ac:dyDescent="0.25">
      <c r="A2562" s="306">
        <v>91942</v>
      </c>
      <c r="B2562" s="305" t="s">
        <v>2499</v>
      </c>
      <c r="C2562" s="305" t="s">
        <v>363</v>
      </c>
      <c r="D2562" s="575">
        <v>26.04</v>
      </c>
    </row>
    <row r="2563" spans="1:4" ht="13.5" x14ac:dyDescent="0.25">
      <c r="A2563" s="306">
        <v>91943</v>
      </c>
      <c r="B2563" s="305" t="s">
        <v>2500</v>
      </c>
      <c r="C2563" s="305" t="s">
        <v>363</v>
      </c>
      <c r="D2563" s="575">
        <v>14.35</v>
      </c>
    </row>
    <row r="2564" spans="1:4" ht="13.5" x14ac:dyDescent="0.25">
      <c r="A2564" s="306">
        <v>91944</v>
      </c>
      <c r="B2564" s="305" t="s">
        <v>2501</v>
      </c>
      <c r="C2564" s="305" t="s">
        <v>363</v>
      </c>
      <c r="D2564" s="575">
        <v>9.98</v>
      </c>
    </row>
    <row r="2565" spans="1:4" ht="13.5" x14ac:dyDescent="0.25">
      <c r="A2565" s="306">
        <v>92865</v>
      </c>
      <c r="B2565" s="305" t="s">
        <v>2502</v>
      </c>
      <c r="C2565" s="305" t="s">
        <v>363</v>
      </c>
      <c r="D2565" s="575">
        <v>7.63</v>
      </c>
    </row>
    <row r="2566" spans="1:4" ht="13.5" x14ac:dyDescent="0.25">
      <c r="A2566" s="306">
        <v>92866</v>
      </c>
      <c r="B2566" s="305" t="s">
        <v>2503</v>
      </c>
      <c r="C2566" s="305" t="s">
        <v>363</v>
      </c>
      <c r="D2566" s="575">
        <v>6.38</v>
      </c>
    </row>
    <row r="2567" spans="1:4" ht="13.5" x14ac:dyDescent="0.25">
      <c r="A2567" s="306">
        <v>92867</v>
      </c>
      <c r="B2567" s="305" t="s">
        <v>2504</v>
      </c>
      <c r="C2567" s="305" t="s">
        <v>363</v>
      </c>
      <c r="D2567" s="575">
        <v>20.96</v>
      </c>
    </row>
    <row r="2568" spans="1:4" ht="13.5" x14ac:dyDescent="0.25">
      <c r="A2568" s="306">
        <v>92868</v>
      </c>
      <c r="B2568" s="305" t="s">
        <v>2505</v>
      </c>
      <c r="C2568" s="305" t="s">
        <v>363</v>
      </c>
      <c r="D2568" s="575">
        <v>10.8</v>
      </c>
    </row>
    <row r="2569" spans="1:4" ht="13.5" x14ac:dyDescent="0.25">
      <c r="A2569" s="306">
        <v>92869</v>
      </c>
      <c r="B2569" s="305" t="s">
        <v>2506</v>
      </c>
      <c r="C2569" s="305" t="s">
        <v>363</v>
      </c>
      <c r="D2569" s="575">
        <v>6.99</v>
      </c>
    </row>
    <row r="2570" spans="1:4" ht="13.5" x14ac:dyDescent="0.25">
      <c r="A2570" s="306">
        <v>92870</v>
      </c>
      <c r="B2570" s="305" t="s">
        <v>2507</v>
      </c>
      <c r="C2570" s="305" t="s">
        <v>363</v>
      </c>
      <c r="D2570" s="575">
        <v>25.21</v>
      </c>
    </row>
    <row r="2571" spans="1:4" ht="13.5" x14ac:dyDescent="0.25">
      <c r="A2571" s="306">
        <v>92871</v>
      </c>
      <c r="B2571" s="305" t="s">
        <v>2508</v>
      </c>
      <c r="C2571" s="305" t="s">
        <v>363</v>
      </c>
      <c r="D2571" s="575">
        <v>13.52</v>
      </c>
    </row>
    <row r="2572" spans="1:4" ht="13.5" x14ac:dyDescent="0.25">
      <c r="A2572" s="306">
        <v>92872</v>
      </c>
      <c r="B2572" s="305" t="s">
        <v>2509</v>
      </c>
      <c r="C2572" s="305" t="s">
        <v>363</v>
      </c>
      <c r="D2572" s="575">
        <v>9.15</v>
      </c>
    </row>
    <row r="2573" spans="1:4" ht="13.5" x14ac:dyDescent="0.25">
      <c r="A2573" s="306">
        <v>95777</v>
      </c>
      <c r="B2573" s="305" t="s">
        <v>2510</v>
      </c>
      <c r="C2573" s="305" t="s">
        <v>363</v>
      </c>
      <c r="D2573" s="575">
        <v>25.06</v>
      </c>
    </row>
    <row r="2574" spans="1:4" ht="13.5" x14ac:dyDescent="0.25">
      <c r="A2574" s="306">
        <v>95778</v>
      </c>
      <c r="B2574" s="305" t="s">
        <v>2511</v>
      </c>
      <c r="C2574" s="305" t="s">
        <v>363</v>
      </c>
      <c r="D2574" s="575">
        <v>25.77</v>
      </c>
    </row>
    <row r="2575" spans="1:4" ht="13.5" x14ac:dyDescent="0.25">
      <c r="A2575" s="306">
        <v>95779</v>
      </c>
      <c r="B2575" s="305" t="s">
        <v>2512</v>
      </c>
      <c r="C2575" s="305" t="s">
        <v>363</v>
      </c>
      <c r="D2575" s="575">
        <v>23.38</v>
      </c>
    </row>
    <row r="2576" spans="1:4" ht="13.5" x14ac:dyDescent="0.25">
      <c r="A2576" s="306">
        <v>95780</v>
      </c>
      <c r="B2576" s="305" t="s">
        <v>2513</v>
      </c>
      <c r="C2576" s="305" t="s">
        <v>363</v>
      </c>
      <c r="D2576" s="575">
        <v>28.9</v>
      </c>
    </row>
    <row r="2577" spans="1:4" ht="13.5" x14ac:dyDescent="0.25">
      <c r="A2577" s="306">
        <v>95781</v>
      </c>
      <c r="B2577" s="305" t="s">
        <v>2514</v>
      </c>
      <c r="C2577" s="305" t="s">
        <v>363</v>
      </c>
      <c r="D2577" s="575">
        <v>29.43</v>
      </c>
    </row>
    <row r="2578" spans="1:4" ht="13.5" x14ac:dyDescent="0.25">
      <c r="A2578" s="306">
        <v>95782</v>
      </c>
      <c r="B2578" s="305" t="s">
        <v>2515</v>
      </c>
      <c r="C2578" s="305" t="s">
        <v>363</v>
      </c>
      <c r="D2578" s="575">
        <v>30.82</v>
      </c>
    </row>
    <row r="2579" spans="1:4" ht="13.5" x14ac:dyDescent="0.25">
      <c r="A2579" s="306">
        <v>95785</v>
      </c>
      <c r="B2579" s="305" t="s">
        <v>2516</v>
      </c>
      <c r="C2579" s="305" t="s">
        <v>363</v>
      </c>
      <c r="D2579" s="575">
        <v>35.42</v>
      </c>
    </row>
    <row r="2580" spans="1:4" ht="13.5" x14ac:dyDescent="0.25">
      <c r="A2580" s="306">
        <v>95787</v>
      </c>
      <c r="B2580" s="305" t="s">
        <v>2517</v>
      </c>
      <c r="C2580" s="305" t="s">
        <v>363</v>
      </c>
      <c r="D2580" s="575">
        <v>24.96</v>
      </c>
    </row>
    <row r="2581" spans="1:4" ht="13.5" x14ac:dyDescent="0.25">
      <c r="A2581" s="306">
        <v>95789</v>
      </c>
      <c r="B2581" s="305" t="s">
        <v>2518</v>
      </c>
      <c r="C2581" s="305" t="s">
        <v>363</v>
      </c>
      <c r="D2581" s="575">
        <v>31.78</v>
      </c>
    </row>
    <row r="2582" spans="1:4" ht="13.5" x14ac:dyDescent="0.25">
      <c r="A2582" s="306">
        <v>95791</v>
      </c>
      <c r="B2582" s="305" t="s">
        <v>2519</v>
      </c>
      <c r="C2582" s="305" t="s">
        <v>363</v>
      </c>
      <c r="D2582" s="575">
        <v>41.96</v>
      </c>
    </row>
    <row r="2583" spans="1:4" ht="13.5" x14ac:dyDescent="0.25">
      <c r="A2583" s="306">
        <v>95795</v>
      </c>
      <c r="B2583" s="305" t="s">
        <v>2520</v>
      </c>
      <c r="C2583" s="305" t="s">
        <v>363</v>
      </c>
      <c r="D2583" s="575">
        <v>28.81</v>
      </c>
    </row>
    <row r="2584" spans="1:4" ht="13.5" x14ac:dyDescent="0.25">
      <c r="A2584" s="306">
        <v>95796</v>
      </c>
      <c r="B2584" s="305" t="s">
        <v>2521</v>
      </c>
      <c r="C2584" s="305" t="s">
        <v>363</v>
      </c>
      <c r="D2584" s="575">
        <v>37.409999999999997</v>
      </c>
    </row>
    <row r="2585" spans="1:4" ht="13.5" x14ac:dyDescent="0.25">
      <c r="A2585" s="306">
        <v>95797</v>
      </c>
      <c r="B2585" s="305" t="s">
        <v>2522</v>
      </c>
      <c r="C2585" s="305" t="s">
        <v>363</v>
      </c>
      <c r="D2585" s="575">
        <v>48.57</v>
      </c>
    </row>
    <row r="2586" spans="1:4" ht="13.5" x14ac:dyDescent="0.25">
      <c r="A2586" s="306">
        <v>95801</v>
      </c>
      <c r="B2586" s="305" t="s">
        <v>2523</v>
      </c>
      <c r="C2586" s="305" t="s">
        <v>363</v>
      </c>
      <c r="D2586" s="575">
        <v>34.950000000000003</v>
      </c>
    </row>
    <row r="2587" spans="1:4" ht="13.5" x14ac:dyDescent="0.25">
      <c r="A2587" s="306">
        <v>95802</v>
      </c>
      <c r="B2587" s="305" t="s">
        <v>2524</v>
      </c>
      <c r="C2587" s="305" t="s">
        <v>363</v>
      </c>
      <c r="D2587" s="575">
        <v>39.200000000000003</v>
      </c>
    </row>
    <row r="2588" spans="1:4" ht="13.5" x14ac:dyDescent="0.25">
      <c r="A2588" s="306">
        <v>95803</v>
      </c>
      <c r="B2588" s="305" t="s">
        <v>2525</v>
      </c>
      <c r="C2588" s="305" t="s">
        <v>363</v>
      </c>
      <c r="D2588" s="575">
        <v>53.41</v>
      </c>
    </row>
    <row r="2589" spans="1:4" ht="13.5" x14ac:dyDescent="0.25">
      <c r="A2589" s="306">
        <v>95804</v>
      </c>
      <c r="B2589" s="305" t="s">
        <v>2526</v>
      </c>
      <c r="C2589" s="305" t="s">
        <v>363</v>
      </c>
      <c r="D2589" s="575">
        <v>17.57</v>
      </c>
    </row>
    <row r="2590" spans="1:4" ht="13.5" x14ac:dyDescent="0.25">
      <c r="A2590" s="306">
        <v>95805</v>
      </c>
      <c r="B2590" s="305" t="s">
        <v>2527</v>
      </c>
      <c r="C2590" s="305" t="s">
        <v>363</v>
      </c>
      <c r="D2590" s="575">
        <v>17.75</v>
      </c>
    </row>
    <row r="2591" spans="1:4" ht="13.5" x14ac:dyDescent="0.25">
      <c r="A2591" s="306">
        <v>95806</v>
      </c>
      <c r="B2591" s="305" t="s">
        <v>2528</v>
      </c>
      <c r="C2591" s="305" t="s">
        <v>363</v>
      </c>
      <c r="D2591" s="575">
        <v>18.29</v>
      </c>
    </row>
    <row r="2592" spans="1:4" ht="13.5" x14ac:dyDescent="0.25">
      <c r="A2592" s="306">
        <v>95807</v>
      </c>
      <c r="B2592" s="305" t="s">
        <v>2529</v>
      </c>
      <c r="C2592" s="305" t="s">
        <v>363</v>
      </c>
      <c r="D2592" s="575">
        <v>20.25</v>
      </c>
    </row>
    <row r="2593" spans="1:4" ht="13.5" x14ac:dyDescent="0.25">
      <c r="A2593" s="306">
        <v>95808</v>
      </c>
      <c r="B2593" s="305" t="s">
        <v>2530</v>
      </c>
      <c r="C2593" s="305" t="s">
        <v>363</v>
      </c>
      <c r="D2593" s="575">
        <v>20.78</v>
      </c>
    </row>
    <row r="2594" spans="1:4" ht="13.5" x14ac:dyDescent="0.25">
      <c r="A2594" s="306">
        <v>95809</v>
      </c>
      <c r="B2594" s="305" t="s">
        <v>2531</v>
      </c>
      <c r="C2594" s="305" t="s">
        <v>363</v>
      </c>
      <c r="D2594" s="575">
        <v>22.72</v>
      </c>
    </row>
    <row r="2595" spans="1:4" ht="13.5" x14ac:dyDescent="0.25">
      <c r="A2595" s="306">
        <v>95810</v>
      </c>
      <c r="B2595" s="305" t="s">
        <v>2532</v>
      </c>
      <c r="C2595" s="305" t="s">
        <v>363</v>
      </c>
      <c r="D2595" s="575">
        <v>10.29</v>
      </c>
    </row>
    <row r="2596" spans="1:4" ht="13.5" x14ac:dyDescent="0.25">
      <c r="A2596" s="306">
        <v>95811</v>
      </c>
      <c r="B2596" s="305" t="s">
        <v>2533</v>
      </c>
      <c r="C2596" s="305" t="s">
        <v>363</v>
      </c>
      <c r="D2596" s="575">
        <v>10.82</v>
      </c>
    </row>
    <row r="2597" spans="1:4" ht="13.5" x14ac:dyDescent="0.25">
      <c r="A2597" s="306">
        <v>95812</v>
      </c>
      <c r="B2597" s="305" t="s">
        <v>2534</v>
      </c>
      <c r="C2597" s="305" t="s">
        <v>363</v>
      </c>
      <c r="D2597" s="575">
        <v>12.76</v>
      </c>
    </row>
    <row r="2598" spans="1:4" ht="13.5" x14ac:dyDescent="0.25">
      <c r="A2598" s="306">
        <v>95813</v>
      </c>
      <c r="B2598" s="305" t="s">
        <v>2535</v>
      </c>
      <c r="C2598" s="305" t="s">
        <v>363</v>
      </c>
      <c r="D2598" s="575">
        <v>12.57</v>
      </c>
    </row>
    <row r="2599" spans="1:4" ht="13.5" x14ac:dyDescent="0.25">
      <c r="A2599" s="306">
        <v>95814</v>
      </c>
      <c r="B2599" s="305" t="s">
        <v>2536</v>
      </c>
      <c r="C2599" s="305" t="s">
        <v>363</v>
      </c>
      <c r="D2599" s="575">
        <v>13.37</v>
      </c>
    </row>
    <row r="2600" spans="1:4" ht="13.5" x14ac:dyDescent="0.25">
      <c r="A2600" s="306">
        <v>95815</v>
      </c>
      <c r="B2600" s="305" t="s">
        <v>2537</v>
      </c>
      <c r="C2600" s="305" t="s">
        <v>363</v>
      </c>
      <c r="D2600" s="575">
        <v>17.03</v>
      </c>
    </row>
    <row r="2601" spans="1:4" ht="13.5" x14ac:dyDescent="0.25">
      <c r="A2601" s="306">
        <v>95816</v>
      </c>
      <c r="B2601" s="305" t="s">
        <v>2538</v>
      </c>
      <c r="C2601" s="305" t="s">
        <v>363</v>
      </c>
      <c r="D2601" s="575">
        <v>24.95</v>
      </c>
    </row>
    <row r="2602" spans="1:4" ht="13.5" x14ac:dyDescent="0.25">
      <c r="A2602" s="306">
        <v>95817</v>
      </c>
      <c r="B2602" s="305" t="s">
        <v>2539</v>
      </c>
      <c r="C2602" s="305" t="s">
        <v>363</v>
      </c>
      <c r="D2602" s="575">
        <v>25.71</v>
      </c>
    </row>
    <row r="2603" spans="1:4" ht="13.5" x14ac:dyDescent="0.25">
      <c r="A2603" s="306">
        <v>95818</v>
      </c>
      <c r="B2603" s="305" t="s">
        <v>2540</v>
      </c>
      <c r="C2603" s="305" t="s">
        <v>363</v>
      </c>
      <c r="D2603" s="575">
        <v>30.65</v>
      </c>
    </row>
    <row r="2604" spans="1:4" ht="13.5" x14ac:dyDescent="0.25">
      <c r="A2604" s="306">
        <v>97886</v>
      </c>
      <c r="B2604" s="305" t="s">
        <v>2541</v>
      </c>
      <c r="C2604" s="305" t="s">
        <v>363</v>
      </c>
      <c r="D2604" s="575">
        <v>139.80000000000001</v>
      </c>
    </row>
    <row r="2605" spans="1:4" ht="13.5" x14ac:dyDescent="0.25">
      <c r="A2605" s="306">
        <v>97887</v>
      </c>
      <c r="B2605" s="305" t="s">
        <v>2542</v>
      </c>
      <c r="C2605" s="305" t="s">
        <v>363</v>
      </c>
      <c r="D2605" s="575">
        <v>220.6</v>
      </c>
    </row>
    <row r="2606" spans="1:4" ht="13.5" x14ac:dyDescent="0.25">
      <c r="A2606" s="306">
        <v>97888</v>
      </c>
      <c r="B2606" s="305" t="s">
        <v>2543</v>
      </c>
      <c r="C2606" s="305" t="s">
        <v>363</v>
      </c>
      <c r="D2606" s="575">
        <v>425.85</v>
      </c>
    </row>
    <row r="2607" spans="1:4" ht="13.5" x14ac:dyDescent="0.25">
      <c r="A2607" s="306">
        <v>97889</v>
      </c>
      <c r="B2607" s="305" t="s">
        <v>2544</v>
      </c>
      <c r="C2607" s="305" t="s">
        <v>363</v>
      </c>
      <c r="D2607" s="575">
        <v>571.54</v>
      </c>
    </row>
    <row r="2608" spans="1:4" ht="13.5" x14ac:dyDescent="0.25">
      <c r="A2608" s="306">
        <v>97890</v>
      </c>
      <c r="B2608" s="305" t="s">
        <v>2545</v>
      </c>
      <c r="C2608" s="305" t="s">
        <v>363</v>
      </c>
      <c r="D2608" s="575">
        <v>658.68</v>
      </c>
    </row>
    <row r="2609" spans="1:4" ht="13.5" x14ac:dyDescent="0.25">
      <c r="A2609" s="306">
        <v>97891</v>
      </c>
      <c r="B2609" s="305" t="s">
        <v>2546</v>
      </c>
      <c r="C2609" s="305" t="s">
        <v>363</v>
      </c>
      <c r="D2609" s="575">
        <v>171.02</v>
      </c>
    </row>
    <row r="2610" spans="1:4" ht="13.5" x14ac:dyDescent="0.25">
      <c r="A2610" s="306">
        <v>97892</v>
      </c>
      <c r="B2610" s="305" t="s">
        <v>2547</v>
      </c>
      <c r="C2610" s="305" t="s">
        <v>363</v>
      </c>
      <c r="D2610" s="575">
        <v>321.01</v>
      </c>
    </row>
    <row r="2611" spans="1:4" ht="13.5" x14ac:dyDescent="0.25">
      <c r="A2611" s="306">
        <v>97893</v>
      </c>
      <c r="B2611" s="305" t="s">
        <v>2548</v>
      </c>
      <c r="C2611" s="305" t="s">
        <v>363</v>
      </c>
      <c r="D2611" s="575">
        <v>437.87</v>
      </c>
    </row>
    <row r="2612" spans="1:4" ht="13.5" x14ac:dyDescent="0.25">
      <c r="A2612" s="306">
        <v>97894</v>
      </c>
      <c r="B2612" s="305" t="s">
        <v>2549</v>
      </c>
      <c r="C2612" s="305" t="s">
        <v>363</v>
      </c>
      <c r="D2612" s="575">
        <v>496.67</v>
      </c>
    </row>
    <row r="2613" spans="1:4" ht="13.5" x14ac:dyDescent="0.25">
      <c r="A2613" s="306">
        <v>68066</v>
      </c>
      <c r="B2613" s="305" t="s">
        <v>2550</v>
      </c>
      <c r="C2613" s="305" t="s">
        <v>363</v>
      </c>
      <c r="D2613" s="575">
        <v>106.98</v>
      </c>
    </row>
    <row r="2614" spans="1:4" ht="13.5" x14ac:dyDescent="0.25">
      <c r="A2614" s="306">
        <v>72319</v>
      </c>
      <c r="B2614" s="305" t="s">
        <v>2551</v>
      </c>
      <c r="C2614" s="305" t="s">
        <v>363</v>
      </c>
      <c r="D2614" s="576">
        <v>3903.7</v>
      </c>
    </row>
    <row r="2615" spans="1:4" ht="13.5" x14ac:dyDescent="0.25">
      <c r="A2615" s="306">
        <v>72341</v>
      </c>
      <c r="B2615" s="305" t="s">
        <v>2552</v>
      </c>
      <c r="C2615" s="305" t="s">
        <v>363</v>
      </c>
      <c r="D2615" s="575">
        <v>222.22</v>
      </c>
    </row>
    <row r="2616" spans="1:4" ht="13.5" x14ac:dyDescent="0.25">
      <c r="A2616" s="306">
        <v>72343</v>
      </c>
      <c r="B2616" s="305" t="s">
        <v>2553</v>
      </c>
      <c r="C2616" s="305" t="s">
        <v>363</v>
      </c>
      <c r="D2616" s="575">
        <v>262.99</v>
      </c>
    </row>
    <row r="2617" spans="1:4" ht="13.5" x14ac:dyDescent="0.25">
      <c r="A2617" s="306">
        <v>72344</v>
      </c>
      <c r="B2617" s="305" t="s">
        <v>2554</v>
      </c>
      <c r="C2617" s="305" t="s">
        <v>363</v>
      </c>
      <c r="D2617" s="575">
        <v>406.81</v>
      </c>
    </row>
    <row r="2618" spans="1:4" ht="13.5" x14ac:dyDescent="0.25">
      <c r="A2618" s="306">
        <v>72345</v>
      </c>
      <c r="B2618" s="305" t="s">
        <v>2555</v>
      </c>
      <c r="C2618" s="305" t="s">
        <v>363</v>
      </c>
      <c r="D2618" s="576">
        <v>1140.8399999999999</v>
      </c>
    </row>
    <row r="2619" spans="1:4" ht="13.5" x14ac:dyDescent="0.25">
      <c r="A2619" s="305" t="s">
        <v>2556</v>
      </c>
      <c r="B2619" s="305" t="s">
        <v>2557</v>
      </c>
      <c r="C2619" s="305" t="s">
        <v>363</v>
      </c>
      <c r="D2619" s="575">
        <v>11.82</v>
      </c>
    </row>
    <row r="2620" spans="1:4" ht="13.5" x14ac:dyDescent="0.25">
      <c r="A2620" s="305" t="s">
        <v>2558</v>
      </c>
      <c r="B2620" s="305" t="s">
        <v>2559</v>
      </c>
      <c r="C2620" s="305" t="s">
        <v>363</v>
      </c>
      <c r="D2620" s="575">
        <v>18.04</v>
      </c>
    </row>
    <row r="2621" spans="1:4" ht="13.5" x14ac:dyDescent="0.25">
      <c r="A2621" s="305" t="s">
        <v>2560</v>
      </c>
      <c r="B2621" s="305" t="s">
        <v>2561</v>
      </c>
      <c r="C2621" s="305" t="s">
        <v>363</v>
      </c>
      <c r="D2621" s="575">
        <v>52.62</v>
      </c>
    </row>
    <row r="2622" spans="1:4" ht="13.5" x14ac:dyDescent="0.25">
      <c r="A2622" s="305" t="s">
        <v>2562</v>
      </c>
      <c r="B2622" s="305" t="s">
        <v>2563</v>
      </c>
      <c r="C2622" s="305" t="s">
        <v>363</v>
      </c>
      <c r="D2622" s="575">
        <v>76.62</v>
      </c>
    </row>
    <row r="2623" spans="1:4" ht="13.5" x14ac:dyDescent="0.25">
      <c r="A2623" s="305" t="s">
        <v>2564</v>
      </c>
      <c r="B2623" s="305" t="s">
        <v>2565</v>
      </c>
      <c r="C2623" s="305" t="s">
        <v>363</v>
      </c>
      <c r="D2623" s="575">
        <v>101.84</v>
      </c>
    </row>
    <row r="2624" spans="1:4" ht="13.5" x14ac:dyDescent="0.25">
      <c r="A2624" s="305" t="s">
        <v>2566</v>
      </c>
      <c r="B2624" s="305" t="s">
        <v>2567</v>
      </c>
      <c r="C2624" s="305" t="s">
        <v>363</v>
      </c>
      <c r="D2624" s="575">
        <v>286.75</v>
      </c>
    </row>
    <row r="2625" spans="1:4" ht="13.5" x14ac:dyDescent="0.25">
      <c r="A2625" s="305" t="s">
        <v>2568</v>
      </c>
      <c r="B2625" s="305" t="s">
        <v>2569</v>
      </c>
      <c r="C2625" s="305" t="s">
        <v>363</v>
      </c>
      <c r="D2625" s="575">
        <v>739.65</v>
      </c>
    </row>
    <row r="2626" spans="1:4" ht="13.5" x14ac:dyDescent="0.25">
      <c r="A2626" s="305" t="s">
        <v>2570</v>
      </c>
      <c r="B2626" s="305" t="s">
        <v>2571</v>
      </c>
      <c r="C2626" s="305" t="s">
        <v>363</v>
      </c>
      <c r="D2626" s="576">
        <v>1010.43</v>
      </c>
    </row>
    <row r="2627" spans="1:4" ht="13.5" x14ac:dyDescent="0.25">
      <c r="A2627" s="305" t="s">
        <v>2572</v>
      </c>
      <c r="B2627" s="305" t="s">
        <v>2573</v>
      </c>
      <c r="C2627" s="305" t="s">
        <v>363</v>
      </c>
      <c r="D2627" s="576">
        <v>1654.51</v>
      </c>
    </row>
    <row r="2628" spans="1:4" ht="13.5" x14ac:dyDescent="0.25">
      <c r="A2628" s="305" t="s">
        <v>2574</v>
      </c>
      <c r="B2628" s="305" t="s">
        <v>2575</v>
      </c>
      <c r="C2628" s="305" t="s">
        <v>363</v>
      </c>
      <c r="D2628" s="575">
        <v>447.69</v>
      </c>
    </row>
    <row r="2629" spans="1:4" ht="13.5" x14ac:dyDescent="0.25">
      <c r="A2629" s="305" t="s">
        <v>2576</v>
      </c>
      <c r="B2629" s="305" t="s">
        <v>2577</v>
      </c>
      <c r="C2629" s="305" t="s">
        <v>363</v>
      </c>
      <c r="D2629" s="575">
        <v>62.07</v>
      </c>
    </row>
    <row r="2630" spans="1:4" ht="13.5" x14ac:dyDescent="0.25">
      <c r="A2630" s="305" t="s">
        <v>2578</v>
      </c>
      <c r="B2630" s="305" t="s">
        <v>2579</v>
      </c>
      <c r="C2630" s="305" t="s">
        <v>363</v>
      </c>
      <c r="D2630" s="575">
        <v>413.61</v>
      </c>
    </row>
    <row r="2631" spans="1:4" ht="13.5" x14ac:dyDescent="0.25">
      <c r="A2631" s="305" t="s">
        <v>2580</v>
      </c>
      <c r="B2631" s="305" t="s">
        <v>2581</v>
      </c>
      <c r="C2631" s="305" t="s">
        <v>363</v>
      </c>
      <c r="D2631" s="575">
        <v>475.67</v>
      </c>
    </row>
    <row r="2632" spans="1:4" ht="13.5" x14ac:dyDescent="0.25">
      <c r="A2632" s="305" t="s">
        <v>2582</v>
      </c>
      <c r="B2632" s="305" t="s">
        <v>2583</v>
      </c>
      <c r="C2632" s="305" t="s">
        <v>363</v>
      </c>
      <c r="D2632" s="575">
        <v>547.72</v>
      </c>
    </row>
    <row r="2633" spans="1:4" ht="13.5" x14ac:dyDescent="0.25">
      <c r="A2633" s="305" t="s">
        <v>2584</v>
      </c>
      <c r="B2633" s="305" t="s">
        <v>2585</v>
      </c>
      <c r="C2633" s="305" t="s">
        <v>363</v>
      </c>
      <c r="D2633" s="575">
        <v>761.31</v>
      </c>
    </row>
    <row r="2634" spans="1:4" ht="13.5" x14ac:dyDescent="0.25">
      <c r="A2634" s="305" t="s">
        <v>2586</v>
      </c>
      <c r="B2634" s="305" t="s">
        <v>2587</v>
      </c>
      <c r="C2634" s="305" t="s">
        <v>363</v>
      </c>
      <c r="D2634" s="576">
        <v>1104.56</v>
      </c>
    </row>
    <row r="2635" spans="1:4" ht="13.5" x14ac:dyDescent="0.25">
      <c r="A2635" s="306">
        <v>83463</v>
      </c>
      <c r="B2635" s="305" t="s">
        <v>2588</v>
      </c>
      <c r="C2635" s="305" t="s">
        <v>363</v>
      </c>
      <c r="D2635" s="575">
        <v>321.60000000000002</v>
      </c>
    </row>
    <row r="2636" spans="1:4" ht="13.5" x14ac:dyDescent="0.25">
      <c r="A2636" s="306">
        <v>84402</v>
      </c>
      <c r="B2636" s="305" t="s">
        <v>2589</v>
      </c>
      <c r="C2636" s="305" t="s">
        <v>363</v>
      </c>
      <c r="D2636" s="575">
        <v>76.41</v>
      </c>
    </row>
    <row r="2637" spans="1:4" ht="13.5" x14ac:dyDescent="0.25">
      <c r="A2637" s="306">
        <v>93653</v>
      </c>
      <c r="B2637" s="305" t="s">
        <v>2590</v>
      </c>
      <c r="C2637" s="305" t="s">
        <v>363</v>
      </c>
      <c r="D2637" s="575">
        <v>8.9600000000000009</v>
      </c>
    </row>
    <row r="2638" spans="1:4" ht="13.5" x14ac:dyDescent="0.25">
      <c r="A2638" s="306">
        <v>93654</v>
      </c>
      <c r="B2638" s="305" t="s">
        <v>2591</v>
      </c>
      <c r="C2638" s="305" t="s">
        <v>363</v>
      </c>
      <c r="D2638" s="575">
        <v>9.4600000000000009</v>
      </c>
    </row>
    <row r="2639" spans="1:4" ht="13.5" x14ac:dyDescent="0.25">
      <c r="A2639" s="306">
        <v>93655</v>
      </c>
      <c r="B2639" s="305" t="s">
        <v>2592</v>
      </c>
      <c r="C2639" s="305" t="s">
        <v>363</v>
      </c>
      <c r="D2639" s="575">
        <v>10.3</v>
      </c>
    </row>
    <row r="2640" spans="1:4" ht="13.5" x14ac:dyDescent="0.25">
      <c r="A2640" s="306">
        <v>93656</v>
      </c>
      <c r="B2640" s="305" t="s">
        <v>2593</v>
      </c>
      <c r="C2640" s="305" t="s">
        <v>363</v>
      </c>
      <c r="D2640" s="575">
        <v>10.3</v>
      </c>
    </row>
    <row r="2641" spans="1:4" ht="13.5" x14ac:dyDescent="0.25">
      <c r="A2641" s="306">
        <v>93657</v>
      </c>
      <c r="B2641" s="305" t="s">
        <v>2594</v>
      </c>
      <c r="C2641" s="305" t="s">
        <v>363</v>
      </c>
      <c r="D2641" s="575">
        <v>11.37</v>
      </c>
    </row>
    <row r="2642" spans="1:4" ht="13.5" x14ac:dyDescent="0.25">
      <c r="A2642" s="306">
        <v>93658</v>
      </c>
      <c r="B2642" s="305" t="s">
        <v>2595</v>
      </c>
      <c r="C2642" s="305" t="s">
        <v>363</v>
      </c>
      <c r="D2642" s="575">
        <v>16.52</v>
      </c>
    </row>
    <row r="2643" spans="1:4" ht="13.5" x14ac:dyDescent="0.25">
      <c r="A2643" s="306">
        <v>93659</v>
      </c>
      <c r="B2643" s="305" t="s">
        <v>2596</v>
      </c>
      <c r="C2643" s="305" t="s">
        <v>363</v>
      </c>
      <c r="D2643" s="575">
        <v>18.72</v>
      </c>
    </row>
    <row r="2644" spans="1:4" ht="13.5" x14ac:dyDescent="0.25">
      <c r="A2644" s="306">
        <v>93660</v>
      </c>
      <c r="B2644" s="305" t="s">
        <v>2597</v>
      </c>
      <c r="C2644" s="305" t="s">
        <v>363</v>
      </c>
      <c r="D2644" s="575">
        <v>44.43</v>
      </c>
    </row>
    <row r="2645" spans="1:4" ht="13.5" x14ac:dyDescent="0.25">
      <c r="A2645" s="306">
        <v>93661</v>
      </c>
      <c r="B2645" s="305" t="s">
        <v>2598</v>
      </c>
      <c r="C2645" s="305" t="s">
        <v>363</v>
      </c>
      <c r="D2645" s="575">
        <v>45.37</v>
      </c>
    </row>
    <row r="2646" spans="1:4" ht="13.5" x14ac:dyDescent="0.25">
      <c r="A2646" s="306">
        <v>93662</v>
      </c>
      <c r="B2646" s="305" t="s">
        <v>2599</v>
      </c>
      <c r="C2646" s="305" t="s">
        <v>363</v>
      </c>
      <c r="D2646" s="575">
        <v>47.13</v>
      </c>
    </row>
    <row r="2647" spans="1:4" ht="13.5" x14ac:dyDescent="0.25">
      <c r="A2647" s="306">
        <v>93663</v>
      </c>
      <c r="B2647" s="305" t="s">
        <v>2600</v>
      </c>
      <c r="C2647" s="305" t="s">
        <v>363</v>
      </c>
      <c r="D2647" s="575">
        <v>47.13</v>
      </c>
    </row>
    <row r="2648" spans="1:4" ht="13.5" x14ac:dyDescent="0.25">
      <c r="A2648" s="306">
        <v>93664</v>
      </c>
      <c r="B2648" s="305" t="s">
        <v>2601</v>
      </c>
      <c r="C2648" s="305" t="s">
        <v>363</v>
      </c>
      <c r="D2648" s="575">
        <v>49.25</v>
      </c>
    </row>
    <row r="2649" spans="1:4" ht="13.5" x14ac:dyDescent="0.25">
      <c r="A2649" s="306">
        <v>93665</v>
      </c>
      <c r="B2649" s="305" t="s">
        <v>2602</v>
      </c>
      <c r="C2649" s="305" t="s">
        <v>363</v>
      </c>
      <c r="D2649" s="575">
        <v>52.06</v>
      </c>
    </row>
    <row r="2650" spans="1:4" ht="13.5" x14ac:dyDescent="0.25">
      <c r="A2650" s="306">
        <v>93666</v>
      </c>
      <c r="B2650" s="305" t="s">
        <v>2603</v>
      </c>
      <c r="C2650" s="305" t="s">
        <v>363</v>
      </c>
      <c r="D2650" s="575">
        <v>56.45</v>
      </c>
    </row>
    <row r="2651" spans="1:4" ht="13.5" x14ac:dyDescent="0.25">
      <c r="A2651" s="306">
        <v>93667</v>
      </c>
      <c r="B2651" s="305" t="s">
        <v>2604</v>
      </c>
      <c r="C2651" s="305" t="s">
        <v>363</v>
      </c>
      <c r="D2651" s="575">
        <v>55.48</v>
      </c>
    </row>
    <row r="2652" spans="1:4" ht="13.5" x14ac:dyDescent="0.25">
      <c r="A2652" s="306">
        <v>93668</v>
      </c>
      <c r="B2652" s="305" t="s">
        <v>2605</v>
      </c>
      <c r="C2652" s="305" t="s">
        <v>363</v>
      </c>
      <c r="D2652" s="575">
        <v>56.9</v>
      </c>
    </row>
    <row r="2653" spans="1:4" ht="13.5" x14ac:dyDescent="0.25">
      <c r="A2653" s="306">
        <v>93669</v>
      </c>
      <c r="B2653" s="305" t="s">
        <v>2606</v>
      </c>
      <c r="C2653" s="305" t="s">
        <v>363</v>
      </c>
      <c r="D2653" s="575">
        <v>59.5</v>
      </c>
    </row>
    <row r="2654" spans="1:4" ht="13.5" x14ac:dyDescent="0.25">
      <c r="A2654" s="306">
        <v>93670</v>
      </c>
      <c r="B2654" s="305" t="s">
        <v>2607</v>
      </c>
      <c r="C2654" s="305" t="s">
        <v>363</v>
      </c>
      <c r="D2654" s="575">
        <v>59.5</v>
      </c>
    </row>
    <row r="2655" spans="1:4" ht="13.5" x14ac:dyDescent="0.25">
      <c r="A2655" s="306">
        <v>93671</v>
      </c>
      <c r="B2655" s="305" t="s">
        <v>2608</v>
      </c>
      <c r="C2655" s="305" t="s">
        <v>363</v>
      </c>
      <c r="D2655" s="575">
        <v>62.71</v>
      </c>
    </row>
    <row r="2656" spans="1:4" ht="13.5" x14ac:dyDescent="0.25">
      <c r="A2656" s="306">
        <v>93672</v>
      </c>
      <c r="B2656" s="305" t="s">
        <v>2609</v>
      </c>
      <c r="C2656" s="305" t="s">
        <v>363</v>
      </c>
      <c r="D2656" s="575">
        <v>67.88</v>
      </c>
    </row>
    <row r="2657" spans="1:4" ht="13.5" x14ac:dyDescent="0.25">
      <c r="A2657" s="306">
        <v>93673</v>
      </c>
      <c r="B2657" s="305" t="s">
        <v>2610</v>
      </c>
      <c r="C2657" s="305" t="s">
        <v>363</v>
      </c>
      <c r="D2657" s="575">
        <v>74.48</v>
      </c>
    </row>
    <row r="2658" spans="1:4" ht="13.5" x14ac:dyDescent="0.25">
      <c r="A2658" s="306">
        <v>97359</v>
      </c>
      <c r="B2658" s="305" t="s">
        <v>12490</v>
      </c>
      <c r="C2658" s="305" t="s">
        <v>363</v>
      </c>
      <c r="D2658" s="576">
        <v>2296.79</v>
      </c>
    </row>
    <row r="2659" spans="1:4" ht="13.5" x14ac:dyDescent="0.25">
      <c r="A2659" s="306">
        <v>97360</v>
      </c>
      <c r="B2659" s="305" t="s">
        <v>12491</v>
      </c>
      <c r="C2659" s="305" t="s">
        <v>363</v>
      </c>
      <c r="D2659" s="576">
        <v>4417.26</v>
      </c>
    </row>
    <row r="2660" spans="1:4" ht="13.5" x14ac:dyDescent="0.25">
      <c r="A2660" s="306">
        <v>97361</v>
      </c>
      <c r="B2660" s="305" t="s">
        <v>12492</v>
      </c>
      <c r="C2660" s="305" t="s">
        <v>363</v>
      </c>
      <c r="D2660" s="576">
        <v>5889.69</v>
      </c>
    </row>
    <row r="2661" spans="1:4" ht="13.5" x14ac:dyDescent="0.25">
      <c r="A2661" s="306">
        <v>91945</v>
      </c>
      <c r="B2661" s="305" t="s">
        <v>2611</v>
      </c>
      <c r="C2661" s="305" t="s">
        <v>363</v>
      </c>
      <c r="D2661" s="575">
        <v>7.67</v>
      </c>
    </row>
    <row r="2662" spans="1:4" ht="13.5" x14ac:dyDescent="0.25">
      <c r="A2662" s="306">
        <v>91946</v>
      </c>
      <c r="B2662" s="305" t="s">
        <v>2612</v>
      </c>
      <c r="C2662" s="305" t="s">
        <v>363</v>
      </c>
      <c r="D2662" s="575">
        <v>6.45</v>
      </c>
    </row>
    <row r="2663" spans="1:4" ht="13.5" x14ac:dyDescent="0.25">
      <c r="A2663" s="306">
        <v>91947</v>
      </c>
      <c r="B2663" s="305" t="s">
        <v>2613</v>
      </c>
      <c r="C2663" s="305" t="s">
        <v>363</v>
      </c>
      <c r="D2663" s="575">
        <v>5.69</v>
      </c>
    </row>
    <row r="2664" spans="1:4" ht="13.5" x14ac:dyDescent="0.25">
      <c r="A2664" s="306">
        <v>91949</v>
      </c>
      <c r="B2664" s="305" t="s">
        <v>2614</v>
      </c>
      <c r="C2664" s="305" t="s">
        <v>363</v>
      </c>
      <c r="D2664" s="575">
        <v>11.85</v>
      </c>
    </row>
    <row r="2665" spans="1:4" ht="13.5" x14ac:dyDescent="0.25">
      <c r="A2665" s="306">
        <v>91950</v>
      </c>
      <c r="B2665" s="305" t="s">
        <v>2615</v>
      </c>
      <c r="C2665" s="305" t="s">
        <v>363</v>
      </c>
      <c r="D2665" s="575">
        <v>10.37</v>
      </c>
    </row>
    <row r="2666" spans="1:4" ht="13.5" x14ac:dyDescent="0.25">
      <c r="A2666" s="306">
        <v>91951</v>
      </c>
      <c r="B2666" s="305" t="s">
        <v>2616</v>
      </c>
      <c r="C2666" s="305" t="s">
        <v>363</v>
      </c>
      <c r="D2666" s="575">
        <v>9.49</v>
      </c>
    </row>
    <row r="2667" spans="1:4" ht="13.5" x14ac:dyDescent="0.25">
      <c r="A2667" s="306">
        <v>91952</v>
      </c>
      <c r="B2667" s="305" t="s">
        <v>2617</v>
      </c>
      <c r="C2667" s="305" t="s">
        <v>363</v>
      </c>
      <c r="D2667" s="575">
        <v>14.37</v>
      </c>
    </row>
    <row r="2668" spans="1:4" ht="13.5" x14ac:dyDescent="0.25">
      <c r="A2668" s="306">
        <v>91953</v>
      </c>
      <c r="B2668" s="305" t="s">
        <v>2618</v>
      </c>
      <c r="C2668" s="305" t="s">
        <v>363</v>
      </c>
      <c r="D2668" s="575">
        <v>20.82</v>
      </c>
    </row>
    <row r="2669" spans="1:4" ht="13.5" x14ac:dyDescent="0.25">
      <c r="A2669" s="306">
        <v>91954</v>
      </c>
      <c r="B2669" s="305" t="s">
        <v>2619</v>
      </c>
      <c r="C2669" s="305" t="s">
        <v>363</v>
      </c>
      <c r="D2669" s="575">
        <v>19.28</v>
      </c>
    </row>
    <row r="2670" spans="1:4" ht="13.5" x14ac:dyDescent="0.25">
      <c r="A2670" s="306">
        <v>91955</v>
      </c>
      <c r="B2670" s="305" t="s">
        <v>2620</v>
      </c>
      <c r="C2670" s="305" t="s">
        <v>363</v>
      </c>
      <c r="D2670" s="575">
        <v>25.73</v>
      </c>
    </row>
    <row r="2671" spans="1:4" ht="13.5" x14ac:dyDescent="0.25">
      <c r="A2671" s="306">
        <v>91956</v>
      </c>
      <c r="B2671" s="305" t="s">
        <v>2621</v>
      </c>
      <c r="C2671" s="305" t="s">
        <v>363</v>
      </c>
      <c r="D2671" s="575">
        <v>31.38</v>
      </c>
    </row>
    <row r="2672" spans="1:4" ht="13.5" x14ac:dyDescent="0.25">
      <c r="A2672" s="306">
        <v>91957</v>
      </c>
      <c r="B2672" s="305" t="s">
        <v>2622</v>
      </c>
      <c r="C2672" s="305" t="s">
        <v>363</v>
      </c>
      <c r="D2672" s="575">
        <v>37.83</v>
      </c>
    </row>
    <row r="2673" spans="1:4" ht="13.5" x14ac:dyDescent="0.25">
      <c r="A2673" s="306">
        <v>91958</v>
      </c>
      <c r="B2673" s="305" t="s">
        <v>2623</v>
      </c>
      <c r="C2673" s="305" t="s">
        <v>363</v>
      </c>
      <c r="D2673" s="575">
        <v>26.51</v>
      </c>
    </row>
    <row r="2674" spans="1:4" ht="13.5" x14ac:dyDescent="0.25">
      <c r="A2674" s="306">
        <v>91959</v>
      </c>
      <c r="B2674" s="305" t="s">
        <v>2624</v>
      </c>
      <c r="C2674" s="305" t="s">
        <v>363</v>
      </c>
      <c r="D2674" s="575">
        <v>32.96</v>
      </c>
    </row>
    <row r="2675" spans="1:4" ht="13.5" x14ac:dyDescent="0.25">
      <c r="A2675" s="306">
        <v>91960</v>
      </c>
      <c r="B2675" s="305" t="s">
        <v>2625</v>
      </c>
      <c r="C2675" s="305" t="s">
        <v>363</v>
      </c>
      <c r="D2675" s="575">
        <v>36.28</v>
      </c>
    </row>
    <row r="2676" spans="1:4" ht="13.5" x14ac:dyDescent="0.25">
      <c r="A2676" s="306">
        <v>91961</v>
      </c>
      <c r="B2676" s="305" t="s">
        <v>2626</v>
      </c>
      <c r="C2676" s="305" t="s">
        <v>363</v>
      </c>
      <c r="D2676" s="575">
        <v>42.73</v>
      </c>
    </row>
    <row r="2677" spans="1:4" ht="13.5" x14ac:dyDescent="0.25">
      <c r="A2677" s="306">
        <v>91962</v>
      </c>
      <c r="B2677" s="305" t="s">
        <v>2627</v>
      </c>
      <c r="C2677" s="305" t="s">
        <v>363</v>
      </c>
      <c r="D2677" s="575">
        <v>48.43</v>
      </c>
    </row>
    <row r="2678" spans="1:4" ht="13.5" x14ac:dyDescent="0.25">
      <c r="A2678" s="306">
        <v>91963</v>
      </c>
      <c r="B2678" s="305" t="s">
        <v>2628</v>
      </c>
      <c r="C2678" s="305" t="s">
        <v>363</v>
      </c>
      <c r="D2678" s="575">
        <v>54.88</v>
      </c>
    </row>
    <row r="2679" spans="1:4" ht="13.5" x14ac:dyDescent="0.25">
      <c r="A2679" s="306">
        <v>91964</v>
      </c>
      <c r="B2679" s="305" t="s">
        <v>2629</v>
      </c>
      <c r="C2679" s="305" t="s">
        <v>363</v>
      </c>
      <c r="D2679" s="575">
        <v>43.52</v>
      </c>
    </row>
    <row r="2680" spans="1:4" ht="13.5" x14ac:dyDescent="0.25">
      <c r="A2680" s="306">
        <v>91965</v>
      </c>
      <c r="B2680" s="305" t="s">
        <v>2630</v>
      </c>
      <c r="C2680" s="305" t="s">
        <v>363</v>
      </c>
      <c r="D2680" s="575">
        <v>49.97</v>
      </c>
    </row>
    <row r="2681" spans="1:4" ht="13.5" x14ac:dyDescent="0.25">
      <c r="A2681" s="306">
        <v>91966</v>
      </c>
      <c r="B2681" s="305" t="s">
        <v>2631</v>
      </c>
      <c r="C2681" s="305" t="s">
        <v>363</v>
      </c>
      <c r="D2681" s="575">
        <v>38.64</v>
      </c>
    </row>
    <row r="2682" spans="1:4" ht="13.5" x14ac:dyDescent="0.25">
      <c r="A2682" s="306">
        <v>91967</v>
      </c>
      <c r="B2682" s="305" t="s">
        <v>2632</v>
      </c>
      <c r="C2682" s="305" t="s">
        <v>363</v>
      </c>
      <c r="D2682" s="575">
        <v>45.09</v>
      </c>
    </row>
    <row r="2683" spans="1:4" ht="13.5" x14ac:dyDescent="0.25">
      <c r="A2683" s="306">
        <v>91968</v>
      </c>
      <c r="B2683" s="305" t="s">
        <v>2633</v>
      </c>
      <c r="C2683" s="305" t="s">
        <v>363</v>
      </c>
      <c r="D2683" s="575">
        <v>53.3</v>
      </c>
    </row>
    <row r="2684" spans="1:4" ht="13.5" x14ac:dyDescent="0.25">
      <c r="A2684" s="306">
        <v>91969</v>
      </c>
      <c r="B2684" s="305" t="s">
        <v>2634</v>
      </c>
      <c r="C2684" s="305" t="s">
        <v>363</v>
      </c>
      <c r="D2684" s="575">
        <v>59.75</v>
      </c>
    </row>
    <row r="2685" spans="1:4" ht="13.5" x14ac:dyDescent="0.25">
      <c r="A2685" s="306">
        <v>91970</v>
      </c>
      <c r="B2685" s="305" t="s">
        <v>2635</v>
      </c>
      <c r="C2685" s="305" t="s">
        <v>363</v>
      </c>
      <c r="D2685" s="575">
        <v>55.92</v>
      </c>
    </row>
    <row r="2686" spans="1:4" ht="13.5" x14ac:dyDescent="0.25">
      <c r="A2686" s="306">
        <v>91971</v>
      </c>
      <c r="B2686" s="305" t="s">
        <v>2636</v>
      </c>
      <c r="C2686" s="305" t="s">
        <v>363</v>
      </c>
      <c r="D2686" s="575">
        <v>66.290000000000006</v>
      </c>
    </row>
    <row r="2687" spans="1:4" ht="13.5" x14ac:dyDescent="0.25">
      <c r="A2687" s="306">
        <v>91972</v>
      </c>
      <c r="B2687" s="305" t="s">
        <v>2637</v>
      </c>
      <c r="C2687" s="305" t="s">
        <v>363</v>
      </c>
      <c r="D2687" s="575">
        <v>60.83</v>
      </c>
    </row>
    <row r="2688" spans="1:4" ht="13.5" x14ac:dyDescent="0.25">
      <c r="A2688" s="306">
        <v>91973</v>
      </c>
      <c r="B2688" s="305" t="s">
        <v>2638</v>
      </c>
      <c r="C2688" s="305" t="s">
        <v>363</v>
      </c>
      <c r="D2688" s="575">
        <v>71.2</v>
      </c>
    </row>
    <row r="2689" spans="1:4" ht="13.5" x14ac:dyDescent="0.25">
      <c r="A2689" s="306">
        <v>91974</v>
      </c>
      <c r="B2689" s="305" t="s">
        <v>2639</v>
      </c>
      <c r="C2689" s="305" t="s">
        <v>363</v>
      </c>
      <c r="D2689" s="575">
        <v>51.01</v>
      </c>
    </row>
    <row r="2690" spans="1:4" ht="13.5" x14ac:dyDescent="0.25">
      <c r="A2690" s="306">
        <v>91975</v>
      </c>
      <c r="B2690" s="305" t="s">
        <v>2640</v>
      </c>
      <c r="C2690" s="305" t="s">
        <v>363</v>
      </c>
      <c r="D2690" s="575">
        <v>61.38</v>
      </c>
    </row>
    <row r="2691" spans="1:4" ht="13.5" x14ac:dyDescent="0.25">
      <c r="A2691" s="306">
        <v>91976</v>
      </c>
      <c r="B2691" s="305" t="s">
        <v>2641</v>
      </c>
      <c r="C2691" s="305" t="s">
        <v>363</v>
      </c>
      <c r="D2691" s="575">
        <v>75.37</v>
      </c>
    </row>
    <row r="2692" spans="1:4" ht="13.5" x14ac:dyDescent="0.25">
      <c r="A2692" s="306">
        <v>91977</v>
      </c>
      <c r="B2692" s="305" t="s">
        <v>2642</v>
      </c>
      <c r="C2692" s="305" t="s">
        <v>363</v>
      </c>
      <c r="D2692" s="575">
        <v>85.74</v>
      </c>
    </row>
    <row r="2693" spans="1:4" ht="13.5" x14ac:dyDescent="0.25">
      <c r="A2693" s="306">
        <v>91978</v>
      </c>
      <c r="B2693" s="305" t="s">
        <v>2643</v>
      </c>
      <c r="C2693" s="305" t="s">
        <v>363</v>
      </c>
      <c r="D2693" s="575">
        <v>31.1</v>
      </c>
    </row>
    <row r="2694" spans="1:4" ht="13.5" x14ac:dyDescent="0.25">
      <c r="A2694" s="306">
        <v>91979</v>
      </c>
      <c r="B2694" s="305" t="s">
        <v>2644</v>
      </c>
      <c r="C2694" s="305" t="s">
        <v>363</v>
      </c>
      <c r="D2694" s="575">
        <v>37.549999999999997</v>
      </c>
    </row>
    <row r="2695" spans="1:4" ht="13.5" x14ac:dyDescent="0.25">
      <c r="A2695" s="306">
        <v>91980</v>
      </c>
      <c r="B2695" s="305" t="s">
        <v>2645</v>
      </c>
      <c r="C2695" s="305" t="s">
        <v>363</v>
      </c>
      <c r="D2695" s="575">
        <v>30.05</v>
      </c>
    </row>
    <row r="2696" spans="1:4" ht="13.5" x14ac:dyDescent="0.25">
      <c r="A2696" s="306">
        <v>91981</v>
      </c>
      <c r="B2696" s="305" t="s">
        <v>2646</v>
      </c>
      <c r="C2696" s="305" t="s">
        <v>363</v>
      </c>
      <c r="D2696" s="575">
        <v>36.5</v>
      </c>
    </row>
    <row r="2697" spans="1:4" ht="13.5" x14ac:dyDescent="0.25">
      <c r="A2697" s="306">
        <v>91982</v>
      </c>
      <c r="B2697" s="305" t="s">
        <v>2647</v>
      </c>
      <c r="C2697" s="305" t="s">
        <v>363</v>
      </c>
      <c r="D2697" s="575">
        <v>74.98</v>
      </c>
    </row>
    <row r="2698" spans="1:4" ht="13.5" x14ac:dyDescent="0.25">
      <c r="A2698" s="306">
        <v>91983</v>
      </c>
      <c r="B2698" s="305" t="s">
        <v>2648</v>
      </c>
      <c r="C2698" s="305" t="s">
        <v>363</v>
      </c>
      <c r="D2698" s="575">
        <v>81.430000000000007</v>
      </c>
    </row>
    <row r="2699" spans="1:4" ht="13.5" x14ac:dyDescent="0.25">
      <c r="A2699" s="306">
        <v>91984</v>
      </c>
      <c r="B2699" s="305" t="s">
        <v>2649</v>
      </c>
      <c r="C2699" s="305" t="s">
        <v>363</v>
      </c>
      <c r="D2699" s="575">
        <v>13.4</v>
      </c>
    </row>
    <row r="2700" spans="1:4" ht="13.5" x14ac:dyDescent="0.25">
      <c r="A2700" s="306">
        <v>91985</v>
      </c>
      <c r="B2700" s="305" t="s">
        <v>2650</v>
      </c>
      <c r="C2700" s="305" t="s">
        <v>363</v>
      </c>
      <c r="D2700" s="575">
        <v>19.850000000000001</v>
      </c>
    </row>
    <row r="2701" spans="1:4" ht="13.5" x14ac:dyDescent="0.25">
      <c r="A2701" s="306">
        <v>91986</v>
      </c>
      <c r="B2701" s="305" t="s">
        <v>2651</v>
      </c>
      <c r="C2701" s="305" t="s">
        <v>363</v>
      </c>
      <c r="D2701" s="575">
        <v>29.12</v>
      </c>
    </row>
    <row r="2702" spans="1:4" ht="13.5" x14ac:dyDescent="0.25">
      <c r="A2702" s="306">
        <v>91987</v>
      </c>
      <c r="B2702" s="305" t="s">
        <v>2652</v>
      </c>
      <c r="C2702" s="305" t="s">
        <v>363</v>
      </c>
      <c r="D2702" s="575">
        <v>35.57</v>
      </c>
    </row>
    <row r="2703" spans="1:4" ht="13.5" x14ac:dyDescent="0.25">
      <c r="A2703" s="306">
        <v>91988</v>
      </c>
      <c r="B2703" s="305" t="s">
        <v>2653</v>
      </c>
      <c r="C2703" s="305" t="s">
        <v>363</v>
      </c>
      <c r="D2703" s="575">
        <v>16.920000000000002</v>
      </c>
    </row>
    <row r="2704" spans="1:4" ht="13.5" x14ac:dyDescent="0.25">
      <c r="A2704" s="306">
        <v>91989</v>
      </c>
      <c r="B2704" s="305" t="s">
        <v>2654</v>
      </c>
      <c r="C2704" s="305" t="s">
        <v>363</v>
      </c>
      <c r="D2704" s="575">
        <v>23.37</v>
      </c>
    </row>
    <row r="2705" spans="1:4" ht="13.5" x14ac:dyDescent="0.25">
      <c r="A2705" s="306">
        <v>91990</v>
      </c>
      <c r="B2705" s="305" t="s">
        <v>2655</v>
      </c>
      <c r="C2705" s="305" t="s">
        <v>363</v>
      </c>
      <c r="D2705" s="575">
        <v>25.32</v>
      </c>
    </row>
    <row r="2706" spans="1:4" ht="13.5" x14ac:dyDescent="0.25">
      <c r="A2706" s="306">
        <v>91991</v>
      </c>
      <c r="B2706" s="305" t="s">
        <v>2656</v>
      </c>
      <c r="C2706" s="305" t="s">
        <v>363</v>
      </c>
      <c r="D2706" s="575">
        <v>27.22</v>
      </c>
    </row>
    <row r="2707" spans="1:4" ht="13.5" x14ac:dyDescent="0.25">
      <c r="A2707" s="306">
        <v>91992</v>
      </c>
      <c r="B2707" s="305" t="s">
        <v>2657</v>
      </c>
      <c r="C2707" s="305" t="s">
        <v>363</v>
      </c>
      <c r="D2707" s="575">
        <v>31.77</v>
      </c>
    </row>
    <row r="2708" spans="1:4" ht="13.5" x14ac:dyDescent="0.25">
      <c r="A2708" s="306">
        <v>91993</v>
      </c>
      <c r="B2708" s="305" t="s">
        <v>2658</v>
      </c>
      <c r="C2708" s="305" t="s">
        <v>363</v>
      </c>
      <c r="D2708" s="575">
        <v>33.67</v>
      </c>
    </row>
    <row r="2709" spans="1:4" ht="13.5" x14ac:dyDescent="0.25">
      <c r="A2709" s="306">
        <v>91994</v>
      </c>
      <c r="B2709" s="305" t="s">
        <v>2659</v>
      </c>
      <c r="C2709" s="305" t="s">
        <v>363</v>
      </c>
      <c r="D2709" s="575">
        <v>18.3</v>
      </c>
    </row>
    <row r="2710" spans="1:4" ht="13.5" x14ac:dyDescent="0.25">
      <c r="A2710" s="306">
        <v>91995</v>
      </c>
      <c r="B2710" s="305" t="s">
        <v>2660</v>
      </c>
      <c r="C2710" s="305" t="s">
        <v>363</v>
      </c>
      <c r="D2710" s="575">
        <v>20.2</v>
      </c>
    </row>
    <row r="2711" spans="1:4" ht="13.5" x14ac:dyDescent="0.25">
      <c r="A2711" s="306">
        <v>91996</v>
      </c>
      <c r="B2711" s="305" t="s">
        <v>2661</v>
      </c>
      <c r="C2711" s="305" t="s">
        <v>363</v>
      </c>
      <c r="D2711" s="575">
        <v>24.75</v>
      </c>
    </row>
    <row r="2712" spans="1:4" ht="13.5" x14ac:dyDescent="0.25">
      <c r="A2712" s="306">
        <v>91997</v>
      </c>
      <c r="B2712" s="305" t="s">
        <v>2662</v>
      </c>
      <c r="C2712" s="305" t="s">
        <v>363</v>
      </c>
      <c r="D2712" s="575">
        <v>26.65</v>
      </c>
    </row>
    <row r="2713" spans="1:4" ht="13.5" x14ac:dyDescent="0.25">
      <c r="A2713" s="306">
        <v>91998</v>
      </c>
      <c r="B2713" s="305" t="s">
        <v>2663</v>
      </c>
      <c r="C2713" s="305" t="s">
        <v>363</v>
      </c>
      <c r="D2713" s="575">
        <v>15.57</v>
      </c>
    </row>
    <row r="2714" spans="1:4" ht="13.5" x14ac:dyDescent="0.25">
      <c r="A2714" s="306">
        <v>91999</v>
      </c>
      <c r="B2714" s="305" t="s">
        <v>2664</v>
      </c>
      <c r="C2714" s="305" t="s">
        <v>363</v>
      </c>
      <c r="D2714" s="575">
        <v>17.47</v>
      </c>
    </row>
    <row r="2715" spans="1:4" ht="13.5" x14ac:dyDescent="0.25">
      <c r="A2715" s="306">
        <v>92000</v>
      </c>
      <c r="B2715" s="305" t="s">
        <v>2665</v>
      </c>
      <c r="C2715" s="305" t="s">
        <v>363</v>
      </c>
      <c r="D2715" s="575">
        <v>22.02</v>
      </c>
    </row>
    <row r="2716" spans="1:4" ht="13.5" x14ac:dyDescent="0.25">
      <c r="A2716" s="306">
        <v>92001</v>
      </c>
      <c r="B2716" s="305" t="s">
        <v>2666</v>
      </c>
      <c r="C2716" s="305" t="s">
        <v>363</v>
      </c>
      <c r="D2716" s="575">
        <v>23.92</v>
      </c>
    </row>
    <row r="2717" spans="1:4" ht="13.5" x14ac:dyDescent="0.25">
      <c r="A2717" s="306">
        <v>92002</v>
      </c>
      <c r="B2717" s="305" t="s">
        <v>2667</v>
      </c>
      <c r="C2717" s="305" t="s">
        <v>363</v>
      </c>
      <c r="D2717" s="575">
        <v>34.32</v>
      </c>
    </row>
    <row r="2718" spans="1:4" ht="13.5" x14ac:dyDescent="0.25">
      <c r="A2718" s="306">
        <v>92003</v>
      </c>
      <c r="B2718" s="305" t="s">
        <v>2668</v>
      </c>
      <c r="C2718" s="305" t="s">
        <v>363</v>
      </c>
      <c r="D2718" s="575">
        <v>38.119999999999997</v>
      </c>
    </row>
    <row r="2719" spans="1:4" ht="13.5" x14ac:dyDescent="0.25">
      <c r="A2719" s="306">
        <v>92004</v>
      </c>
      <c r="B2719" s="305" t="s">
        <v>2669</v>
      </c>
      <c r="C2719" s="305" t="s">
        <v>363</v>
      </c>
      <c r="D2719" s="575">
        <v>40.770000000000003</v>
      </c>
    </row>
    <row r="2720" spans="1:4" ht="13.5" x14ac:dyDescent="0.25">
      <c r="A2720" s="306">
        <v>92005</v>
      </c>
      <c r="B2720" s="305" t="s">
        <v>2670</v>
      </c>
      <c r="C2720" s="305" t="s">
        <v>363</v>
      </c>
      <c r="D2720" s="575">
        <v>44.57</v>
      </c>
    </row>
    <row r="2721" spans="1:4" ht="13.5" x14ac:dyDescent="0.25">
      <c r="A2721" s="306">
        <v>92006</v>
      </c>
      <c r="B2721" s="305" t="s">
        <v>2671</v>
      </c>
      <c r="C2721" s="305" t="s">
        <v>363</v>
      </c>
      <c r="D2721" s="575">
        <v>28.88</v>
      </c>
    </row>
    <row r="2722" spans="1:4" ht="13.5" x14ac:dyDescent="0.25">
      <c r="A2722" s="306">
        <v>92007</v>
      </c>
      <c r="B2722" s="305" t="s">
        <v>2672</v>
      </c>
      <c r="C2722" s="305" t="s">
        <v>363</v>
      </c>
      <c r="D2722" s="575">
        <v>32.68</v>
      </c>
    </row>
    <row r="2723" spans="1:4" ht="13.5" x14ac:dyDescent="0.25">
      <c r="A2723" s="306">
        <v>92008</v>
      </c>
      <c r="B2723" s="305" t="s">
        <v>2673</v>
      </c>
      <c r="C2723" s="305" t="s">
        <v>363</v>
      </c>
      <c r="D2723" s="575">
        <v>35.33</v>
      </c>
    </row>
    <row r="2724" spans="1:4" ht="13.5" x14ac:dyDescent="0.25">
      <c r="A2724" s="306">
        <v>92009</v>
      </c>
      <c r="B2724" s="305" t="s">
        <v>2674</v>
      </c>
      <c r="C2724" s="305" t="s">
        <v>363</v>
      </c>
      <c r="D2724" s="575">
        <v>39.130000000000003</v>
      </c>
    </row>
    <row r="2725" spans="1:4" ht="13.5" x14ac:dyDescent="0.25">
      <c r="A2725" s="306">
        <v>92010</v>
      </c>
      <c r="B2725" s="305" t="s">
        <v>2675</v>
      </c>
      <c r="C2725" s="305" t="s">
        <v>363</v>
      </c>
      <c r="D2725" s="575">
        <v>50.36</v>
      </c>
    </row>
    <row r="2726" spans="1:4" ht="13.5" x14ac:dyDescent="0.25">
      <c r="A2726" s="306">
        <v>92011</v>
      </c>
      <c r="B2726" s="305" t="s">
        <v>2676</v>
      </c>
      <c r="C2726" s="305" t="s">
        <v>363</v>
      </c>
      <c r="D2726" s="575">
        <v>56.06</v>
      </c>
    </row>
    <row r="2727" spans="1:4" ht="13.5" x14ac:dyDescent="0.25">
      <c r="A2727" s="306">
        <v>92012</v>
      </c>
      <c r="B2727" s="305" t="s">
        <v>2677</v>
      </c>
      <c r="C2727" s="305" t="s">
        <v>363</v>
      </c>
      <c r="D2727" s="575">
        <v>56.81</v>
      </c>
    </row>
    <row r="2728" spans="1:4" ht="13.5" x14ac:dyDescent="0.25">
      <c r="A2728" s="306">
        <v>92013</v>
      </c>
      <c r="B2728" s="305" t="s">
        <v>2678</v>
      </c>
      <c r="C2728" s="305" t="s">
        <v>363</v>
      </c>
      <c r="D2728" s="575">
        <v>62.51</v>
      </c>
    </row>
    <row r="2729" spans="1:4" ht="13.5" x14ac:dyDescent="0.25">
      <c r="A2729" s="306">
        <v>92014</v>
      </c>
      <c r="B2729" s="305" t="s">
        <v>2679</v>
      </c>
      <c r="C2729" s="305" t="s">
        <v>363</v>
      </c>
      <c r="D2729" s="575">
        <v>42.18</v>
      </c>
    </row>
    <row r="2730" spans="1:4" ht="13.5" x14ac:dyDescent="0.25">
      <c r="A2730" s="306">
        <v>92015</v>
      </c>
      <c r="B2730" s="305" t="s">
        <v>2680</v>
      </c>
      <c r="C2730" s="305" t="s">
        <v>363</v>
      </c>
      <c r="D2730" s="575">
        <v>47.88</v>
      </c>
    </row>
    <row r="2731" spans="1:4" ht="13.5" x14ac:dyDescent="0.25">
      <c r="A2731" s="306">
        <v>92016</v>
      </c>
      <c r="B2731" s="305" t="s">
        <v>2681</v>
      </c>
      <c r="C2731" s="305" t="s">
        <v>363</v>
      </c>
      <c r="D2731" s="575">
        <v>48.63</v>
      </c>
    </row>
    <row r="2732" spans="1:4" ht="13.5" x14ac:dyDescent="0.25">
      <c r="A2732" s="306">
        <v>92017</v>
      </c>
      <c r="B2732" s="305" t="s">
        <v>2682</v>
      </c>
      <c r="C2732" s="305" t="s">
        <v>363</v>
      </c>
      <c r="D2732" s="575">
        <v>54.33</v>
      </c>
    </row>
    <row r="2733" spans="1:4" ht="13.5" x14ac:dyDescent="0.25">
      <c r="A2733" s="306">
        <v>92018</v>
      </c>
      <c r="B2733" s="305" t="s">
        <v>2683</v>
      </c>
      <c r="C2733" s="305" t="s">
        <v>363</v>
      </c>
      <c r="D2733" s="575">
        <v>55.86</v>
      </c>
    </row>
    <row r="2734" spans="1:4" ht="13.5" x14ac:dyDescent="0.25">
      <c r="A2734" s="306">
        <v>92019</v>
      </c>
      <c r="B2734" s="305" t="s">
        <v>2684</v>
      </c>
      <c r="C2734" s="305" t="s">
        <v>363</v>
      </c>
      <c r="D2734" s="575">
        <v>66.23</v>
      </c>
    </row>
    <row r="2735" spans="1:4" ht="13.5" x14ac:dyDescent="0.25">
      <c r="A2735" s="306">
        <v>92020</v>
      </c>
      <c r="B2735" s="305" t="s">
        <v>2685</v>
      </c>
      <c r="C2735" s="305" t="s">
        <v>363</v>
      </c>
      <c r="D2735" s="575">
        <v>82.66</v>
      </c>
    </row>
    <row r="2736" spans="1:4" ht="13.5" x14ac:dyDescent="0.25">
      <c r="A2736" s="306">
        <v>92021</v>
      </c>
      <c r="B2736" s="305" t="s">
        <v>2686</v>
      </c>
      <c r="C2736" s="305" t="s">
        <v>363</v>
      </c>
      <c r="D2736" s="575">
        <v>93.03</v>
      </c>
    </row>
    <row r="2737" spans="1:4" ht="13.5" x14ac:dyDescent="0.25">
      <c r="A2737" s="306">
        <v>92022</v>
      </c>
      <c r="B2737" s="305" t="s">
        <v>2687</v>
      </c>
      <c r="C2737" s="305" t="s">
        <v>363</v>
      </c>
      <c r="D2737" s="575">
        <v>30.4</v>
      </c>
    </row>
    <row r="2738" spans="1:4" ht="13.5" x14ac:dyDescent="0.25">
      <c r="A2738" s="306">
        <v>92023</v>
      </c>
      <c r="B2738" s="305" t="s">
        <v>2688</v>
      </c>
      <c r="C2738" s="305" t="s">
        <v>363</v>
      </c>
      <c r="D2738" s="575">
        <v>36.85</v>
      </c>
    </row>
    <row r="2739" spans="1:4" ht="13.5" x14ac:dyDescent="0.25">
      <c r="A2739" s="306">
        <v>92024</v>
      </c>
      <c r="B2739" s="305" t="s">
        <v>2689</v>
      </c>
      <c r="C2739" s="305" t="s">
        <v>363</v>
      </c>
      <c r="D2739" s="575">
        <v>46.47</v>
      </c>
    </row>
    <row r="2740" spans="1:4" ht="13.5" x14ac:dyDescent="0.25">
      <c r="A2740" s="306">
        <v>92025</v>
      </c>
      <c r="B2740" s="305" t="s">
        <v>2690</v>
      </c>
      <c r="C2740" s="305" t="s">
        <v>363</v>
      </c>
      <c r="D2740" s="575">
        <v>52.92</v>
      </c>
    </row>
    <row r="2741" spans="1:4" ht="13.5" x14ac:dyDescent="0.25">
      <c r="A2741" s="306">
        <v>92026</v>
      </c>
      <c r="B2741" s="305" t="s">
        <v>2691</v>
      </c>
      <c r="C2741" s="305" t="s">
        <v>363</v>
      </c>
      <c r="D2741" s="575">
        <v>42.54</v>
      </c>
    </row>
    <row r="2742" spans="1:4" ht="13.5" x14ac:dyDescent="0.25">
      <c r="A2742" s="306">
        <v>92027</v>
      </c>
      <c r="B2742" s="305" t="s">
        <v>2692</v>
      </c>
      <c r="C2742" s="305" t="s">
        <v>363</v>
      </c>
      <c r="D2742" s="575">
        <v>48.99</v>
      </c>
    </row>
    <row r="2743" spans="1:4" ht="13.5" x14ac:dyDescent="0.25">
      <c r="A2743" s="306">
        <v>92028</v>
      </c>
      <c r="B2743" s="305" t="s">
        <v>2693</v>
      </c>
      <c r="C2743" s="305" t="s">
        <v>363</v>
      </c>
      <c r="D2743" s="575">
        <v>35.299999999999997</v>
      </c>
    </row>
    <row r="2744" spans="1:4" ht="13.5" x14ac:dyDescent="0.25">
      <c r="A2744" s="306">
        <v>92029</v>
      </c>
      <c r="B2744" s="305" t="s">
        <v>2694</v>
      </c>
      <c r="C2744" s="305" t="s">
        <v>363</v>
      </c>
      <c r="D2744" s="575">
        <v>41.75</v>
      </c>
    </row>
    <row r="2745" spans="1:4" ht="13.5" x14ac:dyDescent="0.25">
      <c r="A2745" s="306">
        <v>92030</v>
      </c>
      <c r="B2745" s="305" t="s">
        <v>2695</v>
      </c>
      <c r="C2745" s="305" t="s">
        <v>363</v>
      </c>
      <c r="D2745" s="575">
        <v>51.34</v>
      </c>
    </row>
    <row r="2746" spans="1:4" ht="13.5" x14ac:dyDescent="0.25">
      <c r="A2746" s="306">
        <v>92031</v>
      </c>
      <c r="B2746" s="305" t="s">
        <v>2696</v>
      </c>
      <c r="C2746" s="305" t="s">
        <v>363</v>
      </c>
      <c r="D2746" s="575">
        <v>57.79</v>
      </c>
    </row>
    <row r="2747" spans="1:4" ht="13.5" x14ac:dyDescent="0.25">
      <c r="A2747" s="306">
        <v>92032</v>
      </c>
      <c r="B2747" s="305" t="s">
        <v>2697</v>
      </c>
      <c r="C2747" s="305" t="s">
        <v>363</v>
      </c>
      <c r="D2747" s="575">
        <v>52.32</v>
      </c>
    </row>
    <row r="2748" spans="1:4" ht="13.5" x14ac:dyDescent="0.25">
      <c r="A2748" s="306">
        <v>92033</v>
      </c>
      <c r="B2748" s="305" t="s">
        <v>2698</v>
      </c>
      <c r="C2748" s="305" t="s">
        <v>363</v>
      </c>
      <c r="D2748" s="575">
        <v>58.77</v>
      </c>
    </row>
    <row r="2749" spans="1:4" ht="13.5" x14ac:dyDescent="0.25">
      <c r="A2749" s="306">
        <v>92034</v>
      </c>
      <c r="B2749" s="305" t="s">
        <v>2699</v>
      </c>
      <c r="C2749" s="305" t="s">
        <v>363</v>
      </c>
      <c r="D2749" s="575">
        <v>47.45</v>
      </c>
    </row>
    <row r="2750" spans="1:4" ht="13.5" x14ac:dyDescent="0.25">
      <c r="A2750" s="306">
        <v>92035</v>
      </c>
      <c r="B2750" s="305" t="s">
        <v>2700</v>
      </c>
      <c r="C2750" s="305" t="s">
        <v>363</v>
      </c>
      <c r="D2750" s="575">
        <v>53.9</v>
      </c>
    </row>
    <row r="2751" spans="1:4" ht="13.5" x14ac:dyDescent="0.25">
      <c r="A2751" s="306">
        <v>72278</v>
      </c>
      <c r="B2751" s="305" t="s">
        <v>2701</v>
      </c>
      <c r="C2751" s="305" t="s">
        <v>363</v>
      </c>
      <c r="D2751" s="575">
        <v>80.3</v>
      </c>
    </row>
    <row r="2752" spans="1:4" ht="13.5" x14ac:dyDescent="0.25">
      <c r="A2752" s="306">
        <v>72280</v>
      </c>
      <c r="B2752" s="305" t="s">
        <v>2702</v>
      </c>
      <c r="C2752" s="305" t="s">
        <v>363</v>
      </c>
      <c r="D2752" s="575">
        <v>40.159999999999997</v>
      </c>
    </row>
    <row r="2753" spans="1:4" ht="13.5" x14ac:dyDescent="0.25">
      <c r="A2753" s="306">
        <v>97583</v>
      </c>
      <c r="B2753" s="305" t="s">
        <v>12493</v>
      </c>
      <c r="C2753" s="305" t="s">
        <v>363</v>
      </c>
      <c r="D2753" s="575">
        <v>55.21</v>
      </c>
    </row>
    <row r="2754" spans="1:4" ht="13.5" x14ac:dyDescent="0.25">
      <c r="A2754" s="306">
        <v>97584</v>
      </c>
      <c r="B2754" s="305" t="s">
        <v>12494</v>
      </c>
      <c r="C2754" s="305" t="s">
        <v>363</v>
      </c>
      <c r="D2754" s="575">
        <v>76.64</v>
      </c>
    </row>
    <row r="2755" spans="1:4" ht="13.5" x14ac:dyDescent="0.25">
      <c r="A2755" s="306">
        <v>97585</v>
      </c>
      <c r="B2755" s="305" t="s">
        <v>12495</v>
      </c>
      <c r="C2755" s="305" t="s">
        <v>363</v>
      </c>
      <c r="D2755" s="575">
        <v>73.989999999999995</v>
      </c>
    </row>
    <row r="2756" spans="1:4" ht="13.5" x14ac:dyDescent="0.25">
      <c r="A2756" s="306">
        <v>97586</v>
      </c>
      <c r="B2756" s="305" t="s">
        <v>12496</v>
      </c>
      <c r="C2756" s="305" t="s">
        <v>363</v>
      </c>
      <c r="D2756" s="575">
        <v>99.87</v>
      </c>
    </row>
    <row r="2757" spans="1:4" ht="13.5" x14ac:dyDescent="0.25">
      <c r="A2757" s="306">
        <v>97587</v>
      </c>
      <c r="B2757" s="305" t="s">
        <v>12497</v>
      </c>
      <c r="C2757" s="305" t="s">
        <v>363</v>
      </c>
      <c r="D2757" s="575">
        <v>180.58</v>
      </c>
    </row>
    <row r="2758" spans="1:4" ht="13.5" x14ac:dyDescent="0.25">
      <c r="A2758" s="306">
        <v>97589</v>
      </c>
      <c r="B2758" s="305" t="s">
        <v>12498</v>
      </c>
      <c r="C2758" s="305" t="s">
        <v>363</v>
      </c>
      <c r="D2758" s="575">
        <v>29.84</v>
      </c>
    </row>
    <row r="2759" spans="1:4" ht="13.5" x14ac:dyDescent="0.25">
      <c r="A2759" s="306">
        <v>97590</v>
      </c>
      <c r="B2759" s="305" t="s">
        <v>12499</v>
      </c>
      <c r="C2759" s="305" t="s">
        <v>363</v>
      </c>
      <c r="D2759" s="575">
        <v>65.59</v>
      </c>
    </row>
    <row r="2760" spans="1:4" ht="13.5" x14ac:dyDescent="0.25">
      <c r="A2760" s="306">
        <v>97591</v>
      </c>
      <c r="B2760" s="305" t="s">
        <v>12500</v>
      </c>
      <c r="C2760" s="305" t="s">
        <v>363</v>
      </c>
      <c r="D2760" s="575">
        <v>86.97</v>
      </c>
    </row>
    <row r="2761" spans="1:4" ht="13.5" x14ac:dyDescent="0.25">
      <c r="A2761" s="306">
        <v>97592</v>
      </c>
      <c r="B2761" s="305" t="s">
        <v>12501</v>
      </c>
      <c r="C2761" s="305" t="s">
        <v>363</v>
      </c>
      <c r="D2761" s="575">
        <v>30.98</v>
      </c>
    </row>
    <row r="2762" spans="1:4" ht="13.5" x14ac:dyDescent="0.25">
      <c r="A2762" s="306">
        <v>97593</v>
      </c>
      <c r="B2762" s="305" t="s">
        <v>12502</v>
      </c>
      <c r="C2762" s="305" t="s">
        <v>363</v>
      </c>
      <c r="D2762" s="575">
        <v>92.65</v>
      </c>
    </row>
    <row r="2763" spans="1:4" ht="13.5" x14ac:dyDescent="0.25">
      <c r="A2763" s="306">
        <v>97594</v>
      </c>
      <c r="B2763" s="305" t="s">
        <v>12503</v>
      </c>
      <c r="C2763" s="305" t="s">
        <v>363</v>
      </c>
      <c r="D2763" s="575">
        <v>86.89</v>
      </c>
    </row>
    <row r="2764" spans="1:4" ht="13.5" x14ac:dyDescent="0.25">
      <c r="A2764" s="306">
        <v>97595</v>
      </c>
      <c r="B2764" s="305" t="s">
        <v>12504</v>
      </c>
      <c r="C2764" s="305" t="s">
        <v>363</v>
      </c>
      <c r="D2764" s="575">
        <v>66.33</v>
      </c>
    </row>
    <row r="2765" spans="1:4" ht="13.5" x14ac:dyDescent="0.25">
      <c r="A2765" s="306">
        <v>97596</v>
      </c>
      <c r="B2765" s="305" t="s">
        <v>12505</v>
      </c>
      <c r="C2765" s="305" t="s">
        <v>363</v>
      </c>
      <c r="D2765" s="575">
        <v>47.01</v>
      </c>
    </row>
    <row r="2766" spans="1:4" ht="13.5" x14ac:dyDescent="0.25">
      <c r="A2766" s="306">
        <v>97597</v>
      </c>
      <c r="B2766" s="305" t="s">
        <v>12506</v>
      </c>
      <c r="C2766" s="305" t="s">
        <v>363</v>
      </c>
      <c r="D2766" s="575">
        <v>45.69</v>
      </c>
    </row>
    <row r="2767" spans="1:4" ht="13.5" x14ac:dyDescent="0.25">
      <c r="A2767" s="306">
        <v>97598</v>
      </c>
      <c r="B2767" s="305" t="s">
        <v>12507</v>
      </c>
      <c r="C2767" s="305" t="s">
        <v>363</v>
      </c>
      <c r="D2767" s="575">
        <v>43.23</v>
      </c>
    </row>
    <row r="2768" spans="1:4" ht="13.5" x14ac:dyDescent="0.25">
      <c r="A2768" s="306">
        <v>97599</v>
      </c>
      <c r="B2768" s="305" t="s">
        <v>12508</v>
      </c>
      <c r="C2768" s="305" t="s">
        <v>363</v>
      </c>
      <c r="D2768" s="575">
        <v>22.57</v>
      </c>
    </row>
    <row r="2769" spans="1:4" ht="13.5" x14ac:dyDescent="0.25">
      <c r="A2769" s="306">
        <v>97609</v>
      </c>
      <c r="B2769" s="305" t="s">
        <v>12509</v>
      </c>
      <c r="C2769" s="305" t="s">
        <v>363</v>
      </c>
      <c r="D2769" s="575">
        <v>13.2</v>
      </c>
    </row>
    <row r="2770" spans="1:4" ht="13.5" x14ac:dyDescent="0.25">
      <c r="A2770" s="306">
        <v>97610</v>
      </c>
      <c r="B2770" s="305" t="s">
        <v>12510</v>
      </c>
      <c r="C2770" s="305" t="s">
        <v>363</v>
      </c>
      <c r="D2770" s="575">
        <v>14.12</v>
      </c>
    </row>
    <row r="2771" spans="1:4" ht="13.5" x14ac:dyDescent="0.25">
      <c r="A2771" s="306">
        <v>97611</v>
      </c>
      <c r="B2771" s="305" t="s">
        <v>12511</v>
      </c>
      <c r="C2771" s="305" t="s">
        <v>363</v>
      </c>
      <c r="D2771" s="575">
        <v>17.82</v>
      </c>
    </row>
    <row r="2772" spans="1:4" ht="13.5" x14ac:dyDescent="0.25">
      <c r="A2772" s="306">
        <v>97612</v>
      </c>
      <c r="B2772" s="305" t="s">
        <v>12512</v>
      </c>
      <c r="C2772" s="305" t="s">
        <v>363</v>
      </c>
      <c r="D2772" s="575">
        <v>19.329999999999998</v>
      </c>
    </row>
    <row r="2773" spans="1:4" ht="13.5" x14ac:dyDescent="0.25">
      <c r="A2773" s="306">
        <v>97613</v>
      </c>
      <c r="B2773" s="305" t="s">
        <v>12513</v>
      </c>
      <c r="C2773" s="305" t="s">
        <v>363</v>
      </c>
      <c r="D2773" s="575">
        <v>24.34</v>
      </c>
    </row>
    <row r="2774" spans="1:4" ht="13.5" x14ac:dyDescent="0.25">
      <c r="A2774" s="306">
        <v>97614</v>
      </c>
      <c r="B2774" s="305" t="s">
        <v>12514</v>
      </c>
      <c r="C2774" s="305" t="s">
        <v>363</v>
      </c>
      <c r="D2774" s="575">
        <v>42.44</v>
      </c>
    </row>
    <row r="2775" spans="1:4" ht="13.5" x14ac:dyDescent="0.25">
      <c r="A2775" s="306">
        <v>97615</v>
      </c>
      <c r="B2775" s="305" t="s">
        <v>12515</v>
      </c>
      <c r="C2775" s="305" t="s">
        <v>363</v>
      </c>
      <c r="D2775" s="575">
        <v>36.85</v>
      </c>
    </row>
    <row r="2776" spans="1:4" ht="13.5" x14ac:dyDescent="0.25">
      <c r="A2776" s="306">
        <v>97616</v>
      </c>
      <c r="B2776" s="305" t="s">
        <v>12516</v>
      </c>
      <c r="C2776" s="305" t="s">
        <v>363</v>
      </c>
      <c r="D2776" s="575">
        <v>41.85</v>
      </c>
    </row>
    <row r="2777" spans="1:4" ht="13.5" x14ac:dyDescent="0.25">
      <c r="A2777" s="306">
        <v>97617</v>
      </c>
      <c r="B2777" s="305" t="s">
        <v>12517</v>
      </c>
      <c r="C2777" s="305" t="s">
        <v>363</v>
      </c>
      <c r="D2777" s="575">
        <v>41.62</v>
      </c>
    </row>
    <row r="2778" spans="1:4" ht="13.5" x14ac:dyDescent="0.25">
      <c r="A2778" s="306">
        <v>97618</v>
      </c>
      <c r="B2778" s="305" t="s">
        <v>12518</v>
      </c>
      <c r="C2778" s="305" t="s">
        <v>363</v>
      </c>
      <c r="D2778" s="575">
        <v>38.97</v>
      </c>
    </row>
    <row r="2779" spans="1:4" ht="13.5" x14ac:dyDescent="0.25">
      <c r="A2779" s="306">
        <v>100902</v>
      </c>
      <c r="B2779" s="305" t="s">
        <v>12519</v>
      </c>
      <c r="C2779" s="305" t="s">
        <v>363</v>
      </c>
      <c r="D2779" s="575">
        <v>21.29</v>
      </c>
    </row>
    <row r="2780" spans="1:4" ht="13.5" x14ac:dyDescent="0.25">
      <c r="A2780" s="306">
        <v>100903</v>
      </c>
      <c r="B2780" s="305" t="s">
        <v>12520</v>
      </c>
      <c r="C2780" s="305" t="s">
        <v>363</v>
      </c>
      <c r="D2780" s="575">
        <v>25.35</v>
      </c>
    </row>
    <row r="2781" spans="1:4" ht="13.5" x14ac:dyDescent="0.25">
      <c r="A2781" s="306">
        <v>100904</v>
      </c>
      <c r="B2781" s="305" t="s">
        <v>12521</v>
      </c>
      <c r="C2781" s="305" t="s">
        <v>363</v>
      </c>
      <c r="D2781" s="575">
        <v>55.21</v>
      </c>
    </row>
    <row r="2782" spans="1:4" ht="13.5" x14ac:dyDescent="0.25">
      <c r="A2782" s="306">
        <v>100905</v>
      </c>
      <c r="B2782" s="305" t="s">
        <v>12522</v>
      </c>
      <c r="C2782" s="305" t="s">
        <v>363</v>
      </c>
      <c r="D2782" s="575">
        <v>148</v>
      </c>
    </row>
    <row r="2783" spans="1:4" ht="13.5" x14ac:dyDescent="0.25">
      <c r="A2783" s="306">
        <v>100906</v>
      </c>
      <c r="B2783" s="305" t="s">
        <v>12523</v>
      </c>
      <c r="C2783" s="305" t="s">
        <v>363</v>
      </c>
      <c r="D2783" s="575">
        <v>199.76</v>
      </c>
    </row>
    <row r="2784" spans="1:4" ht="13.5" x14ac:dyDescent="0.25">
      <c r="A2784" s="306">
        <v>100919</v>
      </c>
      <c r="B2784" s="305" t="s">
        <v>12524</v>
      </c>
      <c r="C2784" s="305" t="s">
        <v>363</v>
      </c>
      <c r="D2784" s="575">
        <v>48.35</v>
      </c>
    </row>
    <row r="2785" spans="1:4" ht="13.5" x14ac:dyDescent="0.25">
      <c r="A2785" s="306">
        <v>100920</v>
      </c>
      <c r="B2785" s="305" t="s">
        <v>12525</v>
      </c>
      <c r="C2785" s="305" t="s">
        <v>363</v>
      </c>
      <c r="D2785" s="575">
        <v>81.72</v>
      </c>
    </row>
    <row r="2786" spans="1:4" ht="13.5" x14ac:dyDescent="0.25">
      <c r="A2786" s="306">
        <v>100921</v>
      </c>
      <c r="B2786" s="305" t="s">
        <v>12526</v>
      </c>
      <c r="C2786" s="305" t="s">
        <v>363</v>
      </c>
      <c r="D2786" s="575">
        <v>44.34</v>
      </c>
    </row>
    <row r="2787" spans="1:4" ht="13.5" x14ac:dyDescent="0.25">
      <c r="A2787" s="306">
        <v>100922</v>
      </c>
      <c r="B2787" s="305" t="s">
        <v>12527</v>
      </c>
      <c r="C2787" s="305" t="s">
        <v>363</v>
      </c>
      <c r="D2787" s="575">
        <v>31.75</v>
      </c>
    </row>
    <row r="2788" spans="1:4" ht="13.5" x14ac:dyDescent="0.25">
      <c r="A2788" s="306">
        <v>100923</v>
      </c>
      <c r="B2788" s="305" t="s">
        <v>12528</v>
      </c>
      <c r="C2788" s="305" t="s">
        <v>363</v>
      </c>
      <c r="D2788" s="575">
        <v>36.369999999999997</v>
      </c>
    </row>
    <row r="2789" spans="1:4" ht="13.5" x14ac:dyDescent="0.25">
      <c r="A2789" s="306">
        <v>73624</v>
      </c>
      <c r="B2789" s="305" t="s">
        <v>2703</v>
      </c>
      <c r="C2789" s="305" t="s">
        <v>363</v>
      </c>
      <c r="D2789" s="575">
        <v>80.180000000000007</v>
      </c>
    </row>
    <row r="2790" spans="1:4" ht="13.5" x14ac:dyDescent="0.25">
      <c r="A2790" s="306">
        <v>101489</v>
      </c>
      <c r="B2790" s="305" t="s">
        <v>12529</v>
      </c>
      <c r="C2790" s="305" t="s">
        <v>363</v>
      </c>
      <c r="D2790" s="575">
        <v>910.17</v>
      </c>
    </row>
    <row r="2791" spans="1:4" ht="13.5" x14ac:dyDescent="0.25">
      <c r="A2791" s="306">
        <v>101490</v>
      </c>
      <c r="B2791" s="305" t="s">
        <v>12530</v>
      </c>
      <c r="C2791" s="305" t="s">
        <v>363</v>
      </c>
      <c r="D2791" s="575">
        <v>970.56</v>
      </c>
    </row>
    <row r="2792" spans="1:4" ht="13.5" x14ac:dyDescent="0.25">
      <c r="A2792" s="306">
        <v>101491</v>
      </c>
      <c r="B2792" s="305" t="s">
        <v>12531</v>
      </c>
      <c r="C2792" s="305" t="s">
        <v>363</v>
      </c>
      <c r="D2792" s="575">
        <v>988.16</v>
      </c>
    </row>
    <row r="2793" spans="1:4" ht="13.5" x14ac:dyDescent="0.25">
      <c r="A2793" s="306">
        <v>101492</v>
      </c>
      <c r="B2793" s="305" t="s">
        <v>12532</v>
      </c>
      <c r="C2793" s="305" t="s">
        <v>363</v>
      </c>
      <c r="D2793" s="576">
        <v>1075.77</v>
      </c>
    </row>
    <row r="2794" spans="1:4" ht="13.5" x14ac:dyDescent="0.25">
      <c r="A2794" s="306">
        <v>101493</v>
      </c>
      <c r="B2794" s="305" t="s">
        <v>12533</v>
      </c>
      <c r="C2794" s="305" t="s">
        <v>363</v>
      </c>
      <c r="D2794" s="575">
        <v>898.76</v>
      </c>
    </row>
    <row r="2795" spans="1:4" ht="13.5" x14ac:dyDescent="0.25">
      <c r="A2795" s="306">
        <v>101494</v>
      </c>
      <c r="B2795" s="305" t="s">
        <v>12534</v>
      </c>
      <c r="C2795" s="305" t="s">
        <v>363</v>
      </c>
      <c r="D2795" s="575">
        <v>959.15</v>
      </c>
    </row>
    <row r="2796" spans="1:4" ht="13.5" x14ac:dyDescent="0.25">
      <c r="A2796" s="306">
        <v>101495</v>
      </c>
      <c r="B2796" s="305" t="s">
        <v>12535</v>
      </c>
      <c r="C2796" s="305" t="s">
        <v>363</v>
      </c>
      <c r="D2796" s="575">
        <v>976.75</v>
      </c>
    </row>
    <row r="2797" spans="1:4" ht="13.5" x14ac:dyDescent="0.25">
      <c r="A2797" s="306">
        <v>101496</v>
      </c>
      <c r="B2797" s="305" t="s">
        <v>12536</v>
      </c>
      <c r="C2797" s="305" t="s">
        <v>363</v>
      </c>
      <c r="D2797" s="576">
        <v>1064.3599999999999</v>
      </c>
    </row>
    <row r="2798" spans="1:4" ht="13.5" x14ac:dyDescent="0.25">
      <c r="A2798" s="306">
        <v>101497</v>
      </c>
      <c r="B2798" s="305" t="s">
        <v>12537</v>
      </c>
      <c r="C2798" s="305" t="s">
        <v>363</v>
      </c>
      <c r="D2798" s="576">
        <v>1079.56</v>
      </c>
    </row>
    <row r="2799" spans="1:4" ht="13.5" x14ac:dyDescent="0.25">
      <c r="A2799" s="306">
        <v>101498</v>
      </c>
      <c r="B2799" s="305" t="s">
        <v>12538</v>
      </c>
      <c r="C2799" s="305" t="s">
        <v>363</v>
      </c>
      <c r="D2799" s="576">
        <v>1170.97</v>
      </c>
    </row>
    <row r="2800" spans="1:4" ht="13.5" x14ac:dyDescent="0.25">
      <c r="A2800" s="306">
        <v>101499</v>
      </c>
      <c r="B2800" s="305" t="s">
        <v>12539</v>
      </c>
      <c r="C2800" s="305" t="s">
        <v>363</v>
      </c>
      <c r="D2800" s="576">
        <v>1197.6099999999999</v>
      </c>
    </row>
    <row r="2801" spans="1:4" ht="13.5" x14ac:dyDescent="0.25">
      <c r="A2801" s="306">
        <v>101500</v>
      </c>
      <c r="B2801" s="305" t="s">
        <v>12540</v>
      </c>
      <c r="C2801" s="305" t="s">
        <v>363</v>
      </c>
      <c r="D2801" s="576">
        <v>1319.57</v>
      </c>
    </row>
    <row r="2802" spans="1:4" ht="13.5" x14ac:dyDescent="0.25">
      <c r="A2802" s="306">
        <v>101501</v>
      </c>
      <c r="B2802" s="305" t="s">
        <v>12541</v>
      </c>
      <c r="C2802" s="305" t="s">
        <v>363</v>
      </c>
      <c r="D2802" s="576">
        <v>1074.3900000000001</v>
      </c>
    </row>
    <row r="2803" spans="1:4" ht="13.5" x14ac:dyDescent="0.25">
      <c r="A2803" s="306">
        <v>101502</v>
      </c>
      <c r="B2803" s="305" t="s">
        <v>12542</v>
      </c>
      <c r="C2803" s="305" t="s">
        <v>363</v>
      </c>
      <c r="D2803" s="576">
        <v>1165.8</v>
      </c>
    </row>
    <row r="2804" spans="1:4" ht="13.5" x14ac:dyDescent="0.25">
      <c r="A2804" s="306">
        <v>101503</v>
      </c>
      <c r="B2804" s="305" t="s">
        <v>12543</v>
      </c>
      <c r="C2804" s="305" t="s">
        <v>363</v>
      </c>
      <c r="D2804" s="576">
        <v>1192.44</v>
      </c>
    </row>
    <row r="2805" spans="1:4" ht="13.5" x14ac:dyDescent="0.25">
      <c r="A2805" s="306">
        <v>101504</v>
      </c>
      <c r="B2805" s="305" t="s">
        <v>12544</v>
      </c>
      <c r="C2805" s="305" t="s">
        <v>363</v>
      </c>
      <c r="D2805" s="576">
        <v>1314.4</v>
      </c>
    </row>
    <row r="2806" spans="1:4" ht="13.5" x14ac:dyDescent="0.25">
      <c r="A2806" s="306">
        <v>101505</v>
      </c>
      <c r="B2806" s="305" t="s">
        <v>12545</v>
      </c>
      <c r="C2806" s="305" t="s">
        <v>363</v>
      </c>
      <c r="D2806" s="576">
        <v>1155.98</v>
      </c>
    </row>
    <row r="2807" spans="1:4" ht="13.5" x14ac:dyDescent="0.25">
      <c r="A2807" s="306">
        <v>101506</v>
      </c>
      <c r="B2807" s="305" t="s">
        <v>12546</v>
      </c>
      <c r="C2807" s="305" t="s">
        <v>363</v>
      </c>
      <c r="D2807" s="576">
        <v>1277.8599999999999</v>
      </c>
    </row>
    <row r="2808" spans="1:4" ht="13.5" x14ac:dyDescent="0.25">
      <c r="A2808" s="306">
        <v>101507</v>
      </c>
      <c r="B2808" s="305" t="s">
        <v>12547</v>
      </c>
      <c r="C2808" s="305" t="s">
        <v>363</v>
      </c>
      <c r="D2808" s="576">
        <v>1313.38</v>
      </c>
    </row>
    <row r="2809" spans="1:4" ht="13.5" x14ac:dyDescent="0.25">
      <c r="A2809" s="306">
        <v>101508</v>
      </c>
      <c r="B2809" s="305" t="s">
        <v>12548</v>
      </c>
      <c r="C2809" s="305" t="s">
        <v>363</v>
      </c>
      <c r="D2809" s="576">
        <v>1469.08</v>
      </c>
    </row>
    <row r="2810" spans="1:4" ht="13.5" x14ac:dyDescent="0.25">
      <c r="A2810" s="306">
        <v>101509</v>
      </c>
      <c r="B2810" s="305" t="s">
        <v>12549</v>
      </c>
      <c r="C2810" s="305" t="s">
        <v>363</v>
      </c>
      <c r="D2810" s="576">
        <v>1212.28</v>
      </c>
    </row>
    <row r="2811" spans="1:4" ht="13.5" x14ac:dyDescent="0.25">
      <c r="A2811" s="306">
        <v>101510</v>
      </c>
      <c r="B2811" s="305" t="s">
        <v>12550</v>
      </c>
      <c r="C2811" s="305" t="s">
        <v>363</v>
      </c>
      <c r="D2811" s="576">
        <v>1334.16</v>
      </c>
    </row>
    <row r="2812" spans="1:4" ht="13.5" x14ac:dyDescent="0.25">
      <c r="A2812" s="306">
        <v>101511</v>
      </c>
      <c r="B2812" s="305" t="s">
        <v>12551</v>
      </c>
      <c r="C2812" s="305" t="s">
        <v>363</v>
      </c>
      <c r="D2812" s="576">
        <v>1369.68</v>
      </c>
    </row>
    <row r="2813" spans="1:4" ht="13.5" x14ac:dyDescent="0.25">
      <c r="A2813" s="306">
        <v>101512</v>
      </c>
      <c r="B2813" s="305" t="s">
        <v>12552</v>
      </c>
      <c r="C2813" s="305" t="s">
        <v>363</v>
      </c>
      <c r="D2813" s="576">
        <v>1525.38</v>
      </c>
    </row>
    <row r="2814" spans="1:4" ht="13.5" x14ac:dyDescent="0.25">
      <c r="A2814" s="306">
        <v>101513</v>
      </c>
      <c r="B2814" s="305" t="s">
        <v>12553</v>
      </c>
      <c r="C2814" s="305" t="s">
        <v>363</v>
      </c>
      <c r="D2814" s="575">
        <v>506.64</v>
      </c>
    </row>
    <row r="2815" spans="1:4" ht="13.5" x14ac:dyDescent="0.25">
      <c r="A2815" s="306">
        <v>101514</v>
      </c>
      <c r="B2815" s="305" t="s">
        <v>12554</v>
      </c>
      <c r="C2815" s="305" t="s">
        <v>363</v>
      </c>
      <c r="D2815" s="575">
        <v>579.11</v>
      </c>
    </row>
    <row r="2816" spans="1:4" ht="13.5" x14ac:dyDescent="0.25">
      <c r="A2816" s="306">
        <v>101515</v>
      </c>
      <c r="B2816" s="305" t="s">
        <v>12555</v>
      </c>
      <c r="C2816" s="305" t="s">
        <v>363</v>
      </c>
      <c r="D2816" s="575">
        <v>600.23</v>
      </c>
    </row>
    <row r="2817" spans="1:4" ht="13.5" x14ac:dyDescent="0.25">
      <c r="A2817" s="306">
        <v>101516</v>
      </c>
      <c r="B2817" s="305" t="s">
        <v>12556</v>
      </c>
      <c r="C2817" s="305" t="s">
        <v>363</v>
      </c>
      <c r="D2817" s="575">
        <v>680.48</v>
      </c>
    </row>
    <row r="2818" spans="1:4" ht="13.5" x14ac:dyDescent="0.25">
      <c r="A2818" s="306">
        <v>101517</v>
      </c>
      <c r="B2818" s="305" t="s">
        <v>12557</v>
      </c>
      <c r="C2818" s="305" t="s">
        <v>363</v>
      </c>
      <c r="D2818" s="575">
        <v>495.22</v>
      </c>
    </row>
    <row r="2819" spans="1:4" ht="13.5" x14ac:dyDescent="0.25">
      <c r="A2819" s="306">
        <v>101518</v>
      </c>
      <c r="B2819" s="305" t="s">
        <v>12558</v>
      </c>
      <c r="C2819" s="305" t="s">
        <v>363</v>
      </c>
      <c r="D2819" s="575">
        <v>567.69000000000005</v>
      </c>
    </row>
    <row r="2820" spans="1:4" ht="13.5" x14ac:dyDescent="0.25">
      <c r="A2820" s="306">
        <v>101519</v>
      </c>
      <c r="B2820" s="305" t="s">
        <v>12559</v>
      </c>
      <c r="C2820" s="305" t="s">
        <v>363</v>
      </c>
      <c r="D2820" s="575">
        <v>588.80999999999995</v>
      </c>
    </row>
    <row r="2821" spans="1:4" ht="13.5" x14ac:dyDescent="0.25">
      <c r="A2821" s="306">
        <v>101520</v>
      </c>
      <c r="B2821" s="305" t="s">
        <v>12560</v>
      </c>
      <c r="C2821" s="305" t="s">
        <v>363</v>
      </c>
      <c r="D2821" s="575">
        <v>669.06</v>
      </c>
    </row>
    <row r="2822" spans="1:4" ht="13.5" x14ac:dyDescent="0.25">
      <c r="A2822" s="306">
        <v>101521</v>
      </c>
      <c r="B2822" s="305" t="s">
        <v>12561</v>
      </c>
      <c r="C2822" s="305" t="s">
        <v>363</v>
      </c>
      <c r="D2822" s="575">
        <v>686.03</v>
      </c>
    </row>
    <row r="2823" spans="1:4" ht="13.5" x14ac:dyDescent="0.25">
      <c r="A2823" s="306">
        <v>101522</v>
      </c>
      <c r="B2823" s="305" t="s">
        <v>12562</v>
      </c>
      <c r="C2823" s="305" t="s">
        <v>363</v>
      </c>
      <c r="D2823" s="575">
        <v>794.73</v>
      </c>
    </row>
    <row r="2824" spans="1:4" ht="13.5" x14ac:dyDescent="0.25">
      <c r="A2824" s="306">
        <v>101523</v>
      </c>
      <c r="B2824" s="305" t="s">
        <v>12563</v>
      </c>
      <c r="C2824" s="305" t="s">
        <v>363</v>
      </c>
      <c r="D2824" s="575">
        <v>826.41</v>
      </c>
    </row>
    <row r="2825" spans="1:4" ht="13.5" x14ac:dyDescent="0.25">
      <c r="A2825" s="306">
        <v>101524</v>
      </c>
      <c r="B2825" s="305" t="s">
        <v>12564</v>
      </c>
      <c r="C2825" s="305" t="s">
        <v>363</v>
      </c>
      <c r="D2825" s="575">
        <v>946.8</v>
      </c>
    </row>
    <row r="2826" spans="1:4" ht="13.5" x14ac:dyDescent="0.25">
      <c r="A2826" s="306">
        <v>101525</v>
      </c>
      <c r="B2826" s="305" t="s">
        <v>12565</v>
      </c>
      <c r="C2826" s="305" t="s">
        <v>363</v>
      </c>
      <c r="D2826" s="575">
        <v>680.86</v>
      </c>
    </row>
    <row r="2827" spans="1:4" ht="13.5" x14ac:dyDescent="0.25">
      <c r="A2827" s="306">
        <v>101526</v>
      </c>
      <c r="B2827" s="305" t="s">
        <v>12566</v>
      </c>
      <c r="C2827" s="305" t="s">
        <v>363</v>
      </c>
      <c r="D2827" s="575">
        <v>789.56</v>
      </c>
    </row>
    <row r="2828" spans="1:4" ht="13.5" x14ac:dyDescent="0.25">
      <c r="A2828" s="306">
        <v>101527</v>
      </c>
      <c r="B2828" s="305" t="s">
        <v>12567</v>
      </c>
      <c r="C2828" s="305" t="s">
        <v>363</v>
      </c>
      <c r="D2828" s="575">
        <v>821.24</v>
      </c>
    </row>
    <row r="2829" spans="1:4" ht="13.5" x14ac:dyDescent="0.25">
      <c r="A2829" s="306">
        <v>101528</v>
      </c>
      <c r="B2829" s="305" t="s">
        <v>12568</v>
      </c>
      <c r="C2829" s="305" t="s">
        <v>363</v>
      </c>
      <c r="D2829" s="575">
        <v>941.63</v>
      </c>
    </row>
    <row r="2830" spans="1:4" ht="13.5" x14ac:dyDescent="0.25">
      <c r="A2830" s="306">
        <v>101529</v>
      </c>
      <c r="B2830" s="305" t="s">
        <v>12569</v>
      </c>
      <c r="C2830" s="305" t="s">
        <v>363</v>
      </c>
      <c r="D2830" s="575">
        <v>773.49</v>
      </c>
    </row>
    <row r="2831" spans="1:4" ht="13.5" x14ac:dyDescent="0.25">
      <c r="A2831" s="306">
        <v>101530</v>
      </c>
      <c r="B2831" s="305" t="s">
        <v>12570</v>
      </c>
      <c r="C2831" s="305" t="s">
        <v>363</v>
      </c>
      <c r="D2831" s="575">
        <v>918.43</v>
      </c>
    </row>
    <row r="2832" spans="1:4" ht="13.5" x14ac:dyDescent="0.25">
      <c r="A2832" s="306">
        <v>101531</v>
      </c>
      <c r="B2832" s="305" t="s">
        <v>12571</v>
      </c>
      <c r="C2832" s="305" t="s">
        <v>363</v>
      </c>
      <c r="D2832" s="575">
        <v>960.67</v>
      </c>
    </row>
    <row r="2833" spans="1:4" ht="13.5" x14ac:dyDescent="0.25">
      <c r="A2833" s="306">
        <v>101532</v>
      </c>
      <c r="B2833" s="305" t="s">
        <v>12572</v>
      </c>
      <c r="C2833" s="305" t="s">
        <v>363</v>
      </c>
      <c r="D2833" s="576">
        <v>1121.18</v>
      </c>
    </row>
    <row r="2834" spans="1:4" ht="13.5" x14ac:dyDescent="0.25">
      <c r="A2834" s="306">
        <v>101533</v>
      </c>
      <c r="B2834" s="305" t="s">
        <v>12573</v>
      </c>
      <c r="C2834" s="305" t="s">
        <v>363</v>
      </c>
      <c r="D2834" s="575">
        <v>829.79</v>
      </c>
    </row>
    <row r="2835" spans="1:4" ht="13.5" x14ac:dyDescent="0.25">
      <c r="A2835" s="306">
        <v>101534</v>
      </c>
      <c r="B2835" s="305" t="s">
        <v>12574</v>
      </c>
      <c r="C2835" s="305" t="s">
        <v>363</v>
      </c>
      <c r="D2835" s="575">
        <v>974.73</v>
      </c>
    </row>
    <row r="2836" spans="1:4" ht="13.5" x14ac:dyDescent="0.25">
      <c r="A2836" s="306">
        <v>101535</v>
      </c>
      <c r="B2836" s="305" t="s">
        <v>12575</v>
      </c>
      <c r="C2836" s="305" t="s">
        <v>363</v>
      </c>
      <c r="D2836" s="576">
        <v>1016.97</v>
      </c>
    </row>
    <row r="2837" spans="1:4" ht="13.5" x14ac:dyDescent="0.25">
      <c r="A2837" s="306">
        <v>101536</v>
      </c>
      <c r="B2837" s="305" t="s">
        <v>12576</v>
      </c>
      <c r="C2837" s="305" t="s">
        <v>363</v>
      </c>
      <c r="D2837" s="576">
        <v>1177.48</v>
      </c>
    </row>
    <row r="2838" spans="1:4" ht="13.5" x14ac:dyDescent="0.25">
      <c r="A2838" s="306">
        <v>101537</v>
      </c>
      <c r="B2838" s="305" t="s">
        <v>12577</v>
      </c>
      <c r="C2838" s="305" t="s">
        <v>363</v>
      </c>
      <c r="D2838" s="575">
        <v>107.86</v>
      </c>
    </row>
    <row r="2839" spans="1:4" ht="13.5" x14ac:dyDescent="0.25">
      <c r="A2839" s="306">
        <v>101538</v>
      </c>
      <c r="B2839" s="305" t="s">
        <v>12578</v>
      </c>
      <c r="C2839" s="305" t="s">
        <v>363</v>
      </c>
      <c r="D2839" s="575">
        <v>43.41</v>
      </c>
    </row>
    <row r="2840" spans="1:4" ht="13.5" x14ac:dyDescent="0.25">
      <c r="A2840" s="306">
        <v>101539</v>
      </c>
      <c r="B2840" s="305" t="s">
        <v>12579</v>
      </c>
      <c r="C2840" s="305" t="s">
        <v>363</v>
      </c>
      <c r="D2840" s="575">
        <v>76.83</v>
      </c>
    </row>
    <row r="2841" spans="1:4" ht="13.5" x14ac:dyDescent="0.25">
      <c r="A2841" s="306">
        <v>101540</v>
      </c>
      <c r="B2841" s="305" t="s">
        <v>12580</v>
      </c>
      <c r="C2841" s="305" t="s">
        <v>363</v>
      </c>
      <c r="D2841" s="575">
        <v>124.14</v>
      </c>
    </row>
    <row r="2842" spans="1:4" ht="13.5" x14ac:dyDescent="0.25">
      <c r="A2842" s="306">
        <v>101541</v>
      </c>
      <c r="B2842" s="305" t="s">
        <v>12581</v>
      </c>
      <c r="C2842" s="305" t="s">
        <v>363</v>
      </c>
      <c r="D2842" s="575">
        <v>163.16999999999999</v>
      </c>
    </row>
    <row r="2843" spans="1:4" ht="13.5" x14ac:dyDescent="0.25">
      <c r="A2843" s="306">
        <v>101542</v>
      </c>
      <c r="B2843" s="305" t="s">
        <v>12582</v>
      </c>
      <c r="C2843" s="305" t="s">
        <v>363</v>
      </c>
      <c r="D2843" s="575">
        <v>36.14</v>
      </c>
    </row>
    <row r="2844" spans="1:4" ht="13.5" x14ac:dyDescent="0.25">
      <c r="A2844" s="306">
        <v>101543</v>
      </c>
      <c r="B2844" s="305" t="s">
        <v>12583</v>
      </c>
      <c r="C2844" s="305" t="s">
        <v>363</v>
      </c>
      <c r="D2844" s="575">
        <v>67.45</v>
      </c>
    </row>
    <row r="2845" spans="1:4" ht="13.5" x14ac:dyDescent="0.25">
      <c r="A2845" s="306">
        <v>101544</v>
      </c>
      <c r="B2845" s="305" t="s">
        <v>12584</v>
      </c>
      <c r="C2845" s="305" t="s">
        <v>363</v>
      </c>
      <c r="D2845" s="575">
        <v>105.02</v>
      </c>
    </row>
    <row r="2846" spans="1:4" ht="13.5" x14ac:dyDescent="0.25">
      <c r="A2846" s="306">
        <v>101545</v>
      </c>
      <c r="B2846" s="305" t="s">
        <v>12585</v>
      </c>
      <c r="C2846" s="305" t="s">
        <v>363</v>
      </c>
      <c r="D2846" s="575">
        <v>147.31</v>
      </c>
    </row>
    <row r="2847" spans="1:4" ht="13.5" x14ac:dyDescent="0.25">
      <c r="A2847" s="306">
        <v>101546</v>
      </c>
      <c r="B2847" s="305" t="s">
        <v>12586</v>
      </c>
      <c r="C2847" s="305" t="s">
        <v>363</v>
      </c>
      <c r="D2847" s="575">
        <v>20.03</v>
      </c>
    </row>
    <row r="2848" spans="1:4" ht="13.5" x14ac:dyDescent="0.25">
      <c r="A2848" s="306">
        <v>101547</v>
      </c>
      <c r="B2848" s="305" t="s">
        <v>12587</v>
      </c>
      <c r="C2848" s="305" t="s">
        <v>363</v>
      </c>
      <c r="D2848" s="575">
        <v>62.24</v>
      </c>
    </row>
    <row r="2849" spans="1:4" ht="13.5" x14ac:dyDescent="0.25">
      <c r="A2849" s="306">
        <v>101548</v>
      </c>
      <c r="B2849" s="305" t="s">
        <v>12588</v>
      </c>
      <c r="C2849" s="305" t="s">
        <v>363</v>
      </c>
      <c r="D2849" s="575">
        <v>5.14</v>
      </c>
    </row>
    <row r="2850" spans="1:4" ht="13.5" x14ac:dyDescent="0.25">
      <c r="A2850" s="306">
        <v>101549</v>
      </c>
      <c r="B2850" s="305" t="s">
        <v>12589</v>
      </c>
      <c r="C2850" s="305" t="s">
        <v>363</v>
      </c>
      <c r="D2850" s="575">
        <v>13.12</v>
      </c>
    </row>
    <row r="2851" spans="1:4" ht="13.5" x14ac:dyDescent="0.25">
      <c r="A2851" s="306">
        <v>101553</v>
      </c>
      <c r="B2851" s="305" t="s">
        <v>12590</v>
      </c>
      <c r="C2851" s="305" t="s">
        <v>363</v>
      </c>
      <c r="D2851" s="575">
        <v>10.73</v>
      </c>
    </row>
    <row r="2852" spans="1:4" ht="13.5" x14ac:dyDescent="0.25">
      <c r="A2852" s="306">
        <v>101554</v>
      </c>
      <c r="B2852" s="305" t="s">
        <v>12591</v>
      </c>
      <c r="C2852" s="305" t="s">
        <v>363</v>
      </c>
      <c r="D2852" s="575">
        <v>7.89</v>
      </c>
    </row>
    <row r="2853" spans="1:4" ht="13.5" x14ac:dyDescent="0.25">
      <c r="A2853" s="306">
        <v>101555</v>
      </c>
      <c r="B2853" s="305" t="s">
        <v>12592</v>
      </c>
      <c r="C2853" s="305" t="s">
        <v>363</v>
      </c>
      <c r="D2853" s="575">
        <v>5.31</v>
      </c>
    </row>
    <row r="2854" spans="1:4" ht="13.5" x14ac:dyDescent="0.25">
      <c r="A2854" s="306">
        <v>101556</v>
      </c>
      <c r="B2854" s="305" t="s">
        <v>12593</v>
      </c>
      <c r="C2854" s="305" t="s">
        <v>363</v>
      </c>
      <c r="D2854" s="575">
        <v>4.9000000000000004</v>
      </c>
    </row>
    <row r="2855" spans="1:4" ht="13.5" x14ac:dyDescent="0.25">
      <c r="A2855" s="306">
        <v>101560</v>
      </c>
      <c r="B2855" s="305" t="s">
        <v>12594</v>
      </c>
      <c r="C2855" s="305" t="s">
        <v>282</v>
      </c>
      <c r="D2855" s="575">
        <v>6.72</v>
      </c>
    </row>
    <row r="2856" spans="1:4" ht="13.5" x14ac:dyDescent="0.25">
      <c r="A2856" s="306">
        <v>101561</v>
      </c>
      <c r="B2856" s="305" t="s">
        <v>12595</v>
      </c>
      <c r="C2856" s="305" t="s">
        <v>282</v>
      </c>
      <c r="D2856" s="575">
        <v>10.29</v>
      </c>
    </row>
    <row r="2857" spans="1:4" ht="13.5" x14ac:dyDescent="0.25">
      <c r="A2857" s="306">
        <v>101562</v>
      </c>
      <c r="B2857" s="305" t="s">
        <v>12596</v>
      </c>
      <c r="C2857" s="305" t="s">
        <v>282</v>
      </c>
      <c r="D2857" s="575">
        <v>15.64</v>
      </c>
    </row>
    <row r="2858" spans="1:4" ht="13.5" x14ac:dyDescent="0.25">
      <c r="A2858" s="306">
        <v>101563</v>
      </c>
      <c r="B2858" s="305" t="s">
        <v>12597</v>
      </c>
      <c r="C2858" s="305" t="s">
        <v>282</v>
      </c>
      <c r="D2858" s="575">
        <v>21.53</v>
      </c>
    </row>
    <row r="2859" spans="1:4" ht="13.5" x14ac:dyDescent="0.25">
      <c r="A2859" s="306">
        <v>101564</v>
      </c>
      <c r="B2859" s="305" t="s">
        <v>12598</v>
      </c>
      <c r="C2859" s="305" t="s">
        <v>282</v>
      </c>
      <c r="D2859" s="575">
        <v>30.68</v>
      </c>
    </row>
    <row r="2860" spans="1:4" ht="13.5" x14ac:dyDescent="0.25">
      <c r="A2860" s="306">
        <v>101565</v>
      </c>
      <c r="B2860" s="305" t="s">
        <v>12599</v>
      </c>
      <c r="C2860" s="305" t="s">
        <v>282</v>
      </c>
      <c r="D2860" s="575">
        <v>42.47</v>
      </c>
    </row>
    <row r="2861" spans="1:4" ht="13.5" x14ac:dyDescent="0.25">
      <c r="A2861" s="306">
        <v>101567</v>
      </c>
      <c r="B2861" s="305" t="s">
        <v>12600</v>
      </c>
      <c r="C2861" s="305" t="s">
        <v>282</v>
      </c>
      <c r="D2861" s="575">
        <v>56.4</v>
      </c>
    </row>
    <row r="2862" spans="1:4" ht="13.5" x14ac:dyDescent="0.25">
      <c r="A2862" s="306">
        <v>101568</v>
      </c>
      <c r="B2862" s="305" t="s">
        <v>12601</v>
      </c>
      <c r="C2862" s="305" t="s">
        <v>282</v>
      </c>
      <c r="D2862" s="575">
        <v>73.400000000000006</v>
      </c>
    </row>
    <row r="2863" spans="1:4" ht="13.5" x14ac:dyDescent="0.25">
      <c r="A2863" s="306">
        <v>100578</v>
      </c>
      <c r="B2863" s="305" t="s">
        <v>12602</v>
      </c>
      <c r="C2863" s="305" t="s">
        <v>363</v>
      </c>
      <c r="D2863" s="575">
        <v>305.79000000000002</v>
      </c>
    </row>
    <row r="2864" spans="1:4" ht="13.5" x14ac:dyDescent="0.25">
      <c r="A2864" s="306">
        <v>100579</v>
      </c>
      <c r="B2864" s="305" t="s">
        <v>12603</v>
      </c>
      <c r="C2864" s="305" t="s">
        <v>363</v>
      </c>
      <c r="D2864" s="575">
        <v>334.99</v>
      </c>
    </row>
    <row r="2865" spans="1:4" ht="13.5" x14ac:dyDescent="0.25">
      <c r="A2865" s="306">
        <v>100580</v>
      </c>
      <c r="B2865" s="305" t="s">
        <v>12604</v>
      </c>
      <c r="C2865" s="305" t="s">
        <v>363</v>
      </c>
      <c r="D2865" s="575">
        <v>370.86</v>
      </c>
    </row>
    <row r="2866" spans="1:4" ht="13.5" x14ac:dyDescent="0.25">
      <c r="A2866" s="306">
        <v>100581</v>
      </c>
      <c r="B2866" s="305" t="s">
        <v>12605</v>
      </c>
      <c r="C2866" s="305" t="s">
        <v>363</v>
      </c>
      <c r="D2866" s="575">
        <v>349.46</v>
      </c>
    </row>
    <row r="2867" spans="1:4" ht="13.5" x14ac:dyDescent="0.25">
      <c r="A2867" s="306">
        <v>100582</v>
      </c>
      <c r="B2867" s="305" t="s">
        <v>12606</v>
      </c>
      <c r="C2867" s="305" t="s">
        <v>363</v>
      </c>
      <c r="D2867" s="575">
        <v>414.18</v>
      </c>
    </row>
    <row r="2868" spans="1:4" ht="13.5" x14ac:dyDescent="0.25">
      <c r="A2868" s="306">
        <v>100583</v>
      </c>
      <c r="B2868" s="305" t="s">
        <v>12607</v>
      </c>
      <c r="C2868" s="305" t="s">
        <v>363</v>
      </c>
      <c r="D2868" s="575">
        <v>365.08</v>
      </c>
    </row>
    <row r="2869" spans="1:4" ht="13.5" x14ac:dyDescent="0.25">
      <c r="A2869" s="306">
        <v>100584</v>
      </c>
      <c r="B2869" s="305" t="s">
        <v>12608</v>
      </c>
      <c r="C2869" s="305" t="s">
        <v>363</v>
      </c>
      <c r="D2869" s="575">
        <v>403.93</v>
      </c>
    </row>
    <row r="2870" spans="1:4" ht="13.5" x14ac:dyDescent="0.25">
      <c r="A2870" s="306">
        <v>100585</v>
      </c>
      <c r="B2870" s="305" t="s">
        <v>12609</v>
      </c>
      <c r="C2870" s="305" t="s">
        <v>363</v>
      </c>
      <c r="D2870" s="575">
        <v>395.33</v>
      </c>
    </row>
    <row r="2871" spans="1:4" ht="13.5" x14ac:dyDescent="0.25">
      <c r="A2871" s="306">
        <v>100586</v>
      </c>
      <c r="B2871" s="305" t="s">
        <v>12610</v>
      </c>
      <c r="C2871" s="305" t="s">
        <v>363</v>
      </c>
      <c r="D2871" s="575">
        <v>457.2</v>
      </c>
    </row>
    <row r="2872" spans="1:4" ht="13.5" x14ac:dyDescent="0.25">
      <c r="A2872" s="306">
        <v>100587</v>
      </c>
      <c r="B2872" s="305" t="s">
        <v>12611</v>
      </c>
      <c r="C2872" s="305" t="s">
        <v>363</v>
      </c>
      <c r="D2872" s="575">
        <v>426.83</v>
      </c>
    </row>
    <row r="2873" spans="1:4" ht="13.5" x14ac:dyDescent="0.25">
      <c r="A2873" s="306">
        <v>100588</v>
      </c>
      <c r="B2873" s="305" t="s">
        <v>12612</v>
      </c>
      <c r="C2873" s="305" t="s">
        <v>363</v>
      </c>
      <c r="D2873" s="575">
        <v>474.9</v>
      </c>
    </row>
    <row r="2874" spans="1:4" ht="13.5" x14ac:dyDescent="0.25">
      <c r="A2874" s="306">
        <v>100589</v>
      </c>
      <c r="B2874" s="305" t="s">
        <v>12613</v>
      </c>
      <c r="C2874" s="305" t="s">
        <v>363</v>
      </c>
      <c r="D2874" s="575">
        <v>476.12</v>
      </c>
    </row>
    <row r="2875" spans="1:4" ht="13.5" x14ac:dyDescent="0.25">
      <c r="A2875" s="306">
        <v>100590</v>
      </c>
      <c r="B2875" s="305" t="s">
        <v>12614</v>
      </c>
      <c r="C2875" s="305" t="s">
        <v>363</v>
      </c>
      <c r="D2875" s="575">
        <v>523.79</v>
      </c>
    </row>
    <row r="2876" spans="1:4" ht="13.5" x14ac:dyDescent="0.25">
      <c r="A2876" s="306">
        <v>100591</v>
      </c>
      <c r="B2876" s="305" t="s">
        <v>12615</v>
      </c>
      <c r="C2876" s="305" t="s">
        <v>363</v>
      </c>
      <c r="D2876" s="575">
        <v>470.85</v>
      </c>
    </row>
    <row r="2877" spans="1:4" ht="13.5" x14ac:dyDescent="0.25">
      <c r="A2877" s="306">
        <v>100592</v>
      </c>
      <c r="B2877" s="305" t="s">
        <v>12616</v>
      </c>
      <c r="C2877" s="305" t="s">
        <v>363</v>
      </c>
      <c r="D2877" s="575">
        <v>510.31</v>
      </c>
    </row>
    <row r="2878" spans="1:4" ht="13.5" x14ac:dyDescent="0.25">
      <c r="A2878" s="306">
        <v>100593</v>
      </c>
      <c r="B2878" s="305" t="s">
        <v>12617</v>
      </c>
      <c r="C2878" s="305" t="s">
        <v>363</v>
      </c>
      <c r="D2878" s="575">
        <v>504.49</v>
      </c>
    </row>
    <row r="2879" spans="1:4" ht="13.5" x14ac:dyDescent="0.25">
      <c r="A2879" s="306">
        <v>100594</v>
      </c>
      <c r="B2879" s="305" t="s">
        <v>12618</v>
      </c>
      <c r="C2879" s="305" t="s">
        <v>363</v>
      </c>
      <c r="D2879" s="575">
        <v>571.27</v>
      </c>
    </row>
    <row r="2880" spans="1:4" ht="13.5" x14ac:dyDescent="0.25">
      <c r="A2880" s="306">
        <v>100595</v>
      </c>
      <c r="B2880" s="305" t="s">
        <v>12619</v>
      </c>
      <c r="C2880" s="305" t="s">
        <v>363</v>
      </c>
      <c r="D2880" s="575">
        <v>605.48</v>
      </c>
    </row>
    <row r="2881" spans="1:4" ht="13.5" x14ac:dyDescent="0.25">
      <c r="A2881" s="306">
        <v>100596</v>
      </c>
      <c r="B2881" s="305" t="s">
        <v>12620</v>
      </c>
      <c r="C2881" s="305" t="s">
        <v>363</v>
      </c>
      <c r="D2881" s="575">
        <v>695.46</v>
      </c>
    </row>
    <row r="2882" spans="1:4" ht="13.5" x14ac:dyDescent="0.25">
      <c r="A2882" s="306">
        <v>100597</v>
      </c>
      <c r="B2882" s="305" t="s">
        <v>12621</v>
      </c>
      <c r="C2882" s="305" t="s">
        <v>363</v>
      </c>
      <c r="D2882" s="575">
        <v>703.45</v>
      </c>
    </row>
    <row r="2883" spans="1:4" ht="13.5" x14ac:dyDescent="0.25">
      <c r="A2883" s="306">
        <v>100598</v>
      </c>
      <c r="B2883" s="305" t="s">
        <v>12622</v>
      </c>
      <c r="C2883" s="305" t="s">
        <v>363</v>
      </c>
      <c r="D2883" s="575">
        <v>777.63</v>
      </c>
    </row>
    <row r="2884" spans="1:4" ht="13.5" x14ac:dyDescent="0.25">
      <c r="A2884" s="306">
        <v>100599</v>
      </c>
      <c r="B2884" s="305" t="s">
        <v>12623</v>
      </c>
      <c r="C2884" s="305" t="s">
        <v>363</v>
      </c>
      <c r="D2884" s="575">
        <v>326.33</v>
      </c>
    </row>
    <row r="2885" spans="1:4" ht="13.5" x14ac:dyDescent="0.25">
      <c r="A2885" s="306">
        <v>100600</v>
      </c>
      <c r="B2885" s="305" t="s">
        <v>12624</v>
      </c>
      <c r="C2885" s="305" t="s">
        <v>363</v>
      </c>
      <c r="D2885" s="575">
        <v>400.37</v>
      </c>
    </row>
    <row r="2886" spans="1:4" ht="13.5" x14ac:dyDescent="0.25">
      <c r="A2886" s="306">
        <v>100601</v>
      </c>
      <c r="B2886" s="305" t="s">
        <v>12625</v>
      </c>
      <c r="C2886" s="305" t="s">
        <v>363</v>
      </c>
      <c r="D2886" s="575">
        <v>528.1</v>
      </c>
    </row>
    <row r="2887" spans="1:4" ht="13.5" x14ac:dyDescent="0.25">
      <c r="A2887" s="306">
        <v>100602</v>
      </c>
      <c r="B2887" s="305" t="s">
        <v>12626</v>
      </c>
      <c r="C2887" s="305" t="s">
        <v>363</v>
      </c>
      <c r="D2887" s="575">
        <v>687.41</v>
      </c>
    </row>
    <row r="2888" spans="1:4" ht="13.5" x14ac:dyDescent="0.25">
      <c r="A2888" s="306">
        <v>100603</v>
      </c>
      <c r="B2888" s="305" t="s">
        <v>12627</v>
      </c>
      <c r="C2888" s="305" t="s">
        <v>363</v>
      </c>
      <c r="D2888" s="576">
        <v>1096.21</v>
      </c>
    </row>
    <row r="2889" spans="1:4" ht="13.5" x14ac:dyDescent="0.25">
      <c r="A2889" s="306">
        <v>100604</v>
      </c>
      <c r="B2889" s="305" t="s">
        <v>12628</v>
      </c>
      <c r="C2889" s="305" t="s">
        <v>363</v>
      </c>
      <c r="D2889" s="575">
        <v>421.85</v>
      </c>
    </row>
    <row r="2890" spans="1:4" ht="13.5" x14ac:dyDescent="0.25">
      <c r="A2890" s="306">
        <v>100605</v>
      </c>
      <c r="B2890" s="305" t="s">
        <v>12629</v>
      </c>
      <c r="C2890" s="305" t="s">
        <v>363</v>
      </c>
      <c r="D2890" s="575">
        <v>715.44</v>
      </c>
    </row>
    <row r="2891" spans="1:4" ht="13.5" x14ac:dyDescent="0.25">
      <c r="A2891" s="306">
        <v>100606</v>
      </c>
      <c r="B2891" s="305" t="s">
        <v>12630</v>
      </c>
      <c r="C2891" s="305" t="s">
        <v>363</v>
      </c>
      <c r="D2891" s="576">
        <v>1132.7</v>
      </c>
    </row>
    <row r="2892" spans="1:4" ht="13.5" x14ac:dyDescent="0.25">
      <c r="A2892" s="306">
        <v>100607</v>
      </c>
      <c r="B2892" s="305" t="s">
        <v>12631</v>
      </c>
      <c r="C2892" s="305" t="s">
        <v>363</v>
      </c>
      <c r="D2892" s="575">
        <v>431.91</v>
      </c>
    </row>
    <row r="2893" spans="1:4" ht="13.5" x14ac:dyDescent="0.25">
      <c r="A2893" s="306">
        <v>100608</v>
      </c>
      <c r="B2893" s="305" t="s">
        <v>12632</v>
      </c>
      <c r="C2893" s="305" t="s">
        <v>363</v>
      </c>
      <c r="D2893" s="575">
        <v>729.27</v>
      </c>
    </row>
    <row r="2894" spans="1:4" ht="13.5" x14ac:dyDescent="0.25">
      <c r="A2894" s="306">
        <v>100609</v>
      </c>
      <c r="B2894" s="305" t="s">
        <v>12633</v>
      </c>
      <c r="C2894" s="305" t="s">
        <v>363</v>
      </c>
      <c r="D2894" s="576">
        <v>1152.33</v>
      </c>
    </row>
    <row r="2895" spans="1:4" ht="13.5" x14ac:dyDescent="0.25">
      <c r="A2895" s="306">
        <v>100610</v>
      </c>
      <c r="B2895" s="305" t="s">
        <v>12634</v>
      </c>
      <c r="C2895" s="305" t="s">
        <v>363</v>
      </c>
      <c r="D2895" s="575">
        <v>441.87</v>
      </c>
    </row>
    <row r="2896" spans="1:4" ht="13.5" x14ac:dyDescent="0.25">
      <c r="A2896" s="306">
        <v>100611</v>
      </c>
      <c r="B2896" s="305" t="s">
        <v>12635</v>
      </c>
      <c r="C2896" s="305" t="s">
        <v>363</v>
      </c>
      <c r="D2896" s="575">
        <v>575.38</v>
      </c>
    </row>
    <row r="2897" spans="1:4" ht="13.5" x14ac:dyDescent="0.25">
      <c r="A2897" s="306">
        <v>100612</v>
      </c>
      <c r="B2897" s="305" t="s">
        <v>12636</v>
      </c>
      <c r="C2897" s="305" t="s">
        <v>363</v>
      </c>
      <c r="D2897" s="575">
        <v>742.7</v>
      </c>
    </row>
    <row r="2898" spans="1:4" ht="13.5" x14ac:dyDescent="0.25">
      <c r="A2898" s="306">
        <v>100613</v>
      </c>
      <c r="B2898" s="305" t="s">
        <v>12637</v>
      </c>
      <c r="C2898" s="305" t="s">
        <v>363</v>
      </c>
      <c r="D2898" s="576">
        <v>1171.46</v>
      </c>
    </row>
    <row r="2899" spans="1:4" ht="13.5" x14ac:dyDescent="0.25">
      <c r="A2899" s="306">
        <v>100614</v>
      </c>
      <c r="B2899" s="305" t="s">
        <v>12638</v>
      </c>
      <c r="C2899" s="305" t="s">
        <v>363</v>
      </c>
      <c r="D2899" s="575">
        <v>598.42999999999995</v>
      </c>
    </row>
    <row r="2900" spans="1:4" ht="13.5" x14ac:dyDescent="0.25">
      <c r="A2900" s="306">
        <v>100615</v>
      </c>
      <c r="B2900" s="305" t="s">
        <v>12639</v>
      </c>
      <c r="C2900" s="305" t="s">
        <v>363</v>
      </c>
      <c r="D2900" s="575">
        <v>769.26</v>
      </c>
    </row>
    <row r="2901" spans="1:4" ht="13.5" x14ac:dyDescent="0.25">
      <c r="A2901" s="306">
        <v>100616</v>
      </c>
      <c r="B2901" s="305" t="s">
        <v>12640</v>
      </c>
      <c r="C2901" s="305" t="s">
        <v>363</v>
      </c>
      <c r="D2901" s="576">
        <v>1211.72</v>
      </c>
    </row>
    <row r="2902" spans="1:4" ht="13.5" x14ac:dyDescent="0.25">
      <c r="A2902" s="306">
        <v>100617</v>
      </c>
      <c r="B2902" s="305" t="s">
        <v>12641</v>
      </c>
      <c r="C2902" s="305" t="s">
        <v>363</v>
      </c>
      <c r="D2902" s="575">
        <v>795.64</v>
      </c>
    </row>
    <row r="2903" spans="1:4" ht="13.5" x14ac:dyDescent="0.25">
      <c r="A2903" s="306">
        <v>100618</v>
      </c>
      <c r="B2903" s="305" t="s">
        <v>12642</v>
      </c>
      <c r="C2903" s="305" t="s">
        <v>363</v>
      </c>
      <c r="D2903" s="576">
        <v>1257.42</v>
      </c>
    </row>
    <row r="2904" spans="1:4" ht="13.5" x14ac:dyDescent="0.25">
      <c r="A2904" s="306">
        <v>100619</v>
      </c>
      <c r="B2904" s="305" t="s">
        <v>12643</v>
      </c>
      <c r="C2904" s="305" t="s">
        <v>363</v>
      </c>
      <c r="D2904" s="575">
        <v>330.67</v>
      </c>
    </row>
    <row r="2905" spans="1:4" ht="13.5" x14ac:dyDescent="0.25">
      <c r="A2905" s="306">
        <v>100620</v>
      </c>
      <c r="B2905" s="305" t="s">
        <v>12644</v>
      </c>
      <c r="C2905" s="305" t="s">
        <v>363</v>
      </c>
      <c r="D2905" s="576">
        <v>1892.25</v>
      </c>
    </row>
    <row r="2906" spans="1:4" ht="13.5" x14ac:dyDescent="0.25">
      <c r="A2906" s="306">
        <v>100621</v>
      </c>
      <c r="B2906" s="305" t="s">
        <v>12645</v>
      </c>
      <c r="C2906" s="305" t="s">
        <v>363</v>
      </c>
      <c r="D2906" s="576">
        <v>2134.9499999999998</v>
      </c>
    </row>
    <row r="2907" spans="1:4" ht="13.5" x14ac:dyDescent="0.25">
      <c r="A2907" s="306">
        <v>100622</v>
      </c>
      <c r="B2907" s="305" t="s">
        <v>12646</v>
      </c>
      <c r="C2907" s="305" t="s">
        <v>363</v>
      </c>
      <c r="D2907" s="576">
        <v>1281.5899999999999</v>
      </c>
    </row>
    <row r="2908" spans="1:4" ht="13.5" x14ac:dyDescent="0.25">
      <c r="A2908" s="306">
        <v>100623</v>
      </c>
      <c r="B2908" s="305" t="s">
        <v>12647</v>
      </c>
      <c r="C2908" s="305" t="s">
        <v>363</v>
      </c>
      <c r="D2908" s="576">
        <v>1392.09</v>
      </c>
    </row>
    <row r="2909" spans="1:4" ht="13.5" x14ac:dyDescent="0.25">
      <c r="A2909" s="306">
        <v>72281</v>
      </c>
      <c r="B2909" s="305" t="s">
        <v>2704</v>
      </c>
      <c r="C2909" s="305" t="s">
        <v>363</v>
      </c>
      <c r="D2909" s="575">
        <v>129.47</v>
      </c>
    </row>
    <row r="2910" spans="1:4" ht="13.5" x14ac:dyDescent="0.25">
      <c r="A2910" s="306">
        <v>72282</v>
      </c>
      <c r="B2910" s="305" t="s">
        <v>2705</v>
      </c>
      <c r="C2910" s="305" t="s">
        <v>363</v>
      </c>
      <c r="D2910" s="575">
        <v>180.59</v>
      </c>
    </row>
    <row r="2911" spans="1:4" ht="13.5" x14ac:dyDescent="0.25">
      <c r="A2911" s="305" t="s">
        <v>2706</v>
      </c>
      <c r="B2911" s="305" t="s">
        <v>2707</v>
      </c>
      <c r="C2911" s="305" t="s">
        <v>363</v>
      </c>
      <c r="D2911" s="575">
        <v>34.909999999999997</v>
      </c>
    </row>
    <row r="2912" spans="1:4" ht="13.5" x14ac:dyDescent="0.25">
      <c r="A2912" s="305" t="s">
        <v>2708</v>
      </c>
      <c r="B2912" s="305" t="s">
        <v>2709</v>
      </c>
      <c r="C2912" s="305" t="s">
        <v>363</v>
      </c>
      <c r="D2912" s="575">
        <v>46.1</v>
      </c>
    </row>
    <row r="2913" spans="1:4" ht="13.5" x14ac:dyDescent="0.25">
      <c r="A2913" s="305" t="s">
        <v>2710</v>
      </c>
      <c r="B2913" s="305" t="s">
        <v>2711</v>
      </c>
      <c r="C2913" s="305" t="s">
        <v>363</v>
      </c>
      <c r="D2913" s="575">
        <v>22.47</v>
      </c>
    </row>
    <row r="2914" spans="1:4" ht="13.5" x14ac:dyDescent="0.25">
      <c r="A2914" s="305" t="s">
        <v>2712</v>
      </c>
      <c r="B2914" s="305" t="s">
        <v>2713</v>
      </c>
      <c r="C2914" s="305" t="s">
        <v>363</v>
      </c>
      <c r="D2914" s="575">
        <v>29.13</v>
      </c>
    </row>
    <row r="2915" spans="1:4" ht="13.5" x14ac:dyDescent="0.25">
      <c r="A2915" s="305" t="s">
        <v>2714</v>
      </c>
      <c r="B2915" s="305" t="s">
        <v>2715</v>
      </c>
      <c r="C2915" s="305" t="s">
        <v>363</v>
      </c>
      <c r="D2915" s="575">
        <v>51.69</v>
      </c>
    </row>
    <row r="2916" spans="1:4" ht="13.5" x14ac:dyDescent="0.25">
      <c r="A2916" s="305" t="s">
        <v>2716</v>
      </c>
      <c r="B2916" s="305" t="s">
        <v>2717</v>
      </c>
      <c r="C2916" s="305" t="s">
        <v>363</v>
      </c>
      <c r="D2916" s="575">
        <v>41.52</v>
      </c>
    </row>
    <row r="2917" spans="1:4" ht="13.5" x14ac:dyDescent="0.25">
      <c r="A2917" s="305" t="s">
        <v>2718</v>
      </c>
      <c r="B2917" s="305" t="s">
        <v>2719</v>
      </c>
      <c r="C2917" s="305" t="s">
        <v>363</v>
      </c>
      <c r="D2917" s="575">
        <v>47.35</v>
      </c>
    </row>
    <row r="2918" spans="1:4" ht="13.5" x14ac:dyDescent="0.25">
      <c r="A2918" s="305" t="s">
        <v>2720</v>
      </c>
      <c r="B2918" s="305" t="s">
        <v>2721</v>
      </c>
      <c r="C2918" s="305" t="s">
        <v>363</v>
      </c>
      <c r="D2918" s="575">
        <v>54.51</v>
      </c>
    </row>
    <row r="2919" spans="1:4" ht="13.5" x14ac:dyDescent="0.25">
      <c r="A2919" s="305" t="s">
        <v>2722</v>
      </c>
      <c r="B2919" s="305" t="s">
        <v>2723</v>
      </c>
      <c r="C2919" s="305" t="s">
        <v>363</v>
      </c>
      <c r="D2919" s="575">
        <v>155.25</v>
      </c>
    </row>
    <row r="2920" spans="1:4" ht="13.5" x14ac:dyDescent="0.25">
      <c r="A2920" s="305" t="s">
        <v>2724</v>
      </c>
      <c r="B2920" s="305" t="s">
        <v>2725</v>
      </c>
      <c r="C2920" s="305" t="s">
        <v>363</v>
      </c>
      <c r="D2920" s="575">
        <v>313.17</v>
      </c>
    </row>
    <row r="2921" spans="1:4" ht="13.5" x14ac:dyDescent="0.25">
      <c r="A2921" s="306">
        <v>83399</v>
      </c>
      <c r="B2921" s="305" t="s">
        <v>2726</v>
      </c>
      <c r="C2921" s="305" t="s">
        <v>363</v>
      </c>
      <c r="D2921" s="575">
        <v>36.21</v>
      </c>
    </row>
    <row r="2922" spans="1:4" ht="13.5" x14ac:dyDescent="0.25">
      <c r="A2922" s="306">
        <v>83400</v>
      </c>
      <c r="B2922" s="305" t="s">
        <v>2727</v>
      </c>
      <c r="C2922" s="305" t="s">
        <v>363</v>
      </c>
      <c r="D2922" s="575">
        <v>103.37</v>
      </c>
    </row>
    <row r="2923" spans="1:4" ht="13.5" x14ac:dyDescent="0.25">
      <c r="A2923" s="306">
        <v>83401</v>
      </c>
      <c r="B2923" s="305" t="s">
        <v>2728</v>
      </c>
      <c r="C2923" s="305" t="s">
        <v>363</v>
      </c>
      <c r="D2923" s="575">
        <v>103.37</v>
      </c>
    </row>
    <row r="2924" spans="1:4" ht="13.5" x14ac:dyDescent="0.25">
      <c r="A2924" s="306">
        <v>83402</v>
      </c>
      <c r="B2924" s="305" t="s">
        <v>2729</v>
      </c>
      <c r="C2924" s="305" t="s">
        <v>363</v>
      </c>
      <c r="D2924" s="575">
        <v>51.95</v>
      </c>
    </row>
    <row r="2925" spans="1:4" ht="13.5" x14ac:dyDescent="0.25">
      <c r="A2925" s="306">
        <v>83475</v>
      </c>
      <c r="B2925" s="305" t="s">
        <v>2730</v>
      </c>
      <c r="C2925" s="305" t="s">
        <v>363</v>
      </c>
      <c r="D2925" s="575">
        <v>457.96</v>
      </c>
    </row>
    <row r="2926" spans="1:4" ht="13.5" x14ac:dyDescent="0.25">
      <c r="A2926" s="306">
        <v>83478</v>
      </c>
      <c r="B2926" s="305" t="s">
        <v>2731</v>
      </c>
      <c r="C2926" s="305" t="s">
        <v>363</v>
      </c>
      <c r="D2926" s="575">
        <v>330.32</v>
      </c>
    </row>
    <row r="2927" spans="1:4" ht="13.5" x14ac:dyDescent="0.25">
      <c r="A2927" s="306">
        <v>83479</v>
      </c>
      <c r="B2927" s="305" t="s">
        <v>2732</v>
      </c>
      <c r="C2927" s="305" t="s">
        <v>363</v>
      </c>
      <c r="D2927" s="575">
        <v>132.46</v>
      </c>
    </row>
    <row r="2928" spans="1:4" ht="13.5" x14ac:dyDescent="0.25">
      <c r="A2928" s="306">
        <v>83480</v>
      </c>
      <c r="B2928" s="305" t="s">
        <v>2733</v>
      </c>
      <c r="C2928" s="305" t="s">
        <v>363</v>
      </c>
      <c r="D2928" s="575">
        <v>102.37</v>
      </c>
    </row>
    <row r="2929" spans="1:4" ht="13.5" x14ac:dyDescent="0.25">
      <c r="A2929" s="306">
        <v>83481</v>
      </c>
      <c r="B2929" s="305" t="s">
        <v>2734</v>
      </c>
      <c r="C2929" s="305" t="s">
        <v>363</v>
      </c>
      <c r="D2929" s="575">
        <v>116.32</v>
      </c>
    </row>
    <row r="2930" spans="1:4" ht="13.5" x14ac:dyDescent="0.25">
      <c r="A2930" s="306">
        <v>97600</v>
      </c>
      <c r="B2930" s="305" t="s">
        <v>12648</v>
      </c>
      <c r="C2930" s="305" t="s">
        <v>363</v>
      </c>
      <c r="D2930" s="575">
        <v>233.3</v>
      </c>
    </row>
    <row r="2931" spans="1:4" ht="13.5" x14ac:dyDescent="0.25">
      <c r="A2931" s="306">
        <v>97601</v>
      </c>
      <c r="B2931" s="305" t="s">
        <v>12649</v>
      </c>
      <c r="C2931" s="305" t="s">
        <v>363</v>
      </c>
      <c r="D2931" s="575">
        <v>246.78</v>
      </c>
    </row>
    <row r="2932" spans="1:4" ht="13.5" x14ac:dyDescent="0.25">
      <c r="A2932" s="306">
        <v>97605</v>
      </c>
      <c r="B2932" s="305" t="s">
        <v>12650</v>
      </c>
      <c r="C2932" s="305" t="s">
        <v>363</v>
      </c>
      <c r="D2932" s="575">
        <v>61.43</v>
      </c>
    </row>
    <row r="2933" spans="1:4" ht="13.5" x14ac:dyDescent="0.25">
      <c r="A2933" s="306">
        <v>97606</v>
      </c>
      <c r="B2933" s="305" t="s">
        <v>12651</v>
      </c>
      <c r="C2933" s="305" t="s">
        <v>363</v>
      </c>
      <c r="D2933" s="575">
        <v>66.05</v>
      </c>
    </row>
    <row r="2934" spans="1:4" ht="13.5" x14ac:dyDescent="0.25">
      <c r="A2934" s="306">
        <v>97607</v>
      </c>
      <c r="B2934" s="305" t="s">
        <v>12652</v>
      </c>
      <c r="C2934" s="305" t="s">
        <v>363</v>
      </c>
      <c r="D2934" s="575">
        <v>73.650000000000006</v>
      </c>
    </row>
    <row r="2935" spans="1:4" ht="13.5" x14ac:dyDescent="0.25">
      <c r="A2935" s="306">
        <v>97608</v>
      </c>
      <c r="B2935" s="305" t="s">
        <v>12653</v>
      </c>
      <c r="C2935" s="305" t="s">
        <v>363</v>
      </c>
      <c r="D2935" s="575">
        <v>78.27</v>
      </c>
    </row>
    <row r="2936" spans="1:4" ht="13.5" x14ac:dyDescent="0.25">
      <c r="A2936" s="305" t="s">
        <v>2735</v>
      </c>
      <c r="B2936" s="305" t="s">
        <v>2736</v>
      </c>
      <c r="C2936" s="305" t="s">
        <v>363</v>
      </c>
      <c r="D2936" s="576">
        <v>7076.64</v>
      </c>
    </row>
    <row r="2937" spans="1:4" ht="13.5" x14ac:dyDescent="0.25">
      <c r="A2937" s="305" t="s">
        <v>2737</v>
      </c>
      <c r="B2937" s="305" t="s">
        <v>2738</v>
      </c>
      <c r="C2937" s="305" t="s">
        <v>363</v>
      </c>
      <c r="D2937" s="576">
        <v>8745.18</v>
      </c>
    </row>
    <row r="2938" spans="1:4" ht="13.5" x14ac:dyDescent="0.25">
      <c r="A2938" s="305" t="s">
        <v>2739</v>
      </c>
      <c r="B2938" s="305" t="s">
        <v>2740</v>
      </c>
      <c r="C2938" s="305" t="s">
        <v>363</v>
      </c>
      <c r="D2938" s="576">
        <v>11023.94</v>
      </c>
    </row>
    <row r="2939" spans="1:4" ht="13.5" x14ac:dyDescent="0.25">
      <c r="A2939" s="305" t="s">
        <v>2741</v>
      </c>
      <c r="B2939" s="305" t="s">
        <v>2742</v>
      </c>
      <c r="C2939" s="305" t="s">
        <v>363</v>
      </c>
      <c r="D2939" s="576">
        <v>15438.02</v>
      </c>
    </row>
    <row r="2940" spans="1:4" ht="13.5" x14ac:dyDescent="0.25">
      <c r="A2940" s="305" t="s">
        <v>2743</v>
      </c>
      <c r="B2940" s="305" t="s">
        <v>2744</v>
      </c>
      <c r="C2940" s="305" t="s">
        <v>363</v>
      </c>
      <c r="D2940" s="576">
        <v>18007.86</v>
      </c>
    </row>
    <row r="2941" spans="1:4" ht="13.5" x14ac:dyDescent="0.25">
      <c r="A2941" s="305" t="s">
        <v>2745</v>
      </c>
      <c r="B2941" s="305" t="s">
        <v>2746</v>
      </c>
      <c r="C2941" s="305" t="s">
        <v>363</v>
      </c>
      <c r="D2941" s="576">
        <v>29308.89</v>
      </c>
    </row>
    <row r="2942" spans="1:4" ht="13.5" x14ac:dyDescent="0.25">
      <c r="A2942" s="305" t="s">
        <v>2747</v>
      </c>
      <c r="B2942" s="305" t="s">
        <v>2748</v>
      </c>
      <c r="C2942" s="305" t="s">
        <v>363</v>
      </c>
      <c r="D2942" s="576">
        <v>4884.58</v>
      </c>
    </row>
    <row r="2943" spans="1:4" ht="13.5" x14ac:dyDescent="0.25">
      <c r="A2943" s="305" t="s">
        <v>2749</v>
      </c>
      <c r="B2943" s="305" t="s">
        <v>2750</v>
      </c>
      <c r="C2943" s="305" t="s">
        <v>363</v>
      </c>
      <c r="D2943" s="576">
        <v>5470.44</v>
      </c>
    </row>
    <row r="2944" spans="1:4" ht="13.5" x14ac:dyDescent="0.25">
      <c r="A2944" s="305" t="s">
        <v>2751</v>
      </c>
      <c r="B2944" s="305" t="s">
        <v>2752</v>
      </c>
      <c r="C2944" s="305" t="s">
        <v>363</v>
      </c>
      <c r="D2944" s="576">
        <v>40157.57</v>
      </c>
    </row>
    <row r="2945" spans="1:4" ht="13.5" x14ac:dyDescent="0.25">
      <c r="A2945" s="305" t="s">
        <v>2753</v>
      </c>
      <c r="B2945" s="305" t="s">
        <v>2754</v>
      </c>
      <c r="C2945" s="305" t="s">
        <v>363</v>
      </c>
      <c r="D2945" s="576">
        <v>56168.56</v>
      </c>
    </row>
    <row r="2946" spans="1:4" ht="13.5" x14ac:dyDescent="0.25">
      <c r="A2946" s="306">
        <v>93128</v>
      </c>
      <c r="B2946" s="305" t="s">
        <v>2755</v>
      </c>
      <c r="C2946" s="305" t="s">
        <v>363</v>
      </c>
      <c r="D2946" s="575">
        <v>110.41</v>
      </c>
    </row>
    <row r="2947" spans="1:4" ht="13.5" x14ac:dyDescent="0.25">
      <c r="A2947" s="306">
        <v>93137</v>
      </c>
      <c r="B2947" s="305" t="s">
        <v>2756</v>
      </c>
      <c r="C2947" s="305" t="s">
        <v>363</v>
      </c>
      <c r="D2947" s="575">
        <v>130.69999999999999</v>
      </c>
    </row>
    <row r="2948" spans="1:4" ht="13.5" x14ac:dyDescent="0.25">
      <c r="A2948" s="306">
        <v>93138</v>
      </c>
      <c r="B2948" s="305" t="s">
        <v>2757</v>
      </c>
      <c r="C2948" s="305" t="s">
        <v>363</v>
      </c>
      <c r="D2948" s="575">
        <v>123.47</v>
      </c>
    </row>
    <row r="2949" spans="1:4" ht="13.5" x14ac:dyDescent="0.25">
      <c r="A2949" s="306">
        <v>93139</v>
      </c>
      <c r="B2949" s="305" t="s">
        <v>2758</v>
      </c>
      <c r="C2949" s="305" t="s">
        <v>363</v>
      </c>
      <c r="D2949" s="575">
        <v>156.77000000000001</v>
      </c>
    </row>
    <row r="2950" spans="1:4" ht="13.5" x14ac:dyDescent="0.25">
      <c r="A2950" s="306">
        <v>93140</v>
      </c>
      <c r="B2950" s="305" t="s">
        <v>2759</v>
      </c>
      <c r="C2950" s="305" t="s">
        <v>363</v>
      </c>
      <c r="D2950" s="575">
        <v>147.79</v>
      </c>
    </row>
    <row r="2951" spans="1:4" ht="13.5" x14ac:dyDescent="0.25">
      <c r="A2951" s="306">
        <v>93141</v>
      </c>
      <c r="B2951" s="305" t="s">
        <v>2760</v>
      </c>
      <c r="C2951" s="305" t="s">
        <v>363</v>
      </c>
      <c r="D2951" s="575">
        <v>132.94999999999999</v>
      </c>
    </row>
    <row r="2952" spans="1:4" ht="13.5" x14ac:dyDescent="0.25">
      <c r="A2952" s="306">
        <v>93142</v>
      </c>
      <c r="B2952" s="305" t="s">
        <v>2761</v>
      </c>
      <c r="C2952" s="305" t="s">
        <v>363</v>
      </c>
      <c r="D2952" s="575">
        <v>148.97</v>
      </c>
    </row>
    <row r="2953" spans="1:4" ht="13.5" x14ac:dyDescent="0.25">
      <c r="A2953" s="306">
        <v>93143</v>
      </c>
      <c r="B2953" s="305" t="s">
        <v>2762</v>
      </c>
      <c r="C2953" s="305" t="s">
        <v>363</v>
      </c>
      <c r="D2953" s="575">
        <v>134.85</v>
      </c>
    </row>
    <row r="2954" spans="1:4" ht="13.5" x14ac:dyDescent="0.25">
      <c r="A2954" s="306">
        <v>93144</v>
      </c>
      <c r="B2954" s="305" t="s">
        <v>2763</v>
      </c>
      <c r="C2954" s="305" t="s">
        <v>363</v>
      </c>
      <c r="D2954" s="575">
        <v>169.39</v>
      </c>
    </row>
    <row r="2955" spans="1:4" ht="13.5" x14ac:dyDescent="0.25">
      <c r="A2955" s="306">
        <v>93145</v>
      </c>
      <c r="B2955" s="305" t="s">
        <v>2764</v>
      </c>
      <c r="C2955" s="305" t="s">
        <v>363</v>
      </c>
      <c r="D2955" s="575">
        <v>161.34</v>
      </c>
    </row>
    <row r="2956" spans="1:4" ht="13.5" x14ac:dyDescent="0.25">
      <c r="A2956" s="306">
        <v>93146</v>
      </c>
      <c r="B2956" s="305" t="s">
        <v>2765</v>
      </c>
      <c r="C2956" s="305" t="s">
        <v>363</v>
      </c>
      <c r="D2956" s="575">
        <v>174.39</v>
      </c>
    </row>
    <row r="2957" spans="1:4" ht="13.5" x14ac:dyDescent="0.25">
      <c r="A2957" s="306">
        <v>93147</v>
      </c>
      <c r="B2957" s="305" t="s">
        <v>2766</v>
      </c>
      <c r="C2957" s="305" t="s">
        <v>363</v>
      </c>
      <c r="D2957" s="575">
        <v>198.76</v>
      </c>
    </row>
    <row r="2958" spans="1:4" ht="13.5" x14ac:dyDescent="0.25">
      <c r="A2958" s="306">
        <v>96971</v>
      </c>
      <c r="B2958" s="305" t="s">
        <v>2767</v>
      </c>
      <c r="C2958" s="305" t="s">
        <v>282</v>
      </c>
      <c r="D2958" s="575">
        <v>24.89</v>
      </c>
    </row>
    <row r="2959" spans="1:4" ht="13.5" x14ac:dyDescent="0.25">
      <c r="A2959" s="306">
        <v>96972</v>
      </c>
      <c r="B2959" s="305" t="s">
        <v>2768</v>
      </c>
      <c r="C2959" s="305" t="s">
        <v>282</v>
      </c>
      <c r="D2959" s="575">
        <v>33.909999999999997</v>
      </c>
    </row>
    <row r="2960" spans="1:4" ht="13.5" x14ac:dyDescent="0.25">
      <c r="A2960" s="306">
        <v>96973</v>
      </c>
      <c r="B2960" s="305" t="s">
        <v>2769</v>
      </c>
      <c r="C2960" s="305" t="s">
        <v>282</v>
      </c>
      <c r="D2960" s="575">
        <v>42.55</v>
      </c>
    </row>
    <row r="2961" spans="1:4" ht="13.5" x14ac:dyDescent="0.25">
      <c r="A2961" s="306">
        <v>96974</v>
      </c>
      <c r="B2961" s="305" t="s">
        <v>2770</v>
      </c>
      <c r="C2961" s="305" t="s">
        <v>282</v>
      </c>
      <c r="D2961" s="575">
        <v>53.96</v>
      </c>
    </row>
    <row r="2962" spans="1:4" ht="13.5" x14ac:dyDescent="0.25">
      <c r="A2962" s="306">
        <v>96975</v>
      </c>
      <c r="B2962" s="305" t="s">
        <v>2771</v>
      </c>
      <c r="C2962" s="305" t="s">
        <v>282</v>
      </c>
      <c r="D2962" s="575">
        <v>69.11</v>
      </c>
    </row>
    <row r="2963" spans="1:4" ht="13.5" x14ac:dyDescent="0.25">
      <c r="A2963" s="306">
        <v>96976</v>
      </c>
      <c r="B2963" s="305" t="s">
        <v>2772</v>
      </c>
      <c r="C2963" s="305" t="s">
        <v>282</v>
      </c>
      <c r="D2963" s="575">
        <v>89.17</v>
      </c>
    </row>
    <row r="2964" spans="1:4" ht="13.5" x14ac:dyDescent="0.25">
      <c r="A2964" s="306">
        <v>96977</v>
      </c>
      <c r="B2964" s="305" t="s">
        <v>2773</v>
      </c>
      <c r="C2964" s="305" t="s">
        <v>282</v>
      </c>
      <c r="D2964" s="575">
        <v>33.61</v>
      </c>
    </row>
    <row r="2965" spans="1:4" ht="13.5" x14ac:dyDescent="0.25">
      <c r="A2965" s="306">
        <v>96978</v>
      </c>
      <c r="B2965" s="305" t="s">
        <v>2774</v>
      </c>
      <c r="C2965" s="305" t="s">
        <v>282</v>
      </c>
      <c r="D2965" s="575">
        <v>47.09</v>
      </c>
    </row>
    <row r="2966" spans="1:4" ht="13.5" x14ac:dyDescent="0.25">
      <c r="A2966" s="306">
        <v>96979</v>
      </c>
      <c r="B2966" s="305" t="s">
        <v>2775</v>
      </c>
      <c r="C2966" s="305" t="s">
        <v>282</v>
      </c>
      <c r="D2966" s="575">
        <v>65.95</v>
      </c>
    </row>
    <row r="2967" spans="1:4" ht="13.5" x14ac:dyDescent="0.25">
      <c r="A2967" s="306">
        <v>96984</v>
      </c>
      <c r="B2967" s="305" t="s">
        <v>2776</v>
      </c>
      <c r="C2967" s="305" t="s">
        <v>363</v>
      </c>
      <c r="D2967" s="575">
        <v>43.75</v>
      </c>
    </row>
    <row r="2968" spans="1:4" ht="13.5" x14ac:dyDescent="0.25">
      <c r="A2968" s="306">
        <v>96985</v>
      </c>
      <c r="B2968" s="305" t="s">
        <v>2777</v>
      </c>
      <c r="C2968" s="305" t="s">
        <v>363</v>
      </c>
      <c r="D2968" s="575">
        <v>53.34</v>
      </c>
    </row>
    <row r="2969" spans="1:4" ht="13.5" x14ac:dyDescent="0.25">
      <c r="A2969" s="306">
        <v>96986</v>
      </c>
      <c r="B2969" s="305" t="s">
        <v>2778</v>
      </c>
      <c r="C2969" s="305" t="s">
        <v>363</v>
      </c>
      <c r="D2969" s="575">
        <v>79.7</v>
      </c>
    </row>
    <row r="2970" spans="1:4" ht="13.5" x14ac:dyDescent="0.25">
      <c r="A2970" s="306">
        <v>96987</v>
      </c>
      <c r="B2970" s="305" t="s">
        <v>2779</v>
      </c>
      <c r="C2970" s="305" t="s">
        <v>363</v>
      </c>
      <c r="D2970" s="575">
        <v>117.82</v>
      </c>
    </row>
    <row r="2971" spans="1:4" ht="13.5" x14ac:dyDescent="0.25">
      <c r="A2971" s="306">
        <v>96988</v>
      </c>
      <c r="B2971" s="305" t="s">
        <v>2780</v>
      </c>
      <c r="C2971" s="305" t="s">
        <v>363</v>
      </c>
      <c r="D2971" s="575">
        <v>179.04</v>
      </c>
    </row>
    <row r="2972" spans="1:4" ht="13.5" x14ac:dyDescent="0.25">
      <c r="A2972" s="306">
        <v>96989</v>
      </c>
      <c r="B2972" s="305" t="s">
        <v>2781</v>
      </c>
      <c r="C2972" s="305" t="s">
        <v>363</v>
      </c>
      <c r="D2972" s="575">
        <v>117.73</v>
      </c>
    </row>
    <row r="2973" spans="1:4" ht="13.5" x14ac:dyDescent="0.25">
      <c r="A2973" s="306">
        <v>98463</v>
      </c>
      <c r="B2973" s="305" t="s">
        <v>2782</v>
      </c>
      <c r="C2973" s="305" t="s">
        <v>363</v>
      </c>
      <c r="D2973" s="575">
        <v>21.88</v>
      </c>
    </row>
    <row r="2974" spans="1:4" ht="13.5" x14ac:dyDescent="0.25">
      <c r="A2974" s="306">
        <v>88547</v>
      </c>
      <c r="B2974" s="305" t="s">
        <v>2783</v>
      </c>
      <c r="C2974" s="305" t="s">
        <v>363</v>
      </c>
      <c r="D2974" s="575">
        <v>75.91</v>
      </c>
    </row>
    <row r="2975" spans="1:4" ht="13.5" x14ac:dyDescent="0.25">
      <c r="A2975" s="306">
        <v>72283</v>
      </c>
      <c r="B2975" s="305" t="s">
        <v>2784</v>
      </c>
      <c r="C2975" s="305" t="s">
        <v>363</v>
      </c>
      <c r="D2975" s="575">
        <v>903.72</v>
      </c>
    </row>
    <row r="2976" spans="1:4" ht="13.5" x14ac:dyDescent="0.25">
      <c r="A2976" s="306">
        <v>72287</v>
      </c>
      <c r="B2976" s="305" t="s">
        <v>2785</v>
      </c>
      <c r="C2976" s="305" t="s">
        <v>363</v>
      </c>
      <c r="D2976" s="575">
        <v>175.66</v>
      </c>
    </row>
    <row r="2977" spans="1:4" ht="13.5" x14ac:dyDescent="0.25">
      <c r="A2977" s="306">
        <v>72288</v>
      </c>
      <c r="B2977" s="305" t="s">
        <v>12654</v>
      </c>
      <c r="C2977" s="305" t="s">
        <v>363</v>
      </c>
      <c r="D2977" s="575">
        <v>216.46</v>
      </c>
    </row>
    <row r="2978" spans="1:4" ht="13.5" x14ac:dyDescent="0.25">
      <c r="A2978" s="306">
        <v>72553</v>
      </c>
      <c r="B2978" s="305" t="s">
        <v>2786</v>
      </c>
      <c r="C2978" s="305" t="s">
        <v>363</v>
      </c>
      <c r="D2978" s="575">
        <v>146.74</v>
      </c>
    </row>
    <row r="2979" spans="1:4" ht="13.5" x14ac:dyDescent="0.25">
      <c r="A2979" s="306">
        <v>72554</v>
      </c>
      <c r="B2979" s="305" t="s">
        <v>2787</v>
      </c>
      <c r="C2979" s="305" t="s">
        <v>363</v>
      </c>
      <c r="D2979" s="575">
        <v>491.36</v>
      </c>
    </row>
    <row r="2980" spans="1:4" ht="13.5" x14ac:dyDescent="0.25">
      <c r="A2980" s="305" t="s">
        <v>2788</v>
      </c>
      <c r="B2980" s="305" t="s">
        <v>2789</v>
      </c>
      <c r="C2980" s="305" t="s">
        <v>363</v>
      </c>
      <c r="D2980" s="575">
        <v>154.06</v>
      </c>
    </row>
    <row r="2981" spans="1:4" ht="13.5" x14ac:dyDescent="0.25">
      <c r="A2981" s="305" t="s">
        <v>2790</v>
      </c>
      <c r="B2981" s="305" t="s">
        <v>2791</v>
      </c>
      <c r="C2981" s="305" t="s">
        <v>363</v>
      </c>
      <c r="D2981" s="575">
        <v>158.68</v>
      </c>
    </row>
    <row r="2982" spans="1:4" ht="13.5" x14ac:dyDescent="0.25">
      <c r="A2982" s="306">
        <v>83633</v>
      </c>
      <c r="B2982" s="305" t="s">
        <v>2792</v>
      </c>
      <c r="C2982" s="305" t="s">
        <v>363</v>
      </c>
      <c r="D2982" s="576">
        <v>1904.74</v>
      </c>
    </row>
    <row r="2983" spans="1:4" ht="13.5" x14ac:dyDescent="0.25">
      <c r="A2983" s="306">
        <v>83634</v>
      </c>
      <c r="B2983" s="305" t="s">
        <v>2793</v>
      </c>
      <c r="C2983" s="305" t="s">
        <v>363</v>
      </c>
      <c r="D2983" s="575">
        <v>461.75</v>
      </c>
    </row>
    <row r="2984" spans="1:4" ht="13.5" x14ac:dyDescent="0.25">
      <c r="A2984" s="306">
        <v>83635</v>
      </c>
      <c r="B2984" s="305" t="s">
        <v>2794</v>
      </c>
      <c r="C2984" s="305" t="s">
        <v>363</v>
      </c>
      <c r="D2984" s="575">
        <v>178.68</v>
      </c>
    </row>
    <row r="2985" spans="1:4" ht="13.5" x14ac:dyDescent="0.25">
      <c r="A2985" s="306">
        <v>96765</v>
      </c>
      <c r="B2985" s="305" t="s">
        <v>2795</v>
      </c>
      <c r="C2985" s="305" t="s">
        <v>363</v>
      </c>
      <c r="D2985" s="576">
        <v>1053.77</v>
      </c>
    </row>
    <row r="2986" spans="1:4" ht="13.5" x14ac:dyDescent="0.25">
      <c r="A2986" s="305" t="s">
        <v>2796</v>
      </c>
      <c r="B2986" s="305" t="s">
        <v>2797</v>
      </c>
      <c r="C2986" s="305" t="s">
        <v>363</v>
      </c>
      <c r="D2986" s="575">
        <v>208.6</v>
      </c>
    </row>
    <row r="2987" spans="1:4" ht="13.5" x14ac:dyDescent="0.25">
      <c r="A2987" s="305" t="s">
        <v>2798</v>
      </c>
      <c r="B2987" s="305" t="s">
        <v>2799</v>
      </c>
      <c r="C2987" s="305" t="s">
        <v>363</v>
      </c>
      <c r="D2987" s="575">
        <v>384.49</v>
      </c>
    </row>
    <row r="2988" spans="1:4" ht="13.5" x14ac:dyDescent="0.25">
      <c r="A2988" s="305" t="s">
        <v>2800</v>
      </c>
      <c r="B2988" s="305" t="s">
        <v>2801</v>
      </c>
      <c r="C2988" s="305" t="s">
        <v>363</v>
      </c>
      <c r="D2988" s="576">
        <v>1254.98</v>
      </c>
    </row>
    <row r="2989" spans="1:4" ht="13.5" x14ac:dyDescent="0.25">
      <c r="A2989" s="306">
        <v>84796</v>
      </c>
      <c r="B2989" s="305" t="s">
        <v>2802</v>
      </c>
      <c r="C2989" s="305" t="s">
        <v>363</v>
      </c>
      <c r="D2989" s="575">
        <v>593.20000000000005</v>
      </c>
    </row>
    <row r="2990" spans="1:4" ht="13.5" x14ac:dyDescent="0.25">
      <c r="A2990" s="306">
        <v>84798</v>
      </c>
      <c r="B2990" s="305" t="s">
        <v>2803</v>
      </c>
      <c r="C2990" s="305" t="s">
        <v>363</v>
      </c>
      <c r="D2990" s="575">
        <v>265.5</v>
      </c>
    </row>
    <row r="2991" spans="1:4" ht="13.5" x14ac:dyDescent="0.25">
      <c r="A2991" s="306">
        <v>98261</v>
      </c>
      <c r="B2991" s="305" t="s">
        <v>12655</v>
      </c>
      <c r="C2991" s="305" t="s">
        <v>282</v>
      </c>
      <c r="D2991" s="575">
        <v>2.8</v>
      </c>
    </row>
    <row r="2992" spans="1:4" ht="13.5" x14ac:dyDescent="0.25">
      <c r="A2992" s="306">
        <v>98262</v>
      </c>
      <c r="B2992" s="305" t="s">
        <v>12656</v>
      </c>
      <c r="C2992" s="305" t="s">
        <v>282</v>
      </c>
      <c r="D2992" s="575">
        <v>3.3</v>
      </c>
    </row>
    <row r="2993" spans="1:4" ht="13.5" x14ac:dyDescent="0.25">
      <c r="A2993" s="306">
        <v>98263</v>
      </c>
      <c r="B2993" s="305" t="s">
        <v>12657</v>
      </c>
      <c r="C2993" s="305" t="s">
        <v>282</v>
      </c>
      <c r="D2993" s="575">
        <v>3.88</v>
      </c>
    </row>
    <row r="2994" spans="1:4" ht="13.5" x14ac:dyDescent="0.25">
      <c r="A2994" s="306">
        <v>98264</v>
      </c>
      <c r="B2994" s="305" t="s">
        <v>12658</v>
      </c>
      <c r="C2994" s="305" t="s">
        <v>282</v>
      </c>
      <c r="D2994" s="575">
        <v>4.34</v>
      </c>
    </row>
    <row r="2995" spans="1:4" ht="13.5" x14ac:dyDescent="0.25">
      <c r="A2995" s="306">
        <v>98265</v>
      </c>
      <c r="B2995" s="305" t="s">
        <v>12659</v>
      </c>
      <c r="C2995" s="305" t="s">
        <v>282</v>
      </c>
      <c r="D2995" s="575">
        <v>5.03</v>
      </c>
    </row>
    <row r="2996" spans="1:4" ht="13.5" x14ac:dyDescent="0.25">
      <c r="A2996" s="306">
        <v>98266</v>
      </c>
      <c r="B2996" s="305" t="s">
        <v>12660</v>
      </c>
      <c r="C2996" s="305" t="s">
        <v>282</v>
      </c>
      <c r="D2996" s="575">
        <v>5.42</v>
      </c>
    </row>
    <row r="2997" spans="1:4" ht="13.5" x14ac:dyDescent="0.25">
      <c r="A2997" s="306">
        <v>98267</v>
      </c>
      <c r="B2997" s="305" t="s">
        <v>12661</v>
      </c>
      <c r="C2997" s="305" t="s">
        <v>282</v>
      </c>
      <c r="D2997" s="575">
        <v>8.8800000000000008</v>
      </c>
    </row>
    <row r="2998" spans="1:4" ht="13.5" x14ac:dyDescent="0.25">
      <c r="A2998" s="306">
        <v>98268</v>
      </c>
      <c r="B2998" s="305" t="s">
        <v>12662</v>
      </c>
      <c r="C2998" s="305" t="s">
        <v>282</v>
      </c>
      <c r="D2998" s="575">
        <v>14.47</v>
      </c>
    </row>
    <row r="2999" spans="1:4" ht="13.5" x14ac:dyDescent="0.25">
      <c r="A2999" s="306">
        <v>98269</v>
      </c>
      <c r="B2999" s="305" t="s">
        <v>12663</v>
      </c>
      <c r="C2999" s="305" t="s">
        <v>282</v>
      </c>
      <c r="D2999" s="575">
        <v>18.66</v>
      </c>
    </row>
    <row r="3000" spans="1:4" ht="13.5" x14ac:dyDescent="0.25">
      <c r="A3000" s="306">
        <v>98270</v>
      </c>
      <c r="B3000" s="305" t="s">
        <v>12664</v>
      </c>
      <c r="C3000" s="305" t="s">
        <v>282</v>
      </c>
      <c r="D3000" s="575">
        <v>30.31</v>
      </c>
    </row>
    <row r="3001" spans="1:4" ht="13.5" x14ac:dyDescent="0.25">
      <c r="A3001" s="306">
        <v>98271</v>
      </c>
      <c r="B3001" s="305" t="s">
        <v>12665</v>
      </c>
      <c r="C3001" s="305" t="s">
        <v>282</v>
      </c>
      <c r="D3001" s="575">
        <v>46.99</v>
      </c>
    </row>
    <row r="3002" spans="1:4" ht="13.5" x14ac:dyDescent="0.25">
      <c r="A3002" s="306">
        <v>98272</v>
      </c>
      <c r="B3002" s="305" t="s">
        <v>12666</v>
      </c>
      <c r="C3002" s="305" t="s">
        <v>282</v>
      </c>
      <c r="D3002" s="575">
        <v>110.1</v>
      </c>
    </row>
    <row r="3003" spans="1:4" ht="13.5" x14ac:dyDescent="0.25">
      <c r="A3003" s="306">
        <v>98273</v>
      </c>
      <c r="B3003" s="305" t="s">
        <v>12667</v>
      </c>
      <c r="C3003" s="305" t="s">
        <v>282</v>
      </c>
      <c r="D3003" s="575">
        <v>2.09</v>
      </c>
    </row>
    <row r="3004" spans="1:4" ht="13.5" x14ac:dyDescent="0.25">
      <c r="A3004" s="306">
        <v>98274</v>
      </c>
      <c r="B3004" s="305" t="s">
        <v>12668</v>
      </c>
      <c r="C3004" s="305" t="s">
        <v>282</v>
      </c>
      <c r="D3004" s="575">
        <v>2.78</v>
      </c>
    </row>
    <row r="3005" spans="1:4" ht="13.5" x14ac:dyDescent="0.25">
      <c r="A3005" s="306">
        <v>98275</v>
      </c>
      <c r="B3005" s="305" t="s">
        <v>12669</v>
      </c>
      <c r="C3005" s="305" t="s">
        <v>282</v>
      </c>
      <c r="D3005" s="575">
        <v>3.17</v>
      </c>
    </row>
    <row r="3006" spans="1:4" ht="13.5" x14ac:dyDescent="0.25">
      <c r="A3006" s="306">
        <v>98276</v>
      </c>
      <c r="B3006" s="305" t="s">
        <v>12670</v>
      </c>
      <c r="C3006" s="305" t="s">
        <v>282</v>
      </c>
      <c r="D3006" s="575">
        <v>6.63</v>
      </c>
    </row>
    <row r="3007" spans="1:4" ht="13.5" x14ac:dyDescent="0.25">
      <c r="A3007" s="306">
        <v>98277</v>
      </c>
      <c r="B3007" s="305" t="s">
        <v>12671</v>
      </c>
      <c r="C3007" s="305" t="s">
        <v>282</v>
      </c>
      <c r="D3007" s="575">
        <v>12.22</v>
      </c>
    </row>
    <row r="3008" spans="1:4" ht="13.5" x14ac:dyDescent="0.25">
      <c r="A3008" s="306">
        <v>98278</v>
      </c>
      <c r="B3008" s="305" t="s">
        <v>12672</v>
      </c>
      <c r="C3008" s="305" t="s">
        <v>282</v>
      </c>
      <c r="D3008" s="575">
        <v>16.420000000000002</v>
      </c>
    </row>
    <row r="3009" spans="1:4" ht="13.5" x14ac:dyDescent="0.25">
      <c r="A3009" s="306">
        <v>98279</v>
      </c>
      <c r="B3009" s="305" t="s">
        <v>12673</v>
      </c>
      <c r="C3009" s="305" t="s">
        <v>282</v>
      </c>
      <c r="D3009" s="575">
        <v>28.06</v>
      </c>
    </row>
    <row r="3010" spans="1:4" ht="13.5" x14ac:dyDescent="0.25">
      <c r="A3010" s="306">
        <v>98280</v>
      </c>
      <c r="B3010" s="305" t="s">
        <v>12674</v>
      </c>
      <c r="C3010" s="305" t="s">
        <v>282</v>
      </c>
      <c r="D3010" s="575">
        <v>5.69</v>
      </c>
    </row>
    <row r="3011" spans="1:4" ht="13.5" x14ac:dyDescent="0.25">
      <c r="A3011" s="306">
        <v>98281</v>
      </c>
      <c r="B3011" s="305" t="s">
        <v>12675</v>
      </c>
      <c r="C3011" s="305" t="s">
        <v>282</v>
      </c>
      <c r="D3011" s="575">
        <v>6.19</v>
      </c>
    </row>
    <row r="3012" spans="1:4" ht="13.5" x14ac:dyDescent="0.25">
      <c r="A3012" s="306">
        <v>98282</v>
      </c>
      <c r="B3012" s="305" t="s">
        <v>12676</v>
      </c>
      <c r="C3012" s="305" t="s">
        <v>282</v>
      </c>
      <c r="D3012" s="575">
        <v>6.77</v>
      </c>
    </row>
    <row r="3013" spans="1:4" ht="13.5" x14ac:dyDescent="0.25">
      <c r="A3013" s="306">
        <v>98283</v>
      </c>
      <c r="B3013" s="305" t="s">
        <v>12677</v>
      </c>
      <c r="C3013" s="305" t="s">
        <v>282</v>
      </c>
      <c r="D3013" s="575">
        <v>7.23</v>
      </c>
    </row>
    <row r="3014" spans="1:4" ht="13.5" x14ac:dyDescent="0.25">
      <c r="A3014" s="306">
        <v>98284</v>
      </c>
      <c r="B3014" s="305" t="s">
        <v>12678</v>
      </c>
      <c r="C3014" s="305" t="s">
        <v>282</v>
      </c>
      <c r="D3014" s="575">
        <v>7.92</v>
      </c>
    </row>
    <row r="3015" spans="1:4" ht="13.5" x14ac:dyDescent="0.25">
      <c r="A3015" s="306">
        <v>98285</v>
      </c>
      <c r="B3015" s="305" t="s">
        <v>12679</v>
      </c>
      <c r="C3015" s="305" t="s">
        <v>282</v>
      </c>
      <c r="D3015" s="575">
        <v>8.32</v>
      </c>
    </row>
    <row r="3016" spans="1:4" ht="13.5" x14ac:dyDescent="0.25">
      <c r="A3016" s="306">
        <v>98286</v>
      </c>
      <c r="B3016" s="305" t="s">
        <v>12680</v>
      </c>
      <c r="C3016" s="305" t="s">
        <v>282</v>
      </c>
      <c r="D3016" s="575">
        <v>11.78</v>
      </c>
    </row>
    <row r="3017" spans="1:4" ht="13.5" x14ac:dyDescent="0.25">
      <c r="A3017" s="306">
        <v>98287</v>
      </c>
      <c r="B3017" s="305" t="s">
        <v>12681</v>
      </c>
      <c r="C3017" s="305" t="s">
        <v>282</v>
      </c>
      <c r="D3017" s="575">
        <v>1.07</v>
      </c>
    </row>
    <row r="3018" spans="1:4" ht="13.5" x14ac:dyDescent="0.25">
      <c r="A3018" s="306">
        <v>98288</v>
      </c>
      <c r="B3018" s="305" t="s">
        <v>12682</v>
      </c>
      <c r="C3018" s="305" t="s">
        <v>282</v>
      </c>
      <c r="D3018" s="575">
        <v>1.56</v>
      </c>
    </row>
    <row r="3019" spans="1:4" ht="13.5" x14ac:dyDescent="0.25">
      <c r="A3019" s="306">
        <v>98289</v>
      </c>
      <c r="B3019" s="305" t="s">
        <v>12683</v>
      </c>
      <c r="C3019" s="305" t="s">
        <v>282</v>
      </c>
      <c r="D3019" s="575">
        <v>2.14</v>
      </c>
    </row>
    <row r="3020" spans="1:4" ht="13.5" x14ac:dyDescent="0.25">
      <c r="A3020" s="306">
        <v>98290</v>
      </c>
      <c r="B3020" s="305" t="s">
        <v>12684</v>
      </c>
      <c r="C3020" s="305" t="s">
        <v>282</v>
      </c>
      <c r="D3020" s="575">
        <v>2.6</v>
      </c>
    </row>
    <row r="3021" spans="1:4" ht="13.5" x14ac:dyDescent="0.25">
      <c r="A3021" s="306">
        <v>98291</v>
      </c>
      <c r="B3021" s="305" t="s">
        <v>12685</v>
      </c>
      <c r="C3021" s="305" t="s">
        <v>282</v>
      </c>
      <c r="D3021" s="575">
        <v>3.29</v>
      </c>
    </row>
    <row r="3022" spans="1:4" ht="13.5" x14ac:dyDescent="0.25">
      <c r="A3022" s="306">
        <v>98292</v>
      </c>
      <c r="B3022" s="305" t="s">
        <v>12686</v>
      </c>
      <c r="C3022" s="305" t="s">
        <v>282</v>
      </c>
      <c r="D3022" s="575">
        <v>3.68</v>
      </c>
    </row>
    <row r="3023" spans="1:4" ht="13.5" x14ac:dyDescent="0.25">
      <c r="A3023" s="306">
        <v>98293</v>
      </c>
      <c r="B3023" s="305" t="s">
        <v>12687</v>
      </c>
      <c r="C3023" s="305" t="s">
        <v>282</v>
      </c>
      <c r="D3023" s="575">
        <v>7.14</v>
      </c>
    </row>
    <row r="3024" spans="1:4" ht="13.5" x14ac:dyDescent="0.25">
      <c r="A3024" s="306">
        <v>98400</v>
      </c>
      <c r="B3024" s="305" t="s">
        <v>12688</v>
      </c>
      <c r="C3024" s="305" t="s">
        <v>282</v>
      </c>
      <c r="D3024" s="575">
        <v>10.51</v>
      </c>
    </row>
    <row r="3025" spans="1:4" ht="13.5" x14ac:dyDescent="0.25">
      <c r="A3025" s="306">
        <v>98401</v>
      </c>
      <c r="B3025" s="305" t="s">
        <v>12689</v>
      </c>
      <c r="C3025" s="305" t="s">
        <v>282</v>
      </c>
      <c r="D3025" s="575">
        <v>16.22</v>
      </c>
    </row>
    <row r="3026" spans="1:4" ht="13.5" x14ac:dyDescent="0.25">
      <c r="A3026" s="306">
        <v>98402</v>
      </c>
      <c r="B3026" s="305" t="s">
        <v>12690</v>
      </c>
      <c r="C3026" s="305" t="s">
        <v>282</v>
      </c>
      <c r="D3026" s="575">
        <v>21</v>
      </c>
    </row>
    <row r="3027" spans="1:4" ht="13.5" x14ac:dyDescent="0.25">
      <c r="A3027" s="306">
        <v>100556</v>
      </c>
      <c r="B3027" s="305" t="s">
        <v>12691</v>
      </c>
      <c r="C3027" s="305" t="s">
        <v>363</v>
      </c>
      <c r="D3027" s="575">
        <v>28.44</v>
      </c>
    </row>
    <row r="3028" spans="1:4" ht="13.5" x14ac:dyDescent="0.25">
      <c r="A3028" s="306">
        <v>100557</v>
      </c>
      <c r="B3028" s="305" t="s">
        <v>12692</v>
      </c>
      <c r="C3028" s="305" t="s">
        <v>363</v>
      </c>
      <c r="D3028" s="575">
        <v>328.73</v>
      </c>
    </row>
    <row r="3029" spans="1:4" ht="13.5" x14ac:dyDescent="0.25">
      <c r="A3029" s="306">
        <v>100560</v>
      </c>
      <c r="B3029" s="305" t="s">
        <v>12693</v>
      </c>
      <c r="C3029" s="305" t="s">
        <v>363</v>
      </c>
      <c r="D3029" s="575">
        <v>77.45</v>
      </c>
    </row>
    <row r="3030" spans="1:4" ht="13.5" x14ac:dyDescent="0.25">
      <c r="A3030" s="306">
        <v>100561</v>
      </c>
      <c r="B3030" s="305" t="s">
        <v>12694</v>
      </c>
      <c r="C3030" s="305" t="s">
        <v>363</v>
      </c>
      <c r="D3030" s="575">
        <v>137.30000000000001</v>
      </c>
    </row>
    <row r="3031" spans="1:4" ht="13.5" x14ac:dyDescent="0.25">
      <c r="A3031" s="306">
        <v>100562</v>
      </c>
      <c r="B3031" s="305" t="s">
        <v>12695</v>
      </c>
      <c r="C3031" s="305" t="s">
        <v>363</v>
      </c>
      <c r="D3031" s="575">
        <v>210.04</v>
      </c>
    </row>
    <row r="3032" spans="1:4" ht="13.5" x14ac:dyDescent="0.25">
      <c r="A3032" s="306">
        <v>100563</v>
      </c>
      <c r="B3032" s="305" t="s">
        <v>12696</v>
      </c>
      <c r="C3032" s="305" t="s">
        <v>363</v>
      </c>
      <c r="D3032" s="575">
        <v>300.81</v>
      </c>
    </row>
    <row r="3033" spans="1:4" ht="13.5" x14ac:dyDescent="0.25">
      <c r="A3033" s="306">
        <v>98397</v>
      </c>
      <c r="B3033" s="305" t="s">
        <v>2804</v>
      </c>
      <c r="C3033" s="305" t="s">
        <v>521</v>
      </c>
      <c r="D3033" s="575">
        <v>8.56</v>
      </c>
    </row>
    <row r="3034" spans="1:4" ht="13.5" x14ac:dyDescent="0.25">
      <c r="A3034" s="305" t="s">
        <v>2805</v>
      </c>
      <c r="B3034" s="305" t="s">
        <v>2806</v>
      </c>
      <c r="C3034" s="305" t="s">
        <v>363</v>
      </c>
      <c r="D3034" s="576">
        <v>5369.89</v>
      </c>
    </row>
    <row r="3035" spans="1:4" ht="13.5" x14ac:dyDescent="0.25">
      <c r="A3035" s="306">
        <v>85120</v>
      </c>
      <c r="B3035" s="305" t="s">
        <v>2807</v>
      </c>
      <c r="C3035" s="305" t="s">
        <v>363</v>
      </c>
      <c r="D3035" s="575">
        <v>106.34</v>
      </c>
    </row>
    <row r="3036" spans="1:4" ht="13.5" x14ac:dyDescent="0.25">
      <c r="A3036" s="306">
        <v>83486</v>
      </c>
      <c r="B3036" s="305" t="s">
        <v>2808</v>
      </c>
      <c r="C3036" s="305" t="s">
        <v>363</v>
      </c>
      <c r="D3036" s="576">
        <v>1302.43</v>
      </c>
    </row>
    <row r="3037" spans="1:4" ht="13.5" x14ac:dyDescent="0.25">
      <c r="A3037" s="306">
        <v>83643</v>
      </c>
      <c r="B3037" s="305" t="s">
        <v>2809</v>
      </c>
      <c r="C3037" s="305" t="s">
        <v>363</v>
      </c>
      <c r="D3037" s="576">
        <v>3924.13</v>
      </c>
    </row>
    <row r="3038" spans="1:4" ht="13.5" x14ac:dyDescent="0.25">
      <c r="A3038" s="306">
        <v>83644</v>
      </c>
      <c r="B3038" s="305" t="s">
        <v>2810</v>
      </c>
      <c r="C3038" s="305" t="s">
        <v>363</v>
      </c>
      <c r="D3038" s="576">
        <v>5732.8</v>
      </c>
    </row>
    <row r="3039" spans="1:4" ht="13.5" x14ac:dyDescent="0.25">
      <c r="A3039" s="306">
        <v>83645</v>
      </c>
      <c r="B3039" s="305" t="s">
        <v>2811</v>
      </c>
      <c r="C3039" s="305" t="s">
        <v>363</v>
      </c>
      <c r="D3039" s="576">
        <v>1863.56</v>
      </c>
    </row>
    <row r="3040" spans="1:4" ht="13.5" x14ac:dyDescent="0.25">
      <c r="A3040" s="306">
        <v>83646</v>
      </c>
      <c r="B3040" s="305" t="s">
        <v>2812</v>
      </c>
      <c r="C3040" s="305" t="s">
        <v>363</v>
      </c>
      <c r="D3040" s="576">
        <v>2153.4499999999998</v>
      </c>
    </row>
    <row r="3041" spans="1:4" ht="13.5" x14ac:dyDescent="0.25">
      <c r="A3041" s="306">
        <v>83647</v>
      </c>
      <c r="B3041" s="305" t="s">
        <v>2813</v>
      </c>
      <c r="C3041" s="305" t="s">
        <v>363</v>
      </c>
      <c r="D3041" s="576">
        <v>1429.74</v>
      </c>
    </row>
    <row r="3042" spans="1:4" ht="13.5" x14ac:dyDescent="0.25">
      <c r="A3042" s="306">
        <v>83648</v>
      </c>
      <c r="B3042" s="305" t="s">
        <v>2814</v>
      </c>
      <c r="C3042" s="305" t="s">
        <v>363</v>
      </c>
      <c r="D3042" s="575">
        <v>939.62</v>
      </c>
    </row>
    <row r="3043" spans="1:4" ht="13.5" x14ac:dyDescent="0.25">
      <c r="A3043" s="306">
        <v>83649</v>
      </c>
      <c r="B3043" s="305" t="s">
        <v>2815</v>
      </c>
      <c r="C3043" s="305" t="s">
        <v>363</v>
      </c>
      <c r="D3043" s="576">
        <v>5302.34</v>
      </c>
    </row>
    <row r="3044" spans="1:4" ht="13.5" x14ac:dyDescent="0.25">
      <c r="A3044" s="306">
        <v>83650</v>
      </c>
      <c r="B3044" s="305" t="s">
        <v>2816</v>
      </c>
      <c r="C3044" s="305" t="s">
        <v>363</v>
      </c>
      <c r="D3044" s="576">
        <v>4434.7</v>
      </c>
    </row>
    <row r="3045" spans="1:4" ht="13.5" x14ac:dyDescent="0.25">
      <c r="A3045" s="306">
        <v>98294</v>
      </c>
      <c r="B3045" s="305" t="s">
        <v>12697</v>
      </c>
      <c r="C3045" s="305" t="s">
        <v>282</v>
      </c>
      <c r="D3045" s="575">
        <v>1.72</v>
      </c>
    </row>
    <row r="3046" spans="1:4" ht="13.5" x14ac:dyDescent="0.25">
      <c r="A3046" s="306">
        <v>98295</v>
      </c>
      <c r="B3046" s="305" t="s">
        <v>12698</v>
      </c>
      <c r="C3046" s="305" t="s">
        <v>282</v>
      </c>
      <c r="D3046" s="575">
        <v>1.19</v>
      </c>
    </row>
    <row r="3047" spans="1:4" ht="13.5" x14ac:dyDescent="0.25">
      <c r="A3047" s="306">
        <v>98296</v>
      </c>
      <c r="B3047" s="305" t="s">
        <v>12699</v>
      </c>
      <c r="C3047" s="305" t="s">
        <v>282</v>
      </c>
      <c r="D3047" s="575">
        <v>2.65</v>
      </c>
    </row>
    <row r="3048" spans="1:4" ht="13.5" x14ac:dyDescent="0.25">
      <c r="A3048" s="306">
        <v>98297</v>
      </c>
      <c r="B3048" s="305" t="s">
        <v>12700</v>
      </c>
      <c r="C3048" s="305" t="s">
        <v>282</v>
      </c>
      <c r="D3048" s="575">
        <v>1.82</v>
      </c>
    </row>
    <row r="3049" spans="1:4" ht="13.5" x14ac:dyDescent="0.25">
      <c r="A3049" s="306">
        <v>98301</v>
      </c>
      <c r="B3049" s="305" t="s">
        <v>12701</v>
      </c>
      <c r="C3049" s="305" t="s">
        <v>363</v>
      </c>
      <c r="D3049" s="575">
        <v>401.47</v>
      </c>
    </row>
    <row r="3050" spans="1:4" ht="13.5" x14ac:dyDescent="0.25">
      <c r="A3050" s="306">
        <v>98302</v>
      </c>
      <c r="B3050" s="305" t="s">
        <v>12702</v>
      </c>
      <c r="C3050" s="305" t="s">
        <v>363</v>
      </c>
      <c r="D3050" s="575">
        <v>527.77</v>
      </c>
    </row>
    <row r="3051" spans="1:4" ht="13.5" x14ac:dyDescent="0.25">
      <c r="A3051" s="306">
        <v>98304</v>
      </c>
      <c r="B3051" s="305" t="s">
        <v>12703</v>
      </c>
      <c r="C3051" s="305" t="s">
        <v>363</v>
      </c>
      <c r="D3051" s="575">
        <v>859.61</v>
      </c>
    </row>
    <row r="3052" spans="1:4" ht="13.5" x14ac:dyDescent="0.25">
      <c r="A3052" s="306">
        <v>98307</v>
      </c>
      <c r="B3052" s="305" t="s">
        <v>12704</v>
      </c>
      <c r="C3052" s="305" t="s">
        <v>363</v>
      </c>
      <c r="D3052" s="575">
        <v>38.81</v>
      </c>
    </row>
    <row r="3053" spans="1:4" ht="13.5" x14ac:dyDescent="0.25">
      <c r="A3053" s="306">
        <v>98308</v>
      </c>
      <c r="B3053" s="305" t="s">
        <v>12705</v>
      </c>
      <c r="C3053" s="305" t="s">
        <v>363</v>
      </c>
      <c r="D3053" s="575">
        <v>25.32</v>
      </c>
    </row>
    <row r="3054" spans="1:4" ht="13.5" x14ac:dyDescent="0.25">
      <c r="A3054" s="306">
        <v>98593</v>
      </c>
      <c r="B3054" s="305" t="s">
        <v>12706</v>
      </c>
      <c r="C3054" s="305" t="s">
        <v>363</v>
      </c>
      <c r="D3054" s="575">
        <v>708.75</v>
      </c>
    </row>
    <row r="3055" spans="1:4" ht="13.5" x14ac:dyDescent="0.25">
      <c r="A3055" s="306">
        <v>89355</v>
      </c>
      <c r="B3055" s="305" t="s">
        <v>2817</v>
      </c>
      <c r="C3055" s="305" t="s">
        <v>282</v>
      </c>
      <c r="D3055" s="575">
        <v>13.77</v>
      </c>
    </row>
    <row r="3056" spans="1:4" ht="13.5" x14ac:dyDescent="0.25">
      <c r="A3056" s="306">
        <v>89356</v>
      </c>
      <c r="B3056" s="305" t="s">
        <v>2818</v>
      </c>
      <c r="C3056" s="305" t="s">
        <v>282</v>
      </c>
      <c r="D3056" s="575">
        <v>16.239999999999998</v>
      </c>
    </row>
    <row r="3057" spans="1:4" ht="13.5" x14ac:dyDescent="0.25">
      <c r="A3057" s="306">
        <v>89357</v>
      </c>
      <c r="B3057" s="305" t="s">
        <v>2819</v>
      </c>
      <c r="C3057" s="305" t="s">
        <v>282</v>
      </c>
      <c r="D3057" s="575">
        <v>22.73</v>
      </c>
    </row>
    <row r="3058" spans="1:4" ht="13.5" x14ac:dyDescent="0.25">
      <c r="A3058" s="306">
        <v>89401</v>
      </c>
      <c r="B3058" s="305" t="s">
        <v>2820</v>
      </c>
      <c r="C3058" s="305" t="s">
        <v>282</v>
      </c>
      <c r="D3058" s="575">
        <v>5.9</v>
      </c>
    </row>
    <row r="3059" spans="1:4" ht="13.5" x14ac:dyDescent="0.25">
      <c r="A3059" s="306">
        <v>89402</v>
      </c>
      <c r="B3059" s="305" t="s">
        <v>2821</v>
      </c>
      <c r="C3059" s="305" t="s">
        <v>282</v>
      </c>
      <c r="D3059" s="575">
        <v>7.17</v>
      </c>
    </row>
    <row r="3060" spans="1:4" ht="13.5" x14ac:dyDescent="0.25">
      <c r="A3060" s="306">
        <v>89403</v>
      </c>
      <c r="B3060" s="305" t="s">
        <v>2822</v>
      </c>
      <c r="C3060" s="305" t="s">
        <v>282</v>
      </c>
      <c r="D3060" s="575">
        <v>11.88</v>
      </c>
    </row>
    <row r="3061" spans="1:4" ht="13.5" x14ac:dyDescent="0.25">
      <c r="A3061" s="306">
        <v>89446</v>
      </c>
      <c r="B3061" s="305" t="s">
        <v>2823</v>
      </c>
      <c r="C3061" s="305" t="s">
        <v>282</v>
      </c>
      <c r="D3061" s="575">
        <v>3.73</v>
      </c>
    </row>
    <row r="3062" spans="1:4" ht="13.5" x14ac:dyDescent="0.25">
      <c r="A3062" s="306">
        <v>89447</v>
      </c>
      <c r="B3062" s="305" t="s">
        <v>2824</v>
      </c>
      <c r="C3062" s="305" t="s">
        <v>282</v>
      </c>
      <c r="D3062" s="575">
        <v>7.83</v>
      </c>
    </row>
    <row r="3063" spans="1:4" ht="13.5" x14ac:dyDescent="0.25">
      <c r="A3063" s="306">
        <v>89448</v>
      </c>
      <c r="B3063" s="305" t="s">
        <v>2825</v>
      </c>
      <c r="C3063" s="305" t="s">
        <v>282</v>
      </c>
      <c r="D3063" s="575">
        <v>11.23</v>
      </c>
    </row>
    <row r="3064" spans="1:4" ht="13.5" x14ac:dyDescent="0.25">
      <c r="A3064" s="306">
        <v>89449</v>
      </c>
      <c r="B3064" s="305" t="s">
        <v>2826</v>
      </c>
      <c r="C3064" s="305" t="s">
        <v>282</v>
      </c>
      <c r="D3064" s="575">
        <v>12.92</v>
      </c>
    </row>
    <row r="3065" spans="1:4" ht="13.5" x14ac:dyDescent="0.25">
      <c r="A3065" s="306">
        <v>89450</v>
      </c>
      <c r="B3065" s="305" t="s">
        <v>2827</v>
      </c>
      <c r="C3065" s="305" t="s">
        <v>282</v>
      </c>
      <c r="D3065" s="575">
        <v>21.29</v>
      </c>
    </row>
    <row r="3066" spans="1:4" ht="13.5" x14ac:dyDescent="0.25">
      <c r="A3066" s="306">
        <v>89451</v>
      </c>
      <c r="B3066" s="305" t="s">
        <v>2828</v>
      </c>
      <c r="C3066" s="305" t="s">
        <v>282</v>
      </c>
      <c r="D3066" s="575">
        <v>35.15</v>
      </c>
    </row>
    <row r="3067" spans="1:4" ht="13.5" x14ac:dyDescent="0.25">
      <c r="A3067" s="306">
        <v>89452</v>
      </c>
      <c r="B3067" s="305" t="s">
        <v>2829</v>
      </c>
      <c r="C3067" s="305" t="s">
        <v>282</v>
      </c>
      <c r="D3067" s="575">
        <v>43.73</v>
      </c>
    </row>
    <row r="3068" spans="1:4" ht="13.5" x14ac:dyDescent="0.25">
      <c r="A3068" s="306">
        <v>89508</v>
      </c>
      <c r="B3068" s="305" t="s">
        <v>2830</v>
      </c>
      <c r="C3068" s="305" t="s">
        <v>282</v>
      </c>
      <c r="D3068" s="575">
        <v>14.01</v>
      </c>
    </row>
    <row r="3069" spans="1:4" ht="13.5" x14ac:dyDescent="0.25">
      <c r="A3069" s="306">
        <v>89509</v>
      </c>
      <c r="B3069" s="305" t="s">
        <v>2831</v>
      </c>
      <c r="C3069" s="305" t="s">
        <v>282</v>
      </c>
      <c r="D3069" s="575">
        <v>19.2</v>
      </c>
    </row>
    <row r="3070" spans="1:4" ht="13.5" x14ac:dyDescent="0.25">
      <c r="A3070" s="306">
        <v>89511</v>
      </c>
      <c r="B3070" s="305" t="s">
        <v>2832</v>
      </c>
      <c r="C3070" s="305" t="s">
        <v>282</v>
      </c>
      <c r="D3070" s="575">
        <v>28.67</v>
      </c>
    </row>
    <row r="3071" spans="1:4" ht="13.5" x14ac:dyDescent="0.25">
      <c r="A3071" s="306">
        <v>89512</v>
      </c>
      <c r="B3071" s="305" t="s">
        <v>2833</v>
      </c>
      <c r="C3071" s="305" t="s">
        <v>282</v>
      </c>
      <c r="D3071" s="575">
        <v>44.9</v>
      </c>
    </row>
    <row r="3072" spans="1:4" ht="13.5" x14ac:dyDescent="0.25">
      <c r="A3072" s="306">
        <v>89576</v>
      </c>
      <c r="B3072" s="305" t="s">
        <v>2834</v>
      </c>
      <c r="C3072" s="305" t="s">
        <v>282</v>
      </c>
      <c r="D3072" s="575">
        <v>16.3</v>
      </c>
    </row>
    <row r="3073" spans="1:4" ht="13.5" x14ac:dyDescent="0.25">
      <c r="A3073" s="306">
        <v>89578</v>
      </c>
      <c r="B3073" s="305" t="s">
        <v>2835</v>
      </c>
      <c r="C3073" s="305" t="s">
        <v>282</v>
      </c>
      <c r="D3073" s="575">
        <v>28.05</v>
      </c>
    </row>
    <row r="3074" spans="1:4" ht="13.5" x14ac:dyDescent="0.25">
      <c r="A3074" s="306">
        <v>89580</v>
      </c>
      <c r="B3074" s="305" t="s">
        <v>2836</v>
      </c>
      <c r="C3074" s="305" t="s">
        <v>282</v>
      </c>
      <c r="D3074" s="575">
        <v>54.95</v>
      </c>
    </row>
    <row r="3075" spans="1:4" ht="13.5" x14ac:dyDescent="0.25">
      <c r="A3075" s="306">
        <v>89633</v>
      </c>
      <c r="B3075" s="305" t="s">
        <v>2837</v>
      </c>
      <c r="C3075" s="305" t="s">
        <v>282</v>
      </c>
      <c r="D3075" s="575">
        <v>17.399999999999999</v>
      </c>
    </row>
    <row r="3076" spans="1:4" ht="13.5" x14ac:dyDescent="0.25">
      <c r="A3076" s="306">
        <v>89634</v>
      </c>
      <c r="B3076" s="305" t="s">
        <v>2838</v>
      </c>
      <c r="C3076" s="305" t="s">
        <v>282</v>
      </c>
      <c r="D3076" s="575">
        <v>26.11</v>
      </c>
    </row>
    <row r="3077" spans="1:4" ht="13.5" x14ac:dyDescent="0.25">
      <c r="A3077" s="306">
        <v>89635</v>
      </c>
      <c r="B3077" s="305" t="s">
        <v>2839</v>
      </c>
      <c r="C3077" s="305" t="s">
        <v>282</v>
      </c>
      <c r="D3077" s="575">
        <v>36.9</v>
      </c>
    </row>
    <row r="3078" spans="1:4" ht="13.5" x14ac:dyDescent="0.25">
      <c r="A3078" s="306">
        <v>89636</v>
      </c>
      <c r="B3078" s="305" t="s">
        <v>2840</v>
      </c>
      <c r="C3078" s="305" t="s">
        <v>282</v>
      </c>
      <c r="D3078" s="575">
        <v>44.84</v>
      </c>
    </row>
    <row r="3079" spans="1:4" ht="13.5" x14ac:dyDescent="0.25">
      <c r="A3079" s="306">
        <v>89711</v>
      </c>
      <c r="B3079" s="305" t="s">
        <v>2841</v>
      </c>
      <c r="C3079" s="305" t="s">
        <v>282</v>
      </c>
      <c r="D3079" s="575">
        <v>14.09</v>
      </c>
    </row>
    <row r="3080" spans="1:4" ht="13.5" x14ac:dyDescent="0.25">
      <c r="A3080" s="306">
        <v>89712</v>
      </c>
      <c r="B3080" s="305" t="s">
        <v>2842</v>
      </c>
      <c r="C3080" s="305" t="s">
        <v>282</v>
      </c>
      <c r="D3080" s="575">
        <v>20.71</v>
      </c>
    </row>
    <row r="3081" spans="1:4" ht="13.5" x14ac:dyDescent="0.25">
      <c r="A3081" s="306">
        <v>89713</v>
      </c>
      <c r="B3081" s="305" t="s">
        <v>2843</v>
      </c>
      <c r="C3081" s="305" t="s">
        <v>282</v>
      </c>
      <c r="D3081" s="575">
        <v>31.5</v>
      </c>
    </row>
    <row r="3082" spans="1:4" ht="13.5" x14ac:dyDescent="0.25">
      <c r="A3082" s="306">
        <v>89714</v>
      </c>
      <c r="B3082" s="305" t="s">
        <v>2844</v>
      </c>
      <c r="C3082" s="305" t="s">
        <v>282</v>
      </c>
      <c r="D3082" s="575">
        <v>40.590000000000003</v>
      </c>
    </row>
    <row r="3083" spans="1:4" ht="13.5" x14ac:dyDescent="0.25">
      <c r="A3083" s="306">
        <v>89716</v>
      </c>
      <c r="B3083" s="305" t="s">
        <v>2845</v>
      </c>
      <c r="C3083" s="305" t="s">
        <v>282</v>
      </c>
      <c r="D3083" s="575">
        <v>17.89</v>
      </c>
    </row>
    <row r="3084" spans="1:4" ht="13.5" x14ac:dyDescent="0.25">
      <c r="A3084" s="306">
        <v>89717</v>
      </c>
      <c r="B3084" s="305" t="s">
        <v>2846</v>
      </c>
      <c r="C3084" s="305" t="s">
        <v>282</v>
      </c>
      <c r="D3084" s="575">
        <v>27.21</v>
      </c>
    </row>
    <row r="3085" spans="1:4" ht="13.5" x14ac:dyDescent="0.25">
      <c r="A3085" s="306">
        <v>89770</v>
      </c>
      <c r="B3085" s="305" t="s">
        <v>2847</v>
      </c>
      <c r="C3085" s="305" t="s">
        <v>282</v>
      </c>
      <c r="D3085" s="575">
        <v>29.16</v>
      </c>
    </row>
    <row r="3086" spans="1:4" ht="13.5" x14ac:dyDescent="0.25">
      <c r="A3086" s="306">
        <v>89771</v>
      </c>
      <c r="B3086" s="305" t="s">
        <v>2848</v>
      </c>
      <c r="C3086" s="305" t="s">
        <v>282</v>
      </c>
      <c r="D3086" s="575">
        <v>39.86</v>
      </c>
    </row>
    <row r="3087" spans="1:4" ht="13.5" x14ac:dyDescent="0.25">
      <c r="A3087" s="306">
        <v>89773</v>
      </c>
      <c r="B3087" s="305" t="s">
        <v>2849</v>
      </c>
      <c r="C3087" s="305" t="s">
        <v>282</v>
      </c>
      <c r="D3087" s="575">
        <v>92.71</v>
      </c>
    </row>
    <row r="3088" spans="1:4" ht="13.5" x14ac:dyDescent="0.25">
      <c r="A3088" s="306">
        <v>89775</v>
      </c>
      <c r="B3088" s="305" t="s">
        <v>2850</v>
      </c>
      <c r="C3088" s="305" t="s">
        <v>282</v>
      </c>
      <c r="D3088" s="575">
        <v>146.36000000000001</v>
      </c>
    </row>
    <row r="3089" spans="1:4" ht="13.5" x14ac:dyDescent="0.25">
      <c r="A3089" s="306">
        <v>89798</v>
      </c>
      <c r="B3089" s="305" t="s">
        <v>2851</v>
      </c>
      <c r="C3089" s="305" t="s">
        <v>282</v>
      </c>
      <c r="D3089" s="575">
        <v>8.08</v>
      </c>
    </row>
    <row r="3090" spans="1:4" ht="13.5" x14ac:dyDescent="0.25">
      <c r="A3090" s="306">
        <v>89799</v>
      </c>
      <c r="B3090" s="305" t="s">
        <v>2852</v>
      </c>
      <c r="C3090" s="305" t="s">
        <v>282</v>
      </c>
      <c r="D3090" s="575">
        <v>13.42</v>
      </c>
    </row>
    <row r="3091" spans="1:4" ht="13.5" x14ac:dyDescent="0.25">
      <c r="A3091" s="306">
        <v>89800</v>
      </c>
      <c r="B3091" s="305" t="s">
        <v>2853</v>
      </c>
      <c r="C3091" s="305" t="s">
        <v>282</v>
      </c>
      <c r="D3091" s="575">
        <v>16.8</v>
      </c>
    </row>
    <row r="3092" spans="1:4" ht="13.5" x14ac:dyDescent="0.25">
      <c r="A3092" s="306">
        <v>89848</v>
      </c>
      <c r="B3092" s="305" t="s">
        <v>2854</v>
      </c>
      <c r="C3092" s="305" t="s">
        <v>282</v>
      </c>
      <c r="D3092" s="575">
        <v>20.97</v>
      </c>
    </row>
    <row r="3093" spans="1:4" ht="13.5" x14ac:dyDescent="0.25">
      <c r="A3093" s="306">
        <v>89849</v>
      </c>
      <c r="B3093" s="305" t="s">
        <v>2855</v>
      </c>
      <c r="C3093" s="305" t="s">
        <v>282</v>
      </c>
      <c r="D3093" s="575">
        <v>39.979999999999997</v>
      </c>
    </row>
    <row r="3094" spans="1:4" ht="13.5" x14ac:dyDescent="0.25">
      <c r="A3094" s="306">
        <v>89865</v>
      </c>
      <c r="B3094" s="305" t="s">
        <v>2856</v>
      </c>
      <c r="C3094" s="305" t="s">
        <v>282</v>
      </c>
      <c r="D3094" s="575">
        <v>9.8699999999999992</v>
      </c>
    </row>
    <row r="3095" spans="1:4" ht="13.5" x14ac:dyDescent="0.25">
      <c r="A3095" s="306">
        <v>91784</v>
      </c>
      <c r="B3095" s="305" t="s">
        <v>2857</v>
      </c>
      <c r="C3095" s="305" t="s">
        <v>282</v>
      </c>
      <c r="D3095" s="575">
        <v>32.729999999999997</v>
      </c>
    </row>
    <row r="3096" spans="1:4" ht="13.5" x14ac:dyDescent="0.25">
      <c r="A3096" s="306">
        <v>91785</v>
      </c>
      <c r="B3096" s="305" t="s">
        <v>2858</v>
      </c>
      <c r="C3096" s="305" t="s">
        <v>282</v>
      </c>
      <c r="D3096" s="575">
        <v>32.32</v>
      </c>
    </row>
    <row r="3097" spans="1:4" ht="13.5" x14ac:dyDescent="0.25">
      <c r="A3097" s="306">
        <v>91786</v>
      </c>
      <c r="B3097" s="305" t="s">
        <v>2859</v>
      </c>
      <c r="C3097" s="305" t="s">
        <v>282</v>
      </c>
      <c r="D3097" s="575">
        <v>21.78</v>
      </c>
    </row>
    <row r="3098" spans="1:4" ht="13.5" x14ac:dyDescent="0.25">
      <c r="A3098" s="306">
        <v>91787</v>
      </c>
      <c r="B3098" s="305" t="s">
        <v>2860</v>
      </c>
      <c r="C3098" s="305" t="s">
        <v>282</v>
      </c>
      <c r="D3098" s="575">
        <v>24.04</v>
      </c>
    </row>
    <row r="3099" spans="1:4" ht="13.5" x14ac:dyDescent="0.25">
      <c r="A3099" s="306">
        <v>91788</v>
      </c>
      <c r="B3099" s="305" t="s">
        <v>2861</v>
      </c>
      <c r="C3099" s="305" t="s">
        <v>282</v>
      </c>
      <c r="D3099" s="575">
        <v>30.83</v>
      </c>
    </row>
    <row r="3100" spans="1:4" ht="13.5" x14ac:dyDescent="0.25">
      <c r="A3100" s="306">
        <v>91789</v>
      </c>
      <c r="B3100" s="305" t="s">
        <v>2862</v>
      </c>
      <c r="C3100" s="305" t="s">
        <v>282</v>
      </c>
      <c r="D3100" s="575">
        <v>29.84</v>
      </c>
    </row>
    <row r="3101" spans="1:4" ht="13.5" x14ac:dyDescent="0.25">
      <c r="A3101" s="306">
        <v>91790</v>
      </c>
      <c r="B3101" s="305" t="s">
        <v>2863</v>
      </c>
      <c r="C3101" s="305" t="s">
        <v>282</v>
      </c>
      <c r="D3101" s="575">
        <v>45.74</v>
      </c>
    </row>
    <row r="3102" spans="1:4" ht="13.5" x14ac:dyDescent="0.25">
      <c r="A3102" s="306">
        <v>91791</v>
      </c>
      <c r="B3102" s="305" t="s">
        <v>2864</v>
      </c>
      <c r="C3102" s="305" t="s">
        <v>282</v>
      </c>
      <c r="D3102" s="575">
        <v>58.58</v>
      </c>
    </row>
    <row r="3103" spans="1:4" ht="13.5" x14ac:dyDescent="0.25">
      <c r="A3103" s="306">
        <v>91792</v>
      </c>
      <c r="B3103" s="305" t="s">
        <v>2865</v>
      </c>
      <c r="C3103" s="305" t="s">
        <v>282</v>
      </c>
      <c r="D3103" s="575">
        <v>42.04</v>
      </c>
    </row>
    <row r="3104" spans="1:4" ht="13.5" x14ac:dyDescent="0.25">
      <c r="A3104" s="306">
        <v>91793</v>
      </c>
      <c r="B3104" s="305" t="s">
        <v>2866</v>
      </c>
      <c r="C3104" s="305" t="s">
        <v>282</v>
      </c>
      <c r="D3104" s="575">
        <v>62.08</v>
      </c>
    </row>
    <row r="3105" spans="1:4" ht="13.5" x14ac:dyDescent="0.25">
      <c r="A3105" s="306">
        <v>91794</v>
      </c>
      <c r="B3105" s="305" t="s">
        <v>2867</v>
      </c>
      <c r="C3105" s="305" t="s">
        <v>282</v>
      </c>
      <c r="D3105" s="575">
        <v>27.9</v>
      </c>
    </row>
    <row r="3106" spans="1:4" ht="13.5" x14ac:dyDescent="0.25">
      <c r="A3106" s="306">
        <v>91795</v>
      </c>
      <c r="B3106" s="305" t="s">
        <v>2868</v>
      </c>
      <c r="C3106" s="305" t="s">
        <v>282</v>
      </c>
      <c r="D3106" s="575">
        <v>47.52</v>
      </c>
    </row>
    <row r="3107" spans="1:4" ht="13.5" x14ac:dyDescent="0.25">
      <c r="A3107" s="306">
        <v>91796</v>
      </c>
      <c r="B3107" s="305" t="s">
        <v>2869</v>
      </c>
      <c r="C3107" s="305" t="s">
        <v>282</v>
      </c>
      <c r="D3107" s="575">
        <v>51.1</v>
      </c>
    </row>
    <row r="3108" spans="1:4" ht="13.5" x14ac:dyDescent="0.25">
      <c r="A3108" s="306">
        <v>92275</v>
      </c>
      <c r="B3108" s="305" t="s">
        <v>2870</v>
      </c>
      <c r="C3108" s="305" t="s">
        <v>282</v>
      </c>
      <c r="D3108" s="575">
        <v>37.799999999999997</v>
      </c>
    </row>
    <row r="3109" spans="1:4" ht="13.5" x14ac:dyDescent="0.25">
      <c r="A3109" s="306">
        <v>92276</v>
      </c>
      <c r="B3109" s="305" t="s">
        <v>2871</v>
      </c>
      <c r="C3109" s="305" t="s">
        <v>282</v>
      </c>
      <c r="D3109" s="575">
        <v>47.85</v>
      </c>
    </row>
    <row r="3110" spans="1:4" ht="13.5" x14ac:dyDescent="0.25">
      <c r="A3110" s="306">
        <v>92277</v>
      </c>
      <c r="B3110" s="305" t="s">
        <v>2872</v>
      </c>
      <c r="C3110" s="305" t="s">
        <v>282</v>
      </c>
      <c r="D3110" s="575">
        <v>68.97</v>
      </c>
    </row>
    <row r="3111" spans="1:4" ht="13.5" x14ac:dyDescent="0.25">
      <c r="A3111" s="306">
        <v>92278</v>
      </c>
      <c r="B3111" s="305" t="s">
        <v>2873</v>
      </c>
      <c r="C3111" s="305" t="s">
        <v>282</v>
      </c>
      <c r="D3111" s="575">
        <v>92.69</v>
      </c>
    </row>
    <row r="3112" spans="1:4" ht="13.5" x14ac:dyDescent="0.25">
      <c r="A3112" s="306">
        <v>92279</v>
      </c>
      <c r="B3112" s="305" t="s">
        <v>2874</v>
      </c>
      <c r="C3112" s="305" t="s">
        <v>282</v>
      </c>
      <c r="D3112" s="575">
        <v>133.85</v>
      </c>
    </row>
    <row r="3113" spans="1:4" ht="13.5" x14ac:dyDescent="0.25">
      <c r="A3113" s="306">
        <v>92280</v>
      </c>
      <c r="B3113" s="305" t="s">
        <v>2875</v>
      </c>
      <c r="C3113" s="305" t="s">
        <v>282</v>
      </c>
      <c r="D3113" s="575">
        <v>187.85</v>
      </c>
    </row>
    <row r="3114" spans="1:4" ht="13.5" x14ac:dyDescent="0.25">
      <c r="A3114" s="306">
        <v>92281</v>
      </c>
      <c r="B3114" s="305" t="s">
        <v>2876</v>
      </c>
      <c r="C3114" s="305" t="s">
        <v>282</v>
      </c>
      <c r="D3114" s="575">
        <v>97.78</v>
      </c>
    </row>
    <row r="3115" spans="1:4" ht="13.5" x14ac:dyDescent="0.25">
      <c r="A3115" s="306">
        <v>92282</v>
      </c>
      <c r="B3115" s="305" t="s">
        <v>2877</v>
      </c>
      <c r="C3115" s="305" t="s">
        <v>282</v>
      </c>
      <c r="D3115" s="575">
        <v>110.26</v>
      </c>
    </row>
    <row r="3116" spans="1:4" ht="13.5" x14ac:dyDescent="0.25">
      <c r="A3116" s="306">
        <v>92283</v>
      </c>
      <c r="B3116" s="305" t="s">
        <v>2878</v>
      </c>
      <c r="C3116" s="305" t="s">
        <v>282</v>
      </c>
      <c r="D3116" s="575">
        <v>147.84</v>
      </c>
    </row>
    <row r="3117" spans="1:4" ht="13.5" x14ac:dyDescent="0.25">
      <c r="A3117" s="306">
        <v>92284</v>
      </c>
      <c r="B3117" s="305" t="s">
        <v>2879</v>
      </c>
      <c r="C3117" s="305" t="s">
        <v>282</v>
      </c>
      <c r="D3117" s="575">
        <v>182.63</v>
      </c>
    </row>
    <row r="3118" spans="1:4" ht="13.5" x14ac:dyDescent="0.25">
      <c r="A3118" s="306">
        <v>92285</v>
      </c>
      <c r="B3118" s="305" t="s">
        <v>2880</v>
      </c>
      <c r="C3118" s="305" t="s">
        <v>282</v>
      </c>
      <c r="D3118" s="575">
        <v>241.3</v>
      </c>
    </row>
    <row r="3119" spans="1:4" ht="13.5" x14ac:dyDescent="0.25">
      <c r="A3119" s="306">
        <v>92286</v>
      </c>
      <c r="B3119" s="305" t="s">
        <v>2881</v>
      </c>
      <c r="C3119" s="305" t="s">
        <v>282</v>
      </c>
      <c r="D3119" s="575">
        <v>296.81</v>
      </c>
    </row>
    <row r="3120" spans="1:4" ht="13.5" x14ac:dyDescent="0.25">
      <c r="A3120" s="306">
        <v>92305</v>
      </c>
      <c r="B3120" s="305" t="s">
        <v>2882</v>
      </c>
      <c r="C3120" s="305" t="s">
        <v>282</v>
      </c>
      <c r="D3120" s="575">
        <v>25.38</v>
      </c>
    </row>
    <row r="3121" spans="1:4" ht="13.5" x14ac:dyDescent="0.25">
      <c r="A3121" s="306">
        <v>92306</v>
      </c>
      <c r="B3121" s="305" t="s">
        <v>2883</v>
      </c>
      <c r="C3121" s="305" t="s">
        <v>282</v>
      </c>
      <c r="D3121" s="575">
        <v>41.17</v>
      </c>
    </row>
    <row r="3122" spans="1:4" ht="13.5" x14ac:dyDescent="0.25">
      <c r="A3122" s="306">
        <v>92307</v>
      </c>
      <c r="B3122" s="305" t="s">
        <v>2884</v>
      </c>
      <c r="C3122" s="305" t="s">
        <v>282</v>
      </c>
      <c r="D3122" s="575">
        <v>51.48</v>
      </c>
    </row>
    <row r="3123" spans="1:4" ht="13.5" x14ac:dyDescent="0.25">
      <c r="A3123" s="306">
        <v>92308</v>
      </c>
      <c r="B3123" s="305" t="s">
        <v>2885</v>
      </c>
      <c r="C3123" s="305" t="s">
        <v>282</v>
      </c>
      <c r="D3123" s="575">
        <v>39.79</v>
      </c>
    </row>
    <row r="3124" spans="1:4" ht="13.5" x14ac:dyDescent="0.25">
      <c r="A3124" s="306">
        <v>92309</v>
      </c>
      <c r="B3124" s="305" t="s">
        <v>2886</v>
      </c>
      <c r="C3124" s="305" t="s">
        <v>282</v>
      </c>
      <c r="D3124" s="575">
        <v>102.87</v>
      </c>
    </row>
    <row r="3125" spans="1:4" ht="13.5" x14ac:dyDescent="0.25">
      <c r="A3125" s="306">
        <v>92310</v>
      </c>
      <c r="B3125" s="305" t="s">
        <v>2887</v>
      </c>
      <c r="C3125" s="305" t="s">
        <v>282</v>
      </c>
      <c r="D3125" s="575">
        <v>115.62</v>
      </c>
    </row>
    <row r="3126" spans="1:4" ht="13.5" x14ac:dyDescent="0.25">
      <c r="A3126" s="306">
        <v>92320</v>
      </c>
      <c r="B3126" s="305" t="s">
        <v>2888</v>
      </c>
      <c r="C3126" s="305" t="s">
        <v>282</v>
      </c>
      <c r="D3126" s="575">
        <v>32.79</v>
      </c>
    </row>
    <row r="3127" spans="1:4" ht="13.5" x14ac:dyDescent="0.25">
      <c r="A3127" s="306">
        <v>92321</v>
      </c>
      <c r="B3127" s="305" t="s">
        <v>2889</v>
      </c>
      <c r="C3127" s="305" t="s">
        <v>282</v>
      </c>
      <c r="D3127" s="575">
        <v>53.93</v>
      </c>
    </row>
    <row r="3128" spans="1:4" ht="13.5" x14ac:dyDescent="0.25">
      <c r="A3128" s="306">
        <v>92322</v>
      </c>
      <c r="B3128" s="305" t="s">
        <v>2890</v>
      </c>
      <c r="C3128" s="305" t="s">
        <v>282</v>
      </c>
      <c r="D3128" s="575">
        <v>68.86</v>
      </c>
    </row>
    <row r="3129" spans="1:4" ht="13.5" x14ac:dyDescent="0.25">
      <c r="A3129" s="306">
        <v>92323</v>
      </c>
      <c r="B3129" s="305" t="s">
        <v>2891</v>
      </c>
      <c r="C3129" s="305" t="s">
        <v>282</v>
      </c>
      <c r="D3129" s="575">
        <v>45.44</v>
      </c>
    </row>
    <row r="3130" spans="1:4" ht="13.5" x14ac:dyDescent="0.25">
      <c r="A3130" s="306">
        <v>92324</v>
      </c>
      <c r="B3130" s="305" t="s">
        <v>2892</v>
      </c>
      <c r="C3130" s="305" t="s">
        <v>282</v>
      </c>
      <c r="D3130" s="575">
        <v>113.84</v>
      </c>
    </row>
    <row r="3131" spans="1:4" ht="13.5" x14ac:dyDescent="0.25">
      <c r="A3131" s="306">
        <v>92325</v>
      </c>
      <c r="B3131" s="305" t="s">
        <v>2893</v>
      </c>
      <c r="C3131" s="305" t="s">
        <v>282</v>
      </c>
      <c r="D3131" s="575">
        <v>131.19</v>
      </c>
    </row>
    <row r="3132" spans="1:4" ht="13.5" x14ac:dyDescent="0.25">
      <c r="A3132" s="306">
        <v>92335</v>
      </c>
      <c r="B3132" s="305" t="s">
        <v>2894</v>
      </c>
      <c r="C3132" s="305" t="s">
        <v>282</v>
      </c>
      <c r="D3132" s="575">
        <v>54.45</v>
      </c>
    </row>
    <row r="3133" spans="1:4" ht="13.5" x14ac:dyDescent="0.25">
      <c r="A3133" s="306">
        <v>92336</v>
      </c>
      <c r="B3133" s="305" t="s">
        <v>2895</v>
      </c>
      <c r="C3133" s="305" t="s">
        <v>282</v>
      </c>
      <c r="D3133" s="575">
        <v>66.790000000000006</v>
      </c>
    </row>
    <row r="3134" spans="1:4" ht="13.5" x14ac:dyDescent="0.25">
      <c r="A3134" s="306">
        <v>92337</v>
      </c>
      <c r="B3134" s="305" t="s">
        <v>2896</v>
      </c>
      <c r="C3134" s="305" t="s">
        <v>282</v>
      </c>
      <c r="D3134" s="575">
        <v>87.59</v>
      </c>
    </row>
    <row r="3135" spans="1:4" ht="13.5" x14ac:dyDescent="0.25">
      <c r="A3135" s="306">
        <v>92338</v>
      </c>
      <c r="B3135" s="305" t="s">
        <v>2897</v>
      </c>
      <c r="C3135" s="305" t="s">
        <v>282</v>
      </c>
      <c r="D3135" s="575">
        <v>75.33</v>
      </c>
    </row>
    <row r="3136" spans="1:4" ht="13.5" x14ac:dyDescent="0.25">
      <c r="A3136" s="306">
        <v>92339</v>
      </c>
      <c r="B3136" s="305" t="s">
        <v>2898</v>
      </c>
      <c r="C3136" s="305" t="s">
        <v>282</v>
      </c>
      <c r="D3136" s="575">
        <v>111.15</v>
      </c>
    </row>
    <row r="3137" spans="1:4" ht="13.5" x14ac:dyDescent="0.25">
      <c r="A3137" s="306">
        <v>92341</v>
      </c>
      <c r="B3137" s="305" t="s">
        <v>2899</v>
      </c>
      <c r="C3137" s="305" t="s">
        <v>282</v>
      </c>
      <c r="D3137" s="575">
        <v>61.87</v>
      </c>
    </row>
    <row r="3138" spans="1:4" ht="13.5" x14ac:dyDescent="0.25">
      <c r="A3138" s="306">
        <v>92342</v>
      </c>
      <c r="B3138" s="305" t="s">
        <v>2900</v>
      </c>
      <c r="C3138" s="305" t="s">
        <v>282</v>
      </c>
      <c r="D3138" s="575">
        <v>74.25</v>
      </c>
    </row>
    <row r="3139" spans="1:4" ht="13.5" x14ac:dyDescent="0.25">
      <c r="A3139" s="306">
        <v>92343</v>
      </c>
      <c r="B3139" s="305" t="s">
        <v>2901</v>
      </c>
      <c r="C3139" s="305" t="s">
        <v>282</v>
      </c>
      <c r="D3139" s="575">
        <v>95.12</v>
      </c>
    </row>
    <row r="3140" spans="1:4" ht="13.5" x14ac:dyDescent="0.25">
      <c r="A3140" s="306">
        <v>92361</v>
      </c>
      <c r="B3140" s="305" t="s">
        <v>2902</v>
      </c>
      <c r="C3140" s="305" t="s">
        <v>282</v>
      </c>
      <c r="D3140" s="575">
        <v>59.67</v>
      </c>
    </row>
    <row r="3141" spans="1:4" ht="13.5" x14ac:dyDescent="0.25">
      <c r="A3141" s="306">
        <v>92362</v>
      </c>
      <c r="B3141" s="305" t="s">
        <v>2903</v>
      </c>
      <c r="C3141" s="305" t="s">
        <v>282</v>
      </c>
      <c r="D3141" s="575">
        <v>94.87</v>
      </c>
    </row>
    <row r="3142" spans="1:4" ht="13.5" x14ac:dyDescent="0.25">
      <c r="A3142" s="306">
        <v>92364</v>
      </c>
      <c r="B3142" s="305" t="s">
        <v>2904</v>
      </c>
      <c r="C3142" s="305" t="s">
        <v>282</v>
      </c>
      <c r="D3142" s="575">
        <v>33.19</v>
      </c>
    </row>
    <row r="3143" spans="1:4" ht="13.5" x14ac:dyDescent="0.25">
      <c r="A3143" s="306">
        <v>92365</v>
      </c>
      <c r="B3143" s="305" t="s">
        <v>2905</v>
      </c>
      <c r="C3143" s="305" t="s">
        <v>282</v>
      </c>
      <c r="D3143" s="575">
        <v>38.11</v>
      </c>
    </row>
    <row r="3144" spans="1:4" ht="13.5" x14ac:dyDescent="0.25">
      <c r="A3144" s="306">
        <v>92366</v>
      </c>
      <c r="B3144" s="305" t="s">
        <v>2906</v>
      </c>
      <c r="C3144" s="305" t="s">
        <v>282</v>
      </c>
      <c r="D3144" s="575">
        <v>52.71</v>
      </c>
    </row>
    <row r="3145" spans="1:4" ht="13.5" x14ac:dyDescent="0.25">
      <c r="A3145" s="306">
        <v>92367</v>
      </c>
      <c r="B3145" s="305" t="s">
        <v>2907</v>
      </c>
      <c r="C3145" s="305" t="s">
        <v>282</v>
      </c>
      <c r="D3145" s="575">
        <v>64.67</v>
      </c>
    </row>
    <row r="3146" spans="1:4" ht="13.5" x14ac:dyDescent="0.25">
      <c r="A3146" s="306">
        <v>92368</v>
      </c>
      <c r="B3146" s="305" t="s">
        <v>2908</v>
      </c>
      <c r="C3146" s="305" t="s">
        <v>282</v>
      </c>
      <c r="D3146" s="575">
        <v>85.16</v>
      </c>
    </row>
    <row r="3147" spans="1:4" ht="13.5" x14ac:dyDescent="0.25">
      <c r="A3147" s="306">
        <v>92648</v>
      </c>
      <c r="B3147" s="305" t="s">
        <v>2909</v>
      </c>
      <c r="C3147" s="305" t="s">
        <v>282</v>
      </c>
      <c r="D3147" s="575">
        <v>51.35</v>
      </c>
    </row>
    <row r="3148" spans="1:4" ht="13.5" x14ac:dyDescent="0.25">
      <c r="A3148" s="306">
        <v>92649</v>
      </c>
      <c r="B3148" s="305" t="s">
        <v>2910</v>
      </c>
      <c r="C3148" s="305" t="s">
        <v>282</v>
      </c>
      <c r="D3148" s="575">
        <v>62.48</v>
      </c>
    </row>
    <row r="3149" spans="1:4" ht="13.5" x14ac:dyDescent="0.25">
      <c r="A3149" s="306">
        <v>92650</v>
      </c>
      <c r="B3149" s="305" t="s">
        <v>2911</v>
      </c>
      <c r="C3149" s="305" t="s">
        <v>282</v>
      </c>
      <c r="D3149" s="575">
        <v>97.69</v>
      </c>
    </row>
    <row r="3150" spans="1:4" ht="13.5" x14ac:dyDescent="0.25">
      <c r="A3150" s="306">
        <v>92652</v>
      </c>
      <c r="B3150" s="305" t="s">
        <v>2912</v>
      </c>
      <c r="C3150" s="305" t="s">
        <v>282</v>
      </c>
      <c r="D3150" s="575">
        <v>36.58</v>
      </c>
    </row>
    <row r="3151" spans="1:4" ht="13.5" x14ac:dyDescent="0.25">
      <c r="A3151" s="306">
        <v>92653</v>
      </c>
      <c r="B3151" s="305" t="s">
        <v>2913</v>
      </c>
      <c r="C3151" s="305" t="s">
        <v>282</v>
      </c>
      <c r="D3151" s="575">
        <v>41.52</v>
      </c>
    </row>
    <row r="3152" spans="1:4" ht="13.5" x14ac:dyDescent="0.25">
      <c r="A3152" s="306">
        <v>92654</v>
      </c>
      <c r="B3152" s="305" t="s">
        <v>2914</v>
      </c>
      <c r="C3152" s="305" t="s">
        <v>282</v>
      </c>
      <c r="D3152" s="575">
        <v>56.12</v>
      </c>
    </row>
    <row r="3153" spans="1:4" ht="13.5" x14ac:dyDescent="0.25">
      <c r="A3153" s="306">
        <v>92655</v>
      </c>
      <c r="B3153" s="305" t="s">
        <v>2915</v>
      </c>
      <c r="C3153" s="305" t="s">
        <v>282</v>
      </c>
      <c r="D3153" s="575">
        <v>68.150000000000006</v>
      </c>
    </row>
    <row r="3154" spans="1:4" ht="13.5" x14ac:dyDescent="0.25">
      <c r="A3154" s="306">
        <v>92656</v>
      </c>
      <c r="B3154" s="305" t="s">
        <v>2916</v>
      </c>
      <c r="C3154" s="305" t="s">
        <v>282</v>
      </c>
      <c r="D3154" s="575">
        <v>88.64</v>
      </c>
    </row>
    <row r="3155" spans="1:4" ht="13.5" x14ac:dyDescent="0.25">
      <c r="A3155" s="306">
        <v>92687</v>
      </c>
      <c r="B3155" s="305" t="s">
        <v>2917</v>
      </c>
      <c r="C3155" s="305" t="s">
        <v>282</v>
      </c>
      <c r="D3155" s="575">
        <v>17.41</v>
      </c>
    </row>
    <row r="3156" spans="1:4" ht="13.5" x14ac:dyDescent="0.25">
      <c r="A3156" s="306">
        <v>92688</v>
      </c>
      <c r="B3156" s="305" t="s">
        <v>2918</v>
      </c>
      <c r="C3156" s="305" t="s">
        <v>282</v>
      </c>
      <c r="D3156" s="575">
        <v>24.77</v>
      </c>
    </row>
    <row r="3157" spans="1:4" ht="13.5" x14ac:dyDescent="0.25">
      <c r="A3157" s="306">
        <v>92689</v>
      </c>
      <c r="B3157" s="305" t="s">
        <v>2919</v>
      </c>
      <c r="C3157" s="305" t="s">
        <v>282</v>
      </c>
      <c r="D3157" s="575">
        <v>26.04</v>
      </c>
    </row>
    <row r="3158" spans="1:4" ht="13.5" x14ac:dyDescent="0.25">
      <c r="A3158" s="306">
        <v>92690</v>
      </c>
      <c r="B3158" s="305" t="s">
        <v>2920</v>
      </c>
      <c r="C3158" s="305" t="s">
        <v>282</v>
      </c>
      <c r="D3158" s="575">
        <v>37.81</v>
      </c>
    </row>
    <row r="3159" spans="1:4" ht="13.5" x14ac:dyDescent="0.25">
      <c r="A3159" s="306">
        <v>94462</v>
      </c>
      <c r="B3159" s="305" t="s">
        <v>2921</v>
      </c>
      <c r="C3159" s="305" t="s">
        <v>282</v>
      </c>
      <c r="D3159" s="575">
        <v>61.91</v>
      </c>
    </row>
    <row r="3160" spans="1:4" ht="13.5" x14ac:dyDescent="0.25">
      <c r="A3160" s="306">
        <v>94463</v>
      </c>
      <c r="B3160" s="305" t="s">
        <v>2922</v>
      </c>
      <c r="C3160" s="305" t="s">
        <v>282</v>
      </c>
      <c r="D3160" s="575">
        <v>71.97</v>
      </c>
    </row>
    <row r="3161" spans="1:4" ht="13.5" x14ac:dyDescent="0.25">
      <c r="A3161" s="306">
        <v>94464</v>
      </c>
      <c r="B3161" s="305" t="s">
        <v>2923</v>
      </c>
      <c r="C3161" s="305" t="s">
        <v>282</v>
      </c>
      <c r="D3161" s="575">
        <v>100.8</v>
      </c>
    </row>
    <row r="3162" spans="1:4" ht="13.5" x14ac:dyDescent="0.25">
      <c r="A3162" s="306">
        <v>94602</v>
      </c>
      <c r="B3162" s="305" t="s">
        <v>2924</v>
      </c>
      <c r="C3162" s="305" t="s">
        <v>282</v>
      </c>
      <c r="D3162" s="575">
        <v>145.51</v>
      </c>
    </row>
    <row r="3163" spans="1:4" ht="13.5" x14ac:dyDescent="0.25">
      <c r="A3163" s="306">
        <v>94603</v>
      </c>
      <c r="B3163" s="305" t="s">
        <v>2925</v>
      </c>
      <c r="C3163" s="305" t="s">
        <v>282</v>
      </c>
      <c r="D3163" s="575">
        <v>195.29</v>
      </c>
    </row>
    <row r="3164" spans="1:4" ht="13.5" x14ac:dyDescent="0.25">
      <c r="A3164" s="306">
        <v>94604</v>
      </c>
      <c r="B3164" s="305" t="s">
        <v>2926</v>
      </c>
      <c r="C3164" s="305" t="s">
        <v>282</v>
      </c>
      <c r="D3164" s="575">
        <v>266.63</v>
      </c>
    </row>
    <row r="3165" spans="1:4" ht="13.5" x14ac:dyDescent="0.25">
      <c r="A3165" s="306">
        <v>94605</v>
      </c>
      <c r="B3165" s="305" t="s">
        <v>2927</v>
      </c>
      <c r="C3165" s="305" t="s">
        <v>282</v>
      </c>
      <c r="D3165" s="575">
        <v>380.88</v>
      </c>
    </row>
    <row r="3166" spans="1:4" ht="13.5" x14ac:dyDescent="0.25">
      <c r="A3166" s="306">
        <v>94648</v>
      </c>
      <c r="B3166" s="305" t="s">
        <v>2928</v>
      </c>
      <c r="C3166" s="305" t="s">
        <v>282</v>
      </c>
      <c r="D3166" s="575">
        <v>7.75</v>
      </c>
    </row>
    <row r="3167" spans="1:4" ht="13.5" x14ac:dyDescent="0.25">
      <c r="A3167" s="306">
        <v>94649</v>
      </c>
      <c r="B3167" s="305" t="s">
        <v>2929</v>
      </c>
      <c r="C3167" s="305" t="s">
        <v>282</v>
      </c>
      <c r="D3167" s="575">
        <v>11.64</v>
      </c>
    </row>
    <row r="3168" spans="1:4" ht="13.5" x14ac:dyDescent="0.25">
      <c r="A3168" s="306">
        <v>94650</v>
      </c>
      <c r="B3168" s="305" t="s">
        <v>2930</v>
      </c>
      <c r="C3168" s="305" t="s">
        <v>282</v>
      </c>
      <c r="D3168" s="575">
        <v>16.66</v>
      </c>
    </row>
    <row r="3169" spans="1:4" ht="13.5" x14ac:dyDescent="0.25">
      <c r="A3169" s="306">
        <v>94651</v>
      </c>
      <c r="B3169" s="305" t="s">
        <v>2931</v>
      </c>
      <c r="C3169" s="305" t="s">
        <v>282</v>
      </c>
      <c r="D3169" s="575">
        <v>18.13</v>
      </c>
    </row>
    <row r="3170" spans="1:4" ht="13.5" x14ac:dyDescent="0.25">
      <c r="A3170" s="306">
        <v>94652</v>
      </c>
      <c r="B3170" s="305" t="s">
        <v>2932</v>
      </c>
      <c r="C3170" s="305" t="s">
        <v>282</v>
      </c>
      <c r="D3170" s="575">
        <v>29.48</v>
      </c>
    </row>
    <row r="3171" spans="1:4" ht="13.5" x14ac:dyDescent="0.25">
      <c r="A3171" s="306">
        <v>94653</v>
      </c>
      <c r="B3171" s="305" t="s">
        <v>2933</v>
      </c>
      <c r="C3171" s="305" t="s">
        <v>282</v>
      </c>
      <c r="D3171" s="575">
        <v>42.17</v>
      </c>
    </row>
    <row r="3172" spans="1:4" ht="13.5" x14ac:dyDescent="0.25">
      <c r="A3172" s="306">
        <v>94654</v>
      </c>
      <c r="B3172" s="305" t="s">
        <v>2934</v>
      </c>
      <c r="C3172" s="305" t="s">
        <v>282</v>
      </c>
      <c r="D3172" s="575">
        <v>56.14</v>
      </c>
    </row>
    <row r="3173" spans="1:4" ht="13.5" x14ac:dyDescent="0.25">
      <c r="A3173" s="306">
        <v>94655</v>
      </c>
      <c r="B3173" s="305" t="s">
        <v>2935</v>
      </c>
      <c r="C3173" s="305" t="s">
        <v>282</v>
      </c>
      <c r="D3173" s="575">
        <v>78.72</v>
      </c>
    </row>
    <row r="3174" spans="1:4" ht="13.5" x14ac:dyDescent="0.25">
      <c r="A3174" s="306">
        <v>94716</v>
      </c>
      <c r="B3174" s="305" t="s">
        <v>2936</v>
      </c>
      <c r="C3174" s="305" t="s">
        <v>282</v>
      </c>
      <c r="D3174" s="575">
        <v>18.16</v>
      </c>
    </row>
    <row r="3175" spans="1:4" ht="13.5" x14ac:dyDescent="0.25">
      <c r="A3175" s="306">
        <v>94717</v>
      </c>
      <c r="B3175" s="305" t="s">
        <v>2937</v>
      </c>
      <c r="C3175" s="305" t="s">
        <v>282</v>
      </c>
      <c r="D3175" s="575">
        <v>26.54</v>
      </c>
    </row>
    <row r="3176" spans="1:4" ht="13.5" x14ac:dyDescent="0.25">
      <c r="A3176" s="306">
        <v>94718</v>
      </c>
      <c r="B3176" s="305" t="s">
        <v>2938</v>
      </c>
      <c r="C3176" s="305" t="s">
        <v>282</v>
      </c>
      <c r="D3176" s="575">
        <v>32.86</v>
      </c>
    </row>
    <row r="3177" spans="1:4" ht="13.5" x14ac:dyDescent="0.25">
      <c r="A3177" s="306">
        <v>94719</v>
      </c>
      <c r="B3177" s="305" t="s">
        <v>2939</v>
      </c>
      <c r="C3177" s="305" t="s">
        <v>282</v>
      </c>
      <c r="D3177" s="575">
        <v>42.93</v>
      </c>
    </row>
    <row r="3178" spans="1:4" ht="13.5" x14ac:dyDescent="0.25">
      <c r="A3178" s="306">
        <v>94720</v>
      </c>
      <c r="B3178" s="305" t="s">
        <v>2940</v>
      </c>
      <c r="C3178" s="305" t="s">
        <v>282</v>
      </c>
      <c r="D3178" s="575">
        <v>64.89</v>
      </c>
    </row>
    <row r="3179" spans="1:4" ht="13.5" x14ac:dyDescent="0.25">
      <c r="A3179" s="306">
        <v>94721</v>
      </c>
      <c r="B3179" s="305" t="s">
        <v>2941</v>
      </c>
      <c r="C3179" s="305" t="s">
        <v>282</v>
      </c>
      <c r="D3179" s="575">
        <v>94.38</v>
      </c>
    </row>
    <row r="3180" spans="1:4" ht="13.5" x14ac:dyDescent="0.25">
      <c r="A3180" s="306">
        <v>94722</v>
      </c>
      <c r="B3180" s="305" t="s">
        <v>2942</v>
      </c>
      <c r="C3180" s="305" t="s">
        <v>282</v>
      </c>
      <c r="D3180" s="575">
        <v>164.69</v>
      </c>
    </row>
    <row r="3181" spans="1:4" ht="13.5" x14ac:dyDescent="0.25">
      <c r="A3181" s="306">
        <v>95697</v>
      </c>
      <c r="B3181" s="305" t="s">
        <v>2943</v>
      </c>
      <c r="C3181" s="305" t="s">
        <v>282</v>
      </c>
      <c r="D3181" s="575">
        <v>48.54</v>
      </c>
    </row>
    <row r="3182" spans="1:4" ht="13.5" x14ac:dyDescent="0.25">
      <c r="A3182" s="306">
        <v>96635</v>
      </c>
      <c r="B3182" s="305" t="s">
        <v>2944</v>
      </c>
      <c r="C3182" s="305" t="s">
        <v>282</v>
      </c>
      <c r="D3182" s="575">
        <v>21.63</v>
      </c>
    </row>
    <row r="3183" spans="1:4" ht="13.5" x14ac:dyDescent="0.25">
      <c r="A3183" s="306">
        <v>96636</v>
      </c>
      <c r="B3183" s="305" t="s">
        <v>2945</v>
      </c>
      <c r="C3183" s="305" t="s">
        <v>282</v>
      </c>
      <c r="D3183" s="575">
        <v>22.88</v>
      </c>
    </row>
    <row r="3184" spans="1:4" ht="13.5" x14ac:dyDescent="0.25">
      <c r="A3184" s="306">
        <v>96644</v>
      </c>
      <c r="B3184" s="305" t="s">
        <v>2946</v>
      </c>
      <c r="C3184" s="305" t="s">
        <v>282</v>
      </c>
      <c r="D3184" s="575">
        <v>13.93</v>
      </c>
    </row>
    <row r="3185" spans="1:4" ht="13.5" x14ac:dyDescent="0.25">
      <c r="A3185" s="306">
        <v>96645</v>
      </c>
      <c r="B3185" s="305" t="s">
        <v>2947</v>
      </c>
      <c r="C3185" s="305" t="s">
        <v>282</v>
      </c>
      <c r="D3185" s="575">
        <v>18.059999999999999</v>
      </c>
    </row>
    <row r="3186" spans="1:4" ht="13.5" x14ac:dyDescent="0.25">
      <c r="A3186" s="306">
        <v>96646</v>
      </c>
      <c r="B3186" s="305" t="s">
        <v>2948</v>
      </c>
      <c r="C3186" s="305" t="s">
        <v>282</v>
      </c>
      <c r="D3186" s="575">
        <v>28.02</v>
      </c>
    </row>
    <row r="3187" spans="1:4" ht="13.5" x14ac:dyDescent="0.25">
      <c r="A3187" s="306">
        <v>96647</v>
      </c>
      <c r="B3187" s="305" t="s">
        <v>2949</v>
      </c>
      <c r="C3187" s="305" t="s">
        <v>282</v>
      </c>
      <c r="D3187" s="575">
        <v>12.53</v>
      </c>
    </row>
    <row r="3188" spans="1:4" ht="13.5" x14ac:dyDescent="0.25">
      <c r="A3188" s="306">
        <v>96648</v>
      </c>
      <c r="B3188" s="305" t="s">
        <v>2950</v>
      </c>
      <c r="C3188" s="305" t="s">
        <v>282</v>
      </c>
      <c r="D3188" s="575">
        <v>22.9</v>
      </c>
    </row>
    <row r="3189" spans="1:4" ht="13.5" x14ac:dyDescent="0.25">
      <c r="A3189" s="306">
        <v>96649</v>
      </c>
      <c r="B3189" s="305" t="s">
        <v>2951</v>
      </c>
      <c r="C3189" s="305" t="s">
        <v>282</v>
      </c>
      <c r="D3189" s="575">
        <v>33.799999999999997</v>
      </c>
    </row>
    <row r="3190" spans="1:4" ht="13.5" x14ac:dyDescent="0.25">
      <c r="A3190" s="306">
        <v>96668</v>
      </c>
      <c r="B3190" s="305" t="s">
        <v>2952</v>
      </c>
      <c r="C3190" s="305" t="s">
        <v>282</v>
      </c>
      <c r="D3190" s="575">
        <v>8.56</v>
      </c>
    </row>
    <row r="3191" spans="1:4" ht="13.5" x14ac:dyDescent="0.25">
      <c r="A3191" s="306">
        <v>96669</v>
      </c>
      <c r="B3191" s="305" t="s">
        <v>2953</v>
      </c>
      <c r="C3191" s="305" t="s">
        <v>282</v>
      </c>
      <c r="D3191" s="575">
        <v>10.63</v>
      </c>
    </row>
    <row r="3192" spans="1:4" ht="13.5" x14ac:dyDescent="0.25">
      <c r="A3192" s="306">
        <v>96670</v>
      </c>
      <c r="B3192" s="305" t="s">
        <v>2954</v>
      </c>
      <c r="C3192" s="305" t="s">
        <v>282</v>
      </c>
      <c r="D3192" s="575">
        <v>16.149999999999999</v>
      </c>
    </row>
    <row r="3193" spans="1:4" ht="13.5" x14ac:dyDescent="0.25">
      <c r="A3193" s="306">
        <v>96671</v>
      </c>
      <c r="B3193" s="305" t="s">
        <v>2955</v>
      </c>
      <c r="C3193" s="305" t="s">
        <v>282</v>
      </c>
      <c r="D3193" s="575">
        <v>21.64</v>
      </c>
    </row>
    <row r="3194" spans="1:4" ht="13.5" x14ac:dyDescent="0.25">
      <c r="A3194" s="306">
        <v>96672</v>
      </c>
      <c r="B3194" s="305" t="s">
        <v>2956</v>
      </c>
      <c r="C3194" s="305" t="s">
        <v>282</v>
      </c>
      <c r="D3194" s="575">
        <v>31.78</v>
      </c>
    </row>
    <row r="3195" spans="1:4" ht="13.5" x14ac:dyDescent="0.25">
      <c r="A3195" s="306">
        <v>96673</v>
      </c>
      <c r="B3195" s="305" t="s">
        <v>2957</v>
      </c>
      <c r="C3195" s="305" t="s">
        <v>282</v>
      </c>
      <c r="D3195" s="575">
        <v>51.81</v>
      </c>
    </row>
    <row r="3196" spans="1:4" ht="13.5" x14ac:dyDescent="0.25">
      <c r="A3196" s="306">
        <v>96674</v>
      </c>
      <c r="B3196" s="305" t="s">
        <v>2958</v>
      </c>
      <c r="C3196" s="305" t="s">
        <v>282</v>
      </c>
      <c r="D3196" s="575">
        <v>72.819999999999993</v>
      </c>
    </row>
    <row r="3197" spans="1:4" ht="13.5" x14ac:dyDescent="0.25">
      <c r="A3197" s="306">
        <v>96675</v>
      </c>
      <c r="B3197" s="305" t="s">
        <v>2959</v>
      </c>
      <c r="C3197" s="305" t="s">
        <v>282</v>
      </c>
      <c r="D3197" s="575">
        <v>126.35</v>
      </c>
    </row>
    <row r="3198" spans="1:4" ht="13.5" x14ac:dyDescent="0.25">
      <c r="A3198" s="306">
        <v>96676</v>
      </c>
      <c r="B3198" s="305" t="s">
        <v>2960</v>
      </c>
      <c r="C3198" s="305" t="s">
        <v>282</v>
      </c>
      <c r="D3198" s="575">
        <v>8.52</v>
      </c>
    </row>
    <row r="3199" spans="1:4" ht="13.5" x14ac:dyDescent="0.25">
      <c r="A3199" s="306">
        <v>96677</v>
      </c>
      <c r="B3199" s="305" t="s">
        <v>2961</v>
      </c>
      <c r="C3199" s="305" t="s">
        <v>282</v>
      </c>
      <c r="D3199" s="575">
        <v>14.05</v>
      </c>
    </row>
    <row r="3200" spans="1:4" ht="13.5" x14ac:dyDescent="0.25">
      <c r="A3200" s="306">
        <v>96678</v>
      </c>
      <c r="B3200" s="305" t="s">
        <v>2962</v>
      </c>
      <c r="C3200" s="305" t="s">
        <v>282</v>
      </c>
      <c r="D3200" s="575">
        <v>19.52</v>
      </c>
    </row>
    <row r="3201" spans="1:4" ht="13.5" x14ac:dyDescent="0.25">
      <c r="A3201" s="306">
        <v>96679</v>
      </c>
      <c r="B3201" s="305" t="s">
        <v>2963</v>
      </c>
      <c r="C3201" s="305" t="s">
        <v>282</v>
      </c>
      <c r="D3201" s="575">
        <v>28.51</v>
      </c>
    </row>
    <row r="3202" spans="1:4" ht="13.5" x14ac:dyDescent="0.25">
      <c r="A3202" s="306">
        <v>96680</v>
      </c>
      <c r="B3202" s="305" t="s">
        <v>2964</v>
      </c>
      <c r="C3202" s="305" t="s">
        <v>282</v>
      </c>
      <c r="D3202" s="575">
        <v>38.479999999999997</v>
      </c>
    </row>
    <row r="3203" spans="1:4" ht="13.5" x14ac:dyDescent="0.25">
      <c r="A3203" s="306">
        <v>96681</v>
      </c>
      <c r="B3203" s="305" t="s">
        <v>2965</v>
      </c>
      <c r="C3203" s="305" t="s">
        <v>282</v>
      </c>
      <c r="D3203" s="575">
        <v>71.58</v>
      </c>
    </row>
    <row r="3204" spans="1:4" ht="13.5" x14ac:dyDescent="0.25">
      <c r="A3204" s="306">
        <v>96682</v>
      </c>
      <c r="B3204" s="305" t="s">
        <v>2966</v>
      </c>
      <c r="C3204" s="305" t="s">
        <v>282</v>
      </c>
      <c r="D3204" s="575">
        <v>105.53</v>
      </c>
    </row>
    <row r="3205" spans="1:4" ht="13.5" x14ac:dyDescent="0.25">
      <c r="A3205" s="306">
        <v>96683</v>
      </c>
      <c r="B3205" s="305" t="s">
        <v>2967</v>
      </c>
      <c r="C3205" s="305" t="s">
        <v>282</v>
      </c>
      <c r="D3205" s="575">
        <v>144.58000000000001</v>
      </c>
    </row>
    <row r="3206" spans="1:4" ht="13.5" x14ac:dyDescent="0.25">
      <c r="A3206" s="306">
        <v>96718</v>
      </c>
      <c r="B3206" s="305" t="s">
        <v>2968</v>
      </c>
      <c r="C3206" s="305" t="s">
        <v>282</v>
      </c>
      <c r="D3206" s="575">
        <v>5.56</v>
      </c>
    </row>
    <row r="3207" spans="1:4" ht="13.5" x14ac:dyDescent="0.25">
      <c r="A3207" s="306">
        <v>96719</v>
      </c>
      <c r="B3207" s="305" t="s">
        <v>2969</v>
      </c>
      <c r="C3207" s="305" t="s">
        <v>282</v>
      </c>
      <c r="D3207" s="575">
        <v>11.79</v>
      </c>
    </row>
    <row r="3208" spans="1:4" ht="13.5" x14ac:dyDescent="0.25">
      <c r="A3208" s="306">
        <v>96720</v>
      </c>
      <c r="B3208" s="305" t="s">
        <v>2970</v>
      </c>
      <c r="C3208" s="305" t="s">
        <v>282</v>
      </c>
      <c r="D3208" s="575">
        <v>14.29</v>
      </c>
    </row>
    <row r="3209" spans="1:4" ht="13.5" x14ac:dyDescent="0.25">
      <c r="A3209" s="306">
        <v>96721</v>
      </c>
      <c r="B3209" s="305" t="s">
        <v>2971</v>
      </c>
      <c r="C3209" s="305" t="s">
        <v>282</v>
      </c>
      <c r="D3209" s="575">
        <v>19</v>
      </c>
    </row>
    <row r="3210" spans="1:4" ht="13.5" x14ac:dyDescent="0.25">
      <c r="A3210" s="306">
        <v>96722</v>
      </c>
      <c r="B3210" s="305" t="s">
        <v>2972</v>
      </c>
      <c r="C3210" s="305" t="s">
        <v>282</v>
      </c>
      <c r="D3210" s="575">
        <v>26.05</v>
      </c>
    </row>
    <row r="3211" spans="1:4" ht="13.5" x14ac:dyDescent="0.25">
      <c r="A3211" s="306">
        <v>96723</v>
      </c>
      <c r="B3211" s="305" t="s">
        <v>2973</v>
      </c>
      <c r="C3211" s="305" t="s">
        <v>282</v>
      </c>
      <c r="D3211" s="575">
        <v>34.270000000000003</v>
      </c>
    </row>
    <row r="3212" spans="1:4" ht="13.5" x14ac:dyDescent="0.25">
      <c r="A3212" s="306">
        <v>96724</v>
      </c>
      <c r="B3212" s="305" t="s">
        <v>2974</v>
      </c>
      <c r="C3212" s="305" t="s">
        <v>282</v>
      </c>
      <c r="D3212" s="575">
        <v>55.97</v>
      </c>
    </row>
    <row r="3213" spans="1:4" ht="13.5" x14ac:dyDescent="0.25">
      <c r="A3213" s="306">
        <v>96725</v>
      </c>
      <c r="B3213" s="305" t="s">
        <v>2975</v>
      </c>
      <c r="C3213" s="305" t="s">
        <v>282</v>
      </c>
      <c r="D3213" s="575">
        <v>73.13</v>
      </c>
    </row>
    <row r="3214" spans="1:4" ht="13.5" x14ac:dyDescent="0.25">
      <c r="A3214" s="306">
        <v>96726</v>
      </c>
      <c r="B3214" s="305" t="s">
        <v>2976</v>
      </c>
      <c r="C3214" s="305" t="s">
        <v>282</v>
      </c>
      <c r="D3214" s="575">
        <v>119.13</v>
      </c>
    </row>
    <row r="3215" spans="1:4" ht="13.5" x14ac:dyDescent="0.25">
      <c r="A3215" s="306">
        <v>96727</v>
      </c>
      <c r="B3215" s="305" t="s">
        <v>2977</v>
      </c>
      <c r="C3215" s="305" t="s">
        <v>282</v>
      </c>
      <c r="D3215" s="575">
        <v>10.3</v>
      </c>
    </row>
    <row r="3216" spans="1:4" ht="13.5" x14ac:dyDescent="0.25">
      <c r="A3216" s="306">
        <v>96728</v>
      </c>
      <c r="B3216" s="305" t="s">
        <v>2978</v>
      </c>
      <c r="C3216" s="305" t="s">
        <v>282</v>
      </c>
      <c r="D3216" s="575">
        <v>12.2</v>
      </c>
    </row>
    <row r="3217" spans="1:4" ht="13.5" x14ac:dyDescent="0.25">
      <c r="A3217" s="306">
        <v>96729</v>
      </c>
      <c r="B3217" s="305" t="s">
        <v>2979</v>
      </c>
      <c r="C3217" s="305" t="s">
        <v>282</v>
      </c>
      <c r="D3217" s="575">
        <v>18.350000000000001</v>
      </c>
    </row>
    <row r="3218" spans="1:4" ht="13.5" x14ac:dyDescent="0.25">
      <c r="A3218" s="306">
        <v>96730</v>
      </c>
      <c r="B3218" s="305" t="s">
        <v>2980</v>
      </c>
      <c r="C3218" s="305" t="s">
        <v>282</v>
      </c>
      <c r="D3218" s="575">
        <v>22.95</v>
      </c>
    </row>
    <row r="3219" spans="1:4" ht="13.5" x14ac:dyDescent="0.25">
      <c r="A3219" s="306">
        <v>96731</v>
      </c>
      <c r="B3219" s="305" t="s">
        <v>2981</v>
      </c>
      <c r="C3219" s="305" t="s">
        <v>282</v>
      </c>
      <c r="D3219" s="575">
        <v>33.630000000000003</v>
      </c>
    </row>
    <row r="3220" spans="1:4" ht="13.5" x14ac:dyDescent="0.25">
      <c r="A3220" s="306">
        <v>96732</v>
      </c>
      <c r="B3220" s="305" t="s">
        <v>2982</v>
      </c>
      <c r="C3220" s="305" t="s">
        <v>282</v>
      </c>
      <c r="D3220" s="575">
        <v>41.43</v>
      </c>
    </row>
    <row r="3221" spans="1:4" ht="13.5" x14ac:dyDescent="0.25">
      <c r="A3221" s="306">
        <v>96733</v>
      </c>
      <c r="B3221" s="305" t="s">
        <v>2983</v>
      </c>
      <c r="C3221" s="305" t="s">
        <v>282</v>
      </c>
      <c r="D3221" s="575">
        <v>75.849999999999994</v>
      </c>
    </row>
    <row r="3222" spans="1:4" ht="13.5" x14ac:dyDescent="0.25">
      <c r="A3222" s="306">
        <v>96734</v>
      </c>
      <c r="B3222" s="305" t="s">
        <v>2984</v>
      </c>
      <c r="C3222" s="305" t="s">
        <v>282</v>
      </c>
      <c r="D3222" s="575">
        <v>104.57</v>
      </c>
    </row>
    <row r="3223" spans="1:4" ht="13.5" x14ac:dyDescent="0.25">
      <c r="A3223" s="306">
        <v>96735</v>
      </c>
      <c r="B3223" s="305" t="s">
        <v>2985</v>
      </c>
      <c r="C3223" s="305" t="s">
        <v>282</v>
      </c>
      <c r="D3223" s="575">
        <v>136.88999999999999</v>
      </c>
    </row>
    <row r="3224" spans="1:4" ht="13.5" x14ac:dyDescent="0.25">
      <c r="A3224" s="306">
        <v>96794</v>
      </c>
      <c r="B3224" s="305" t="s">
        <v>2986</v>
      </c>
      <c r="C3224" s="305" t="s">
        <v>282</v>
      </c>
      <c r="D3224" s="575">
        <v>6.39</v>
      </c>
    </row>
    <row r="3225" spans="1:4" ht="13.5" x14ac:dyDescent="0.25">
      <c r="A3225" s="306">
        <v>96795</v>
      </c>
      <c r="B3225" s="305" t="s">
        <v>2987</v>
      </c>
      <c r="C3225" s="305" t="s">
        <v>282</v>
      </c>
      <c r="D3225" s="575">
        <v>8.11</v>
      </c>
    </row>
    <row r="3226" spans="1:4" ht="13.5" x14ac:dyDescent="0.25">
      <c r="A3226" s="306">
        <v>96796</v>
      </c>
      <c r="B3226" s="305" t="s">
        <v>2988</v>
      </c>
      <c r="C3226" s="305" t="s">
        <v>282</v>
      </c>
      <c r="D3226" s="575">
        <v>11.29</v>
      </c>
    </row>
    <row r="3227" spans="1:4" ht="13.5" x14ac:dyDescent="0.25">
      <c r="A3227" s="306">
        <v>96797</v>
      </c>
      <c r="B3227" s="305" t="s">
        <v>2989</v>
      </c>
      <c r="C3227" s="305" t="s">
        <v>282</v>
      </c>
      <c r="D3227" s="575">
        <v>16.96</v>
      </c>
    </row>
    <row r="3228" spans="1:4" ht="13.5" x14ac:dyDescent="0.25">
      <c r="A3228" s="306">
        <v>96798</v>
      </c>
      <c r="B3228" s="305" t="s">
        <v>2990</v>
      </c>
      <c r="C3228" s="305" t="s">
        <v>282</v>
      </c>
      <c r="D3228" s="575">
        <v>6.5</v>
      </c>
    </row>
    <row r="3229" spans="1:4" ht="13.5" x14ac:dyDescent="0.25">
      <c r="A3229" s="306">
        <v>96799</v>
      </c>
      <c r="B3229" s="305" t="s">
        <v>2991</v>
      </c>
      <c r="C3229" s="305" t="s">
        <v>282</v>
      </c>
      <c r="D3229" s="575">
        <v>8.7200000000000006</v>
      </c>
    </row>
    <row r="3230" spans="1:4" ht="13.5" x14ac:dyDescent="0.25">
      <c r="A3230" s="306">
        <v>96800</v>
      </c>
      <c r="B3230" s="305" t="s">
        <v>2992</v>
      </c>
      <c r="C3230" s="305" t="s">
        <v>282</v>
      </c>
      <c r="D3230" s="575">
        <v>12.55</v>
      </c>
    </row>
    <row r="3231" spans="1:4" ht="13.5" x14ac:dyDescent="0.25">
      <c r="A3231" s="306">
        <v>96801</v>
      </c>
      <c r="B3231" s="305" t="s">
        <v>2993</v>
      </c>
      <c r="C3231" s="305" t="s">
        <v>282</v>
      </c>
      <c r="D3231" s="575">
        <v>19.13</v>
      </c>
    </row>
    <row r="3232" spans="1:4" ht="13.5" x14ac:dyDescent="0.25">
      <c r="A3232" s="306">
        <v>97327</v>
      </c>
      <c r="B3232" s="305" t="s">
        <v>2994</v>
      </c>
      <c r="C3232" s="305" t="s">
        <v>282</v>
      </c>
      <c r="D3232" s="575">
        <v>19.41</v>
      </c>
    </row>
    <row r="3233" spans="1:4" ht="13.5" x14ac:dyDescent="0.25">
      <c r="A3233" s="306">
        <v>97328</v>
      </c>
      <c r="B3233" s="305" t="s">
        <v>2995</v>
      </c>
      <c r="C3233" s="305" t="s">
        <v>282</v>
      </c>
      <c r="D3233" s="575">
        <v>33.31</v>
      </c>
    </row>
    <row r="3234" spans="1:4" ht="13.5" x14ac:dyDescent="0.25">
      <c r="A3234" s="306">
        <v>97329</v>
      </c>
      <c r="B3234" s="305" t="s">
        <v>2996</v>
      </c>
      <c r="C3234" s="305" t="s">
        <v>282</v>
      </c>
      <c r="D3234" s="575">
        <v>41.8</v>
      </c>
    </row>
    <row r="3235" spans="1:4" ht="13.5" x14ac:dyDescent="0.25">
      <c r="A3235" s="306">
        <v>97330</v>
      </c>
      <c r="B3235" s="305" t="s">
        <v>2997</v>
      </c>
      <c r="C3235" s="305" t="s">
        <v>282</v>
      </c>
      <c r="D3235" s="575">
        <v>51.02</v>
      </c>
    </row>
    <row r="3236" spans="1:4" ht="13.5" x14ac:dyDescent="0.25">
      <c r="A3236" s="306">
        <v>97331</v>
      </c>
      <c r="B3236" s="305" t="s">
        <v>2998</v>
      </c>
      <c r="C3236" s="305" t="s">
        <v>282</v>
      </c>
      <c r="D3236" s="575">
        <v>19.64</v>
      </c>
    </row>
    <row r="3237" spans="1:4" ht="13.5" x14ac:dyDescent="0.25">
      <c r="A3237" s="306">
        <v>97332</v>
      </c>
      <c r="B3237" s="305" t="s">
        <v>2999</v>
      </c>
      <c r="C3237" s="305" t="s">
        <v>282</v>
      </c>
      <c r="D3237" s="575">
        <v>33.590000000000003</v>
      </c>
    </row>
    <row r="3238" spans="1:4" ht="13.5" x14ac:dyDescent="0.25">
      <c r="A3238" s="306">
        <v>97333</v>
      </c>
      <c r="B3238" s="305" t="s">
        <v>3000</v>
      </c>
      <c r="C3238" s="305" t="s">
        <v>282</v>
      </c>
      <c r="D3238" s="575">
        <v>42.15</v>
      </c>
    </row>
    <row r="3239" spans="1:4" ht="13.5" x14ac:dyDescent="0.25">
      <c r="A3239" s="306">
        <v>97334</v>
      </c>
      <c r="B3239" s="305" t="s">
        <v>3001</v>
      </c>
      <c r="C3239" s="305" t="s">
        <v>282</v>
      </c>
      <c r="D3239" s="575">
        <v>51.41</v>
      </c>
    </row>
    <row r="3240" spans="1:4" ht="13.5" x14ac:dyDescent="0.25">
      <c r="A3240" s="306">
        <v>97335</v>
      </c>
      <c r="B3240" s="305" t="s">
        <v>3002</v>
      </c>
      <c r="C3240" s="305" t="s">
        <v>282</v>
      </c>
      <c r="D3240" s="575">
        <v>54.31</v>
      </c>
    </row>
    <row r="3241" spans="1:4" ht="13.5" x14ac:dyDescent="0.25">
      <c r="A3241" s="306">
        <v>97336</v>
      </c>
      <c r="B3241" s="305" t="s">
        <v>3003</v>
      </c>
      <c r="C3241" s="305" t="s">
        <v>282</v>
      </c>
      <c r="D3241" s="575">
        <v>68.97</v>
      </c>
    </row>
    <row r="3242" spans="1:4" ht="13.5" x14ac:dyDescent="0.25">
      <c r="A3242" s="306">
        <v>97337</v>
      </c>
      <c r="B3242" s="305" t="s">
        <v>3004</v>
      </c>
      <c r="C3242" s="305" t="s">
        <v>282</v>
      </c>
      <c r="D3242" s="575">
        <v>103.53</v>
      </c>
    </row>
    <row r="3243" spans="1:4" ht="13.5" x14ac:dyDescent="0.25">
      <c r="A3243" s="306">
        <v>97338</v>
      </c>
      <c r="B3243" s="305" t="s">
        <v>3005</v>
      </c>
      <c r="C3243" s="305" t="s">
        <v>282</v>
      </c>
      <c r="D3243" s="575">
        <v>124.44</v>
      </c>
    </row>
    <row r="3244" spans="1:4" ht="13.5" x14ac:dyDescent="0.25">
      <c r="A3244" s="306">
        <v>97339</v>
      </c>
      <c r="B3244" s="305" t="s">
        <v>3006</v>
      </c>
      <c r="C3244" s="305" t="s">
        <v>282</v>
      </c>
      <c r="D3244" s="575">
        <v>133.85</v>
      </c>
    </row>
    <row r="3245" spans="1:4" ht="13.5" x14ac:dyDescent="0.25">
      <c r="A3245" s="306">
        <v>97340</v>
      </c>
      <c r="B3245" s="305" t="s">
        <v>3007</v>
      </c>
      <c r="C3245" s="305" t="s">
        <v>282</v>
      </c>
      <c r="D3245" s="575">
        <v>134.44999999999999</v>
      </c>
    </row>
    <row r="3246" spans="1:4" ht="13.5" x14ac:dyDescent="0.25">
      <c r="A3246" s="306">
        <v>97341</v>
      </c>
      <c r="B3246" s="305" t="s">
        <v>3008</v>
      </c>
      <c r="C3246" s="305" t="s">
        <v>282</v>
      </c>
      <c r="D3246" s="575">
        <v>36.909999999999997</v>
      </c>
    </row>
    <row r="3247" spans="1:4" ht="13.5" x14ac:dyDescent="0.25">
      <c r="A3247" s="306">
        <v>97342</v>
      </c>
      <c r="B3247" s="305" t="s">
        <v>3009</v>
      </c>
      <c r="C3247" s="305" t="s">
        <v>282</v>
      </c>
      <c r="D3247" s="575">
        <v>57.68</v>
      </c>
    </row>
    <row r="3248" spans="1:4" ht="13.5" x14ac:dyDescent="0.25">
      <c r="A3248" s="306">
        <v>97343</v>
      </c>
      <c r="B3248" s="305" t="s">
        <v>3010</v>
      </c>
      <c r="C3248" s="305" t="s">
        <v>282</v>
      </c>
      <c r="D3248" s="575">
        <v>72.599999999999994</v>
      </c>
    </row>
    <row r="3249" spans="1:4" ht="13.5" x14ac:dyDescent="0.25">
      <c r="A3249" s="306">
        <v>97344</v>
      </c>
      <c r="B3249" s="305" t="s">
        <v>3011</v>
      </c>
      <c r="C3249" s="305" t="s">
        <v>282</v>
      </c>
      <c r="D3249" s="575">
        <v>44.32</v>
      </c>
    </row>
    <row r="3250" spans="1:4" ht="13.5" x14ac:dyDescent="0.25">
      <c r="A3250" s="306">
        <v>97345</v>
      </c>
      <c r="B3250" s="305" t="s">
        <v>3012</v>
      </c>
      <c r="C3250" s="305" t="s">
        <v>282</v>
      </c>
      <c r="D3250" s="575">
        <v>70.44</v>
      </c>
    </row>
    <row r="3251" spans="1:4" ht="13.5" x14ac:dyDescent="0.25">
      <c r="A3251" s="306">
        <v>97346</v>
      </c>
      <c r="B3251" s="305" t="s">
        <v>3013</v>
      </c>
      <c r="C3251" s="305" t="s">
        <v>282</v>
      </c>
      <c r="D3251" s="575">
        <v>89.98</v>
      </c>
    </row>
    <row r="3252" spans="1:4" ht="13.5" x14ac:dyDescent="0.25">
      <c r="A3252" s="306">
        <v>97347</v>
      </c>
      <c r="B3252" s="305" t="s">
        <v>3014</v>
      </c>
      <c r="C3252" s="305" t="s">
        <v>282</v>
      </c>
      <c r="D3252" s="575">
        <v>65.38</v>
      </c>
    </row>
    <row r="3253" spans="1:4" ht="13.5" x14ac:dyDescent="0.25">
      <c r="A3253" s="306">
        <v>97348</v>
      </c>
      <c r="B3253" s="305" t="s">
        <v>3015</v>
      </c>
      <c r="C3253" s="305" t="s">
        <v>282</v>
      </c>
      <c r="D3253" s="575">
        <v>90.28</v>
      </c>
    </row>
    <row r="3254" spans="1:4" ht="13.5" x14ac:dyDescent="0.25">
      <c r="A3254" s="306">
        <v>97349</v>
      </c>
      <c r="B3254" s="305" t="s">
        <v>3016</v>
      </c>
      <c r="C3254" s="305" t="s">
        <v>282</v>
      </c>
      <c r="D3254" s="575">
        <v>130.06</v>
      </c>
    </row>
    <row r="3255" spans="1:4" ht="13.5" x14ac:dyDescent="0.25">
      <c r="A3255" s="306">
        <v>97350</v>
      </c>
      <c r="B3255" s="305" t="s">
        <v>3017</v>
      </c>
      <c r="C3255" s="305" t="s">
        <v>282</v>
      </c>
      <c r="D3255" s="575">
        <v>157.9</v>
      </c>
    </row>
    <row r="3256" spans="1:4" ht="13.5" x14ac:dyDescent="0.25">
      <c r="A3256" s="306">
        <v>97351</v>
      </c>
      <c r="B3256" s="305" t="s">
        <v>3018</v>
      </c>
      <c r="C3256" s="305" t="s">
        <v>282</v>
      </c>
      <c r="D3256" s="575">
        <v>218.27</v>
      </c>
    </row>
    <row r="3257" spans="1:4" ht="13.5" x14ac:dyDescent="0.25">
      <c r="A3257" s="306">
        <v>97352</v>
      </c>
      <c r="B3257" s="305" t="s">
        <v>3019</v>
      </c>
      <c r="C3257" s="305" t="s">
        <v>282</v>
      </c>
      <c r="D3257" s="575">
        <v>282.83</v>
      </c>
    </row>
    <row r="3258" spans="1:4" ht="13.5" x14ac:dyDescent="0.25">
      <c r="A3258" s="306">
        <v>97353</v>
      </c>
      <c r="B3258" s="305" t="s">
        <v>3020</v>
      </c>
      <c r="C3258" s="305" t="s">
        <v>282</v>
      </c>
      <c r="D3258" s="575">
        <v>43.46</v>
      </c>
    </row>
    <row r="3259" spans="1:4" ht="13.5" x14ac:dyDescent="0.25">
      <c r="A3259" s="306">
        <v>97354</v>
      </c>
      <c r="B3259" s="305" t="s">
        <v>3021</v>
      </c>
      <c r="C3259" s="305" t="s">
        <v>282</v>
      </c>
      <c r="D3259" s="575">
        <v>68.75</v>
      </c>
    </row>
    <row r="3260" spans="1:4" ht="13.5" x14ac:dyDescent="0.25">
      <c r="A3260" s="306">
        <v>97355</v>
      </c>
      <c r="B3260" s="305" t="s">
        <v>3022</v>
      </c>
      <c r="C3260" s="305" t="s">
        <v>282</v>
      </c>
      <c r="D3260" s="575">
        <v>93.91</v>
      </c>
    </row>
    <row r="3261" spans="1:4" ht="13.5" x14ac:dyDescent="0.25">
      <c r="A3261" s="306">
        <v>97356</v>
      </c>
      <c r="B3261" s="305" t="s">
        <v>3023</v>
      </c>
      <c r="C3261" s="305" t="s">
        <v>282</v>
      </c>
      <c r="D3261" s="575">
        <v>50.87</v>
      </c>
    </row>
    <row r="3262" spans="1:4" ht="13.5" x14ac:dyDescent="0.25">
      <c r="A3262" s="306">
        <v>97357</v>
      </c>
      <c r="B3262" s="305" t="s">
        <v>3024</v>
      </c>
      <c r="C3262" s="305" t="s">
        <v>282</v>
      </c>
      <c r="D3262" s="575">
        <v>81.510000000000005</v>
      </c>
    </row>
    <row r="3263" spans="1:4" ht="13.5" x14ac:dyDescent="0.25">
      <c r="A3263" s="306">
        <v>97358</v>
      </c>
      <c r="B3263" s="305" t="s">
        <v>3025</v>
      </c>
      <c r="C3263" s="305" t="s">
        <v>282</v>
      </c>
      <c r="D3263" s="575">
        <v>111.29</v>
      </c>
    </row>
    <row r="3264" spans="1:4" ht="13.5" x14ac:dyDescent="0.25">
      <c r="A3264" s="306">
        <v>97498</v>
      </c>
      <c r="B3264" s="305" t="s">
        <v>3026</v>
      </c>
      <c r="C3264" s="305" t="s">
        <v>282</v>
      </c>
      <c r="D3264" s="575">
        <v>27.08</v>
      </c>
    </row>
    <row r="3265" spans="1:4" ht="13.5" x14ac:dyDescent="0.25">
      <c r="A3265" s="306">
        <v>97535</v>
      </c>
      <c r="B3265" s="305" t="s">
        <v>3027</v>
      </c>
      <c r="C3265" s="305" t="s">
        <v>282</v>
      </c>
      <c r="D3265" s="575">
        <v>30.46</v>
      </c>
    </row>
    <row r="3266" spans="1:4" ht="13.5" x14ac:dyDescent="0.25">
      <c r="A3266" s="306">
        <v>97536</v>
      </c>
      <c r="B3266" s="305" t="s">
        <v>3028</v>
      </c>
      <c r="C3266" s="305" t="s">
        <v>282</v>
      </c>
      <c r="D3266" s="575">
        <v>38.229999999999997</v>
      </c>
    </row>
    <row r="3267" spans="1:4" ht="13.5" x14ac:dyDescent="0.25">
      <c r="A3267" s="306">
        <v>100788</v>
      </c>
      <c r="B3267" s="305" t="s">
        <v>12707</v>
      </c>
      <c r="C3267" s="305" t="s">
        <v>363</v>
      </c>
      <c r="D3267" s="575">
        <v>437.71</v>
      </c>
    </row>
    <row r="3268" spans="1:4" ht="13.5" x14ac:dyDescent="0.25">
      <c r="A3268" s="306">
        <v>100791</v>
      </c>
      <c r="B3268" s="305" t="s">
        <v>12708</v>
      </c>
      <c r="C3268" s="305" t="s">
        <v>282</v>
      </c>
      <c r="D3268" s="575">
        <v>13.43</v>
      </c>
    </row>
    <row r="3269" spans="1:4" ht="13.5" x14ac:dyDescent="0.25">
      <c r="A3269" s="306">
        <v>100792</v>
      </c>
      <c r="B3269" s="305" t="s">
        <v>12709</v>
      </c>
      <c r="C3269" s="305" t="s">
        <v>282</v>
      </c>
      <c r="D3269" s="575">
        <v>19.52</v>
      </c>
    </row>
    <row r="3270" spans="1:4" ht="13.5" x14ac:dyDescent="0.25">
      <c r="A3270" s="306">
        <v>100793</v>
      </c>
      <c r="B3270" s="305" t="s">
        <v>12710</v>
      </c>
      <c r="C3270" s="305" t="s">
        <v>282</v>
      </c>
      <c r="D3270" s="575">
        <v>25.8</v>
      </c>
    </row>
    <row r="3271" spans="1:4" ht="13.5" x14ac:dyDescent="0.25">
      <c r="A3271" s="306">
        <v>100794</v>
      </c>
      <c r="B3271" s="305" t="s">
        <v>12711</v>
      </c>
      <c r="C3271" s="305" t="s">
        <v>282</v>
      </c>
      <c r="D3271" s="575">
        <v>34.69</v>
      </c>
    </row>
    <row r="3272" spans="1:4" ht="13.5" x14ac:dyDescent="0.25">
      <c r="A3272" s="306">
        <v>100803</v>
      </c>
      <c r="B3272" s="305" t="s">
        <v>12712</v>
      </c>
      <c r="C3272" s="305" t="s">
        <v>282</v>
      </c>
      <c r="D3272" s="575">
        <v>12.71</v>
      </c>
    </row>
    <row r="3273" spans="1:4" ht="13.5" x14ac:dyDescent="0.25">
      <c r="A3273" s="306">
        <v>100804</v>
      </c>
      <c r="B3273" s="305" t="s">
        <v>12713</v>
      </c>
      <c r="C3273" s="305" t="s">
        <v>282</v>
      </c>
      <c r="D3273" s="575">
        <v>18.670000000000002</v>
      </c>
    </row>
    <row r="3274" spans="1:4" ht="13.5" x14ac:dyDescent="0.25">
      <c r="A3274" s="306">
        <v>100805</v>
      </c>
      <c r="B3274" s="305" t="s">
        <v>12714</v>
      </c>
      <c r="C3274" s="305" t="s">
        <v>282</v>
      </c>
      <c r="D3274" s="575">
        <v>24.78</v>
      </c>
    </row>
    <row r="3275" spans="1:4" ht="13.5" x14ac:dyDescent="0.25">
      <c r="A3275" s="306">
        <v>100806</v>
      </c>
      <c r="B3275" s="305" t="s">
        <v>12715</v>
      </c>
      <c r="C3275" s="305" t="s">
        <v>282</v>
      </c>
      <c r="D3275" s="575">
        <v>33.450000000000003</v>
      </c>
    </row>
    <row r="3276" spans="1:4" ht="13.5" x14ac:dyDescent="0.25">
      <c r="A3276" s="306">
        <v>72306</v>
      </c>
      <c r="B3276" s="305" t="s">
        <v>3029</v>
      </c>
      <c r="C3276" s="305" t="s">
        <v>363</v>
      </c>
      <c r="D3276" s="575">
        <v>181.04</v>
      </c>
    </row>
    <row r="3277" spans="1:4" ht="13.5" x14ac:dyDescent="0.25">
      <c r="A3277" s="306">
        <v>72307</v>
      </c>
      <c r="B3277" s="305" t="s">
        <v>3030</v>
      </c>
      <c r="C3277" s="305" t="s">
        <v>363</v>
      </c>
      <c r="D3277" s="575">
        <v>253.71</v>
      </c>
    </row>
    <row r="3278" spans="1:4" ht="13.5" x14ac:dyDescent="0.25">
      <c r="A3278" s="306">
        <v>72313</v>
      </c>
      <c r="B3278" s="305" t="s">
        <v>3031</v>
      </c>
      <c r="C3278" s="305" t="s">
        <v>363</v>
      </c>
      <c r="D3278" s="575">
        <v>591.36</v>
      </c>
    </row>
    <row r="3279" spans="1:4" ht="13.5" x14ac:dyDescent="0.25">
      <c r="A3279" s="306">
        <v>72482</v>
      </c>
      <c r="B3279" s="305" t="s">
        <v>3032</v>
      </c>
      <c r="C3279" s="305" t="s">
        <v>363</v>
      </c>
      <c r="D3279" s="575">
        <v>253.94</v>
      </c>
    </row>
    <row r="3280" spans="1:4" ht="13.5" x14ac:dyDescent="0.25">
      <c r="A3280" s="306">
        <v>72619</v>
      </c>
      <c r="B3280" s="305" t="s">
        <v>3033</v>
      </c>
      <c r="C3280" s="305" t="s">
        <v>363</v>
      </c>
      <c r="D3280" s="575">
        <v>106.18</v>
      </c>
    </row>
    <row r="3281" spans="1:4" ht="13.5" x14ac:dyDescent="0.25">
      <c r="A3281" s="306">
        <v>72620</v>
      </c>
      <c r="B3281" s="305" t="s">
        <v>3034</v>
      </c>
      <c r="C3281" s="305" t="s">
        <v>363</v>
      </c>
      <c r="D3281" s="575">
        <v>185.09</v>
      </c>
    </row>
    <row r="3282" spans="1:4" ht="13.5" x14ac:dyDescent="0.25">
      <c r="A3282" s="306">
        <v>72621</v>
      </c>
      <c r="B3282" s="305" t="s">
        <v>3035</v>
      </c>
      <c r="C3282" s="305" t="s">
        <v>363</v>
      </c>
      <c r="D3282" s="575">
        <v>297.06</v>
      </c>
    </row>
    <row r="3283" spans="1:4" ht="13.5" x14ac:dyDescent="0.25">
      <c r="A3283" s="306">
        <v>72667</v>
      </c>
      <c r="B3283" s="305" t="s">
        <v>3036</v>
      </c>
      <c r="C3283" s="305" t="s">
        <v>363</v>
      </c>
      <c r="D3283" s="575">
        <v>145.91999999999999</v>
      </c>
    </row>
    <row r="3284" spans="1:4" ht="13.5" x14ac:dyDescent="0.25">
      <c r="A3284" s="306">
        <v>72668</v>
      </c>
      <c r="B3284" s="305" t="s">
        <v>3037</v>
      </c>
      <c r="C3284" s="305" t="s">
        <v>363</v>
      </c>
      <c r="D3284" s="575">
        <v>145.15</v>
      </c>
    </row>
    <row r="3285" spans="1:4" ht="13.5" x14ac:dyDescent="0.25">
      <c r="A3285" s="306">
        <v>72669</v>
      </c>
      <c r="B3285" s="305" t="s">
        <v>3038</v>
      </c>
      <c r="C3285" s="305" t="s">
        <v>363</v>
      </c>
      <c r="D3285" s="575">
        <v>149.63</v>
      </c>
    </row>
    <row r="3286" spans="1:4" ht="13.5" x14ac:dyDescent="0.25">
      <c r="A3286" s="306">
        <v>72681</v>
      </c>
      <c r="B3286" s="305" t="s">
        <v>3039</v>
      </c>
      <c r="C3286" s="305" t="s">
        <v>363</v>
      </c>
      <c r="D3286" s="575">
        <v>102.92</v>
      </c>
    </row>
    <row r="3287" spans="1:4" ht="13.5" x14ac:dyDescent="0.25">
      <c r="A3287" s="306">
        <v>72682</v>
      </c>
      <c r="B3287" s="305" t="s">
        <v>3040</v>
      </c>
      <c r="C3287" s="305" t="s">
        <v>363</v>
      </c>
      <c r="D3287" s="575">
        <v>206.92</v>
      </c>
    </row>
    <row r="3288" spans="1:4" ht="13.5" x14ac:dyDescent="0.25">
      <c r="A3288" s="306">
        <v>72683</v>
      </c>
      <c r="B3288" s="305" t="s">
        <v>3041</v>
      </c>
      <c r="C3288" s="305" t="s">
        <v>363</v>
      </c>
      <c r="D3288" s="575">
        <v>332.34</v>
      </c>
    </row>
    <row r="3289" spans="1:4" ht="13.5" x14ac:dyDescent="0.25">
      <c r="A3289" s="306">
        <v>72719</v>
      </c>
      <c r="B3289" s="305" t="s">
        <v>3042</v>
      </c>
      <c r="C3289" s="305" t="s">
        <v>363</v>
      </c>
      <c r="D3289" s="575">
        <v>227.05</v>
      </c>
    </row>
    <row r="3290" spans="1:4" ht="13.5" x14ac:dyDescent="0.25">
      <c r="A3290" s="306">
        <v>72720</v>
      </c>
      <c r="B3290" s="305" t="s">
        <v>3043</v>
      </c>
      <c r="C3290" s="305" t="s">
        <v>363</v>
      </c>
      <c r="D3290" s="575">
        <v>312.58999999999997</v>
      </c>
    </row>
    <row r="3291" spans="1:4" ht="13.5" x14ac:dyDescent="0.25">
      <c r="A3291" s="306">
        <v>72721</v>
      </c>
      <c r="B3291" s="305" t="s">
        <v>3044</v>
      </c>
      <c r="C3291" s="305" t="s">
        <v>363</v>
      </c>
      <c r="D3291" s="575">
        <v>676.71</v>
      </c>
    </row>
    <row r="3292" spans="1:4" ht="13.5" x14ac:dyDescent="0.25">
      <c r="A3292" s="306">
        <v>89358</v>
      </c>
      <c r="B3292" s="305" t="s">
        <v>3045</v>
      </c>
      <c r="C3292" s="305" t="s">
        <v>363</v>
      </c>
      <c r="D3292" s="575">
        <v>5.59</v>
      </c>
    </row>
    <row r="3293" spans="1:4" ht="13.5" x14ac:dyDescent="0.25">
      <c r="A3293" s="306">
        <v>89359</v>
      </c>
      <c r="B3293" s="305" t="s">
        <v>3046</v>
      </c>
      <c r="C3293" s="305" t="s">
        <v>363</v>
      </c>
      <c r="D3293" s="575">
        <v>5.87</v>
      </c>
    </row>
    <row r="3294" spans="1:4" ht="13.5" x14ac:dyDescent="0.25">
      <c r="A3294" s="306">
        <v>89360</v>
      </c>
      <c r="B3294" s="305" t="s">
        <v>3047</v>
      </c>
      <c r="C3294" s="305" t="s">
        <v>363</v>
      </c>
      <c r="D3294" s="575">
        <v>7.08</v>
      </c>
    </row>
    <row r="3295" spans="1:4" ht="13.5" x14ac:dyDescent="0.25">
      <c r="A3295" s="306">
        <v>89361</v>
      </c>
      <c r="B3295" s="305" t="s">
        <v>3048</v>
      </c>
      <c r="C3295" s="305" t="s">
        <v>363</v>
      </c>
      <c r="D3295" s="575">
        <v>6.61</v>
      </c>
    </row>
    <row r="3296" spans="1:4" ht="13.5" x14ac:dyDescent="0.25">
      <c r="A3296" s="306">
        <v>89362</v>
      </c>
      <c r="B3296" s="305" t="s">
        <v>3049</v>
      </c>
      <c r="C3296" s="305" t="s">
        <v>363</v>
      </c>
      <c r="D3296" s="575">
        <v>6.64</v>
      </c>
    </row>
    <row r="3297" spans="1:4" ht="13.5" x14ac:dyDescent="0.25">
      <c r="A3297" s="306">
        <v>89363</v>
      </c>
      <c r="B3297" s="305" t="s">
        <v>3050</v>
      </c>
      <c r="C3297" s="305" t="s">
        <v>363</v>
      </c>
      <c r="D3297" s="575">
        <v>7.26</v>
      </c>
    </row>
    <row r="3298" spans="1:4" ht="13.5" x14ac:dyDescent="0.25">
      <c r="A3298" s="306">
        <v>89364</v>
      </c>
      <c r="B3298" s="305" t="s">
        <v>3051</v>
      </c>
      <c r="C3298" s="305" t="s">
        <v>363</v>
      </c>
      <c r="D3298" s="575">
        <v>8.5299999999999994</v>
      </c>
    </row>
    <row r="3299" spans="1:4" ht="13.5" x14ac:dyDescent="0.25">
      <c r="A3299" s="306">
        <v>89365</v>
      </c>
      <c r="B3299" s="305" t="s">
        <v>3052</v>
      </c>
      <c r="C3299" s="305" t="s">
        <v>363</v>
      </c>
      <c r="D3299" s="575">
        <v>7.96</v>
      </c>
    </row>
    <row r="3300" spans="1:4" ht="13.5" x14ac:dyDescent="0.25">
      <c r="A3300" s="306">
        <v>89366</v>
      </c>
      <c r="B3300" s="305" t="s">
        <v>3053</v>
      </c>
      <c r="C3300" s="305" t="s">
        <v>363</v>
      </c>
      <c r="D3300" s="575">
        <v>11.9</v>
      </c>
    </row>
    <row r="3301" spans="1:4" ht="13.5" x14ac:dyDescent="0.25">
      <c r="A3301" s="306">
        <v>89367</v>
      </c>
      <c r="B3301" s="305" t="s">
        <v>3054</v>
      </c>
      <c r="C3301" s="305" t="s">
        <v>363</v>
      </c>
      <c r="D3301" s="575">
        <v>9.09</v>
      </c>
    </row>
    <row r="3302" spans="1:4" ht="13.5" x14ac:dyDescent="0.25">
      <c r="A3302" s="306">
        <v>89368</v>
      </c>
      <c r="B3302" s="305" t="s">
        <v>3055</v>
      </c>
      <c r="C3302" s="305" t="s">
        <v>363</v>
      </c>
      <c r="D3302" s="575">
        <v>10.83</v>
      </c>
    </row>
    <row r="3303" spans="1:4" ht="13.5" x14ac:dyDescent="0.25">
      <c r="A3303" s="306">
        <v>89369</v>
      </c>
      <c r="B3303" s="305" t="s">
        <v>3056</v>
      </c>
      <c r="C3303" s="305" t="s">
        <v>363</v>
      </c>
      <c r="D3303" s="575">
        <v>12.97</v>
      </c>
    </row>
    <row r="3304" spans="1:4" ht="13.5" x14ac:dyDescent="0.25">
      <c r="A3304" s="306">
        <v>89370</v>
      </c>
      <c r="B3304" s="305" t="s">
        <v>3057</v>
      </c>
      <c r="C3304" s="305" t="s">
        <v>363</v>
      </c>
      <c r="D3304" s="575">
        <v>10.46</v>
      </c>
    </row>
    <row r="3305" spans="1:4" ht="13.5" x14ac:dyDescent="0.25">
      <c r="A3305" s="306">
        <v>89371</v>
      </c>
      <c r="B3305" s="305" t="s">
        <v>3058</v>
      </c>
      <c r="C3305" s="305" t="s">
        <v>363</v>
      </c>
      <c r="D3305" s="575">
        <v>4.17</v>
      </c>
    </row>
    <row r="3306" spans="1:4" ht="13.5" x14ac:dyDescent="0.25">
      <c r="A3306" s="306">
        <v>89372</v>
      </c>
      <c r="B3306" s="305" t="s">
        <v>3059</v>
      </c>
      <c r="C3306" s="305" t="s">
        <v>363</v>
      </c>
      <c r="D3306" s="575">
        <v>9.8800000000000008</v>
      </c>
    </row>
    <row r="3307" spans="1:4" ht="13.5" x14ac:dyDescent="0.25">
      <c r="A3307" s="306">
        <v>89373</v>
      </c>
      <c r="B3307" s="305" t="s">
        <v>3060</v>
      </c>
      <c r="C3307" s="305" t="s">
        <v>363</v>
      </c>
      <c r="D3307" s="575">
        <v>4.6900000000000004</v>
      </c>
    </row>
    <row r="3308" spans="1:4" ht="13.5" x14ac:dyDescent="0.25">
      <c r="A3308" s="306">
        <v>89374</v>
      </c>
      <c r="B3308" s="305" t="s">
        <v>3061</v>
      </c>
      <c r="C3308" s="305" t="s">
        <v>363</v>
      </c>
      <c r="D3308" s="575">
        <v>7.78</v>
      </c>
    </row>
    <row r="3309" spans="1:4" ht="13.5" x14ac:dyDescent="0.25">
      <c r="A3309" s="306">
        <v>89375</v>
      </c>
      <c r="B3309" s="305" t="s">
        <v>3062</v>
      </c>
      <c r="C3309" s="305" t="s">
        <v>363</v>
      </c>
      <c r="D3309" s="575">
        <v>9.65</v>
      </c>
    </row>
    <row r="3310" spans="1:4" ht="13.5" x14ac:dyDescent="0.25">
      <c r="A3310" s="306">
        <v>89376</v>
      </c>
      <c r="B3310" s="305" t="s">
        <v>3063</v>
      </c>
      <c r="C3310" s="305" t="s">
        <v>363</v>
      </c>
      <c r="D3310" s="575">
        <v>4.22</v>
      </c>
    </row>
    <row r="3311" spans="1:4" ht="13.5" x14ac:dyDescent="0.25">
      <c r="A3311" s="306">
        <v>89377</v>
      </c>
      <c r="B3311" s="305" t="s">
        <v>3064</v>
      </c>
      <c r="C3311" s="305" t="s">
        <v>363</v>
      </c>
      <c r="D3311" s="575">
        <v>6.99</v>
      </c>
    </row>
    <row r="3312" spans="1:4" ht="13.5" x14ac:dyDescent="0.25">
      <c r="A3312" s="306">
        <v>89378</v>
      </c>
      <c r="B3312" s="305" t="s">
        <v>3065</v>
      </c>
      <c r="C3312" s="305" t="s">
        <v>363</v>
      </c>
      <c r="D3312" s="575">
        <v>4.9400000000000004</v>
      </c>
    </row>
    <row r="3313" spans="1:4" ht="13.5" x14ac:dyDescent="0.25">
      <c r="A3313" s="306">
        <v>89379</v>
      </c>
      <c r="B3313" s="305" t="s">
        <v>3066</v>
      </c>
      <c r="C3313" s="305" t="s">
        <v>363</v>
      </c>
      <c r="D3313" s="575">
        <v>12.56</v>
      </c>
    </row>
    <row r="3314" spans="1:4" ht="13.5" x14ac:dyDescent="0.25">
      <c r="A3314" s="306">
        <v>89380</v>
      </c>
      <c r="B3314" s="305" t="s">
        <v>3067</v>
      </c>
      <c r="C3314" s="305" t="s">
        <v>363</v>
      </c>
      <c r="D3314" s="575">
        <v>7.28</v>
      </c>
    </row>
    <row r="3315" spans="1:4" ht="13.5" x14ac:dyDescent="0.25">
      <c r="A3315" s="306">
        <v>89381</v>
      </c>
      <c r="B3315" s="305" t="s">
        <v>3068</v>
      </c>
      <c r="C3315" s="305" t="s">
        <v>363</v>
      </c>
      <c r="D3315" s="575">
        <v>9.76</v>
      </c>
    </row>
    <row r="3316" spans="1:4" ht="13.5" x14ac:dyDescent="0.25">
      <c r="A3316" s="306">
        <v>89382</v>
      </c>
      <c r="B3316" s="305" t="s">
        <v>3069</v>
      </c>
      <c r="C3316" s="305" t="s">
        <v>363</v>
      </c>
      <c r="D3316" s="575">
        <v>11.5</v>
      </c>
    </row>
    <row r="3317" spans="1:4" ht="13.5" x14ac:dyDescent="0.25">
      <c r="A3317" s="306">
        <v>89383</v>
      </c>
      <c r="B3317" s="305" t="s">
        <v>3070</v>
      </c>
      <c r="C3317" s="305" t="s">
        <v>363</v>
      </c>
      <c r="D3317" s="575">
        <v>5.0199999999999996</v>
      </c>
    </row>
    <row r="3318" spans="1:4" ht="13.5" x14ac:dyDescent="0.25">
      <c r="A3318" s="306">
        <v>89384</v>
      </c>
      <c r="B3318" s="305" t="s">
        <v>3071</v>
      </c>
      <c r="C3318" s="305" t="s">
        <v>363</v>
      </c>
      <c r="D3318" s="575">
        <v>9.8800000000000008</v>
      </c>
    </row>
    <row r="3319" spans="1:4" ht="13.5" x14ac:dyDescent="0.25">
      <c r="A3319" s="306">
        <v>89385</v>
      </c>
      <c r="B3319" s="305" t="s">
        <v>3072</v>
      </c>
      <c r="C3319" s="305" t="s">
        <v>363</v>
      </c>
      <c r="D3319" s="575">
        <v>5.62</v>
      </c>
    </row>
    <row r="3320" spans="1:4" ht="13.5" x14ac:dyDescent="0.25">
      <c r="A3320" s="306">
        <v>89386</v>
      </c>
      <c r="B3320" s="305" t="s">
        <v>3073</v>
      </c>
      <c r="C3320" s="305" t="s">
        <v>363</v>
      </c>
      <c r="D3320" s="575">
        <v>6.78</v>
      </c>
    </row>
    <row r="3321" spans="1:4" ht="13.5" x14ac:dyDescent="0.25">
      <c r="A3321" s="306">
        <v>89387</v>
      </c>
      <c r="B3321" s="305" t="s">
        <v>3074</v>
      </c>
      <c r="C3321" s="305" t="s">
        <v>363</v>
      </c>
      <c r="D3321" s="575">
        <v>24.96</v>
      </c>
    </row>
    <row r="3322" spans="1:4" ht="13.5" x14ac:dyDescent="0.25">
      <c r="A3322" s="306">
        <v>89388</v>
      </c>
      <c r="B3322" s="305" t="s">
        <v>3075</v>
      </c>
      <c r="C3322" s="305" t="s">
        <v>363</v>
      </c>
      <c r="D3322" s="575">
        <v>8.84</v>
      </c>
    </row>
    <row r="3323" spans="1:4" ht="13.5" x14ac:dyDescent="0.25">
      <c r="A3323" s="306">
        <v>89389</v>
      </c>
      <c r="B3323" s="305" t="s">
        <v>3076</v>
      </c>
      <c r="C3323" s="305" t="s">
        <v>363</v>
      </c>
      <c r="D3323" s="575">
        <v>9.5399999999999991</v>
      </c>
    </row>
    <row r="3324" spans="1:4" ht="13.5" x14ac:dyDescent="0.25">
      <c r="A3324" s="306">
        <v>89390</v>
      </c>
      <c r="B3324" s="305" t="s">
        <v>3077</v>
      </c>
      <c r="C3324" s="305" t="s">
        <v>363</v>
      </c>
      <c r="D3324" s="575">
        <v>17.03</v>
      </c>
    </row>
    <row r="3325" spans="1:4" ht="13.5" x14ac:dyDescent="0.25">
      <c r="A3325" s="306">
        <v>89391</v>
      </c>
      <c r="B3325" s="305" t="s">
        <v>3078</v>
      </c>
      <c r="C3325" s="305" t="s">
        <v>363</v>
      </c>
      <c r="D3325" s="575">
        <v>6.7</v>
      </c>
    </row>
    <row r="3326" spans="1:4" ht="13.5" x14ac:dyDescent="0.25">
      <c r="A3326" s="306">
        <v>89392</v>
      </c>
      <c r="B3326" s="305" t="s">
        <v>3079</v>
      </c>
      <c r="C3326" s="305" t="s">
        <v>363</v>
      </c>
      <c r="D3326" s="575">
        <v>20.16</v>
      </c>
    </row>
    <row r="3327" spans="1:4" ht="13.5" x14ac:dyDescent="0.25">
      <c r="A3327" s="306">
        <v>89393</v>
      </c>
      <c r="B3327" s="305" t="s">
        <v>3080</v>
      </c>
      <c r="C3327" s="305" t="s">
        <v>363</v>
      </c>
      <c r="D3327" s="575">
        <v>7.76</v>
      </c>
    </row>
    <row r="3328" spans="1:4" ht="13.5" x14ac:dyDescent="0.25">
      <c r="A3328" s="306">
        <v>89394</v>
      </c>
      <c r="B3328" s="305" t="s">
        <v>3081</v>
      </c>
      <c r="C3328" s="305" t="s">
        <v>363</v>
      </c>
      <c r="D3328" s="575">
        <v>14.89</v>
      </c>
    </row>
    <row r="3329" spans="1:4" ht="13.5" x14ac:dyDescent="0.25">
      <c r="A3329" s="306">
        <v>89395</v>
      </c>
      <c r="B3329" s="305" t="s">
        <v>3082</v>
      </c>
      <c r="C3329" s="305" t="s">
        <v>363</v>
      </c>
      <c r="D3329" s="575">
        <v>9.24</v>
      </c>
    </row>
    <row r="3330" spans="1:4" ht="13.5" x14ac:dyDescent="0.25">
      <c r="A3330" s="306">
        <v>89396</v>
      </c>
      <c r="B3330" s="305" t="s">
        <v>3083</v>
      </c>
      <c r="C3330" s="305" t="s">
        <v>363</v>
      </c>
      <c r="D3330" s="575">
        <v>15.35</v>
      </c>
    </row>
    <row r="3331" spans="1:4" ht="13.5" x14ac:dyDescent="0.25">
      <c r="A3331" s="306">
        <v>89397</v>
      </c>
      <c r="B3331" s="305" t="s">
        <v>3084</v>
      </c>
      <c r="C3331" s="305" t="s">
        <v>363</v>
      </c>
      <c r="D3331" s="575">
        <v>10.87</v>
      </c>
    </row>
    <row r="3332" spans="1:4" ht="13.5" x14ac:dyDescent="0.25">
      <c r="A3332" s="306">
        <v>89398</v>
      </c>
      <c r="B3332" s="305" t="s">
        <v>3085</v>
      </c>
      <c r="C3332" s="305" t="s">
        <v>363</v>
      </c>
      <c r="D3332" s="575">
        <v>13.33</v>
      </c>
    </row>
    <row r="3333" spans="1:4" ht="13.5" x14ac:dyDescent="0.25">
      <c r="A3333" s="306">
        <v>89399</v>
      </c>
      <c r="B3333" s="305" t="s">
        <v>3086</v>
      </c>
      <c r="C3333" s="305" t="s">
        <v>363</v>
      </c>
      <c r="D3333" s="575">
        <v>23.68</v>
      </c>
    </row>
    <row r="3334" spans="1:4" ht="13.5" x14ac:dyDescent="0.25">
      <c r="A3334" s="306">
        <v>89400</v>
      </c>
      <c r="B3334" s="305" t="s">
        <v>3087</v>
      </c>
      <c r="C3334" s="305" t="s">
        <v>363</v>
      </c>
      <c r="D3334" s="575">
        <v>14.94</v>
      </c>
    </row>
    <row r="3335" spans="1:4" ht="13.5" x14ac:dyDescent="0.25">
      <c r="A3335" s="306">
        <v>89404</v>
      </c>
      <c r="B3335" s="305" t="s">
        <v>3088</v>
      </c>
      <c r="C3335" s="305" t="s">
        <v>363</v>
      </c>
      <c r="D3335" s="575">
        <v>3.75</v>
      </c>
    </row>
    <row r="3336" spans="1:4" ht="13.5" x14ac:dyDescent="0.25">
      <c r="A3336" s="306">
        <v>89405</v>
      </c>
      <c r="B3336" s="305" t="s">
        <v>3089</v>
      </c>
      <c r="C3336" s="305" t="s">
        <v>363</v>
      </c>
      <c r="D3336" s="575">
        <v>4.03</v>
      </c>
    </row>
    <row r="3337" spans="1:4" ht="13.5" x14ac:dyDescent="0.25">
      <c r="A3337" s="306">
        <v>89406</v>
      </c>
      <c r="B3337" s="305" t="s">
        <v>3090</v>
      </c>
      <c r="C3337" s="305" t="s">
        <v>363</v>
      </c>
      <c r="D3337" s="575">
        <v>5.24</v>
      </c>
    </row>
    <row r="3338" spans="1:4" ht="13.5" x14ac:dyDescent="0.25">
      <c r="A3338" s="306">
        <v>89407</v>
      </c>
      <c r="B3338" s="305" t="s">
        <v>3091</v>
      </c>
      <c r="C3338" s="305" t="s">
        <v>363</v>
      </c>
      <c r="D3338" s="575">
        <v>4.7699999999999996</v>
      </c>
    </row>
    <row r="3339" spans="1:4" ht="13.5" x14ac:dyDescent="0.25">
      <c r="A3339" s="306">
        <v>89408</v>
      </c>
      <c r="B3339" s="305" t="s">
        <v>3092</v>
      </c>
      <c r="C3339" s="305" t="s">
        <v>363</v>
      </c>
      <c r="D3339" s="575">
        <v>4.5</v>
      </c>
    </row>
    <row r="3340" spans="1:4" ht="13.5" x14ac:dyDescent="0.25">
      <c r="A3340" s="306">
        <v>89409</v>
      </c>
      <c r="B3340" s="305" t="s">
        <v>3093</v>
      </c>
      <c r="C3340" s="305" t="s">
        <v>363</v>
      </c>
      <c r="D3340" s="575">
        <v>5.12</v>
      </c>
    </row>
    <row r="3341" spans="1:4" ht="13.5" x14ac:dyDescent="0.25">
      <c r="A3341" s="306">
        <v>89410</v>
      </c>
      <c r="B3341" s="305" t="s">
        <v>3094</v>
      </c>
      <c r="C3341" s="305" t="s">
        <v>363</v>
      </c>
      <c r="D3341" s="575">
        <v>6.39</v>
      </c>
    </row>
    <row r="3342" spans="1:4" ht="13.5" x14ac:dyDescent="0.25">
      <c r="A3342" s="306">
        <v>89411</v>
      </c>
      <c r="B3342" s="305" t="s">
        <v>3095</v>
      </c>
      <c r="C3342" s="305" t="s">
        <v>363</v>
      </c>
      <c r="D3342" s="575">
        <v>5.82</v>
      </c>
    </row>
    <row r="3343" spans="1:4" ht="13.5" x14ac:dyDescent="0.25">
      <c r="A3343" s="306">
        <v>89412</v>
      </c>
      <c r="B3343" s="305" t="s">
        <v>3096</v>
      </c>
      <c r="C3343" s="305" t="s">
        <v>363</v>
      </c>
      <c r="D3343" s="575">
        <v>6.6</v>
      </c>
    </row>
    <row r="3344" spans="1:4" ht="13.5" x14ac:dyDescent="0.25">
      <c r="A3344" s="306">
        <v>89413</v>
      </c>
      <c r="B3344" s="305" t="s">
        <v>3097</v>
      </c>
      <c r="C3344" s="305" t="s">
        <v>363</v>
      </c>
      <c r="D3344" s="575">
        <v>6.53</v>
      </c>
    </row>
    <row r="3345" spans="1:4" ht="13.5" x14ac:dyDescent="0.25">
      <c r="A3345" s="306">
        <v>89414</v>
      </c>
      <c r="B3345" s="305" t="s">
        <v>3098</v>
      </c>
      <c r="C3345" s="305" t="s">
        <v>363</v>
      </c>
      <c r="D3345" s="575">
        <v>8.27</v>
      </c>
    </row>
    <row r="3346" spans="1:4" ht="13.5" x14ac:dyDescent="0.25">
      <c r="A3346" s="306">
        <v>89415</v>
      </c>
      <c r="B3346" s="305" t="s">
        <v>3099</v>
      </c>
      <c r="C3346" s="305" t="s">
        <v>363</v>
      </c>
      <c r="D3346" s="575">
        <v>10.41</v>
      </c>
    </row>
    <row r="3347" spans="1:4" ht="13.5" x14ac:dyDescent="0.25">
      <c r="A3347" s="306">
        <v>89416</v>
      </c>
      <c r="B3347" s="305" t="s">
        <v>3100</v>
      </c>
      <c r="C3347" s="305" t="s">
        <v>363</v>
      </c>
      <c r="D3347" s="575">
        <v>7.9</v>
      </c>
    </row>
    <row r="3348" spans="1:4" ht="13.5" x14ac:dyDescent="0.25">
      <c r="A3348" s="306">
        <v>89417</v>
      </c>
      <c r="B3348" s="305" t="s">
        <v>3101</v>
      </c>
      <c r="C3348" s="305" t="s">
        <v>363</v>
      </c>
      <c r="D3348" s="575">
        <v>2.97</v>
      </c>
    </row>
    <row r="3349" spans="1:4" ht="13.5" x14ac:dyDescent="0.25">
      <c r="A3349" s="306">
        <v>89418</v>
      </c>
      <c r="B3349" s="305" t="s">
        <v>3102</v>
      </c>
      <c r="C3349" s="305" t="s">
        <v>363</v>
      </c>
      <c r="D3349" s="575">
        <v>8.68</v>
      </c>
    </row>
    <row r="3350" spans="1:4" ht="13.5" x14ac:dyDescent="0.25">
      <c r="A3350" s="306">
        <v>89419</v>
      </c>
      <c r="B3350" s="305" t="s">
        <v>3103</v>
      </c>
      <c r="C3350" s="305" t="s">
        <v>363</v>
      </c>
      <c r="D3350" s="575">
        <v>3.49</v>
      </c>
    </row>
    <row r="3351" spans="1:4" ht="13.5" x14ac:dyDescent="0.25">
      <c r="A3351" s="306">
        <v>89420</v>
      </c>
      <c r="B3351" s="305" t="s">
        <v>3104</v>
      </c>
      <c r="C3351" s="305" t="s">
        <v>363</v>
      </c>
      <c r="D3351" s="575">
        <v>6.58</v>
      </c>
    </row>
    <row r="3352" spans="1:4" ht="13.5" x14ac:dyDescent="0.25">
      <c r="A3352" s="306">
        <v>89421</v>
      </c>
      <c r="B3352" s="305" t="s">
        <v>3105</v>
      </c>
      <c r="C3352" s="305" t="s">
        <v>363</v>
      </c>
      <c r="D3352" s="575">
        <v>8.4499999999999993</v>
      </c>
    </row>
    <row r="3353" spans="1:4" ht="13.5" x14ac:dyDescent="0.25">
      <c r="A3353" s="306">
        <v>89422</v>
      </c>
      <c r="B3353" s="305" t="s">
        <v>3106</v>
      </c>
      <c r="C3353" s="305" t="s">
        <v>363</v>
      </c>
      <c r="D3353" s="575">
        <v>3.02</v>
      </c>
    </row>
    <row r="3354" spans="1:4" ht="13.5" x14ac:dyDescent="0.25">
      <c r="A3354" s="306">
        <v>89423</v>
      </c>
      <c r="B3354" s="305" t="s">
        <v>3107</v>
      </c>
      <c r="C3354" s="305" t="s">
        <v>363</v>
      </c>
      <c r="D3354" s="575">
        <v>6.23</v>
      </c>
    </row>
    <row r="3355" spans="1:4" ht="13.5" x14ac:dyDescent="0.25">
      <c r="A3355" s="306">
        <v>89424</v>
      </c>
      <c r="B3355" s="305" t="s">
        <v>3108</v>
      </c>
      <c r="C3355" s="305" t="s">
        <v>363</v>
      </c>
      <c r="D3355" s="575">
        <v>3.5</v>
      </c>
    </row>
    <row r="3356" spans="1:4" ht="13.5" x14ac:dyDescent="0.25">
      <c r="A3356" s="306">
        <v>89425</v>
      </c>
      <c r="B3356" s="305" t="s">
        <v>3109</v>
      </c>
      <c r="C3356" s="305" t="s">
        <v>363</v>
      </c>
      <c r="D3356" s="575">
        <v>11.12</v>
      </c>
    </row>
    <row r="3357" spans="1:4" ht="13.5" x14ac:dyDescent="0.25">
      <c r="A3357" s="306">
        <v>89426</v>
      </c>
      <c r="B3357" s="305" t="s">
        <v>3110</v>
      </c>
      <c r="C3357" s="305" t="s">
        <v>363</v>
      </c>
      <c r="D3357" s="575">
        <v>5.84</v>
      </c>
    </row>
    <row r="3358" spans="1:4" ht="13.5" x14ac:dyDescent="0.25">
      <c r="A3358" s="306">
        <v>89427</v>
      </c>
      <c r="B3358" s="305" t="s">
        <v>3111</v>
      </c>
      <c r="C3358" s="305" t="s">
        <v>363</v>
      </c>
      <c r="D3358" s="575">
        <v>8.32</v>
      </c>
    </row>
    <row r="3359" spans="1:4" ht="13.5" x14ac:dyDescent="0.25">
      <c r="A3359" s="306">
        <v>89428</v>
      </c>
      <c r="B3359" s="305" t="s">
        <v>3112</v>
      </c>
      <c r="C3359" s="305" t="s">
        <v>363</v>
      </c>
      <c r="D3359" s="575">
        <v>10.06</v>
      </c>
    </row>
    <row r="3360" spans="1:4" ht="13.5" x14ac:dyDescent="0.25">
      <c r="A3360" s="306">
        <v>89429</v>
      </c>
      <c r="B3360" s="305" t="s">
        <v>3113</v>
      </c>
      <c r="C3360" s="305" t="s">
        <v>363</v>
      </c>
      <c r="D3360" s="575">
        <v>3.58</v>
      </c>
    </row>
    <row r="3361" spans="1:4" ht="13.5" x14ac:dyDescent="0.25">
      <c r="A3361" s="306">
        <v>89430</v>
      </c>
      <c r="B3361" s="305" t="s">
        <v>3114</v>
      </c>
      <c r="C3361" s="305" t="s">
        <v>363</v>
      </c>
      <c r="D3361" s="575">
        <v>8.44</v>
      </c>
    </row>
    <row r="3362" spans="1:4" ht="13.5" x14ac:dyDescent="0.25">
      <c r="A3362" s="306">
        <v>89431</v>
      </c>
      <c r="B3362" s="305" t="s">
        <v>3115</v>
      </c>
      <c r="C3362" s="305" t="s">
        <v>363</v>
      </c>
      <c r="D3362" s="575">
        <v>5.0599999999999996</v>
      </c>
    </row>
    <row r="3363" spans="1:4" ht="13.5" x14ac:dyDescent="0.25">
      <c r="A3363" s="306">
        <v>89432</v>
      </c>
      <c r="B3363" s="305" t="s">
        <v>3116</v>
      </c>
      <c r="C3363" s="305" t="s">
        <v>363</v>
      </c>
      <c r="D3363" s="575">
        <v>23.24</v>
      </c>
    </row>
    <row r="3364" spans="1:4" ht="13.5" x14ac:dyDescent="0.25">
      <c r="A3364" s="306">
        <v>89433</v>
      </c>
      <c r="B3364" s="305" t="s">
        <v>3117</v>
      </c>
      <c r="C3364" s="305" t="s">
        <v>363</v>
      </c>
      <c r="D3364" s="575">
        <v>7.12</v>
      </c>
    </row>
    <row r="3365" spans="1:4" ht="13.5" x14ac:dyDescent="0.25">
      <c r="A3365" s="306">
        <v>89434</v>
      </c>
      <c r="B3365" s="305" t="s">
        <v>3118</v>
      </c>
      <c r="C3365" s="305" t="s">
        <v>363</v>
      </c>
      <c r="D3365" s="575">
        <v>7.82</v>
      </c>
    </row>
    <row r="3366" spans="1:4" ht="13.5" x14ac:dyDescent="0.25">
      <c r="A3366" s="306">
        <v>89435</v>
      </c>
      <c r="B3366" s="305" t="s">
        <v>3119</v>
      </c>
      <c r="C3366" s="305" t="s">
        <v>363</v>
      </c>
      <c r="D3366" s="575">
        <v>15.31</v>
      </c>
    </row>
    <row r="3367" spans="1:4" ht="13.5" x14ac:dyDescent="0.25">
      <c r="A3367" s="306">
        <v>89436</v>
      </c>
      <c r="B3367" s="305" t="s">
        <v>3120</v>
      </c>
      <c r="C3367" s="305" t="s">
        <v>363</v>
      </c>
      <c r="D3367" s="575">
        <v>4.9800000000000004</v>
      </c>
    </row>
    <row r="3368" spans="1:4" ht="13.5" x14ac:dyDescent="0.25">
      <c r="A3368" s="306">
        <v>89437</v>
      </c>
      <c r="B3368" s="305" t="s">
        <v>3121</v>
      </c>
      <c r="C3368" s="305" t="s">
        <v>363</v>
      </c>
      <c r="D3368" s="575">
        <v>18.440000000000001</v>
      </c>
    </row>
    <row r="3369" spans="1:4" ht="13.5" x14ac:dyDescent="0.25">
      <c r="A3369" s="306">
        <v>89438</v>
      </c>
      <c r="B3369" s="305" t="s">
        <v>3122</v>
      </c>
      <c r="C3369" s="305" t="s">
        <v>363</v>
      </c>
      <c r="D3369" s="575">
        <v>5.31</v>
      </c>
    </row>
    <row r="3370" spans="1:4" ht="13.5" x14ac:dyDescent="0.25">
      <c r="A3370" s="306">
        <v>89439</v>
      </c>
      <c r="B3370" s="305" t="s">
        <v>3123</v>
      </c>
      <c r="C3370" s="305" t="s">
        <v>363</v>
      </c>
      <c r="D3370" s="575">
        <v>6.95</v>
      </c>
    </row>
    <row r="3371" spans="1:4" ht="13.5" x14ac:dyDescent="0.25">
      <c r="A3371" s="306">
        <v>89440</v>
      </c>
      <c r="B3371" s="305" t="s">
        <v>3124</v>
      </c>
      <c r="C3371" s="305" t="s">
        <v>363</v>
      </c>
      <c r="D3371" s="575">
        <v>6.4</v>
      </c>
    </row>
    <row r="3372" spans="1:4" ht="13.5" x14ac:dyDescent="0.25">
      <c r="A3372" s="306">
        <v>89441</v>
      </c>
      <c r="B3372" s="305" t="s">
        <v>3125</v>
      </c>
      <c r="C3372" s="305" t="s">
        <v>363</v>
      </c>
      <c r="D3372" s="575">
        <v>12.51</v>
      </c>
    </row>
    <row r="3373" spans="1:4" ht="13.5" x14ac:dyDescent="0.25">
      <c r="A3373" s="306">
        <v>89442</v>
      </c>
      <c r="B3373" s="305" t="s">
        <v>3126</v>
      </c>
      <c r="C3373" s="305" t="s">
        <v>363</v>
      </c>
      <c r="D3373" s="575">
        <v>8.0299999999999994</v>
      </c>
    </row>
    <row r="3374" spans="1:4" ht="13.5" x14ac:dyDescent="0.25">
      <c r="A3374" s="306">
        <v>89443</v>
      </c>
      <c r="B3374" s="305" t="s">
        <v>3127</v>
      </c>
      <c r="C3374" s="305" t="s">
        <v>363</v>
      </c>
      <c r="D3374" s="575">
        <v>9.9499999999999993</v>
      </c>
    </row>
    <row r="3375" spans="1:4" ht="13.5" x14ac:dyDescent="0.25">
      <c r="A3375" s="306">
        <v>89444</v>
      </c>
      <c r="B3375" s="305" t="s">
        <v>3128</v>
      </c>
      <c r="C3375" s="305" t="s">
        <v>363</v>
      </c>
      <c r="D3375" s="575">
        <v>20.3</v>
      </c>
    </row>
    <row r="3376" spans="1:4" ht="13.5" x14ac:dyDescent="0.25">
      <c r="A3376" s="306">
        <v>89445</v>
      </c>
      <c r="B3376" s="305" t="s">
        <v>3129</v>
      </c>
      <c r="C3376" s="305" t="s">
        <v>363</v>
      </c>
      <c r="D3376" s="575">
        <v>11.56</v>
      </c>
    </row>
    <row r="3377" spans="1:4" ht="13.5" x14ac:dyDescent="0.25">
      <c r="A3377" s="306">
        <v>89481</v>
      </c>
      <c r="B3377" s="305" t="s">
        <v>3130</v>
      </c>
      <c r="C3377" s="305" t="s">
        <v>363</v>
      </c>
      <c r="D3377" s="575">
        <v>3.43</v>
      </c>
    </row>
    <row r="3378" spans="1:4" ht="13.5" x14ac:dyDescent="0.25">
      <c r="A3378" s="306">
        <v>89485</v>
      </c>
      <c r="B3378" s="305" t="s">
        <v>3131</v>
      </c>
      <c r="C3378" s="305" t="s">
        <v>363</v>
      </c>
      <c r="D3378" s="575">
        <v>4.05</v>
      </c>
    </row>
    <row r="3379" spans="1:4" ht="13.5" x14ac:dyDescent="0.25">
      <c r="A3379" s="306">
        <v>89489</v>
      </c>
      <c r="B3379" s="305" t="s">
        <v>3132</v>
      </c>
      <c r="C3379" s="305" t="s">
        <v>363</v>
      </c>
      <c r="D3379" s="575">
        <v>5.32</v>
      </c>
    </row>
    <row r="3380" spans="1:4" ht="13.5" x14ac:dyDescent="0.25">
      <c r="A3380" s="306">
        <v>89490</v>
      </c>
      <c r="B3380" s="305" t="s">
        <v>3133</v>
      </c>
      <c r="C3380" s="305" t="s">
        <v>363</v>
      </c>
      <c r="D3380" s="575">
        <v>4.75</v>
      </c>
    </row>
    <row r="3381" spans="1:4" ht="13.5" x14ac:dyDescent="0.25">
      <c r="A3381" s="306">
        <v>89492</v>
      </c>
      <c r="B3381" s="305" t="s">
        <v>3134</v>
      </c>
      <c r="C3381" s="305" t="s">
        <v>363</v>
      </c>
      <c r="D3381" s="575">
        <v>5.31</v>
      </c>
    </row>
    <row r="3382" spans="1:4" ht="13.5" x14ac:dyDescent="0.25">
      <c r="A3382" s="306">
        <v>89493</v>
      </c>
      <c r="B3382" s="305" t="s">
        <v>3135</v>
      </c>
      <c r="C3382" s="305" t="s">
        <v>363</v>
      </c>
      <c r="D3382" s="575">
        <v>7.05</v>
      </c>
    </row>
    <row r="3383" spans="1:4" ht="13.5" x14ac:dyDescent="0.25">
      <c r="A3383" s="306">
        <v>89494</v>
      </c>
      <c r="B3383" s="305" t="s">
        <v>3136</v>
      </c>
      <c r="C3383" s="305" t="s">
        <v>363</v>
      </c>
      <c r="D3383" s="575">
        <v>9.19</v>
      </c>
    </row>
    <row r="3384" spans="1:4" ht="13.5" x14ac:dyDescent="0.25">
      <c r="A3384" s="306">
        <v>89496</v>
      </c>
      <c r="B3384" s="305" t="s">
        <v>3137</v>
      </c>
      <c r="C3384" s="305" t="s">
        <v>363</v>
      </c>
      <c r="D3384" s="575">
        <v>6.68</v>
      </c>
    </row>
    <row r="3385" spans="1:4" ht="13.5" x14ac:dyDescent="0.25">
      <c r="A3385" s="306">
        <v>89497</v>
      </c>
      <c r="B3385" s="305" t="s">
        <v>3138</v>
      </c>
      <c r="C3385" s="305" t="s">
        <v>363</v>
      </c>
      <c r="D3385" s="575">
        <v>8.61</v>
      </c>
    </row>
    <row r="3386" spans="1:4" ht="13.5" x14ac:dyDescent="0.25">
      <c r="A3386" s="306">
        <v>89498</v>
      </c>
      <c r="B3386" s="305" t="s">
        <v>3139</v>
      </c>
      <c r="C3386" s="305" t="s">
        <v>363</v>
      </c>
      <c r="D3386" s="575">
        <v>9.4</v>
      </c>
    </row>
    <row r="3387" spans="1:4" ht="13.5" x14ac:dyDescent="0.25">
      <c r="A3387" s="306">
        <v>89499</v>
      </c>
      <c r="B3387" s="305" t="s">
        <v>3140</v>
      </c>
      <c r="C3387" s="305" t="s">
        <v>363</v>
      </c>
      <c r="D3387" s="575">
        <v>14.44</v>
      </c>
    </row>
    <row r="3388" spans="1:4" ht="13.5" x14ac:dyDescent="0.25">
      <c r="A3388" s="306">
        <v>89500</v>
      </c>
      <c r="B3388" s="305" t="s">
        <v>3141</v>
      </c>
      <c r="C3388" s="305" t="s">
        <v>363</v>
      </c>
      <c r="D3388" s="575">
        <v>9.5500000000000007</v>
      </c>
    </row>
    <row r="3389" spans="1:4" ht="13.5" x14ac:dyDescent="0.25">
      <c r="A3389" s="306">
        <v>89501</v>
      </c>
      <c r="B3389" s="305" t="s">
        <v>3142</v>
      </c>
      <c r="C3389" s="305" t="s">
        <v>363</v>
      </c>
      <c r="D3389" s="575">
        <v>10.33</v>
      </c>
    </row>
    <row r="3390" spans="1:4" ht="13.5" x14ac:dyDescent="0.25">
      <c r="A3390" s="306">
        <v>89502</v>
      </c>
      <c r="B3390" s="305" t="s">
        <v>3143</v>
      </c>
      <c r="C3390" s="305" t="s">
        <v>363</v>
      </c>
      <c r="D3390" s="575">
        <v>11.76</v>
      </c>
    </row>
    <row r="3391" spans="1:4" ht="13.5" x14ac:dyDescent="0.25">
      <c r="A3391" s="306">
        <v>89503</v>
      </c>
      <c r="B3391" s="305" t="s">
        <v>3144</v>
      </c>
      <c r="C3391" s="305" t="s">
        <v>363</v>
      </c>
      <c r="D3391" s="575">
        <v>18.02</v>
      </c>
    </row>
    <row r="3392" spans="1:4" ht="13.5" x14ac:dyDescent="0.25">
      <c r="A3392" s="306">
        <v>89504</v>
      </c>
      <c r="B3392" s="305" t="s">
        <v>3145</v>
      </c>
      <c r="C3392" s="305" t="s">
        <v>363</v>
      </c>
      <c r="D3392" s="575">
        <v>15.75</v>
      </c>
    </row>
    <row r="3393" spans="1:4" ht="13.5" x14ac:dyDescent="0.25">
      <c r="A3393" s="306">
        <v>89505</v>
      </c>
      <c r="B3393" s="305" t="s">
        <v>3146</v>
      </c>
      <c r="C3393" s="305" t="s">
        <v>363</v>
      </c>
      <c r="D3393" s="575">
        <v>26.88</v>
      </c>
    </row>
    <row r="3394" spans="1:4" ht="13.5" x14ac:dyDescent="0.25">
      <c r="A3394" s="306">
        <v>89506</v>
      </c>
      <c r="B3394" s="305" t="s">
        <v>3147</v>
      </c>
      <c r="C3394" s="305" t="s">
        <v>363</v>
      </c>
      <c r="D3394" s="575">
        <v>30.3</v>
      </c>
    </row>
    <row r="3395" spans="1:4" ht="13.5" x14ac:dyDescent="0.25">
      <c r="A3395" s="306">
        <v>89507</v>
      </c>
      <c r="B3395" s="305" t="s">
        <v>3148</v>
      </c>
      <c r="C3395" s="305" t="s">
        <v>363</v>
      </c>
      <c r="D3395" s="575">
        <v>37.409999999999997</v>
      </c>
    </row>
    <row r="3396" spans="1:4" ht="13.5" x14ac:dyDescent="0.25">
      <c r="A3396" s="306">
        <v>89510</v>
      </c>
      <c r="B3396" s="305" t="s">
        <v>3149</v>
      </c>
      <c r="C3396" s="305" t="s">
        <v>363</v>
      </c>
      <c r="D3396" s="575">
        <v>24.36</v>
      </c>
    </row>
    <row r="3397" spans="1:4" ht="13.5" x14ac:dyDescent="0.25">
      <c r="A3397" s="306">
        <v>89513</v>
      </c>
      <c r="B3397" s="305" t="s">
        <v>3150</v>
      </c>
      <c r="C3397" s="305" t="s">
        <v>363</v>
      </c>
      <c r="D3397" s="575">
        <v>83.98</v>
      </c>
    </row>
    <row r="3398" spans="1:4" ht="13.5" x14ac:dyDescent="0.25">
      <c r="A3398" s="306">
        <v>89514</v>
      </c>
      <c r="B3398" s="305" t="s">
        <v>3151</v>
      </c>
      <c r="C3398" s="305" t="s">
        <v>363</v>
      </c>
      <c r="D3398" s="575">
        <v>6.71</v>
      </c>
    </row>
    <row r="3399" spans="1:4" ht="13.5" x14ac:dyDescent="0.25">
      <c r="A3399" s="306">
        <v>89515</v>
      </c>
      <c r="B3399" s="305" t="s">
        <v>3152</v>
      </c>
      <c r="C3399" s="305" t="s">
        <v>363</v>
      </c>
      <c r="D3399" s="575">
        <v>63.18</v>
      </c>
    </row>
    <row r="3400" spans="1:4" ht="13.5" x14ac:dyDescent="0.25">
      <c r="A3400" s="306">
        <v>89516</v>
      </c>
      <c r="B3400" s="305" t="s">
        <v>3153</v>
      </c>
      <c r="C3400" s="305" t="s">
        <v>363</v>
      </c>
      <c r="D3400" s="575">
        <v>5.88</v>
      </c>
    </row>
    <row r="3401" spans="1:4" ht="13.5" x14ac:dyDescent="0.25">
      <c r="A3401" s="306">
        <v>89517</v>
      </c>
      <c r="B3401" s="305" t="s">
        <v>3154</v>
      </c>
      <c r="C3401" s="305" t="s">
        <v>363</v>
      </c>
      <c r="D3401" s="575">
        <v>53.06</v>
      </c>
    </row>
    <row r="3402" spans="1:4" ht="13.5" x14ac:dyDescent="0.25">
      <c r="A3402" s="306">
        <v>89518</v>
      </c>
      <c r="B3402" s="305" t="s">
        <v>3155</v>
      </c>
      <c r="C3402" s="305" t="s">
        <v>363</v>
      </c>
      <c r="D3402" s="575">
        <v>9.43</v>
      </c>
    </row>
    <row r="3403" spans="1:4" ht="13.5" x14ac:dyDescent="0.25">
      <c r="A3403" s="306">
        <v>89519</v>
      </c>
      <c r="B3403" s="305" t="s">
        <v>3156</v>
      </c>
      <c r="C3403" s="305" t="s">
        <v>363</v>
      </c>
      <c r="D3403" s="575">
        <v>35.6</v>
      </c>
    </row>
    <row r="3404" spans="1:4" ht="13.5" x14ac:dyDescent="0.25">
      <c r="A3404" s="306">
        <v>89520</v>
      </c>
      <c r="B3404" s="305" t="s">
        <v>3157</v>
      </c>
      <c r="C3404" s="305" t="s">
        <v>363</v>
      </c>
      <c r="D3404" s="575">
        <v>8.35</v>
      </c>
    </row>
    <row r="3405" spans="1:4" ht="13.5" x14ac:dyDescent="0.25">
      <c r="A3405" s="306">
        <v>89521</v>
      </c>
      <c r="B3405" s="305" t="s">
        <v>3158</v>
      </c>
      <c r="C3405" s="305" t="s">
        <v>363</v>
      </c>
      <c r="D3405" s="575">
        <v>98.99</v>
      </c>
    </row>
    <row r="3406" spans="1:4" ht="13.5" x14ac:dyDescent="0.25">
      <c r="A3406" s="306">
        <v>89522</v>
      </c>
      <c r="B3406" s="305" t="s">
        <v>3159</v>
      </c>
      <c r="C3406" s="305" t="s">
        <v>363</v>
      </c>
      <c r="D3406" s="575">
        <v>18.809999999999999</v>
      </c>
    </row>
    <row r="3407" spans="1:4" ht="13.5" x14ac:dyDescent="0.25">
      <c r="A3407" s="306">
        <v>89523</v>
      </c>
      <c r="B3407" s="305" t="s">
        <v>3160</v>
      </c>
      <c r="C3407" s="305" t="s">
        <v>363</v>
      </c>
      <c r="D3407" s="575">
        <v>74.5</v>
      </c>
    </row>
    <row r="3408" spans="1:4" ht="13.5" x14ac:dyDescent="0.25">
      <c r="A3408" s="306">
        <v>89524</v>
      </c>
      <c r="B3408" s="305" t="s">
        <v>3161</v>
      </c>
      <c r="C3408" s="305" t="s">
        <v>363</v>
      </c>
      <c r="D3408" s="575">
        <v>16.73</v>
      </c>
    </row>
    <row r="3409" spans="1:4" ht="13.5" x14ac:dyDescent="0.25">
      <c r="A3409" s="306">
        <v>89525</v>
      </c>
      <c r="B3409" s="305" t="s">
        <v>3162</v>
      </c>
      <c r="C3409" s="305" t="s">
        <v>363</v>
      </c>
      <c r="D3409" s="575">
        <v>73.25</v>
      </c>
    </row>
    <row r="3410" spans="1:4" ht="13.5" x14ac:dyDescent="0.25">
      <c r="A3410" s="306">
        <v>89526</v>
      </c>
      <c r="B3410" s="305" t="s">
        <v>3163</v>
      </c>
      <c r="C3410" s="305" t="s">
        <v>363</v>
      </c>
      <c r="D3410" s="575">
        <v>24.3</v>
      </c>
    </row>
    <row r="3411" spans="1:4" ht="13.5" x14ac:dyDescent="0.25">
      <c r="A3411" s="306">
        <v>89527</v>
      </c>
      <c r="B3411" s="305" t="s">
        <v>3164</v>
      </c>
      <c r="C3411" s="305" t="s">
        <v>363</v>
      </c>
      <c r="D3411" s="575">
        <v>56.07</v>
      </c>
    </row>
    <row r="3412" spans="1:4" ht="13.5" x14ac:dyDescent="0.25">
      <c r="A3412" s="306">
        <v>89528</v>
      </c>
      <c r="B3412" s="305" t="s">
        <v>3165</v>
      </c>
      <c r="C3412" s="305" t="s">
        <v>363</v>
      </c>
      <c r="D3412" s="575">
        <v>2.77</v>
      </c>
    </row>
    <row r="3413" spans="1:4" ht="13.5" x14ac:dyDescent="0.25">
      <c r="A3413" s="306">
        <v>89529</v>
      </c>
      <c r="B3413" s="305" t="s">
        <v>3166</v>
      </c>
      <c r="C3413" s="305" t="s">
        <v>363</v>
      </c>
      <c r="D3413" s="575">
        <v>27.78</v>
      </c>
    </row>
    <row r="3414" spans="1:4" ht="13.5" x14ac:dyDescent="0.25">
      <c r="A3414" s="306">
        <v>89530</v>
      </c>
      <c r="B3414" s="305" t="s">
        <v>3167</v>
      </c>
      <c r="C3414" s="305" t="s">
        <v>363</v>
      </c>
      <c r="D3414" s="575">
        <v>10.39</v>
      </c>
    </row>
    <row r="3415" spans="1:4" ht="13.5" x14ac:dyDescent="0.25">
      <c r="A3415" s="306">
        <v>89531</v>
      </c>
      <c r="B3415" s="305" t="s">
        <v>3168</v>
      </c>
      <c r="C3415" s="305" t="s">
        <v>363</v>
      </c>
      <c r="D3415" s="575">
        <v>22.73</v>
      </c>
    </row>
    <row r="3416" spans="1:4" ht="13.5" x14ac:dyDescent="0.25">
      <c r="A3416" s="306">
        <v>89532</v>
      </c>
      <c r="B3416" s="305" t="s">
        <v>3169</v>
      </c>
      <c r="C3416" s="305" t="s">
        <v>363</v>
      </c>
      <c r="D3416" s="575">
        <v>5.1100000000000003</v>
      </c>
    </row>
    <row r="3417" spans="1:4" ht="13.5" x14ac:dyDescent="0.25">
      <c r="A3417" s="306">
        <v>89533</v>
      </c>
      <c r="B3417" s="305" t="s">
        <v>3170</v>
      </c>
      <c r="C3417" s="305" t="s">
        <v>363</v>
      </c>
      <c r="D3417" s="575">
        <v>22.73</v>
      </c>
    </row>
    <row r="3418" spans="1:4" ht="13.5" x14ac:dyDescent="0.25">
      <c r="A3418" s="306">
        <v>89534</v>
      </c>
      <c r="B3418" s="305" t="s">
        <v>3171</v>
      </c>
      <c r="C3418" s="305" t="s">
        <v>363</v>
      </c>
      <c r="D3418" s="575">
        <v>3.45</v>
      </c>
    </row>
    <row r="3419" spans="1:4" ht="13.5" x14ac:dyDescent="0.25">
      <c r="A3419" s="306">
        <v>89535</v>
      </c>
      <c r="B3419" s="305" t="s">
        <v>3172</v>
      </c>
      <c r="C3419" s="305" t="s">
        <v>363</v>
      </c>
      <c r="D3419" s="575">
        <v>35.700000000000003</v>
      </c>
    </row>
    <row r="3420" spans="1:4" ht="13.5" x14ac:dyDescent="0.25">
      <c r="A3420" s="306">
        <v>89536</v>
      </c>
      <c r="B3420" s="305" t="s">
        <v>3173</v>
      </c>
      <c r="C3420" s="305" t="s">
        <v>363</v>
      </c>
      <c r="D3420" s="575">
        <v>9.33</v>
      </c>
    </row>
    <row r="3421" spans="1:4" ht="13.5" x14ac:dyDescent="0.25">
      <c r="A3421" s="306">
        <v>89538</v>
      </c>
      <c r="B3421" s="305" t="s">
        <v>3174</v>
      </c>
      <c r="C3421" s="305" t="s">
        <v>363</v>
      </c>
      <c r="D3421" s="575">
        <v>2.85</v>
      </c>
    </row>
    <row r="3422" spans="1:4" ht="13.5" x14ac:dyDescent="0.25">
      <c r="A3422" s="306">
        <v>89540</v>
      </c>
      <c r="B3422" s="305" t="s">
        <v>3175</v>
      </c>
      <c r="C3422" s="305" t="s">
        <v>363</v>
      </c>
      <c r="D3422" s="575">
        <v>7.71</v>
      </c>
    </row>
    <row r="3423" spans="1:4" ht="13.5" x14ac:dyDescent="0.25">
      <c r="A3423" s="306">
        <v>89541</v>
      </c>
      <c r="B3423" s="305" t="s">
        <v>3176</v>
      </c>
      <c r="C3423" s="305" t="s">
        <v>363</v>
      </c>
      <c r="D3423" s="575">
        <v>4.2699999999999996</v>
      </c>
    </row>
    <row r="3424" spans="1:4" ht="13.5" x14ac:dyDescent="0.25">
      <c r="A3424" s="306">
        <v>89542</v>
      </c>
      <c r="B3424" s="305" t="s">
        <v>3177</v>
      </c>
      <c r="C3424" s="305" t="s">
        <v>363</v>
      </c>
      <c r="D3424" s="575">
        <v>22.45</v>
      </c>
    </row>
    <row r="3425" spans="1:4" ht="13.5" x14ac:dyDescent="0.25">
      <c r="A3425" s="306">
        <v>89544</v>
      </c>
      <c r="B3425" s="305" t="s">
        <v>3178</v>
      </c>
      <c r="C3425" s="305" t="s">
        <v>363</v>
      </c>
      <c r="D3425" s="575">
        <v>5.86</v>
      </c>
    </row>
    <row r="3426" spans="1:4" ht="13.5" x14ac:dyDescent="0.25">
      <c r="A3426" s="306">
        <v>89545</v>
      </c>
      <c r="B3426" s="305" t="s">
        <v>3179</v>
      </c>
      <c r="C3426" s="305" t="s">
        <v>363</v>
      </c>
      <c r="D3426" s="575">
        <v>8.51</v>
      </c>
    </row>
    <row r="3427" spans="1:4" ht="13.5" x14ac:dyDescent="0.25">
      <c r="A3427" s="306">
        <v>89546</v>
      </c>
      <c r="B3427" s="305" t="s">
        <v>3180</v>
      </c>
      <c r="C3427" s="305" t="s">
        <v>363</v>
      </c>
      <c r="D3427" s="575">
        <v>7.42</v>
      </c>
    </row>
    <row r="3428" spans="1:4" ht="13.5" x14ac:dyDescent="0.25">
      <c r="A3428" s="306">
        <v>89547</v>
      </c>
      <c r="B3428" s="305" t="s">
        <v>3181</v>
      </c>
      <c r="C3428" s="305" t="s">
        <v>363</v>
      </c>
      <c r="D3428" s="575">
        <v>12.8</v>
      </c>
    </row>
    <row r="3429" spans="1:4" ht="13.5" x14ac:dyDescent="0.25">
      <c r="A3429" s="306">
        <v>89548</v>
      </c>
      <c r="B3429" s="305" t="s">
        <v>3182</v>
      </c>
      <c r="C3429" s="305" t="s">
        <v>363</v>
      </c>
      <c r="D3429" s="575">
        <v>13.84</v>
      </c>
    </row>
    <row r="3430" spans="1:4" ht="13.5" x14ac:dyDescent="0.25">
      <c r="A3430" s="306">
        <v>89549</v>
      </c>
      <c r="B3430" s="305" t="s">
        <v>3183</v>
      </c>
      <c r="C3430" s="305" t="s">
        <v>363</v>
      </c>
      <c r="D3430" s="575">
        <v>10.039999999999999</v>
      </c>
    </row>
    <row r="3431" spans="1:4" ht="13.5" x14ac:dyDescent="0.25">
      <c r="A3431" s="306">
        <v>89550</v>
      </c>
      <c r="B3431" s="305" t="s">
        <v>3184</v>
      </c>
      <c r="C3431" s="305" t="s">
        <v>363</v>
      </c>
      <c r="D3431" s="575">
        <v>24.14</v>
      </c>
    </row>
    <row r="3432" spans="1:4" ht="13.5" x14ac:dyDescent="0.25">
      <c r="A3432" s="306">
        <v>89551</v>
      </c>
      <c r="B3432" s="305" t="s">
        <v>3185</v>
      </c>
      <c r="C3432" s="305" t="s">
        <v>363</v>
      </c>
      <c r="D3432" s="575">
        <v>7.03</v>
      </c>
    </row>
    <row r="3433" spans="1:4" ht="13.5" x14ac:dyDescent="0.25">
      <c r="A3433" s="306">
        <v>89552</v>
      </c>
      <c r="B3433" s="305" t="s">
        <v>3186</v>
      </c>
      <c r="C3433" s="305" t="s">
        <v>363</v>
      </c>
      <c r="D3433" s="575">
        <v>14.52</v>
      </c>
    </row>
    <row r="3434" spans="1:4" ht="13.5" x14ac:dyDescent="0.25">
      <c r="A3434" s="306">
        <v>89553</v>
      </c>
      <c r="B3434" s="305" t="s">
        <v>3187</v>
      </c>
      <c r="C3434" s="305" t="s">
        <v>363</v>
      </c>
      <c r="D3434" s="575">
        <v>4.1900000000000004</v>
      </c>
    </row>
    <row r="3435" spans="1:4" ht="13.5" x14ac:dyDescent="0.25">
      <c r="A3435" s="306">
        <v>89554</v>
      </c>
      <c r="B3435" s="305" t="s">
        <v>3188</v>
      </c>
      <c r="C3435" s="305" t="s">
        <v>363</v>
      </c>
      <c r="D3435" s="575">
        <v>15.81</v>
      </c>
    </row>
    <row r="3436" spans="1:4" ht="13.5" x14ac:dyDescent="0.25">
      <c r="A3436" s="306">
        <v>89555</v>
      </c>
      <c r="B3436" s="305" t="s">
        <v>3189</v>
      </c>
      <c r="C3436" s="305" t="s">
        <v>363</v>
      </c>
      <c r="D3436" s="575">
        <v>17.649999999999999</v>
      </c>
    </row>
    <row r="3437" spans="1:4" ht="13.5" x14ac:dyDescent="0.25">
      <c r="A3437" s="306">
        <v>89556</v>
      </c>
      <c r="B3437" s="305" t="s">
        <v>3190</v>
      </c>
      <c r="C3437" s="305" t="s">
        <v>363</v>
      </c>
      <c r="D3437" s="575">
        <v>22.88</v>
      </c>
    </row>
    <row r="3438" spans="1:4" ht="13.5" x14ac:dyDescent="0.25">
      <c r="A3438" s="306">
        <v>89557</v>
      </c>
      <c r="B3438" s="305" t="s">
        <v>3191</v>
      </c>
      <c r="C3438" s="305" t="s">
        <v>363</v>
      </c>
      <c r="D3438" s="575">
        <v>18.23</v>
      </c>
    </row>
    <row r="3439" spans="1:4" ht="13.5" x14ac:dyDescent="0.25">
      <c r="A3439" s="306">
        <v>89558</v>
      </c>
      <c r="B3439" s="305" t="s">
        <v>3192</v>
      </c>
      <c r="C3439" s="305" t="s">
        <v>363</v>
      </c>
      <c r="D3439" s="575">
        <v>6.53</v>
      </c>
    </row>
    <row r="3440" spans="1:4" ht="13.5" x14ac:dyDescent="0.25">
      <c r="A3440" s="306">
        <v>89559</v>
      </c>
      <c r="B3440" s="305" t="s">
        <v>3193</v>
      </c>
      <c r="C3440" s="305" t="s">
        <v>363</v>
      </c>
      <c r="D3440" s="575">
        <v>39.72</v>
      </c>
    </row>
    <row r="3441" spans="1:4" ht="13.5" x14ac:dyDescent="0.25">
      <c r="A3441" s="306">
        <v>89561</v>
      </c>
      <c r="B3441" s="305" t="s">
        <v>3194</v>
      </c>
      <c r="C3441" s="305" t="s">
        <v>363</v>
      </c>
      <c r="D3441" s="575">
        <v>8.7100000000000009</v>
      </c>
    </row>
    <row r="3442" spans="1:4" ht="13.5" x14ac:dyDescent="0.25">
      <c r="A3442" s="306">
        <v>89562</v>
      </c>
      <c r="B3442" s="305" t="s">
        <v>3195</v>
      </c>
      <c r="C3442" s="305" t="s">
        <v>363</v>
      </c>
      <c r="D3442" s="575">
        <v>6.98</v>
      </c>
    </row>
    <row r="3443" spans="1:4" ht="13.5" x14ac:dyDescent="0.25">
      <c r="A3443" s="306">
        <v>89563</v>
      </c>
      <c r="B3443" s="305" t="s">
        <v>3196</v>
      </c>
      <c r="C3443" s="305" t="s">
        <v>363</v>
      </c>
      <c r="D3443" s="575">
        <v>14.11</v>
      </c>
    </row>
    <row r="3444" spans="1:4" ht="13.5" x14ac:dyDescent="0.25">
      <c r="A3444" s="306">
        <v>89564</v>
      </c>
      <c r="B3444" s="305" t="s">
        <v>3197</v>
      </c>
      <c r="C3444" s="305" t="s">
        <v>363</v>
      </c>
      <c r="D3444" s="575">
        <v>12.91</v>
      </c>
    </row>
    <row r="3445" spans="1:4" ht="13.5" x14ac:dyDescent="0.25">
      <c r="A3445" s="306">
        <v>89565</v>
      </c>
      <c r="B3445" s="305" t="s">
        <v>3198</v>
      </c>
      <c r="C3445" s="305" t="s">
        <v>363</v>
      </c>
      <c r="D3445" s="575">
        <v>33.950000000000003</v>
      </c>
    </row>
    <row r="3446" spans="1:4" ht="13.5" x14ac:dyDescent="0.25">
      <c r="A3446" s="306">
        <v>89566</v>
      </c>
      <c r="B3446" s="305" t="s">
        <v>3199</v>
      </c>
      <c r="C3446" s="305" t="s">
        <v>363</v>
      </c>
      <c r="D3446" s="575">
        <v>29.47</v>
      </c>
    </row>
    <row r="3447" spans="1:4" ht="13.5" x14ac:dyDescent="0.25">
      <c r="A3447" s="306">
        <v>89567</v>
      </c>
      <c r="B3447" s="305" t="s">
        <v>3200</v>
      </c>
      <c r="C3447" s="305" t="s">
        <v>363</v>
      </c>
      <c r="D3447" s="575">
        <v>50.03</v>
      </c>
    </row>
    <row r="3448" spans="1:4" ht="13.5" x14ac:dyDescent="0.25">
      <c r="A3448" s="306">
        <v>89568</v>
      </c>
      <c r="B3448" s="305" t="s">
        <v>3201</v>
      </c>
      <c r="C3448" s="305" t="s">
        <v>363</v>
      </c>
      <c r="D3448" s="575">
        <v>26.37</v>
      </c>
    </row>
    <row r="3449" spans="1:4" ht="13.5" x14ac:dyDescent="0.25">
      <c r="A3449" s="306">
        <v>89569</v>
      </c>
      <c r="B3449" s="305" t="s">
        <v>3202</v>
      </c>
      <c r="C3449" s="305" t="s">
        <v>363</v>
      </c>
      <c r="D3449" s="575">
        <v>47.38</v>
      </c>
    </row>
    <row r="3450" spans="1:4" ht="13.5" x14ac:dyDescent="0.25">
      <c r="A3450" s="306">
        <v>89570</v>
      </c>
      <c r="B3450" s="305" t="s">
        <v>3203</v>
      </c>
      <c r="C3450" s="305" t="s">
        <v>363</v>
      </c>
      <c r="D3450" s="575">
        <v>9.06</v>
      </c>
    </row>
    <row r="3451" spans="1:4" ht="13.5" x14ac:dyDescent="0.25">
      <c r="A3451" s="306">
        <v>89571</v>
      </c>
      <c r="B3451" s="305" t="s">
        <v>3204</v>
      </c>
      <c r="C3451" s="305" t="s">
        <v>363</v>
      </c>
      <c r="D3451" s="575">
        <v>46.1</v>
      </c>
    </row>
    <row r="3452" spans="1:4" ht="13.5" x14ac:dyDescent="0.25">
      <c r="A3452" s="306">
        <v>89572</v>
      </c>
      <c r="B3452" s="305" t="s">
        <v>3205</v>
      </c>
      <c r="C3452" s="305" t="s">
        <v>363</v>
      </c>
      <c r="D3452" s="575">
        <v>6.17</v>
      </c>
    </row>
    <row r="3453" spans="1:4" ht="13.5" x14ac:dyDescent="0.25">
      <c r="A3453" s="306">
        <v>89573</v>
      </c>
      <c r="B3453" s="305" t="s">
        <v>3206</v>
      </c>
      <c r="C3453" s="305" t="s">
        <v>363</v>
      </c>
      <c r="D3453" s="575">
        <v>42.06</v>
      </c>
    </row>
    <row r="3454" spans="1:4" ht="13.5" x14ac:dyDescent="0.25">
      <c r="A3454" s="306">
        <v>89574</v>
      </c>
      <c r="B3454" s="305" t="s">
        <v>3207</v>
      </c>
      <c r="C3454" s="305" t="s">
        <v>363</v>
      </c>
      <c r="D3454" s="575">
        <v>81.56</v>
      </c>
    </row>
    <row r="3455" spans="1:4" ht="13.5" x14ac:dyDescent="0.25">
      <c r="A3455" s="306">
        <v>89575</v>
      </c>
      <c r="B3455" s="305" t="s">
        <v>3208</v>
      </c>
      <c r="C3455" s="305" t="s">
        <v>363</v>
      </c>
      <c r="D3455" s="575">
        <v>8.25</v>
      </c>
    </row>
    <row r="3456" spans="1:4" ht="13.5" x14ac:dyDescent="0.25">
      <c r="A3456" s="306">
        <v>89577</v>
      </c>
      <c r="B3456" s="305" t="s">
        <v>3209</v>
      </c>
      <c r="C3456" s="305" t="s">
        <v>363</v>
      </c>
      <c r="D3456" s="575">
        <v>26.94</v>
      </c>
    </row>
    <row r="3457" spans="1:4" ht="13.5" x14ac:dyDescent="0.25">
      <c r="A3457" s="306">
        <v>89579</v>
      </c>
      <c r="B3457" s="305" t="s">
        <v>3210</v>
      </c>
      <c r="C3457" s="305" t="s">
        <v>363</v>
      </c>
      <c r="D3457" s="575">
        <v>8.4600000000000009</v>
      </c>
    </row>
    <row r="3458" spans="1:4" ht="13.5" x14ac:dyDescent="0.25">
      <c r="A3458" s="306">
        <v>89581</v>
      </c>
      <c r="B3458" s="305" t="s">
        <v>3211</v>
      </c>
      <c r="C3458" s="305" t="s">
        <v>363</v>
      </c>
      <c r="D3458" s="575">
        <v>17.41</v>
      </c>
    </row>
    <row r="3459" spans="1:4" ht="13.5" x14ac:dyDescent="0.25">
      <c r="A3459" s="306">
        <v>89582</v>
      </c>
      <c r="B3459" s="305" t="s">
        <v>3212</v>
      </c>
      <c r="C3459" s="305" t="s">
        <v>363</v>
      </c>
      <c r="D3459" s="575">
        <v>15.33</v>
      </c>
    </row>
    <row r="3460" spans="1:4" ht="13.5" x14ac:dyDescent="0.25">
      <c r="A3460" s="306">
        <v>89583</v>
      </c>
      <c r="B3460" s="305" t="s">
        <v>3213</v>
      </c>
      <c r="C3460" s="305" t="s">
        <v>363</v>
      </c>
      <c r="D3460" s="575">
        <v>22.9</v>
      </c>
    </row>
    <row r="3461" spans="1:4" ht="13.5" x14ac:dyDescent="0.25">
      <c r="A3461" s="306">
        <v>89584</v>
      </c>
      <c r="B3461" s="305" t="s">
        <v>3214</v>
      </c>
      <c r="C3461" s="305" t="s">
        <v>363</v>
      </c>
      <c r="D3461" s="575">
        <v>26.4</v>
      </c>
    </row>
    <row r="3462" spans="1:4" ht="13.5" x14ac:dyDescent="0.25">
      <c r="A3462" s="306">
        <v>89585</v>
      </c>
      <c r="B3462" s="305" t="s">
        <v>3215</v>
      </c>
      <c r="C3462" s="305" t="s">
        <v>363</v>
      </c>
      <c r="D3462" s="575">
        <v>21.35</v>
      </c>
    </row>
    <row r="3463" spans="1:4" ht="13.5" x14ac:dyDescent="0.25">
      <c r="A3463" s="306">
        <v>89586</v>
      </c>
      <c r="B3463" s="305" t="s">
        <v>3216</v>
      </c>
      <c r="C3463" s="305" t="s">
        <v>363</v>
      </c>
      <c r="D3463" s="575">
        <v>21.35</v>
      </c>
    </row>
    <row r="3464" spans="1:4" ht="13.5" x14ac:dyDescent="0.25">
      <c r="A3464" s="306">
        <v>89587</v>
      </c>
      <c r="B3464" s="305" t="s">
        <v>3217</v>
      </c>
      <c r="C3464" s="305" t="s">
        <v>363</v>
      </c>
      <c r="D3464" s="575">
        <v>34.32</v>
      </c>
    </row>
    <row r="3465" spans="1:4" ht="13.5" x14ac:dyDescent="0.25">
      <c r="A3465" s="306">
        <v>89590</v>
      </c>
      <c r="B3465" s="305" t="s">
        <v>3218</v>
      </c>
      <c r="C3465" s="305" t="s">
        <v>363</v>
      </c>
      <c r="D3465" s="575">
        <v>82.62</v>
      </c>
    </row>
    <row r="3466" spans="1:4" ht="13.5" x14ac:dyDescent="0.25">
      <c r="A3466" s="306">
        <v>89591</v>
      </c>
      <c r="B3466" s="305" t="s">
        <v>3219</v>
      </c>
      <c r="C3466" s="305" t="s">
        <v>363</v>
      </c>
      <c r="D3466" s="575">
        <v>68.12</v>
      </c>
    </row>
    <row r="3467" spans="1:4" ht="13.5" x14ac:dyDescent="0.25">
      <c r="A3467" s="306">
        <v>89592</v>
      </c>
      <c r="B3467" s="305" t="s">
        <v>3220</v>
      </c>
      <c r="C3467" s="305" t="s">
        <v>363</v>
      </c>
      <c r="D3467" s="575">
        <v>110.3</v>
      </c>
    </row>
    <row r="3468" spans="1:4" ht="13.5" x14ac:dyDescent="0.25">
      <c r="A3468" s="306">
        <v>89593</v>
      </c>
      <c r="B3468" s="305" t="s">
        <v>3221</v>
      </c>
      <c r="C3468" s="305" t="s">
        <v>363</v>
      </c>
      <c r="D3468" s="575">
        <v>24.35</v>
      </c>
    </row>
    <row r="3469" spans="1:4" ht="13.5" x14ac:dyDescent="0.25">
      <c r="A3469" s="306">
        <v>89594</v>
      </c>
      <c r="B3469" s="305" t="s">
        <v>3222</v>
      </c>
      <c r="C3469" s="305" t="s">
        <v>363</v>
      </c>
      <c r="D3469" s="575">
        <v>29.44</v>
      </c>
    </row>
    <row r="3470" spans="1:4" ht="13.5" x14ac:dyDescent="0.25">
      <c r="A3470" s="306">
        <v>89595</v>
      </c>
      <c r="B3470" s="305" t="s">
        <v>3223</v>
      </c>
      <c r="C3470" s="305" t="s">
        <v>363</v>
      </c>
      <c r="D3470" s="575">
        <v>11.1</v>
      </c>
    </row>
    <row r="3471" spans="1:4" ht="13.5" x14ac:dyDescent="0.25">
      <c r="A3471" s="306">
        <v>89596</v>
      </c>
      <c r="B3471" s="305" t="s">
        <v>3224</v>
      </c>
      <c r="C3471" s="305" t="s">
        <v>363</v>
      </c>
      <c r="D3471" s="575">
        <v>8.11</v>
      </c>
    </row>
    <row r="3472" spans="1:4" ht="13.5" x14ac:dyDescent="0.25">
      <c r="A3472" s="306">
        <v>89597</v>
      </c>
      <c r="B3472" s="305" t="s">
        <v>3225</v>
      </c>
      <c r="C3472" s="305" t="s">
        <v>363</v>
      </c>
      <c r="D3472" s="575">
        <v>15.38</v>
      </c>
    </row>
    <row r="3473" spans="1:4" ht="13.5" x14ac:dyDescent="0.25">
      <c r="A3473" s="306">
        <v>89598</v>
      </c>
      <c r="B3473" s="305" t="s">
        <v>3226</v>
      </c>
      <c r="C3473" s="305" t="s">
        <v>363</v>
      </c>
      <c r="D3473" s="575">
        <v>40.69</v>
      </c>
    </row>
    <row r="3474" spans="1:4" ht="13.5" x14ac:dyDescent="0.25">
      <c r="A3474" s="306">
        <v>89599</v>
      </c>
      <c r="B3474" s="305" t="s">
        <v>3227</v>
      </c>
      <c r="C3474" s="305" t="s">
        <v>363</v>
      </c>
      <c r="D3474" s="575">
        <v>11.75</v>
      </c>
    </row>
    <row r="3475" spans="1:4" ht="13.5" x14ac:dyDescent="0.25">
      <c r="A3475" s="306">
        <v>89600</v>
      </c>
      <c r="B3475" s="305" t="s">
        <v>3228</v>
      </c>
      <c r="C3475" s="305" t="s">
        <v>363</v>
      </c>
      <c r="D3475" s="575">
        <v>12.79</v>
      </c>
    </row>
    <row r="3476" spans="1:4" ht="13.5" x14ac:dyDescent="0.25">
      <c r="A3476" s="306">
        <v>89605</v>
      </c>
      <c r="B3476" s="305" t="s">
        <v>3229</v>
      </c>
      <c r="C3476" s="305" t="s">
        <v>363</v>
      </c>
      <c r="D3476" s="575">
        <v>15.01</v>
      </c>
    </row>
    <row r="3477" spans="1:4" ht="13.5" x14ac:dyDescent="0.25">
      <c r="A3477" s="306">
        <v>89609</v>
      </c>
      <c r="B3477" s="305" t="s">
        <v>3230</v>
      </c>
      <c r="C3477" s="305" t="s">
        <v>363</v>
      </c>
      <c r="D3477" s="575">
        <v>68.39</v>
      </c>
    </row>
    <row r="3478" spans="1:4" ht="13.5" x14ac:dyDescent="0.25">
      <c r="A3478" s="306">
        <v>89610</v>
      </c>
      <c r="B3478" s="305" t="s">
        <v>3231</v>
      </c>
      <c r="C3478" s="305" t="s">
        <v>363</v>
      </c>
      <c r="D3478" s="575">
        <v>15.4</v>
      </c>
    </row>
    <row r="3479" spans="1:4" ht="13.5" x14ac:dyDescent="0.25">
      <c r="A3479" s="306">
        <v>89611</v>
      </c>
      <c r="B3479" s="305" t="s">
        <v>3232</v>
      </c>
      <c r="C3479" s="305" t="s">
        <v>363</v>
      </c>
      <c r="D3479" s="575">
        <v>25.11</v>
      </c>
    </row>
    <row r="3480" spans="1:4" ht="13.5" x14ac:dyDescent="0.25">
      <c r="A3480" s="306">
        <v>89612</v>
      </c>
      <c r="B3480" s="305" t="s">
        <v>3233</v>
      </c>
      <c r="C3480" s="305" t="s">
        <v>363</v>
      </c>
      <c r="D3480" s="575">
        <v>134.76</v>
      </c>
    </row>
    <row r="3481" spans="1:4" ht="13.5" x14ac:dyDescent="0.25">
      <c r="A3481" s="306">
        <v>89613</v>
      </c>
      <c r="B3481" s="305" t="s">
        <v>3234</v>
      </c>
      <c r="C3481" s="305" t="s">
        <v>363</v>
      </c>
      <c r="D3481" s="575">
        <v>22.37</v>
      </c>
    </row>
    <row r="3482" spans="1:4" ht="13.5" x14ac:dyDescent="0.25">
      <c r="A3482" s="306">
        <v>89614</v>
      </c>
      <c r="B3482" s="305" t="s">
        <v>3235</v>
      </c>
      <c r="C3482" s="305" t="s">
        <v>363</v>
      </c>
      <c r="D3482" s="575">
        <v>48.01</v>
      </c>
    </row>
    <row r="3483" spans="1:4" ht="13.5" x14ac:dyDescent="0.25">
      <c r="A3483" s="306">
        <v>89615</v>
      </c>
      <c r="B3483" s="305" t="s">
        <v>3236</v>
      </c>
      <c r="C3483" s="305" t="s">
        <v>363</v>
      </c>
      <c r="D3483" s="575">
        <v>203.97</v>
      </c>
    </row>
    <row r="3484" spans="1:4" ht="13.5" x14ac:dyDescent="0.25">
      <c r="A3484" s="306">
        <v>89616</v>
      </c>
      <c r="B3484" s="305" t="s">
        <v>3237</v>
      </c>
      <c r="C3484" s="305" t="s">
        <v>363</v>
      </c>
      <c r="D3484" s="575">
        <v>32.619999999999997</v>
      </c>
    </row>
    <row r="3485" spans="1:4" ht="13.5" x14ac:dyDescent="0.25">
      <c r="A3485" s="306">
        <v>89617</v>
      </c>
      <c r="B3485" s="305" t="s">
        <v>3238</v>
      </c>
      <c r="C3485" s="305" t="s">
        <v>363</v>
      </c>
      <c r="D3485" s="575">
        <v>4.96</v>
      </c>
    </row>
    <row r="3486" spans="1:4" ht="13.5" x14ac:dyDescent="0.25">
      <c r="A3486" s="306">
        <v>89618</v>
      </c>
      <c r="B3486" s="305" t="s">
        <v>3239</v>
      </c>
      <c r="C3486" s="305" t="s">
        <v>363</v>
      </c>
      <c r="D3486" s="575">
        <v>11.07</v>
      </c>
    </row>
    <row r="3487" spans="1:4" ht="13.5" x14ac:dyDescent="0.25">
      <c r="A3487" s="306">
        <v>89619</v>
      </c>
      <c r="B3487" s="305" t="s">
        <v>3240</v>
      </c>
      <c r="C3487" s="305" t="s">
        <v>363</v>
      </c>
      <c r="D3487" s="575">
        <v>6.59</v>
      </c>
    </row>
    <row r="3488" spans="1:4" ht="13.5" x14ac:dyDescent="0.25">
      <c r="A3488" s="306">
        <v>89620</v>
      </c>
      <c r="B3488" s="305" t="s">
        <v>3241</v>
      </c>
      <c r="C3488" s="305" t="s">
        <v>363</v>
      </c>
      <c r="D3488" s="575">
        <v>8.33</v>
      </c>
    </row>
    <row r="3489" spans="1:4" ht="13.5" x14ac:dyDescent="0.25">
      <c r="A3489" s="306">
        <v>89621</v>
      </c>
      <c r="B3489" s="305" t="s">
        <v>3242</v>
      </c>
      <c r="C3489" s="305" t="s">
        <v>363</v>
      </c>
      <c r="D3489" s="575">
        <v>18.68</v>
      </c>
    </row>
    <row r="3490" spans="1:4" ht="13.5" x14ac:dyDescent="0.25">
      <c r="A3490" s="306">
        <v>89622</v>
      </c>
      <c r="B3490" s="305" t="s">
        <v>3243</v>
      </c>
      <c r="C3490" s="305" t="s">
        <v>363</v>
      </c>
      <c r="D3490" s="575">
        <v>9.94</v>
      </c>
    </row>
    <row r="3491" spans="1:4" ht="13.5" x14ac:dyDescent="0.25">
      <c r="A3491" s="306">
        <v>89623</v>
      </c>
      <c r="B3491" s="305" t="s">
        <v>3244</v>
      </c>
      <c r="C3491" s="305" t="s">
        <v>363</v>
      </c>
      <c r="D3491" s="575">
        <v>13.43</v>
      </c>
    </row>
    <row r="3492" spans="1:4" ht="13.5" x14ac:dyDescent="0.25">
      <c r="A3492" s="306">
        <v>89624</v>
      </c>
      <c r="B3492" s="305" t="s">
        <v>3245</v>
      </c>
      <c r="C3492" s="305" t="s">
        <v>363</v>
      </c>
      <c r="D3492" s="575">
        <v>14.24</v>
      </c>
    </row>
    <row r="3493" spans="1:4" ht="13.5" x14ac:dyDescent="0.25">
      <c r="A3493" s="306">
        <v>89625</v>
      </c>
      <c r="B3493" s="305" t="s">
        <v>3246</v>
      </c>
      <c r="C3493" s="305" t="s">
        <v>363</v>
      </c>
      <c r="D3493" s="575">
        <v>16.170000000000002</v>
      </c>
    </row>
    <row r="3494" spans="1:4" ht="13.5" x14ac:dyDescent="0.25">
      <c r="A3494" s="306">
        <v>89626</v>
      </c>
      <c r="B3494" s="305" t="s">
        <v>3247</v>
      </c>
      <c r="C3494" s="305" t="s">
        <v>363</v>
      </c>
      <c r="D3494" s="575">
        <v>22.45</v>
      </c>
    </row>
    <row r="3495" spans="1:4" ht="13.5" x14ac:dyDescent="0.25">
      <c r="A3495" s="306">
        <v>89627</v>
      </c>
      <c r="B3495" s="305" t="s">
        <v>3248</v>
      </c>
      <c r="C3495" s="305" t="s">
        <v>363</v>
      </c>
      <c r="D3495" s="575">
        <v>15.23</v>
      </c>
    </row>
    <row r="3496" spans="1:4" ht="13.5" x14ac:dyDescent="0.25">
      <c r="A3496" s="306">
        <v>89628</v>
      </c>
      <c r="B3496" s="305" t="s">
        <v>3249</v>
      </c>
      <c r="C3496" s="305" t="s">
        <v>363</v>
      </c>
      <c r="D3496" s="575">
        <v>34.299999999999997</v>
      </c>
    </row>
    <row r="3497" spans="1:4" ht="13.5" x14ac:dyDescent="0.25">
      <c r="A3497" s="306">
        <v>89629</v>
      </c>
      <c r="B3497" s="305" t="s">
        <v>3250</v>
      </c>
      <c r="C3497" s="305" t="s">
        <v>363</v>
      </c>
      <c r="D3497" s="575">
        <v>62.94</v>
      </c>
    </row>
    <row r="3498" spans="1:4" ht="13.5" x14ac:dyDescent="0.25">
      <c r="A3498" s="306">
        <v>89630</v>
      </c>
      <c r="B3498" s="305" t="s">
        <v>3251</v>
      </c>
      <c r="C3498" s="305" t="s">
        <v>363</v>
      </c>
      <c r="D3498" s="575">
        <v>54.38</v>
      </c>
    </row>
    <row r="3499" spans="1:4" ht="13.5" x14ac:dyDescent="0.25">
      <c r="A3499" s="306">
        <v>89631</v>
      </c>
      <c r="B3499" s="305" t="s">
        <v>3252</v>
      </c>
      <c r="C3499" s="305" t="s">
        <v>363</v>
      </c>
      <c r="D3499" s="575">
        <v>96.15</v>
      </c>
    </row>
    <row r="3500" spans="1:4" ht="13.5" x14ac:dyDescent="0.25">
      <c r="A3500" s="306">
        <v>89632</v>
      </c>
      <c r="B3500" s="305" t="s">
        <v>3253</v>
      </c>
      <c r="C3500" s="305" t="s">
        <v>363</v>
      </c>
      <c r="D3500" s="575">
        <v>78.64</v>
      </c>
    </row>
    <row r="3501" spans="1:4" ht="13.5" x14ac:dyDescent="0.25">
      <c r="A3501" s="306">
        <v>89637</v>
      </c>
      <c r="B3501" s="305" t="s">
        <v>3254</v>
      </c>
      <c r="C3501" s="305" t="s">
        <v>363</v>
      </c>
      <c r="D3501" s="575">
        <v>6.75</v>
      </c>
    </row>
    <row r="3502" spans="1:4" ht="13.5" x14ac:dyDescent="0.25">
      <c r="A3502" s="306">
        <v>89638</v>
      </c>
      <c r="B3502" s="305" t="s">
        <v>3255</v>
      </c>
      <c r="C3502" s="305" t="s">
        <v>363</v>
      </c>
      <c r="D3502" s="575">
        <v>7.45</v>
      </c>
    </row>
    <row r="3503" spans="1:4" ht="13.5" x14ac:dyDescent="0.25">
      <c r="A3503" s="306">
        <v>89639</v>
      </c>
      <c r="B3503" s="305" t="s">
        <v>3256</v>
      </c>
      <c r="C3503" s="305" t="s">
        <v>363</v>
      </c>
      <c r="D3503" s="575">
        <v>7.72</v>
      </c>
    </row>
    <row r="3504" spans="1:4" ht="13.5" x14ac:dyDescent="0.25">
      <c r="A3504" s="306">
        <v>89640</v>
      </c>
      <c r="B3504" s="305" t="s">
        <v>3257</v>
      </c>
      <c r="C3504" s="305" t="s">
        <v>363</v>
      </c>
      <c r="D3504" s="575">
        <v>11.88</v>
      </c>
    </row>
    <row r="3505" spans="1:4" ht="13.5" x14ac:dyDescent="0.25">
      <c r="A3505" s="306">
        <v>89641</v>
      </c>
      <c r="B3505" s="305" t="s">
        <v>3258</v>
      </c>
      <c r="C3505" s="305" t="s">
        <v>363</v>
      </c>
      <c r="D3505" s="575">
        <v>9.43</v>
      </c>
    </row>
    <row r="3506" spans="1:4" ht="13.5" x14ac:dyDescent="0.25">
      <c r="A3506" s="306">
        <v>89642</v>
      </c>
      <c r="B3506" s="305" t="s">
        <v>3259</v>
      </c>
      <c r="C3506" s="305" t="s">
        <v>363</v>
      </c>
      <c r="D3506" s="575">
        <v>10.77</v>
      </c>
    </row>
    <row r="3507" spans="1:4" ht="13.5" x14ac:dyDescent="0.25">
      <c r="A3507" s="306">
        <v>89643</v>
      </c>
      <c r="B3507" s="305" t="s">
        <v>3260</v>
      </c>
      <c r="C3507" s="305" t="s">
        <v>363</v>
      </c>
      <c r="D3507" s="575">
        <v>11.22</v>
      </c>
    </row>
    <row r="3508" spans="1:4" ht="13.5" x14ac:dyDescent="0.25">
      <c r="A3508" s="306">
        <v>89644</v>
      </c>
      <c r="B3508" s="305" t="s">
        <v>3261</v>
      </c>
      <c r="C3508" s="305" t="s">
        <v>363</v>
      </c>
      <c r="D3508" s="575">
        <v>17.559999999999999</v>
      </c>
    </row>
    <row r="3509" spans="1:4" ht="13.5" x14ac:dyDescent="0.25">
      <c r="A3509" s="306">
        <v>89645</v>
      </c>
      <c r="B3509" s="305" t="s">
        <v>3262</v>
      </c>
      <c r="C3509" s="305" t="s">
        <v>363</v>
      </c>
      <c r="D3509" s="575">
        <v>19.350000000000001</v>
      </c>
    </row>
    <row r="3510" spans="1:4" ht="13.5" x14ac:dyDescent="0.25">
      <c r="A3510" s="306">
        <v>89646</v>
      </c>
      <c r="B3510" s="305" t="s">
        <v>3263</v>
      </c>
      <c r="C3510" s="305" t="s">
        <v>363</v>
      </c>
      <c r="D3510" s="575">
        <v>14.47</v>
      </c>
    </row>
    <row r="3511" spans="1:4" ht="13.5" x14ac:dyDescent="0.25">
      <c r="A3511" s="306">
        <v>89647</v>
      </c>
      <c r="B3511" s="305" t="s">
        <v>3264</v>
      </c>
      <c r="C3511" s="305" t="s">
        <v>363</v>
      </c>
      <c r="D3511" s="575">
        <v>14.16</v>
      </c>
    </row>
    <row r="3512" spans="1:4" ht="13.5" x14ac:dyDescent="0.25">
      <c r="A3512" s="306">
        <v>89648</v>
      </c>
      <c r="B3512" s="305" t="s">
        <v>3265</v>
      </c>
      <c r="C3512" s="305" t="s">
        <v>363</v>
      </c>
      <c r="D3512" s="575">
        <v>15.6</v>
      </c>
    </row>
    <row r="3513" spans="1:4" ht="13.5" x14ac:dyDescent="0.25">
      <c r="A3513" s="306">
        <v>89649</v>
      </c>
      <c r="B3513" s="305" t="s">
        <v>3266</v>
      </c>
      <c r="C3513" s="305" t="s">
        <v>363</v>
      </c>
      <c r="D3513" s="575">
        <v>21.18</v>
      </c>
    </row>
    <row r="3514" spans="1:4" ht="13.5" x14ac:dyDescent="0.25">
      <c r="A3514" s="306">
        <v>89650</v>
      </c>
      <c r="B3514" s="305" t="s">
        <v>3267</v>
      </c>
      <c r="C3514" s="305" t="s">
        <v>363</v>
      </c>
      <c r="D3514" s="575">
        <v>21.18</v>
      </c>
    </row>
    <row r="3515" spans="1:4" ht="13.5" x14ac:dyDescent="0.25">
      <c r="A3515" s="306">
        <v>89651</v>
      </c>
      <c r="B3515" s="305" t="s">
        <v>3268</v>
      </c>
      <c r="C3515" s="305" t="s">
        <v>363</v>
      </c>
      <c r="D3515" s="575">
        <v>4.6100000000000003</v>
      </c>
    </row>
    <row r="3516" spans="1:4" ht="13.5" x14ac:dyDescent="0.25">
      <c r="A3516" s="306">
        <v>89652</v>
      </c>
      <c r="B3516" s="305" t="s">
        <v>3269</v>
      </c>
      <c r="C3516" s="305" t="s">
        <v>363</v>
      </c>
      <c r="D3516" s="575">
        <v>7.68</v>
      </c>
    </row>
    <row r="3517" spans="1:4" ht="13.5" x14ac:dyDescent="0.25">
      <c r="A3517" s="306">
        <v>89653</v>
      </c>
      <c r="B3517" s="305" t="s">
        <v>3270</v>
      </c>
      <c r="C3517" s="305" t="s">
        <v>363</v>
      </c>
      <c r="D3517" s="575">
        <v>12.41</v>
      </c>
    </row>
    <row r="3518" spans="1:4" ht="13.5" x14ac:dyDescent="0.25">
      <c r="A3518" s="306">
        <v>89654</v>
      </c>
      <c r="B3518" s="305" t="s">
        <v>3271</v>
      </c>
      <c r="C3518" s="305" t="s">
        <v>363</v>
      </c>
      <c r="D3518" s="575">
        <v>12.1</v>
      </c>
    </row>
    <row r="3519" spans="1:4" ht="13.5" x14ac:dyDescent="0.25">
      <c r="A3519" s="306">
        <v>89655</v>
      </c>
      <c r="B3519" s="305" t="s">
        <v>3272</v>
      </c>
      <c r="C3519" s="305" t="s">
        <v>363</v>
      </c>
      <c r="D3519" s="575">
        <v>17.88</v>
      </c>
    </row>
    <row r="3520" spans="1:4" ht="13.5" x14ac:dyDescent="0.25">
      <c r="A3520" s="306">
        <v>89656</v>
      </c>
      <c r="B3520" s="305" t="s">
        <v>3273</v>
      </c>
      <c r="C3520" s="305" t="s">
        <v>363</v>
      </c>
      <c r="D3520" s="575">
        <v>8.17</v>
      </c>
    </row>
    <row r="3521" spans="1:4" ht="13.5" x14ac:dyDescent="0.25">
      <c r="A3521" s="306">
        <v>89657</v>
      </c>
      <c r="B3521" s="305" t="s">
        <v>3274</v>
      </c>
      <c r="C3521" s="305" t="s">
        <v>363</v>
      </c>
      <c r="D3521" s="575">
        <v>8.33</v>
      </c>
    </row>
    <row r="3522" spans="1:4" ht="13.5" x14ac:dyDescent="0.25">
      <c r="A3522" s="306">
        <v>89658</v>
      </c>
      <c r="B3522" s="305" t="s">
        <v>3275</v>
      </c>
      <c r="C3522" s="305" t="s">
        <v>363</v>
      </c>
      <c r="D3522" s="575">
        <v>6.3</v>
      </c>
    </row>
    <row r="3523" spans="1:4" ht="13.5" x14ac:dyDescent="0.25">
      <c r="A3523" s="306">
        <v>89659</v>
      </c>
      <c r="B3523" s="305" t="s">
        <v>3276</v>
      </c>
      <c r="C3523" s="305" t="s">
        <v>363</v>
      </c>
      <c r="D3523" s="575">
        <v>11.01</v>
      </c>
    </row>
    <row r="3524" spans="1:4" ht="13.5" x14ac:dyDescent="0.25">
      <c r="A3524" s="306">
        <v>89660</v>
      </c>
      <c r="B3524" s="305" t="s">
        <v>3277</v>
      </c>
      <c r="C3524" s="305" t="s">
        <v>363</v>
      </c>
      <c r="D3524" s="575">
        <v>5.89</v>
      </c>
    </row>
    <row r="3525" spans="1:4" ht="13.5" x14ac:dyDescent="0.25">
      <c r="A3525" s="306">
        <v>89661</v>
      </c>
      <c r="B3525" s="305" t="s">
        <v>3278</v>
      </c>
      <c r="C3525" s="305" t="s">
        <v>363</v>
      </c>
      <c r="D3525" s="575">
        <v>14.59</v>
      </c>
    </row>
    <row r="3526" spans="1:4" ht="13.5" x14ac:dyDescent="0.25">
      <c r="A3526" s="306">
        <v>89662</v>
      </c>
      <c r="B3526" s="305" t="s">
        <v>3279</v>
      </c>
      <c r="C3526" s="305" t="s">
        <v>363</v>
      </c>
      <c r="D3526" s="575">
        <v>22.26</v>
      </c>
    </row>
    <row r="3527" spans="1:4" ht="13.5" x14ac:dyDescent="0.25">
      <c r="A3527" s="306">
        <v>89663</v>
      </c>
      <c r="B3527" s="305" t="s">
        <v>3280</v>
      </c>
      <c r="C3527" s="305" t="s">
        <v>363</v>
      </c>
      <c r="D3527" s="575">
        <v>9.42</v>
      </c>
    </row>
    <row r="3528" spans="1:4" ht="13.5" x14ac:dyDescent="0.25">
      <c r="A3528" s="306">
        <v>89664</v>
      </c>
      <c r="B3528" s="305" t="s">
        <v>3281</v>
      </c>
      <c r="C3528" s="305" t="s">
        <v>363</v>
      </c>
      <c r="D3528" s="575">
        <v>11.01</v>
      </c>
    </row>
    <row r="3529" spans="1:4" ht="13.5" x14ac:dyDescent="0.25">
      <c r="A3529" s="306">
        <v>89665</v>
      </c>
      <c r="B3529" s="305" t="s">
        <v>3282</v>
      </c>
      <c r="C3529" s="305" t="s">
        <v>363</v>
      </c>
      <c r="D3529" s="575">
        <v>8.99</v>
      </c>
    </row>
    <row r="3530" spans="1:4" ht="13.5" x14ac:dyDescent="0.25">
      <c r="A3530" s="306">
        <v>89666</v>
      </c>
      <c r="B3530" s="305" t="s">
        <v>3283</v>
      </c>
      <c r="C3530" s="305" t="s">
        <v>363</v>
      </c>
      <c r="D3530" s="575">
        <v>5.19</v>
      </c>
    </row>
    <row r="3531" spans="1:4" ht="13.5" x14ac:dyDescent="0.25">
      <c r="A3531" s="306">
        <v>89667</v>
      </c>
      <c r="B3531" s="305" t="s">
        <v>3284</v>
      </c>
      <c r="C3531" s="305" t="s">
        <v>363</v>
      </c>
      <c r="D3531" s="575">
        <v>23.09</v>
      </c>
    </row>
    <row r="3532" spans="1:4" ht="13.5" x14ac:dyDescent="0.25">
      <c r="A3532" s="306">
        <v>89668</v>
      </c>
      <c r="B3532" s="305" t="s">
        <v>3285</v>
      </c>
      <c r="C3532" s="305" t="s">
        <v>363</v>
      </c>
      <c r="D3532" s="575">
        <v>21.13</v>
      </c>
    </row>
    <row r="3533" spans="1:4" ht="13.5" x14ac:dyDescent="0.25">
      <c r="A3533" s="306">
        <v>89669</v>
      </c>
      <c r="B3533" s="305" t="s">
        <v>3286</v>
      </c>
      <c r="C3533" s="305" t="s">
        <v>363</v>
      </c>
      <c r="D3533" s="575">
        <v>14.94</v>
      </c>
    </row>
    <row r="3534" spans="1:4" ht="13.5" x14ac:dyDescent="0.25">
      <c r="A3534" s="306">
        <v>89670</v>
      </c>
      <c r="B3534" s="305" t="s">
        <v>3287</v>
      </c>
      <c r="C3534" s="305" t="s">
        <v>363</v>
      </c>
      <c r="D3534" s="575">
        <v>9.25</v>
      </c>
    </row>
    <row r="3535" spans="1:4" ht="13.5" x14ac:dyDescent="0.25">
      <c r="A3535" s="306">
        <v>89671</v>
      </c>
      <c r="B3535" s="305" t="s">
        <v>3288</v>
      </c>
      <c r="C3535" s="305" t="s">
        <v>363</v>
      </c>
      <c r="D3535" s="575">
        <v>22.01</v>
      </c>
    </row>
    <row r="3536" spans="1:4" ht="13.5" x14ac:dyDescent="0.25">
      <c r="A3536" s="306">
        <v>89672</v>
      </c>
      <c r="B3536" s="305" t="s">
        <v>3289</v>
      </c>
      <c r="C3536" s="305" t="s">
        <v>363</v>
      </c>
      <c r="D3536" s="575">
        <v>14.64</v>
      </c>
    </row>
    <row r="3537" spans="1:4" ht="13.5" x14ac:dyDescent="0.25">
      <c r="A3537" s="306">
        <v>89673</v>
      </c>
      <c r="B3537" s="305" t="s">
        <v>3290</v>
      </c>
      <c r="C3537" s="305" t="s">
        <v>363</v>
      </c>
      <c r="D3537" s="575">
        <v>17.36</v>
      </c>
    </row>
    <row r="3538" spans="1:4" ht="13.5" x14ac:dyDescent="0.25">
      <c r="A3538" s="306">
        <v>89674</v>
      </c>
      <c r="B3538" s="305" t="s">
        <v>3291</v>
      </c>
      <c r="C3538" s="305" t="s">
        <v>363</v>
      </c>
      <c r="D3538" s="575">
        <v>21.51</v>
      </c>
    </row>
    <row r="3539" spans="1:4" ht="13.5" x14ac:dyDescent="0.25">
      <c r="A3539" s="306">
        <v>89675</v>
      </c>
      <c r="B3539" s="305" t="s">
        <v>3292</v>
      </c>
      <c r="C3539" s="305" t="s">
        <v>363</v>
      </c>
      <c r="D3539" s="575">
        <v>38.85</v>
      </c>
    </row>
    <row r="3540" spans="1:4" ht="13.5" x14ac:dyDescent="0.25">
      <c r="A3540" s="306">
        <v>89676</v>
      </c>
      <c r="B3540" s="305" t="s">
        <v>3293</v>
      </c>
      <c r="C3540" s="305" t="s">
        <v>363</v>
      </c>
      <c r="D3540" s="575">
        <v>32.72</v>
      </c>
    </row>
    <row r="3541" spans="1:4" ht="13.5" x14ac:dyDescent="0.25">
      <c r="A3541" s="306">
        <v>89677</v>
      </c>
      <c r="B3541" s="305" t="s">
        <v>3294</v>
      </c>
      <c r="C3541" s="305" t="s">
        <v>363</v>
      </c>
      <c r="D3541" s="575">
        <v>42.75</v>
      </c>
    </row>
    <row r="3542" spans="1:4" ht="13.5" x14ac:dyDescent="0.25">
      <c r="A3542" s="306">
        <v>89678</v>
      </c>
      <c r="B3542" s="305" t="s">
        <v>3295</v>
      </c>
      <c r="C3542" s="305" t="s">
        <v>363</v>
      </c>
      <c r="D3542" s="575">
        <v>6.85</v>
      </c>
    </row>
    <row r="3543" spans="1:4" ht="13.5" x14ac:dyDescent="0.25">
      <c r="A3543" s="306">
        <v>89679</v>
      </c>
      <c r="B3543" s="305" t="s">
        <v>3296</v>
      </c>
      <c r="C3543" s="305" t="s">
        <v>363</v>
      </c>
      <c r="D3543" s="575">
        <v>67.959999999999994</v>
      </c>
    </row>
    <row r="3544" spans="1:4" ht="13.5" x14ac:dyDescent="0.25">
      <c r="A3544" s="306">
        <v>89680</v>
      </c>
      <c r="B3544" s="305" t="s">
        <v>3297</v>
      </c>
      <c r="C3544" s="305" t="s">
        <v>363</v>
      </c>
      <c r="D3544" s="575">
        <v>14.37</v>
      </c>
    </row>
    <row r="3545" spans="1:4" ht="13.5" x14ac:dyDescent="0.25">
      <c r="A3545" s="306">
        <v>89681</v>
      </c>
      <c r="B3545" s="305" t="s">
        <v>3298</v>
      </c>
      <c r="C3545" s="305" t="s">
        <v>363</v>
      </c>
      <c r="D3545" s="575">
        <v>47.21</v>
      </c>
    </row>
    <row r="3546" spans="1:4" ht="13.5" x14ac:dyDescent="0.25">
      <c r="A3546" s="306">
        <v>89682</v>
      </c>
      <c r="B3546" s="305" t="s">
        <v>3299</v>
      </c>
      <c r="C3546" s="305" t="s">
        <v>363</v>
      </c>
      <c r="D3546" s="575">
        <v>22.43</v>
      </c>
    </row>
    <row r="3547" spans="1:4" ht="13.5" x14ac:dyDescent="0.25">
      <c r="A3547" s="306">
        <v>89684</v>
      </c>
      <c r="B3547" s="305" t="s">
        <v>3300</v>
      </c>
      <c r="C3547" s="305" t="s">
        <v>363</v>
      </c>
      <c r="D3547" s="575">
        <v>31.07</v>
      </c>
    </row>
    <row r="3548" spans="1:4" ht="13.5" x14ac:dyDescent="0.25">
      <c r="A3548" s="306">
        <v>89685</v>
      </c>
      <c r="B3548" s="305" t="s">
        <v>3301</v>
      </c>
      <c r="C3548" s="305" t="s">
        <v>363</v>
      </c>
      <c r="D3548" s="575">
        <v>32.03</v>
      </c>
    </row>
    <row r="3549" spans="1:4" ht="13.5" x14ac:dyDescent="0.25">
      <c r="A3549" s="306">
        <v>89686</v>
      </c>
      <c r="B3549" s="305" t="s">
        <v>3302</v>
      </c>
      <c r="C3549" s="305" t="s">
        <v>363</v>
      </c>
      <c r="D3549" s="575">
        <v>116.54</v>
      </c>
    </row>
    <row r="3550" spans="1:4" ht="13.5" x14ac:dyDescent="0.25">
      <c r="A3550" s="306">
        <v>89687</v>
      </c>
      <c r="B3550" s="305" t="s">
        <v>3303</v>
      </c>
      <c r="C3550" s="305" t="s">
        <v>363</v>
      </c>
      <c r="D3550" s="575">
        <v>27.55</v>
      </c>
    </row>
    <row r="3551" spans="1:4" ht="13.5" x14ac:dyDescent="0.25">
      <c r="A3551" s="306">
        <v>89689</v>
      </c>
      <c r="B3551" s="305" t="s">
        <v>3304</v>
      </c>
      <c r="C3551" s="305" t="s">
        <v>363</v>
      </c>
      <c r="D3551" s="575">
        <v>24.16</v>
      </c>
    </row>
    <row r="3552" spans="1:4" ht="13.5" x14ac:dyDescent="0.25">
      <c r="A3552" s="306">
        <v>89690</v>
      </c>
      <c r="B3552" s="305" t="s">
        <v>3305</v>
      </c>
      <c r="C3552" s="305" t="s">
        <v>363</v>
      </c>
      <c r="D3552" s="575">
        <v>48.11</v>
      </c>
    </row>
    <row r="3553" spans="1:4" ht="13.5" x14ac:dyDescent="0.25">
      <c r="A3553" s="306">
        <v>89691</v>
      </c>
      <c r="B3553" s="305" t="s">
        <v>3306</v>
      </c>
      <c r="C3553" s="305" t="s">
        <v>363</v>
      </c>
      <c r="D3553" s="575">
        <v>8.6999999999999993</v>
      </c>
    </row>
    <row r="3554" spans="1:4" ht="13.5" x14ac:dyDescent="0.25">
      <c r="A3554" s="306">
        <v>89692</v>
      </c>
      <c r="B3554" s="305" t="s">
        <v>3307</v>
      </c>
      <c r="C3554" s="305" t="s">
        <v>363</v>
      </c>
      <c r="D3554" s="575">
        <v>45.46</v>
      </c>
    </row>
    <row r="3555" spans="1:4" ht="13.5" x14ac:dyDescent="0.25">
      <c r="A3555" s="306">
        <v>89693</v>
      </c>
      <c r="B3555" s="305" t="s">
        <v>3308</v>
      </c>
      <c r="C3555" s="305" t="s">
        <v>363</v>
      </c>
      <c r="D3555" s="575">
        <v>44.18</v>
      </c>
    </row>
    <row r="3556" spans="1:4" ht="13.5" x14ac:dyDescent="0.25">
      <c r="A3556" s="306">
        <v>89694</v>
      </c>
      <c r="B3556" s="305" t="s">
        <v>3309</v>
      </c>
      <c r="C3556" s="305" t="s">
        <v>363</v>
      </c>
      <c r="D3556" s="575">
        <v>13.97</v>
      </c>
    </row>
    <row r="3557" spans="1:4" ht="13.5" x14ac:dyDescent="0.25">
      <c r="A3557" s="306">
        <v>89695</v>
      </c>
      <c r="B3557" s="305" t="s">
        <v>3310</v>
      </c>
      <c r="C3557" s="305" t="s">
        <v>363</v>
      </c>
      <c r="D3557" s="575">
        <v>12.98</v>
      </c>
    </row>
    <row r="3558" spans="1:4" ht="13.5" x14ac:dyDescent="0.25">
      <c r="A3558" s="306">
        <v>89696</v>
      </c>
      <c r="B3558" s="305" t="s">
        <v>3311</v>
      </c>
      <c r="C3558" s="305" t="s">
        <v>363</v>
      </c>
      <c r="D3558" s="575">
        <v>40.14</v>
      </c>
    </row>
    <row r="3559" spans="1:4" ht="13.5" x14ac:dyDescent="0.25">
      <c r="A3559" s="306">
        <v>89697</v>
      </c>
      <c r="B3559" s="305" t="s">
        <v>3312</v>
      </c>
      <c r="C3559" s="305" t="s">
        <v>363</v>
      </c>
      <c r="D3559" s="575">
        <v>10.55</v>
      </c>
    </row>
    <row r="3560" spans="1:4" ht="13.5" x14ac:dyDescent="0.25">
      <c r="A3560" s="306">
        <v>89698</v>
      </c>
      <c r="B3560" s="305" t="s">
        <v>3313</v>
      </c>
      <c r="C3560" s="305" t="s">
        <v>363</v>
      </c>
      <c r="D3560" s="575">
        <v>141.66999999999999</v>
      </c>
    </row>
    <row r="3561" spans="1:4" ht="13.5" x14ac:dyDescent="0.25">
      <c r="A3561" s="306">
        <v>89699</v>
      </c>
      <c r="B3561" s="305" t="s">
        <v>3314</v>
      </c>
      <c r="C3561" s="305" t="s">
        <v>363</v>
      </c>
      <c r="D3561" s="575">
        <v>121.23</v>
      </c>
    </row>
    <row r="3562" spans="1:4" ht="13.5" x14ac:dyDescent="0.25">
      <c r="A3562" s="306">
        <v>89700</v>
      </c>
      <c r="B3562" s="305" t="s">
        <v>3315</v>
      </c>
      <c r="C3562" s="305" t="s">
        <v>363</v>
      </c>
      <c r="D3562" s="575">
        <v>15.07</v>
      </c>
    </row>
    <row r="3563" spans="1:4" ht="13.5" x14ac:dyDescent="0.25">
      <c r="A3563" s="306">
        <v>89701</v>
      </c>
      <c r="B3563" s="305" t="s">
        <v>3316</v>
      </c>
      <c r="C3563" s="305" t="s">
        <v>363</v>
      </c>
      <c r="D3563" s="575">
        <v>110.89</v>
      </c>
    </row>
    <row r="3564" spans="1:4" ht="13.5" x14ac:dyDescent="0.25">
      <c r="A3564" s="306">
        <v>89702</v>
      </c>
      <c r="B3564" s="305" t="s">
        <v>3317</v>
      </c>
      <c r="C3564" s="305" t="s">
        <v>363</v>
      </c>
      <c r="D3564" s="575">
        <v>15.07</v>
      </c>
    </row>
    <row r="3565" spans="1:4" ht="13.5" x14ac:dyDescent="0.25">
      <c r="A3565" s="306">
        <v>89703</v>
      </c>
      <c r="B3565" s="305" t="s">
        <v>3318</v>
      </c>
      <c r="C3565" s="305" t="s">
        <v>363</v>
      </c>
      <c r="D3565" s="575">
        <v>33.4</v>
      </c>
    </row>
    <row r="3566" spans="1:4" ht="13.5" x14ac:dyDescent="0.25">
      <c r="A3566" s="306">
        <v>89704</v>
      </c>
      <c r="B3566" s="305" t="s">
        <v>3319</v>
      </c>
      <c r="C3566" s="305" t="s">
        <v>363</v>
      </c>
      <c r="D3566" s="575">
        <v>77.11</v>
      </c>
    </row>
    <row r="3567" spans="1:4" ht="13.5" x14ac:dyDescent="0.25">
      <c r="A3567" s="306">
        <v>89705</v>
      </c>
      <c r="B3567" s="305" t="s">
        <v>3320</v>
      </c>
      <c r="C3567" s="305" t="s">
        <v>363</v>
      </c>
      <c r="D3567" s="575">
        <v>17.34</v>
      </c>
    </row>
    <row r="3568" spans="1:4" ht="13.5" x14ac:dyDescent="0.25">
      <c r="A3568" s="306">
        <v>89706</v>
      </c>
      <c r="B3568" s="305" t="s">
        <v>3321</v>
      </c>
      <c r="C3568" s="305" t="s">
        <v>363</v>
      </c>
      <c r="D3568" s="575">
        <v>37.159999999999997</v>
      </c>
    </row>
    <row r="3569" spans="1:4" ht="13.5" x14ac:dyDescent="0.25">
      <c r="A3569" s="306">
        <v>89718</v>
      </c>
      <c r="B3569" s="305" t="s">
        <v>3322</v>
      </c>
      <c r="C3569" s="305" t="s">
        <v>282</v>
      </c>
      <c r="D3569" s="575">
        <v>33.44</v>
      </c>
    </row>
    <row r="3570" spans="1:4" ht="13.5" x14ac:dyDescent="0.25">
      <c r="A3570" s="306">
        <v>89719</v>
      </c>
      <c r="B3570" s="305" t="s">
        <v>3323</v>
      </c>
      <c r="C3570" s="305" t="s">
        <v>363</v>
      </c>
      <c r="D3570" s="575">
        <v>7.48</v>
      </c>
    </row>
    <row r="3571" spans="1:4" ht="13.5" x14ac:dyDescent="0.25">
      <c r="A3571" s="306">
        <v>89720</v>
      </c>
      <c r="B3571" s="305" t="s">
        <v>3324</v>
      </c>
      <c r="C3571" s="305" t="s">
        <v>363</v>
      </c>
      <c r="D3571" s="575">
        <v>8.82</v>
      </c>
    </row>
    <row r="3572" spans="1:4" ht="13.5" x14ac:dyDescent="0.25">
      <c r="A3572" s="306">
        <v>89721</v>
      </c>
      <c r="B3572" s="305" t="s">
        <v>3325</v>
      </c>
      <c r="C3572" s="305" t="s">
        <v>363</v>
      </c>
      <c r="D3572" s="575">
        <v>9.27</v>
      </c>
    </row>
    <row r="3573" spans="1:4" ht="13.5" x14ac:dyDescent="0.25">
      <c r="A3573" s="306">
        <v>89722</v>
      </c>
      <c r="B3573" s="305" t="s">
        <v>3326</v>
      </c>
      <c r="C3573" s="305" t="s">
        <v>363</v>
      </c>
      <c r="D3573" s="575">
        <v>15.61</v>
      </c>
    </row>
    <row r="3574" spans="1:4" ht="13.5" x14ac:dyDescent="0.25">
      <c r="A3574" s="306">
        <v>89723</v>
      </c>
      <c r="B3574" s="305" t="s">
        <v>3327</v>
      </c>
      <c r="C3574" s="305" t="s">
        <v>363</v>
      </c>
      <c r="D3574" s="575">
        <v>12.2</v>
      </c>
    </row>
    <row r="3575" spans="1:4" ht="13.5" x14ac:dyDescent="0.25">
      <c r="A3575" s="306">
        <v>89724</v>
      </c>
      <c r="B3575" s="305" t="s">
        <v>3328</v>
      </c>
      <c r="C3575" s="305" t="s">
        <v>363</v>
      </c>
      <c r="D3575" s="575">
        <v>7.03</v>
      </c>
    </row>
    <row r="3576" spans="1:4" ht="13.5" x14ac:dyDescent="0.25">
      <c r="A3576" s="306">
        <v>89725</v>
      </c>
      <c r="B3576" s="305" t="s">
        <v>3329</v>
      </c>
      <c r="C3576" s="305" t="s">
        <v>363</v>
      </c>
      <c r="D3576" s="575">
        <v>11.89</v>
      </c>
    </row>
    <row r="3577" spans="1:4" ht="13.5" x14ac:dyDescent="0.25">
      <c r="A3577" s="306">
        <v>89726</v>
      </c>
      <c r="B3577" s="305" t="s">
        <v>3330</v>
      </c>
      <c r="C3577" s="305" t="s">
        <v>363</v>
      </c>
      <c r="D3577" s="575">
        <v>5.39</v>
      </c>
    </row>
    <row r="3578" spans="1:4" ht="13.5" x14ac:dyDescent="0.25">
      <c r="A3578" s="306">
        <v>89727</v>
      </c>
      <c r="B3578" s="305" t="s">
        <v>3331</v>
      </c>
      <c r="C3578" s="305" t="s">
        <v>363</v>
      </c>
      <c r="D3578" s="575">
        <v>13.33</v>
      </c>
    </row>
    <row r="3579" spans="1:4" ht="13.5" x14ac:dyDescent="0.25">
      <c r="A3579" s="306">
        <v>89728</v>
      </c>
      <c r="B3579" s="305" t="s">
        <v>3332</v>
      </c>
      <c r="C3579" s="305" t="s">
        <v>363</v>
      </c>
      <c r="D3579" s="575">
        <v>7.44</v>
      </c>
    </row>
    <row r="3580" spans="1:4" ht="13.5" x14ac:dyDescent="0.25">
      <c r="A3580" s="306">
        <v>89729</v>
      </c>
      <c r="B3580" s="305" t="s">
        <v>3333</v>
      </c>
      <c r="C3580" s="305" t="s">
        <v>363</v>
      </c>
      <c r="D3580" s="575">
        <v>18.489999999999998</v>
      </c>
    </row>
    <row r="3581" spans="1:4" ht="13.5" x14ac:dyDescent="0.25">
      <c r="A3581" s="306">
        <v>89730</v>
      </c>
      <c r="B3581" s="305" t="s">
        <v>3334</v>
      </c>
      <c r="C3581" s="305" t="s">
        <v>363</v>
      </c>
      <c r="D3581" s="575">
        <v>7.97</v>
      </c>
    </row>
    <row r="3582" spans="1:4" ht="13.5" x14ac:dyDescent="0.25">
      <c r="A3582" s="306">
        <v>89731</v>
      </c>
      <c r="B3582" s="305" t="s">
        <v>3335</v>
      </c>
      <c r="C3582" s="305" t="s">
        <v>363</v>
      </c>
      <c r="D3582" s="575">
        <v>7.89</v>
      </c>
    </row>
    <row r="3583" spans="1:4" ht="13.5" x14ac:dyDescent="0.25">
      <c r="A3583" s="306">
        <v>89732</v>
      </c>
      <c r="B3583" s="305" t="s">
        <v>3336</v>
      </c>
      <c r="C3583" s="305" t="s">
        <v>363</v>
      </c>
      <c r="D3583" s="575">
        <v>8.2799999999999994</v>
      </c>
    </row>
    <row r="3584" spans="1:4" ht="13.5" x14ac:dyDescent="0.25">
      <c r="A3584" s="306">
        <v>89733</v>
      </c>
      <c r="B3584" s="305" t="s">
        <v>3337</v>
      </c>
      <c r="C3584" s="305" t="s">
        <v>363</v>
      </c>
      <c r="D3584" s="575">
        <v>12.45</v>
      </c>
    </row>
    <row r="3585" spans="1:4" ht="13.5" x14ac:dyDescent="0.25">
      <c r="A3585" s="306">
        <v>89734</v>
      </c>
      <c r="B3585" s="305" t="s">
        <v>3338</v>
      </c>
      <c r="C3585" s="305" t="s">
        <v>363</v>
      </c>
      <c r="D3585" s="575">
        <v>18.489999999999998</v>
      </c>
    </row>
    <row r="3586" spans="1:4" ht="13.5" x14ac:dyDescent="0.25">
      <c r="A3586" s="306">
        <v>89735</v>
      </c>
      <c r="B3586" s="305" t="s">
        <v>3339</v>
      </c>
      <c r="C3586" s="305" t="s">
        <v>363</v>
      </c>
      <c r="D3586" s="575">
        <v>13.09</v>
      </c>
    </row>
    <row r="3587" spans="1:4" ht="13.5" x14ac:dyDescent="0.25">
      <c r="A3587" s="306">
        <v>89736</v>
      </c>
      <c r="B3587" s="305" t="s">
        <v>3340</v>
      </c>
      <c r="C3587" s="305" t="s">
        <v>363</v>
      </c>
      <c r="D3587" s="575">
        <v>5.0199999999999996</v>
      </c>
    </row>
    <row r="3588" spans="1:4" ht="13.5" x14ac:dyDescent="0.25">
      <c r="A3588" s="306">
        <v>89737</v>
      </c>
      <c r="B3588" s="305" t="s">
        <v>3341</v>
      </c>
      <c r="C3588" s="305" t="s">
        <v>363</v>
      </c>
      <c r="D3588" s="575">
        <v>13.29</v>
      </c>
    </row>
    <row r="3589" spans="1:4" ht="13.5" x14ac:dyDescent="0.25">
      <c r="A3589" s="306">
        <v>89738</v>
      </c>
      <c r="B3589" s="305" t="s">
        <v>3342</v>
      </c>
      <c r="C3589" s="305" t="s">
        <v>363</v>
      </c>
      <c r="D3589" s="575">
        <v>9.73</v>
      </c>
    </row>
    <row r="3590" spans="1:4" ht="13.5" x14ac:dyDescent="0.25">
      <c r="A3590" s="306">
        <v>89739</v>
      </c>
      <c r="B3590" s="305" t="s">
        <v>3343</v>
      </c>
      <c r="C3590" s="305" t="s">
        <v>363</v>
      </c>
      <c r="D3590" s="575">
        <v>13.84</v>
      </c>
    </row>
    <row r="3591" spans="1:4" ht="13.5" x14ac:dyDescent="0.25">
      <c r="A3591" s="306">
        <v>89740</v>
      </c>
      <c r="B3591" s="305" t="s">
        <v>3344</v>
      </c>
      <c r="C3591" s="305" t="s">
        <v>363</v>
      </c>
      <c r="D3591" s="575">
        <v>4.6100000000000003</v>
      </c>
    </row>
    <row r="3592" spans="1:4" ht="13.5" x14ac:dyDescent="0.25">
      <c r="A3592" s="306">
        <v>89741</v>
      </c>
      <c r="B3592" s="305" t="s">
        <v>3345</v>
      </c>
      <c r="C3592" s="305" t="s">
        <v>363</v>
      </c>
      <c r="D3592" s="575">
        <v>13.31</v>
      </c>
    </row>
    <row r="3593" spans="1:4" ht="13.5" x14ac:dyDescent="0.25">
      <c r="A3593" s="306">
        <v>89742</v>
      </c>
      <c r="B3593" s="305" t="s">
        <v>3346</v>
      </c>
      <c r="C3593" s="305" t="s">
        <v>363</v>
      </c>
      <c r="D3593" s="575">
        <v>21.18</v>
      </c>
    </row>
    <row r="3594" spans="1:4" ht="13.5" x14ac:dyDescent="0.25">
      <c r="A3594" s="306">
        <v>89743</v>
      </c>
      <c r="B3594" s="305" t="s">
        <v>3347</v>
      </c>
      <c r="C3594" s="305" t="s">
        <v>363</v>
      </c>
      <c r="D3594" s="575">
        <v>29.11</v>
      </c>
    </row>
    <row r="3595" spans="1:4" ht="13.5" x14ac:dyDescent="0.25">
      <c r="A3595" s="306">
        <v>89744</v>
      </c>
      <c r="B3595" s="305" t="s">
        <v>3348</v>
      </c>
      <c r="C3595" s="305" t="s">
        <v>363</v>
      </c>
      <c r="D3595" s="575">
        <v>17.329999999999998</v>
      </c>
    </row>
    <row r="3596" spans="1:4" ht="13.5" x14ac:dyDescent="0.25">
      <c r="A3596" s="306">
        <v>89745</v>
      </c>
      <c r="B3596" s="305" t="s">
        <v>3349</v>
      </c>
      <c r="C3596" s="305" t="s">
        <v>363</v>
      </c>
      <c r="D3596" s="575">
        <v>20.98</v>
      </c>
    </row>
    <row r="3597" spans="1:4" ht="13.5" x14ac:dyDescent="0.25">
      <c r="A3597" s="306">
        <v>89746</v>
      </c>
      <c r="B3597" s="305" t="s">
        <v>3350</v>
      </c>
      <c r="C3597" s="305" t="s">
        <v>363</v>
      </c>
      <c r="D3597" s="575">
        <v>17.3</v>
      </c>
    </row>
    <row r="3598" spans="1:4" ht="13.5" x14ac:dyDescent="0.25">
      <c r="A3598" s="306">
        <v>89747</v>
      </c>
      <c r="B3598" s="305" t="s">
        <v>3351</v>
      </c>
      <c r="C3598" s="305" t="s">
        <v>363</v>
      </c>
      <c r="D3598" s="575">
        <v>8.14</v>
      </c>
    </row>
    <row r="3599" spans="1:4" ht="13.5" x14ac:dyDescent="0.25">
      <c r="A3599" s="306">
        <v>89748</v>
      </c>
      <c r="B3599" s="305" t="s">
        <v>3352</v>
      </c>
      <c r="C3599" s="305" t="s">
        <v>363</v>
      </c>
      <c r="D3599" s="575">
        <v>25.92</v>
      </c>
    </row>
    <row r="3600" spans="1:4" ht="13.5" x14ac:dyDescent="0.25">
      <c r="A3600" s="306">
        <v>89749</v>
      </c>
      <c r="B3600" s="305" t="s">
        <v>3353</v>
      </c>
      <c r="C3600" s="305" t="s">
        <v>363</v>
      </c>
      <c r="D3600" s="575">
        <v>9.73</v>
      </c>
    </row>
    <row r="3601" spans="1:4" ht="13.5" x14ac:dyDescent="0.25">
      <c r="A3601" s="306">
        <v>89750</v>
      </c>
      <c r="B3601" s="305" t="s">
        <v>3354</v>
      </c>
      <c r="C3601" s="305" t="s">
        <v>363</v>
      </c>
      <c r="D3601" s="575">
        <v>41.16</v>
      </c>
    </row>
    <row r="3602" spans="1:4" ht="13.5" x14ac:dyDescent="0.25">
      <c r="A3602" s="306">
        <v>89751</v>
      </c>
      <c r="B3602" s="305" t="s">
        <v>3355</v>
      </c>
      <c r="C3602" s="305" t="s">
        <v>363</v>
      </c>
      <c r="D3602" s="575">
        <v>3.91</v>
      </c>
    </row>
    <row r="3603" spans="1:4" ht="13.5" x14ac:dyDescent="0.25">
      <c r="A3603" s="306">
        <v>89752</v>
      </c>
      <c r="B3603" s="305" t="s">
        <v>3356</v>
      </c>
      <c r="C3603" s="305" t="s">
        <v>363</v>
      </c>
      <c r="D3603" s="575">
        <v>4.49</v>
      </c>
    </row>
    <row r="3604" spans="1:4" ht="13.5" x14ac:dyDescent="0.25">
      <c r="A3604" s="306">
        <v>89753</v>
      </c>
      <c r="B3604" s="305" t="s">
        <v>3357</v>
      </c>
      <c r="C3604" s="305" t="s">
        <v>363</v>
      </c>
      <c r="D3604" s="575">
        <v>6.39</v>
      </c>
    </row>
    <row r="3605" spans="1:4" ht="13.5" x14ac:dyDescent="0.25">
      <c r="A3605" s="306">
        <v>89754</v>
      </c>
      <c r="B3605" s="305" t="s">
        <v>3358</v>
      </c>
      <c r="C3605" s="305" t="s">
        <v>363</v>
      </c>
      <c r="D3605" s="575">
        <v>11.02</v>
      </c>
    </row>
    <row r="3606" spans="1:4" ht="13.5" x14ac:dyDescent="0.25">
      <c r="A3606" s="306">
        <v>89755</v>
      </c>
      <c r="B3606" s="305" t="s">
        <v>3359</v>
      </c>
      <c r="C3606" s="305" t="s">
        <v>363</v>
      </c>
      <c r="D3606" s="575">
        <v>7.74</v>
      </c>
    </row>
    <row r="3607" spans="1:4" ht="13.5" x14ac:dyDescent="0.25">
      <c r="A3607" s="306">
        <v>89756</v>
      </c>
      <c r="B3607" s="305" t="s">
        <v>3360</v>
      </c>
      <c r="C3607" s="305" t="s">
        <v>363</v>
      </c>
      <c r="D3607" s="575">
        <v>13.13</v>
      </c>
    </row>
    <row r="3608" spans="1:4" ht="13.5" x14ac:dyDescent="0.25">
      <c r="A3608" s="306">
        <v>89757</v>
      </c>
      <c r="B3608" s="305" t="s">
        <v>3361</v>
      </c>
      <c r="C3608" s="305" t="s">
        <v>363</v>
      </c>
      <c r="D3608" s="575">
        <v>20</v>
      </c>
    </row>
    <row r="3609" spans="1:4" ht="13.5" x14ac:dyDescent="0.25">
      <c r="A3609" s="306">
        <v>89758</v>
      </c>
      <c r="B3609" s="305" t="s">
        <v>3362</v>
      </c>
      <c r="C3609" s="305" t="s">
        <v>363</v>
      </c>
      <c r="D3609" s="575">
        <v>31.21</v>
      </c>
    </row>
    <row r="3610" spans="1:4" ht="13.5" x14ac:dyDescent="0.25">
      <c r="A3610" s="306">
        <v>89759</v>
      </c>
      <c r="B3610" s="305" t="s">
        <v>3363</v>
      </c>
      <c r="C3610" s="305" t="s">
        <v>363</v>
      </c>
      <c r="D3610" s="575">
        <v>5.34</v>
      </c>
    </row>
    <row r="3611" spans="1:4" ht="13.5" x14ac:dyDescent="0.25">
      <c r="A3611" s="306">
        <v>89760</v>
      </c>
      <c r="B3611" s="305" t="s">
        <v>3364</v>
      </c>
      <c r="C3611" s="305" t="s">
        <v>363</v>
      </c>
      <c r="D3611" s="575">
        <v>12.59</v>
      </c>
    </row>
    <row r="3612" spans="1:4" ht="13.5" x14ac:dyDescent="0.25">
      <c r="A3612" s="306">
        <v>89761</v>
      </c>
      <c r="B3612" s="305" t="s">
        <v>3365</v>
      </c>
      <c r="C3612" s="305" t="s">
        <v>363</v>
      </c>
      <c r="D3612" s="575">
        <v>20.65</v>
      </c>
    </row>
    <row r="3613" spans="1:4" ht="13.5" x14ac:dyDescent="0.25">
      <c r="A3613" s="306">
        <v>89762</v>
      </c>
      <c r="B3613" s="305" t="s">
        <v>3366</v>
      </c>
      <c r="C3613" s="305" t="s">
        <v>363</v>
      </c>
      <c r="D3613" s="575">
        <v>29.29</v>
      </c>
    </row>
    <row r="3614" spans="1:4" ht="13.5" x14ac:dyDescent="0.25">
      <c r="A3614" s="306">
        <v>89763</v>
      </c>
      <c r="B3614" s="305" t="s">
        <v>3367</v>
      </c>
      <c r="C3614" s="305" t="s">
        <v>363</v>
      </c>
      <c r="D3614" s="575">
        <v>114.76</v>
      </c>
    </row>
    <row r="3615" spans="1:4" ht="13.5" x14ac:dyDescent="0.25">
      <c r="A3615" s="306">
        <v>89764</v>
      </c>
      <c r="B3615" s="305" t="s">
        <v>3368</v>
      </c>
      <c r="C3615" s="305" t="s">
        <v>363</v>
      </c>
      <c r="D3615" s="575">
        <v>22.38</v>
      </c>
    </row>
    <row r="3616" spans="1:4" ht="13.5" x14ac:dyDescent="0.25">
      <c r="A3616" s="306">
        <v>89765</v>
      </c>
      <c r="B3616" s="305" t="s">
        <v>3369</v>
      </c>
      <c r="C3616" s="305" t="s">
        <v>363</v>
      </c>
      <c r="D3616" s="575">
        <v>9.65</v>
      </c>
    </row>
    <row r="3617" spans="1:4" ht="13.5" x14ac:dyDescent="0.25">
      <c r="A3617" s="306">
        <v>89766</v>
      </c>
      <c r="B3617" s="305" t="s">
        <v>3370</v>
      </c>
      <c r="C3617" s="305" t="s">
        <v>363</v>
      </c>
      <c r="D3617" s="575">
        <v>14.17</v>
      </c>
    </row>
    <row r="3618" spans="1:4" ht="13.5" x14ac:dyDescent="0.25">
      <c r="A3618" s="306">
        <v>89767</v>
      </c>
      <c r="B3618" s="305" t="s">
        <v>3371</v>
      </c>
      <c r="C3618" s="305" t="s">
        <v>363</v>
      </c>
      <c r="D3618" s="575">
        <v>14.17</v>
      </c>
    </row>
    <row r="3619" spans="1:4" ht="13.5" x14ac:dyDescent="0.25">
      <c r="A3619" s="306">
        <v>89768</v>
      </c>
      <c r="B3619" s="305" t="s">
        <v>3372</v>
      </c>
      <c r="C3619" s="305" t="s">
        <v>363</v>
      </c>
      <c r="D3619" s="575">
        <v>14.31</v>
      </c>
    </row>
    <row r="3620" spans="1:4" ht="13.5" x14ac:dyDescent="0.25">
      <c r="A3620" s="306">
        <v>89769</v>
      </c>
      <c r="B3620" s="305" t="s">
        <v>3373</v>
      </c>
      <c r="C3620" s="305" t="s">
        <v>363</v>
      </c>
      <c r="D3620" s="575">
        <v>33.58</v>
      </c>
    </row>
    <row r="3621" spans="1:4" ht="13.5" x14ac:dyDescent="0.25">
      <c r="A3621" s="306">
        <v>89772</v>
      </c>
      <c r="B3621" s="305" t="s">
        <v>3374</v>
      </c>
      <c r="C3621" s="305" t="s">
        <v>282</v>
      </c>
      <c r="D3621" s="575">
        <v>60.5</v>
      </c>
    </row>
    <row r="3622" spans="1:4" ht="13.5" x14ac:dyDescent="0.25">
      <c r="A3622" s="306">
        <v>89774</v>
      </c>
      <c r="B3622" s="305" t="s">
        <v>3375</v>
      </c>
      <c r="C3622" s="305" t="s">
        <v>363</v>
      </c>
      <c r="D3622" s="575">
        <v>10.52</v>
      </c>
    </row>
    <row r="3623" spans="1:4" ht="13.5" x14ac:dyDescent="0.25">
      <c r="A3623" s="306">
        <v>89776</v>
      </c>
      <c r="B3623" s="305" t="s">
        <v>3376</v>
      </c>
      <c r="C3623" s="305" t="s">
        <v>363</v>
      </c>
      <c r="D3623" s="575">
        <v>14.1</v>
      </c>
    </row>
    <row r="3624" spans="1:4" ht="13.5" x14ac:dyDescent="0.25">
      <c r="A3624" s="306">
        <v>89777</v>
      </c>
      <c r="B3624" s="305" t="s">
        <v>3377</v>
      </c>
      <c r="C3624" s="305" t="s">
        <v>363</v>
      </c>
      <c r="D3624" s="575">
        <v>17.28</v>
      </c>
    </row>
    <row r="3625" spans="1:4" ht="13.5" x14ac:dyDescent="0.25">
      <c r="A3625" s="306">
        <v>89778</v>
      </c>
      <c r="B3625" s="305" t="s">
        <v>3378</v>
      </c>
      <c r="C3625" s="305" t="s">
        <v>363</v>
      </c>
      <c r="D3625" s="575">
        <v>13.29</v>
      </c>
    </row>
    <row r="3626" spans="1:4" ht="13.5" x14ac:dyDescent="0.25">
      <c r="A3626" s="306">
        <v>89779</v>
      </c>
      <c r="B3626" s="305" t="s">
        <v>3379</v>
      </c>
      <c r="C3626" s="305" t="s">
        <v>363</v>
      </c>
      <c r="D3626" s="575">
        <v>19.920000000000002</v>
      </c>
    </row>
    <row r="3627" spans="1:4" ht="13.5" x14ac:dyDescent="0.25">
      <c r="A3627" s="306">
        <v>89780</v>
      </c>
      <c r="B3627" s="305" t="s">
        <v>3380</v>
      </c>
      <c r="C3627" s="305" t="s">
        <v>363</v>
      </c>
      <c r="D3627" s="575">
        <v>17.28</v>
      </c>
    </row>
    <row r="3628" spans="1:4" ht="13.5" x14ac:dyDescent="0.25">
      <c r="A3628" s="306">
        <v>89781</v>
      </c>
      <c r="B3628" s="305" t="s">
        <v>3381</v>
      </c>
      <c r="C3628" s="305" t="s">
        <v>363</v>
      </c>
      <c r="D3628" s="575">
        <v>25.72</v>
      </c>
    </row>
    <row r="3629" spans="1:4" ht="13.5" x14ac:dyDescent="0.25">
      <c r="A3629" s="306">
        <v>89782</v>
      </c>
      <c r="B3629" s="305" t="s">
        <v>3382</v>
      </c>
      <c r="C3629" s="305" t="s">
        <v>363</v>
      </c>
      <c r="D3629" s="575">
        <v>8.57</v>
      </c>
    </row>
    <row r="3630" spans="1:4" ht="13.5" x14ac:dyDescent="0.25">
      <c r="A3630" s="306">
        <v>89783</v>
      </c>
      <c r="B3630" s="305" t="s">
        <v>3383</v>
      </c>
      <c r="C3630" s="305" t="s">
        <v>363</v>
      </c>
      <c r="D3630" s="575">
        <v>8.74</v>
      </c>
    </row>
    <row r="3631" spans="1:4" ht="13.5" x14ac:dyDescent="0.25">
      <c r="A3631" s="306">
        <v>89784</v>
      </c>
      <c r="B3631" s="305" t="s">
        <v>3384</v>
      </c>
      <c r="C3631" s="305" t="s">
        <v>363</v>
      </c>
      <c r="D3631" s="575">
        <v>13.96</v>
      </c>
    </row>
    <row r="3632" spans="1:4" ht="13.5" x14ac:dyDescent="0.25">
      <c r="A3632" s="306">
        <v>89785</v>
      </c>
      <c r="B3632" s="305" t="s">
        <v>3385</v>
      </c>
      <c r="C3632" s="305" t="s">
        <v>363</v>
      </c>
      <c r="D3632" s="575">
        <v>15.07</v>
      </c>
    </row>
    <row r="3633" spans="1:4" ht="13.5" x14ac:dyDescent="0.25">
      <c r="A3633" s="306">
        <v>89786</v>
      </c>
      <c r="B3633" s="305" t="s">
        <v>3386</v>
      </c>
      <c r="C3633" s="305" t="s">
        <v>363</v>
      </c>
      <c r="D3633" s="575">
        <v>22.76</v>
      </c>
    </row>
    <row r="3634" spans="1:4" ht="13.5" x14ac:dyDescent="0.25">
      <c r="A3634" s="306">
        <v>89787</v>
      </c>
      <c r="B3634" s="305" t="s">
        <v>3387</v>
      </c>
      <c r="C3634" s="305" t="s">
        <v>363</v>
      </c>
      <c r="D3634" s="575">
        <v>25.72</v>
      </c>
    </row>
    <row r="3635" spans="1:4" ht="13.5" x14ac:dyDescent="0.25">
      <c r="A3635" s="306">
        <v>89788</v>
      </c>
      <c r="B3635" s="305" t="s">
        <v>3388</v>
      </c>
      <c r="C3635" s="305" t="s">
        <v>363</v>
      </c>
      <c r="D3635" s="575">
        <v>50.27</v>
      </c>
    </row>
    <row r="3636" spans="1:4" ht="13.5" x14ac:dyDescent="0.25">
      <c r="A3636" s="306">
        <v>89789</v>
      </c>
      <c r="B3636" s="305" t="s">
        <v>3389</v>
      </c>
      <c r="C3636" s="305" t="s">
        <v>363</v>
      </c>
      <c r="D3636" s="575">
        <v>51.06</v>
      </c>
    </row>
    <row r="3637" spans="1:4" ht="13.5" x14ac:dyDescent="0.25">
      <c r="A3637" s="306">
        <v>89790</v>
      </c>
      <c r="B3637" s="305" t="s">
        <v>3390</v>
      </c>
      <c r="C3637" s="305" t="s">
        <v>363</v>
      </c>
      <c r="D3637" s="575">
        <v>124.38</v>
      </c>
    </row>
    <row r="3638" spans="1:4" ht="13.5" x14ac:dyDescent="0.25">
      <c r="A3638" s="306">
        <v>89791</v>
      </c>
      <c r="B3638" s="305" t="s">
        <v>3391</v>
      </c>
      <c r="C3638" s="305" t="s">
        <v>363</v>
      </c>
      <c r="D3638" s="575">
        <v>127.3</v>
      </c>
    </row>
    <row r="3639" spans="1:4" ht="13.5" x14ac:dyDescent="0.25">
      <c r="A3639" s="306">
        <v>89792</v>
      </c>
      <c r="B3639" s="305" t="s">
        <v>3392</v>
      </c>
      <c r="C3639" s="305" t="s">
        <v>363</v>
      </c>
      <c r="D3639" s="575">
        <v>146.07</v>
      </c>
    </row>
    <row r="3640" spans="1:4" ht="13.5" x14ac:dyDescent="0.25">
      <c r="A3640" s="306">
        <v>89793</v>
      </c>
      <c r="B3640" s="305" t="s">
        <v>3393</v>
      </c>
      <c r="C3640" s="305" t="s">
        <v>363</v>
      </c>
      <c r="D3640" s="575">
        <v>150</v>
      </c>
    </row>
    <row r="3641" spans="1:4" ht="13.5" x14ac:dyDescent="0.25">
      <c r="A3641" s="306">
        <v>89794</v>
      </c>
      <c r="B3641" s="305" t="s">
        <v>3394</v>
      </c>
      <c r="C3641" s="305" t="s">
        <v>363</v>
      </c>
      <c r="D3641" s="575">
        <v>11.79</v>
      </c>
    </row>
    <row r="3642" spans="1:4" ht="13.5" x14ac:dyDescent="0.25">
      <c r="A3642" s="306">
        <v>89795</v>
      </c>
      <c r="B3642" s="305" t="s">
        <v>3395</v>
      </c>
      <c r="C3642" s="305" t="s">
        <v>363</v>
      </c>
      <c r="D3642" s="575">
        <v>24.27</v>
      </c>
    </row>
    <row r="3643" spans="1:4" ht="13.5" x14ac:dyDescent="0.25">
      <c r="A3643" s="306">
        <v>89796</v>
      </c>
      <c r="B3643" s="305" t="s">
        <v>3396</v>
      </c>
      <c r="C3643" s="305" t="s">
        <v>363</v>
      </c>
      <c r="D3643" s="575">
        <v>28.32</v>
      </c>
    </row>
    <row r="3644" spans="1:4" ht="13.5" x14ac:dyDescent="0.25">
      <c r="A3644" s="306">
        <v>89797</v>
      </c>
      <c r="B3644" s="305" t="s">
        <v>3397</v>
      </c>
      <c r="C3644" s="305" t="s">
        <v>363</v>
      </c>
      <c r="D3644" s="575">
        <v>31.87</v>
      </c>
    </row>
    <row r="3645" spans="1:4" ht="13.5" x14ac:dyDescent="0.25">
      <c r="A3645" s="306">
        <v>89801</v>
      </c>
      <c r="B3645" s="305" t="s">
        <v>3398</v>
      </c>
      <c r="C3645" s="305" t="s">
        <v>363</v>
      </c>
      <c r="D3645" s="575">
        <v>4.75</v>
      </c>
    </row>
    <row r="3646" spans="1:4" ht="13.5" x14ac:dyDescent="0.25">
      <c r="A3646" s="306">
        <v>89802</v>
      </c>
      <c r="B3646" s="305" t="s">
        <v>3399</v>
      </c>
      <c r="C3646" s="305" t="s">
        <v>363</v>
      </c>
      <c r="D3646" s="575">
        <v>5.14</v>
      </c>
    </row>
    <row r="3647" spans="1:4" ht="13.5" x14ac:dyDescent="0.25">
      <c r="A3647" s="306">
        <v>89803</v>
      </c>
      <c r="B3647" s="305" t="s">
        <v>3400</v>
      </c>
      <c r="C3647" s="305" t="s">
        <v>363</v>
      </c>
      <c r="D3647" s="575">
        <v>9.31</v>
      </c>
    </row>
    <row r="3648" spans="1:4" ht="13.5" x14ac:dyDescent="0.25">
      <c r="A3648" s="306">
        <v>89804</v>
      </c>
      <c r="B3648" s="305" t="s">
        <v>3401</v>
      </c>
      <c r="C3648" s="305" t="s">
        <v>363</v>
      </c>
      <c r="D3648" s="575">
        <v>9.9499999999999993</v>
      </c>
    </row>
    <row r="3649" spans="1:4" ht="13.5" x14ac:dyDescent="0.25">
      <c r="A3649" s="306">
        <v>89805</v>
      </c>
      <c r="B3649" s="305" t="s">
        <v>3402</v>
      </c>
      <c r="C3649" s="305" t="s">
        <v>363</v>
      </c>
      <c r="D3649" s="575">
        <v>9.4600000000000009</v>
      </c>
    </row>
    <row r="3650" spans="1:4" ht="13.5" x14ac:dyDescent="0.25">
      <c r="A3650" s="306">
        <v>89806</v>
      </c>
      <c r="B3650" s="305" t="s">
        <v>3403</v>
      </c>
      <c r="C3650" s="305" t="s">
        <v>363</v>
      </c>
      <c r="D3650" s="575">
        <v>10.01</v>
      </c>
    </row>
    <row r="3651" spans="1:4" ht="13.5" x14ac:dyDescent="0.25">
      <c r="A3651" s="306">
        <v>89807</v>
      </c>
      <c r="B3651" s="305" t="s">
        <v>3404</v>
      </c>
      <c r="C3651" s="305" t="s">
        <v>363</v>
      </c>
      <c r="D3651" s="575">
        <v>17.350000000000001</v>
      </c>
    </row>
    <row r="3652" spans="1:4" ht="13.5" x14ac:dyDescent="0.25">
      <c r="A3652" s="306">
        <v>89808</v>
      </c>
      <c r="B3652" s="305" t="s">
        <v>3405</v>
      </c>
      <c r="C3652" s="305" t="s">
        <v>363</v>
      </c>
      <c r="D3652" s="575">
        <v>25.28</v>
      </c>
    </row>
    <row r="3653" spans="1:4" ht="13.5" x14ac:dyDescent="0.25">
      <c r="A3653" s="306">
        <v>89809</v>
      </c>
      <c r="B3653" s="305" t="s">
        <v>3406</v>
      </c>
      <c r="C3653" s="305" t="s">
        <v>363</v>
      </c>
      <c r="D3653" s="575">
        <v>12.79</v>
      </c>
    </row>
    <row r="3654" spans="1:4" ht="13.5" x14ac:dyDescent="0.25">
      <c r="A3654" s="306">
        <v>89810</v>
      </c>
      <c r="B3654" s="305" t="s">
        <v>3407</v>
      </c>
      <c r="C3654" s="305" t="s">
        <v>363</v>
      </c>
      <c r="D3654" s="575">
        <v>12.76</v>
      </c>
    </row>
    <row r="3655" spans="1:4" ht="13.5" x14ac:dyDescent="0.25">
      <c r="A3655" s="306">
        <v>89811</v>
      </c>
      <c r="B3655" s="305" t="s">
        <v>3408</v>
      </c>
      <c r="C3655" s="305" t="s">
        <v>363</v>
      </c>
      <c r="D3655" s="575">
        <v>21.38</v>
      </c>
    </row>
    <row r="3656" spans="1:4" ht="13.5" x14ac:dyDescent="0.25">
      <c r="A3656" s="306">
        <v>89812</v>
      </c>
      <c r="B3656" s="305" t="s">
        <v>3409</v>
      </c>
      <c r="C3656" s="305" t="s">
        <v>363</v>
      </c>
      <c r="D3656" s="575">
        <v>36.619999999999997</v>
      </c>
    </row>
    <row r="3657" spans="1:4" ht="13.5" x14ac:dyDescent="0.25">
      <c r="A3657" s="306">
        <v>89813</v>
      </c>
      <c r="B3657" s="305" t="s">
        <v>3410</v>
      </c>
      <c r="C3657" s="305" t="s">
        <v>363</v>
      </c>
      <c r="D3657" s="575">
        <v>4.6399999999999997</v>
      </c>
    </row>
    <row r="3658" spans="1:4" ht="13.5" x14ac:dyDescent="0.25">
      <c r="A3658" s="306">
        <v>89814</v>
      </c>
      <c r="B3658" s="305" t="s">
        <v>3411</v>
      </c>
      <c r="C3658" s="305" t="s">
        <v>363</v>
      </c>
      <c r="D3658" s="575">
        <v>9.27</v>
      </c>
    </row>
    <row r="3659" spans="1:4" ht="13.5" x14ac:dyDescent="0.25">
      <c r="A3659" s="306">
        <v>89815</v>
      </c>
      <c r="B3659" s="305" t="s">
        <v>3412</v>
      </c>
      <c r="C3659" s="305" t="s">
        <v>363</v>
      </c>
      <c r="D3659" s="575">
        <v>19.850000000000001</v>
      </c>
    </row>
    <row r="3660" spans="1:4" ht="13.5" x14ac:dyDescent="0.25">
      <c r="A3660" s="306">
        <v>89816</v>
      </c>
      <c r="B3660" s="305" t="s">
        <v>3413</v>
      </c>
      <c r="C3660" s="305" t="s">
        <v>363</v>
      </c>
      <c r="D3660" s="575">
        <v>28.49</v>
      </c>
    </row>
    <row r="3661" spans="1:4" ht="13.5" x14ac:dyDescent="0.25">
      <c r="A3661" s="306">
        <v>89817</v>
      </c>
      <c r="B3661" s="305" t="s">
        <v>3414</v>
      </c>
      <c r="C3661" s="305" t="s">
        <v>363</v>
      </c>
      <c r="D3661" s="575">
        <v>8.08</v>
      </c>
    </row>
    <row r="3662" spans="1:4" ht="13.5" x14ac:dyDescent="0.25">
      <c r="A3662" s="306">
        <v>89818</v>
      </c>
      <c r="B3662" s="305" t="s">
        <v>3415</v>
      </c>
      <c r="C3662" s="305" t="s">
        <v>363</v>
      </c>
      <c r="D3662" s="575">
        <v>113.96</v>
      </c>
    </row>
    <row r="3663" spans="1:4" ht="13.5" x14ac:dyDescent="0.25">
      <c r="A3663" s="306">
        <v>89819</v>
      </c>
      <c r="B3663" s="305" t="s">
        <v>3416</v>
      </c>
      <c r="C3663" s="305" t="s">
        <v>363</v>
      </c>
      <c r="D3663" s="575">
        <v>11.66</v>
      </c>
    </row>
    <row r="3664" spans="1:4" ht="13.5" x14ac:dyDescent="0.25">
      <c r="A3664" s="306">
        <v>89820</v>
      </c>
      <c r="B3664" s="305" t="s">
        <v>3417</v>
      </c>
      <c r="C3664" s="305" t="s">
        <v>363</v>
      </c>
      <c r="D3664" s="575">
        <v>21.58</v>
      </c>
    </row>
    <row r="3665" spans="1:4" ht="13.5" x14ac:dyDescent="0.25">
      <c r="A3665" s="306">
        <v>89821</v>
      </c>
      <c r="B3665" s="305" t="s">
        <v>3418</v>
      </c>
      <c r="C3665" s="305" t="s">
        <v>363</v>
      </c>
      <c r="D3665" s="575">
        <v>10.16</v>
      </c>
    </row>
    <row r="3666" spans="1:4" ht="13.5" x14ac:dyDescent="0.25">
      <c r="A3666" s="306">
        <v>89822</v>
      </c>
      <c r="B3666" s="305" t="s">
        <v>3419</v>
      </c>
      <c r="C3666" s="305" t="s">
        <v>363</v>
      </c>
      <c r="D3666" s="575">
        <v>15.49</v>
      </c>
    </row>
    <row r="3667" spans="1:4" ht="13.5" x14ac:dyDescent="0.25">
      <c r="A3667" s="306">
        <v>89823</v>
      </c>
      <c r="B3667" s="305" t="s">
        <v>3420</v>
      </c>
      <c r="C3667" s="305" t="s">
        <v>363</v>
      </c>
      <c r="D3667" s="575">
        <v>16.79</v>
      </c>
    </row>
    <row r="3668" spans="1:4" ht="13.5" x14ac:dyDescent="0.25">
      <c r="A3668" s="306">
        <v>89824</v>
      </c>
      <c r="B3668" s="305" t="s">
        <v>3421</v>
      </c>
      <c r="C3668" s="305" t="s">
        <v>363</v>
      </c>
      <c r="D3668" s="575">
        <v>26.97</v>
      </c>
    </row>
    <row r="3669" spans="1:4" ht="13.5" x14ac:dyDescent="0.25">
      <c r="A3669" s="306">
        <v>89825</v>
      </c>
      <c r="B3669" s="305" t="s">
        <v>3422</v>
      </c>
      <c r="C3669" s="305" t="s">
        <v>363</v>
      </c>
      <c r="D3669" s="575">
        <v>10.130000000000001</v>
      </c>
    </row>
    <row r="3670" spans="1:4" ht="13.5" x14ac:dyDescent="0.25">
      <c r="A3670" s="306">
        <v>89826</v>
      </c>
      <c r="B3670" s="305" t="s">
        <v>3423</v>
      </c>
      <c r="C3670" s="305" t="s">
        <v>363</v>
      </c>
      <c r="D3670" s="575">
        <v>116.35</v>
      </c>
    </row>
    <row r="3671" spans="1:4" ht="13.5" x14ac:dyDescent="0.25">
      <c r="A3671" s="306">
        <v>89827</v>
      </c>
      <c r="B3671" s="305" t="s">
        <v>3424</v>
      </c>
      <c r="C3671" s="305" t="s">
        <v>363</v>
      </c>
      <c r="D3671" s="575">
        <v>11.24</v>
      </c>
    </row>
    <row r="3672" spans="1:4" ht="13.5" x14ac:dyDescent="0.25">
      <c r="A3672" s="306">
        <v>89828</v>
      </c>
      <c r="B3672" s="305" t="s">
        <v>3425</v>
      </c>
      <c r="C3672" s="305" t="s">
        <v>363</v>
      </c>
      <c r="D3672" s="575">
        <v>41.14</v>
      </c>
    </row>
    <row r="3673" spans="1:4" ht="13.5" x14ac:dyDescent="0.25">
      <c r="A3673" s="306">
        <v>89829</v>
      </c>
      <c r="B3673" s="305" t="s">
        <v>3426</v>
      </c>
      <c r="C3673" s="305" t="s">
        <v>363</v>
      </c>
      <c r="D3673" s="575">
        <v>17.88</v>
      </c>
    </row>
    <row r="3674" spans="1:4" ht="13.5" x14ac:dyDescent="0.25">
      <c r="A3674" s="306">
        <v>89830</v>
      </c>
      <c r="B3674" s="305" t="s">
        <v>3427</v>
      </c>
      <c r="C3674" s="305" t="s">
        <v>363</v>
      </c>
      <c r="D3674" s="575">
        <v>19.39</v>
      </c>
    </row>
    <row r="3675" spans="1:4" ht="13.5" x14ac:dyDescent="0.25">
      <c r="A3675" s="306">
        <v>89831</v>
      </c>
      <c r="B3675" s="305" t="s">
        <v>3428</v>
      </c>
      <c r="C3675" s="305" t="s">
        <v>363</v>
      </c>
      <c r="D3675" s="575">
        <v>139.13999999999999</v>
      </c>
    </row>
    <row r="3676" spans="1:4" ht="13.5" x14ac:dyDescent="0.25">
      <c r="A3676" s="306">
        <v>89832</v>
      </c>
      <c r="B3676" s="305" t="s">
        <v>3429</v>
      </c>
      <c r="C3676" s="305" t="s">
        <v>363</v>
      </c>
      <c r="D3676" s="575">
        <v>28.28</v>
      </c>
    </row>
    <row r="3677" spans="1:4" ht="13.5" x14ac:dyDescent="0.25">
      <c r="A3677" s="306">
        <v>89833</v>
      </c>
      <c r="B3677" s="305" t="s">
        <v>3430</v>
      </c>
      <c r="C3677" s="305" t="s">
        <v>363</v>
      </c>
      <c r="D3677" s="575">
        <v>22.4</v>
      </c>
    </row>
    <row r="3678" spans="1:4" ht="13.5" x14ac:dyDescent="0.25">
      <c r="A3678" s="306">
        <v>89834</v>
      </c>
      <c r="B3678" s="305" t="s">
        <v>3431</v>
      </c>
      <c r="C3678" s="305" t="s">
        <v>363</v>
      </c>
      <c r="D3678" s="575">
        <v>25.95</v>
      </c>
    </row>
    <row r="3679" spans="1:4" ht="13.5" x14ac:dyDescent="0.25">
      <c r="A3679" s="306">
        <v>89835</v>
      </c>
      <c r="B3679" s="305" t="s">
        <v>3432</v>
      </c>
      <c r="C3679" s="305" t="s">
        <v>363</v>
      </c>
      <c r="D3679" s="575">
        <v>27.84</v>
      </c>
    </row>
    <row r="3680" spans="1:4" ht="13.5" x14ac:dyDescent="0.25">
      <c r="A3680" s="306">
        <v>89836</v>
      </c>
      <c r="B3680" s="305" t="s">
        <v>3433</v>
      </c>
      <c r="C3680" s="305" t="s">
        <v>363</v>
      </c>
      <c r="D3680" s="575">
        <v>188.03</v>
      </c>
    </row>
    <row r="3681" spans="1:4" ht="13.5" x14ac:dyDescent="0.25">
      <c r="A3681" s="306">
        <v>89837</v>
      </c>
      <c r="B3681" s="305" t="s">
        <v>3434</v>
      </c>
      <c r="C3681" s="305" t="s">
        <v>363</v>
      </c>
      <c r="D3681" s="575">
        <v>93.57</v>
      </c>
    </row>
    <row r="3682" spans="1:4" ht="13.5" x14ac:dyDescent="0.25">
      <c r="A3682" s="306">
        <v>89838</v>
      </c>
      <c r="B3682" s="305" t="s">
        <v>3435</v>
      </c>
      <c r="C3682" s="305" t="s">
        <v>363</v>
      </c>
      <c r="D3682" s="575">
        <v>102.23</v>
      </c>
    </row>
    <row r="3683" spans="1:4" ht="13.5" x14ac:dyDescent="0.25">
      <c r="A3683" s="306">
        <v>89839</v>
      </c>
      <c r="B3683" s="305" t="s">
        <v>3436</v>
      </c>
      <c r="C3683" s="305" t="s">
        <v>363</v>
      </c>
      <c r="D3683" s="575">
        <v>135.51</v>
      </c>
    </row>
    <row r="3684" spans="1:4" ht="13.5" x14ac:dyDescent="0.25">
      <c r="A3684" s="306">
        <v>89840</v>
      </c>
      <c r="B3684" s="305" t="s">
        <v>3437</v>
      </c>
      <c r="C3684" s="305" t="s">
        <v>363</v>
      </c>
      <c r="D3684" s="575">
        <v>117.57</v>
      </c>
    </row>
    <row r="3685" spans="1:4" ht="13.5" x14ac:dyDescent="0.25">
      <c r="A3685" s="306">
        <v>89841</v>
      </c>
      <c r="B3685" s="305" t="s">
        <v>3438</v>
      </c>
      <c r="C3685" s="305" t="s">
        <v>363</v>
      </c>
      <c r="D3685" s="575">
        <v>198.77</v>
      </c>
    </row>
    <row r="3686" spans="1:4" ht="13.5" x14ac:dyDescent="0.25">
      <c r="A3686" s="306">
        <v>89842</v>
      </c>
      <c r="B3686" s="305" t="s">
        <v>3439</v>
      </c>
      <c r="C3686" s="305" t="s">
        <v>363</v>
      </c>
      <c r="D3686" s="575">
        <v>31.98</v>
      </c>
    </row>
    <row r="3687" spans="1:4" ht="13.5" x14ac:dyDescent="0.25">
      <c r="A3687" s="306">
        <v>89844</v>
      </c>
      <c r="B3687" s="305" t="s">
        <v>3440</v>
      </c>
      <c r="C3687" s="305" t="s">
        <v>363</v>
      </c>
      <c r="D3687" s="575">
        <v>40.729999999999997</v>
      </c>
    </row>
    <row r="3688" spans="1:4" ht="13.5" x14ac:dyDescent="0.25">
      <c r="A3688" s="306">
        <v>89845</v>
      </c>
      <c r="B3688" s="305" t="s">
        <v>3441</v>
      </c>
      <c r="C3688" s="305" t="s">
        <v>363</v>
      </c>
      <c r="D3688" s="575">
        <v>63.3</v>
      </c>
    </row>
    <row r="3689" spans="1:4" ht="13.5" x14ac:dyDescent="0.25">
      <c r="A3689" s="306">
        <v>89846</v>
      </c>
      <c r="B3689" s="305" t="s">
        <v>3442</v>
      </c>
      <c r="C3689" s="305" t="s">
        <v>363</v>
      </c>
      <c r="D3689" s="575">
        <v>142.62</v>
      </c>
    </row>
    <row r="3690" spans="1:4" ht="13.5" x14ac:dyDescent="0.25">
      <c r="A3690" s="306">
        <v>89847</v>
      </c>
      <c r="B3690" s="305" t="s">
        <v>3443</v>
      </c>
      <c r="C3690" s="305" t="s">
        <v>363</v>
      </c>
      <c r="D3690" s="575">
        <v>175.01</v>
      </c>
    </row>
    <row r="3691" spans="1:4" ht="13.5" x14ac:dyDescent="0.25">
      <c r="A3691" s="306">
        <v>89850</v>
      </c>
      <c r="B3691" s="305" t="s">
        <v>3444</v>
      </c>
      <c r="C3691" s="305" t="s">
        <v>363</v>
      </c>
      <c r="D3691" s="575">
        <v>16.97</v>
      </c>
    </row>
    <row r="3692" spans="1:4" ht="13.5" x14ac:dyDescent="0.25">
      <c r="A3692" s="306">
        <v>89851</v>
      </c>
      <c r="B3692" s="305" t="s">
        <v>3445</v>
      </c>
      <c r="C3692" s="305" t="s">
        <v>363</v>
      </c>
      <c r="D3692" s="575">
        <v>16.940000000000001</v>
      </c>
    </row>
    <row r="3693" spans="1:4" ht="13.5" x14ac:dyDescent="0.25">
      <c r="A3693" s="306">
        <v>89852</v>
      </c>
      <c r="B3693" s="305" t="s">
        <v>3446</v>
      </c>
      <c r="C3693" s="305" t="s">
        <v>363</v>
      </c>
      <c r="D3693" s="575">
        <v>25.56</v>
      </c>
    </row>
    <row r="3694" spans="1:4" ht="13.5" x14ac:dyDescent="0.25">
      <c r="A3694" s="306">
        <v>89853</v>
      </c>
      <c r="B3694" s="305" t="s">
        <v>3447</v>
      </c>
      <c r="C3694" s="305" t="s">
        <v>363</v>
      </c>
      <c r="D3694" s="575">
        <v>40.799999999999997</v>
      </c>
    </row>
    <row r="3695" spans="1:4" ht="13.5" x14ac:dyDescent="0.25">
      <c r="A3695" s="306">
        <v>89854</v>
      </c>
      <c r="B3695" s="305" t="s">
        <v>3448</v>
      </c>
      <c r="C3695" s="305" t="s">
        <v>363</v>
      </c>
      <c r="D3695" s="575">
        <v>53.87</v>
      </c>
    </row>
    <row r="3696" spans="1:4" ht="13.5" x14ac:dyDescent="0.25">
      <c r="A3696" s="306">
        <v>89855</v>
      </c>
      <c r="B3696" s="305" t="s">
        <v>3449</v>
      </c>
      <c r="C3696" s="305" t="s">
        <v>363</v>
      </c>
      <c r="D3696" s="575">
        <v>56.94</v>
      </c>
    </row>
    <row r="3697" spans="1:4" ht="13.5" x14ac:dyDescent="0.25">
      <c r="A3697" s="306">
        <v>89856</v>
      </c>
      <c r="B3697" s="305" t="s">
        <v>3450</v>
      </c>
      <c r="C3697" s="305" t="s">
        <v>363</v>
      </c>
      <c r="D3697" s="575">
        <v>12.95</v>
      </c>
    </row>
    <row r="3698" spans="1:4" ht="13.5" x14ac:dyDescent="0.25">
      <c r="A3698" s="306">
        <v>89857</v>
      </c>
      <c r="B3698" s="305" t="s">
        <v>3451</v>
      </c>
      <c r="C3698" s="305" t="s">
        <v>363</v>
      </c>
      <c r="D3698" s="575">
        <v>19.579999999999998</v>
      </c>
    </row>
    <row r="3699" spans="1:4" ht="13.5" x14ac:dyDescent="0.25">
      <c r="A3699" s="306">
        <v>89859</v>
      </c>
      <c r="B3699" s="305" t="s">
        <v>3452</v>
      </c>
      <c r="C3699" s="305" t="s">
        <v>363</v>
      </c>
      <c r="D3699" s="575">
        <v>53.5</v>
      </c>
    </row>
    <row r="3700" spans="1:4" ht="13.5" x14ac:dyDescent="0.25">
      <c r="A3700" s="306">
        <v>89860</v>
      </c>
      <c r="B3700" s="305" t="s">
        <v>3453</v>
      </c>
      <c r="C3700" s="305" t="s">
        <v>363</v>
      </c>
      <c r="D3700" s="575">
        <v>27.97</v>
      </c>
    </row>
    <row r="3701" spans="1:4" ht="13.5" x14ac:dyDescent="0.25">
      <c r="A3701" s="306">
        <v>89861</v>
      </c>
      <c r="B3701" s="305" t="s">
        <v>3454</v>
      </c>
      <c r="C3701" s="305" t="s">
        <v>363</v>
      </c>
      <c r="D3701" s="575">
        <v>31.52</v>
      </c>
    </row>
    <row r="3702" spans="1:4" ht="13.5" x14ac:dyDescent="0.25">
      <c r="A3702" s="306">
        <v>89862</v>
      </c>
      <c r="B3702" s="305" t="s">
        <v>3455</v>
      </c>
      <c r="C3702" s="305" t="s">
        <v>363</v>
      </c>
      <c r="D3702" s="575">
        <v>60.25</v>
      </c>
    </row>
    <row r="3703" spans="1:4" ht="13.5" x14ac:dyDescent="0.25">
      <c r="A3703" s="306">
        <v>89863</v>
      </c>
      <c r="B3703" s="305" t="s">
        <v>3456</v>
      </c>
      <c r="C3703" s="305" t="s">
        <v>363</v>
      </c>
      <c r="D3703" s="575">
        <v>119.56</v>
      </c>
    </row>
    <row r="3704" spans="1:4" ht="13.5" x14ac:dyDescent="0.25">
      <c r="A3704" s="306">
        <v>89866</v>
      </c>
      <c r="B3704" s="305" t="s">
        <v>3457</v>
      </c>
      <c r="C3704" s="305" t="s">
        <v>363</v>
      </c>
      <c r="D3704" s="575">
        <v>3.8</v>
      </c>
    </row>
    <row r="3705" spans="1:4" ht="13.5" x14ac:dyDescent="0.25">
      <c r="A3705" s="306">
        <v>89867</v>
      </c>
      <c r="B3705" s="305" t="s">
        <v>3458</v>
      </c>
      <c r="C3705" s="305" t="s">
        <v>363</v>
      </c>
      <c r="D3705" s="575">
        <v>4.42</v>
      </c>
    </row>
    <row r="3706" spans="1:4" ht="13.5" x14ac:dyDescent="0.25">
      <c r="A3706" s="306">
        <v>89868</v>
      </c>
      <c r="B3706" s="305" t="s">
        <v>3459</v>
      </c>
      <c r="C3706" s="305" t="s">
        <v>363</v>
      </c>
      <c r="D3706" s="575">
        <v>2.79</v>
      </c>
    </row>
    <row r="3707" spans="1:4" ht="13.5" x14ac:dyDescent="0.25">
      <c r="A3707" s="306">
        <v>89869</v>
      </c>
      <c r="B3707" s="305" t="s">
        <v>3460</v>
      </c>
      <c r="C3707" s="305" t="s">
        <v>363</v>
      </c>
      <c r="D3707" s="575">
        <v>6.02</v>
      </c>
    </row>
    <row r="3708" spans="1:4" ht="13.5" x14ac:dyDescent="0.25">
      <c r="A3708" s="306">
        <v>89979</v>
      </c>
      <c r="B3708" s="305" t="s">
        <v>3461</v>
      </c>
      <c r="C3708" s="305" t="s">
        <v>363</v>
      </c>
      <c r="D3708" s="575">
        <v>20.059999999999999</v>
      </c>
    </row>
    <row r="3709" spans="1:4" ht="13.5" x14ac:dyDescent="0.25">
      <c r="A3709" s="306">
        <v>89980</v>
      </c>
      <c r="B3709" s="305" t="s">
        <v>3462</v>
      </c>
      <c r="C3709" s="305" t="s">
        <v>363</v>
      </c>
      <c r="D3709" s="575">
        <v>7.59</v>
      </c>
    </row>
    <row r="3710" spans="1:4" ht="13.5" x14ac:dyDescent="0.25">
      <c r="A3710" s="306">
        <v>89981</v>
      </c>
      <c r="B3710" s="305" t="s">
        <v>3463</v>
      </c>
      <c r="C3710" s="305" t="s">
        <v>363</v>
      </c>
      <c r="D3710" s="575">
        <v>17.55</v>
      </c>
    </row>
    <row r="3711" spans="1:4" ht="13.5" x14ac:dyDescent="0.25">
      <c r="A3711" s="306">
        <v>90373</v>
      </c>
      <c r="B3711" s="305" t="s">
        <v>3464</v>
      </c>
      <c r="C3711" s="305" t="s">
        <v>363</v>
      </c>
      <c r="D3711" s="575">
        <v>10.99</v>
      </c>
    </row>
    <row r="3712" spans="1:4" ht="13.5" x14ac:dyDescent="0.25">
      <c r="A3712" s="306">
        <v>90374</v>
      </c>
      <c r="B3712" s="305" t="s">
        <v>3465</v>
      </c>
      <c r="C3712" s="305" t="s">
        <v>363</v>
      </c>
      <c r="D3712" s="575">
        <v>17.12</v>
      </c>
    </row>
    <row r="3713" spans="1:4" ht="13.5" x14ac:dyDescent="0.25">
      <c r="A3713" s="306">
        <v>90375</v>
      </c>
      <c r="B3713" s="305" t="s">
        <v>3466</v>
      </c>
      <c r="C3713" s="305" t="s">
        <v>363</v>
      </c>
      <c r="D3713" s="575">
        <v>6.81</v>
      </c>
    </row>
    <row r="3714" spans="1:4" ht="13.5" x14ac:dyDescent="0.25">
      <c r="A3714" s="306">
        <v>92287</v>
      </c>
      <c r="B3714" s="305" t="s">
        <v>3467</v>
      </c>
      <c r="C3714" s="305" t="s">
        <v>363</v>
      </c>
      <c r="D3714" s="575">
        <v>12.37</v>
      </c>
    </row>
    <row r="3715" spans="1:4" ht="13.5" x14ac:dyDescent="0.25">
      <c r="A3715" s="306">
        <v>92288</v>
      </c>
      <c r="B3715" s="305" t="s">
        <v>3468</v>
      </c>
      <c r="C3715" s="305" t="s">
        <v>363</v>
      </c>
      <c r="D3715" s="575">
        <v>18.989999999999998</v>
      </c>
    </row>
    <row r="3716" spans="1:4" ht="13.5" x14ac:dyDescent="0.25">
      <c r="A3716" s="306">
        <v>92289</v>
      </c>
      <c r="B3716" s="305" t="s">
        <v>3469</v>
      </c>
      <c r="C3716" s="305" t="s">
        <v>363</v>
      </c>
      <c r="D3716" s="575">
        <v>33.14</v>
      </c>
    </row>
    <row r="3717" spans="1:4" ht="13.5" x14ac:dyDescent="0.25">
      <c r="A3717" s="306">
        <v>92290</v>
      </c>
      <c r="B3717" s="305" t="s">
        <v>3470</v>
      </c>
      <c r="C3717" s="305" t="s">
        <v>363</v>
      </c>
      <c r="D3717" s="575">
        <v>50.2</v>
      </c>
    </row>
    <row r="3718" spans="1:4" ht="13.5" x14ac:dyDescent="0.25">
      <c r="A3718" s="306">
        <v>92291</v>
      </c>
      <c r="B3718" s="305" t="s">
        <v>3471</v>
      </c>
      <c r="C3718" s="305" t="s">
        <v>363</v>
      </c>
      <c r="D3718" s="575">
        <v>76.78</v>
      </c>
    </row>
    <row r="3719" spans="1:4" ht="13.5" x14ac:dyDescent="0.25">
      <c r="A3719" s="306">
        <v>92292</v>
      </c>
      <c r="B3719" s="305" t="s">
        <v>3472</v>
      </c>
      <c r="C3719" s="305" t="s">
        <v>363</v>
      </c>
      <c r="D3719" s="575">
        <v>238.79</v>
      </c>
    </row>
    <row r="3720" spans="1:4" ht="13.5" x14ac:dyDescent="0.25">
      <c r="A3720" s="306">
        <v>92293</v>
      </c>
      <c r="B3720" s="305" t="s">
        <v>3473</v>
      </c>
      <c r="C3720" s="305" t="s">
        <v>363</v>
      </c>
      <c r="D3720" s="575">
        <v>7.15</v>
      </c>
    </row>
    <row r="3721" spans="1:4" ht="13.5" x14ac:dyDescent="0.25">
      <c r="A3721" s="306">
        <v>92294</v>
      </c>
      <c r="B3721" s="305" t="s">
        <v>3474</v>
      </c>
      <c r="C3721" s="305" t="s">
        <v>363</v>
      </c>
      <c r="D3721" s="575">
        <v>11.68</v>
      </c>
    </row>
    <row r="3722" spans="1:4" ht="13.5" x14ac:dyDescent="0.25">
      <c r="A3722" s="306">
        <v>92295</v>
      </c>
      <c r="B3722" s="305" t="s">
        <v>3475</v>
      </c>
      <c r="C3722" s="305" t="s">
        <v>363</v>
      </c>
      <c r="D3722" s="575">
        <v>21.59</v>
      </c>
    </row>
    <row r="3723" spans="1:4" ht="13.5" x14ac:dyDescent="0.25">
      <c r="A3723" s="306">
        <v>92296</v>
      </c>
      <c r="B3723" s="305" t="s">
        <v>3476</v>
      </c>
      <c r="C3723" s="305" t="s">
        <v>363</v>
      </c>
      <c r="D3723" s="575">
        <v>28.7</v>
      </c>
    </row>
    <row r="3724" spans="1:4" ht="13.5" x14ac:dyDescent="0.25">
      <c r="A3724" s="306">
        <v>92297</v>
      </c>
      <c r="B3724" s="305" t="s">
        <v>3477</v>
      </c>
      <c r="C3724" s="305" t="s">
        <v>363</v>
      </c>
      <c r="D3724" s="575">
        <v>44.28</v>
      </c>
    </row>
    <row r="3725" spans="1:4" ht="13.5" x14ac:dyDescent="0.25">
      <c r="A3725" s="306">
        <v>92298</v>
      </c>
      <c r="B3725" s="305" t="s">
        <v>3478</v>
      </c>
      <c r="C3725" s="305" t="s">
        <v>363</v>
      </c>
      <c r="D3725" s="575">
        <v>123.71</v>
      </c>
    </row>
    <row r="3726" spans="1:4" ht="13.5" x14ac:dyDescent="0.25">
      <c r="A3726" s="306">
        <v>92299</v>
      </c>
      <c r="B3726" s="305" t="s">
        <v>3479</v>
      </c>
      <c r="C3726" s="305" t="s">
        <v>363</v>
      </c>
      <c r="D3726" s="575">
        <v>16.329999999999998</v>
      </c>
    </row>
    <row r="3727" spans="1:4" ht="13.5" x14ac:dyDescent="0.25">
      <c r="A3727" s="306">
        <v>92300</v>
      </c>
      <c r="B3727" s="305" t="s">
        <v>3480</v>
      </c>
      <c r="C3727" s="305" t="s">
        <v>363</v>
      </c>
      <c r="D3727" s="575">
        <v>24.23</v>
      </c>
    </row>
    <row r="3728" spans="1:4" ht="13.5" x14ac:dyDescent="0.25">
      <c r="A3728" s="306">
        <v>92301</v>
      </c>
      <c r="B3728" s="305" t="s">
        <v>3481</v>
      </c>
      <c r="C3728" s="305" t="s">
        <v>363</v>
      </c>
      <c r="D3728" s="575">
        <v>47.14</v>
      </c>
    </row>
    <row r="3729" spans="1:4" ht="13.5" x14ac:dyDescent="0.25">
      <c r="A3729" s="306">
        <v>92302</v>
      </c>
      <c r="B3729" s="305" t="s">
        <v>3482</v>
      </c>
      <c r="C3729" s="305" t="s">
        <v>363</v>
      </c>
      <c r="D3729" s="575">
        <v>62.31</v>
      </c>
    </row>
    <row r="3730" spans="1:4" ht="13.5" x14ac:dyDescent="0.25">
      <c r="A3730" s="306">
        <v>92303</v>
      </c>
      <c r="B3730" s="305" t="s">
        <v>3483</v>
      </c>
      <c r="C3730" s="305" t="s">
        <v>363</v>
      </c>
      <c r="D3730" s="575">
        <v>113.75</v>
      </c>
    </row>
    <row r="3731" spans="1:4" ht="13.5" x14ac:dyDescent="0.25">
      <c r="A3731" s="306">
        <v>92304</v>
      </c>
      <c r="B3731" s="305" t="s">
        <v>3484</v>
      </c>
      <c r="C3731" s="305" t="s">
        <v>363</v>
      </c>
      <c r="D3731" s="575">
        <v>294.75</v>
      </c>
    </row>
    <row r="3732" spans="1:4" ht="13.5" x14ac:dyDescent="0.25">
      <c r="A3732" s="306">
        <v>92311</v>
      </c>
      <c r="B3732" s="305" t="s">
        <v>3485</v>
      </c>
      <c r="C3732" s="305" t="s">
        <v>363</v>
      </c>
      <c r="D3732" s="575">
        <v>8.98</v>
      </c>
    </row>
    <row r="3733" spans="1:4" ht="13.5" x14ac:dyDescent="0.25">
      <c r="A3733" s="306">
        <v>92312</v>
      </c>
      <c r="B3733" s="305" t="s">
        <v>3486</v>
      </c>
      <c r="C3733" s="305" t="s">
        <v>363</v>
      </c>
      <c r="D3733" s="575">
        <v>14.55</v>
      </c>
    </row>
    <row r="3734" spans="1:4" ht="13.5" x14ac:dyDescent="0.25">
      <c r="A3734" s="306">
        <v>92313</v>
      </c>
      <c r="B3734" s="305" t="s">
        <v>3487</v>
      </c>
      <c r="C3734" s="305" t="s">
        <v>363</v>
      </c>
      <c r="D3734" s="575">
        <v>21.16</v>
      </c>
    </row>
    <row r="3735" spans="1:4" ht="13.5" x14ac:dyDescent="0.25">
      <c r="A3735" s="306">
        <v>92314</v>
      </c>
      <c r="B3735" s="305" t="s">
        <v>3488</v>
      </c>
      <c r="C3735" s="305" t="s">
        <v>363</v>
      </c>
      <c r="D3735" s="575">
        <v>5.83</v>
      </c>
    </row>
    <row r="3736" spans="1:4" ht="13.5" x14ac:dyDescent="0.25">
      <c r="A3736" s="306">
        <v>92315</v>
      </c>
      <c r="B3736" s="305" t="s">
        <v>3489</v>
      </c>
      <c r="C3736" s="305" t="s">
        <v>363</v>
      </c>
      <c r="D3736" s="575">
        <v>8.6300000000000008</v>
      </c>
    </row>
    <row r="3737" spans="1:4" ht="13.5" x14ac:dyDescent="0.25">
      <c r="A3737" s="306">
        <v>92316</v>
      </c>
      <c r="B3737" s="305" t="s">
        <v>3490</v>
      </c>
      <c r="C3737" s="305" t="s">
        <v>363</v>
      </c>
      <c r="D3737" s="575">
        <v>13.15</v>
      </c>
    </row>
    <row r="3738" spans="1:4" ht="13.5" x14ac:dyDescent="0.25">
      <c r="A3738" s="306">
        <v>92317</v>
      </c>
      <c r="B3738" s="305" t="s">
        <v>3491</v>
      </c>
      <c r="C3738" s="305" t="s">
        <v>363</v>
      </c>
      <c r="D3738" s="575">
        <v>12.19</v>
      </c>
    </row>
    <row r="3739" spans="1:4" ht="13.5" x14ac:dyDescent="0.25">
      <c r="A3739" s="306">
        <v>92318</v>
      </c>
      <c r="B3739" s="305" t="s">
        <v>3492</v>
      </c>
      <c r="C3739" s="305" t="s">
        <v>363</v>
      </c>
      <c r="D3739" s="575">
        <v>19.239999999999998</v>
      </c>
    </row>
    <row r="3740" spans="1:4" ht="13.5" x14ac:dyDescent="0.25">
      <c r="A3740" s="306">
        <v>92319</v>
      </c>
      <c r="B3740" s="305" t="s">
        <v>3493</v>
      </c>
      <c r="C3740" s="305" t="s">
        <v>363</v>
      </c>
      <c r="D3740" s="575">
        <v>27.14</v>
      </c>
    </row>
    <row r="3741" spans="1:4" ht="13.5" x14ac:dyDescent="0.25">
      <c r="A3741" s="306">
        <v>92326</v>
      </c>
      <c r="B3741" s="305" t="s">
        <v>3494</v>
      </c>
      <c r="C3741" s="305" t="s">
        <v>363</v>
      </c>
      <c r="D3741" s="575">
        <v>9.9700000000000006</v>
      </c>
    </row>
    <row r="3742" spans="1:4" ht="13.5" x14ac:dyDescent="0.25">
      <c r="A3742" s="306">
        <v>92327</v>
      </c>
      <c r="B3742" s="305" t="s">
        <v>3495</v>
      </c>
      <c r="C3742" s="305" t="s">
        <v>363</v>
      </c>
      <c r="D3742" s="575">
        <v>16.57</v>
      </c>
    </row>
    <row r="3743" spans="1:4" ht="13.5" x14ac:dyDescent="0.25">
      <c r="A3743" s="306">
        <v>92328</v>
      </c>
      <c r="B3743" s="305" t="s">
        <v>3496</v>
      </c>
      <c r="C3743" s="305" t="s">
        <v>363</v>
      </c>
      <c r="D3743" s="575">
        <v>24.76</v>
      </c>
    </row>
    <row r="3744" spans="1:4" ht="13.5" x14ac:dyDescent="0.25">
      <c r="A3744" s="306">
        <v>92329</v>
      </c>
      <c r="B3744" s="305" t="s">
        <v>3497</v>
      </c>
      <c r="C3744" s="305" t="s">
        <v>363</v>
      </c>
      <c r="D3744" s="575">
        <v>5.97</v>
      </c>
    </row>
    <row r="3745" spans="1:4" ht="13.5" x14ac:dyDescent="0.25">
      <c r="A3745" s="306">
        <v>92330</v>
      </c>
      <c r="B3745" s="305" t="s">
        <v>3498</v>
      </c>
      <c r="C3745" s="305" t="s">
        <v>363</v>
      </c>
      <c r="D3745" s="575">
        <v>9.9499999999999993</v>
      </c>
    </row>
    <row r="3746" spans="1:4" ht="13.5" x14ac:dyDescent="0.25">
      <c r="A3746" s="306">
        <v>92331</v>
      </c>
      <c r="B3746" s="305" t="s">
        <v>3499</v>
      </c>
      <c r="C3746" s="305" t="s">
        <v>363</v>
      </c>
      <c r="D3746" s="575">
        <v>15.56</v>
      </c>
    </row>
    <row r="3747" spans="1:4" ht="13.5" x14ac:dyDescent="0.25">
      <c r="A3747" s="306">
        <v>92332</v>
      </c>
      <c r="B3747" s="305" t="s">
        <v>3500</v>
      </c>
      <c r="C3747" s="305" t="s">
        <v>363</v>
      </c>
      <c r="D3747" s="575">
        <v>12.41</v>
      </c>
    </row>
    <row r="3748" spans="1:4" ht="13.5" x14ac:dyDescent="0.25">
      <c r="A3748" s="306">
        <v>92333</v>
      </c>
      <c r="B3748" s="305" t="s">
        <v>3501</v>
      </c>
      <c r="C3748" s="305" t="s">
        <v>363</v>
      </c>
      <c r="D3748" s="575">
        <v>21.9</v>
      </c>
    </row>
    <row r="3749" spans="1:4" ht="13.5" x14ac:dyDescent="0.25">
      <c r="A3749" s="306">
        <v>92334</v>
      </c>
      <c r="B3749" s="305" t="s">
        <v>3502</v>
      </c>
      <c r="C3749" s="305" t="s">
        <v>363</v>
      </c>
      <c r="D3749" s="575">
        <v>31.89</v>
      </c>
    </row>
    <row r="3750" spans="1:4" ht="13.5" x14ac:dyDescent="0.25">
      <c r="A3750" s="306">
        <v>92344</v>
      </c>
      <c r="B3750" s="305" t="s">
        <v>3503</v>
      </c>
      <c r="C3750" s="305" t="s">
        <v>363</v>
      </c>
      <c r="D3750" s="575">
        <v>44.01</v>
      </c>
    </row>
    <row r="3751" spans="1:4" ht="13.5" x14ac:dyDescent="0.25">
      <c r="A3751" s="306">
        <v>92345</v>
      </c>
      <c r="B3751" s="305" t="s">
        <v>3504</v>
      </c>
      <c r="C3751" s="305" t="s">
        <v>363</v>
      </c>
      <c r="D3751" s="575">
        <v>44</v>
      </c>
    </row>
    <row r="3752" spans="1:4" ht="13.5" x14ac:dyDescent="0.25">
      <c r="A3752" s="306">
        <v>92346</v>
      </c>
      <c r="B3752" s="305" t="s">
        <v>3505</v>
      </c>
      <c r="C3752" s="305" t="s">
        <v>363</v>
      </c>
      <c r="D3752" s="575">
        <v>57.29</v>
      </c>
    </row>
    <row r="3753" spans="1:4" ht="13.5" x14ac:dyDescent="0.25">
      <c r="A3753" s="306">
        <v>92347</v>
      </c>
      <c r="B3753" s="305" t="s">
        <v>3506</v>
      </c>
      <c r="C3753" s="305" t="s">
        <v>363</v>
      </c>
      <c r="D3753" s="575">
        <v>63.47</v>
      </c>
    </row>
    <row r="3754" spans="1:4" ht="13.5" x14ac:dyDescent="0.25">
      <c r="A3754" s="306">
        <v>92348</v>
      </c>
      <c r="B3754" s="305" t="s">
        <v>3507</v>
      </c>
      <c r="C3754" s="305" t="s">
        <v>363</v>
      </c>
      <c r="D3754" s="575">
        <v>79.58</v>
      </c>
    </row>
    <row r="3755" spans="1:4" ht="13.5" x14ac:dyDescent="0.25">
      <c r="A3755" s="306">
        <v>92349</v>
      </c>
      <c r="B3755" s="305" t="s">
        <v>3508</v>
      </c>
      <c r="C3755" s="305" t="s">
        <v>363</v>
      </c>
      <c r="D3755" s="575">
        <v>85.07</v>
      </c>
    </row>
    <row r="3756" spans="1:4" ht="13.5" x14ac:dyDescent="0.25">
      <c r="A3756" s="306">
        <v>92350</v>
      </c>
      <c r="B3756" s="305" t="s">
        <v>3509</v>
      </c>
      <c r="C3756" s="305" t="s">
        <v>363</v>
      </c>
      <c r="D3756" s="575">
        <v>65.459999999999994</v>
      </c>
    </row>
    <row r="3757" spans="1:4" ht="13.5" x14ac:dyDescent="0.25">
      <c r="A3757" s="306">
        <v>92351</v>
      </c>
      <c r="B3757" s="305" t="s">
        <v>3510</v>
      </c>
      <c r="C3757" s="305" t="s">
        <v>363</v>
      </c>
      <c r="D3757" s="575">
        <v>64.09</v>
      </c>
    </row>
    <row r="3758" spans="1:4" ht="13.5" x14ac:dyDescent="0.25">
      <c r="A3758" s="306">
        <v>92352</v>
      </c>
      <c r="B3758" s="305" t="s">
        <v>3511</v>
      </c>
      <c r="C3758" s="305" t="s">
        <v>363</v>
      </c>
      <c r="D3758" s="575">
        <v>97.76</v>
      </c>
    </row>
    <row r="3759" spans="1:4" ht="13.5" x14ac:dyDescent="0.25">
      <c r="A3759" s="306">
        <v>92353</v>
      </c>
      <c r="B3759" s="305" t="s">
        <v>3512</v>
      </c>
      <c r="C3759" s="305" t="s">
        <v>363</v>
      </c>
      <c r="D3759" s="575">
        <v>91.72</v>
      </c>
    </row>
    <row r="3760" spans="1:4" ht="13.5" x14ac:dyDescent="0.25">
      <c r="A3760" s="306">
        <v>92354</v>
      </c>
      <c r="B3760" s="305" t="s">
        <v>3513</v>
      </c>
      <c r="C3760" s="305" t="s">
        <v>363</v>
      </c>
      <c r="D3760" s="575">
        <v>128.79</v>
      </c>
    </row>
    <row r="3761" spans="1:4" ht="13.5" x14ac:dyDescent="0.25">
      <c r="A3761" s="306">
        <v>92355</v>
      </c>
      <c r="B3761" s="305" t="s">
        <v>3514</v>
      </c>
      <c r="C3761" s="305" t="s">
        <v>363</v>
      </c>
      <c r="D3761" s="575">
        <v>117.15</v>
      </c>
    </row>
    <row r="3762" spans="1:4" ht="13.5" x14ac:dyDescent="0.25">
      <c r="A3762" s="306">
        <v>92356</v>
      </c>
      <c r="B3762" s="305" t="s">
        <v>3515</v>
      </c>
      <c r="C3762" s="305" t="s">
        <v>363</v>
      </c>
      <c r="D3762" s="575">
        <v>85.43</v>
      </c>
    </row>
    <row r="3763" spans="1:4" ht="13.5" x14ac:dyDescent="0.25">
      <c r="A3763" s="306">
        <v>92357</v>
      </c>
      <c r="B3763" s="305" t="s">
        <v>3516</v>
      </c>
      <c r="C3763" s="305" t="s">
        <v>363</v>
      </c>
      <c r="D3763" s="575">
        <v>125.35</v>
      </c>
    </row>
    <row r="3764" spans="1:4" ht="13.5" x14ac:dyDescent="0.25">
      <c r="A3764" s="306">
        <v>92358</v>
      </c>
      <c r="B3764" s="305" t="s">
        <v>3517</v>
      </c>
      <c r="C3764" s="305" t="s">
        <v>363</v>
      </c>
      <c r="D3764" s="575">
        <v>155.1</v>
      </c>
    </row>
    <row r="3765" spans="1:4" ht="13.5" x14ac:dyDescent="0.25">
      <c r="A3765" s="306">
        <v>92369</v>
      </c>
      <c r="B3765" s="305" t="s">
        <v>3518</v>
      </c>
      <c r="C3765" s="305" t="s">
        <v>363</v>
      </c>
      <c r="D3765" s="575">
        <v>24.23</v>
      </c>
    </row>
    <row r="3766" spans="1:4" ht="13.5" x14ac:dyDescent="0.25">
      <c r="A3766" s="306">
        <v>92370</v>
      </c>
      <c r="B3766" s="305" t="s">
        <v>3519</v>
      </c>
      <c r="C3766" s="305" t="s">
        <v>363</v>
      </c>
      <c r="D3766" s="575">
        <v>25.34</v>
      </c>
    </row>
    <row r="3767" spans="1:4" ht="13.5" x14ac:dyDescent="0.25">
      <c r="A3767" s="306">
        <v>92371</v>
      </c>
      <c r="B3767" s="305" t="s">
        <v>3520</v>
      </c>
      <c r="C3767" s="305" t="s">
        <v>363</v>
      </c>
      <c r="D3767" s="575">
        <v>29.08</v>
      </c>
    </row>
    <row r="3768" spans="1:4" ht="13.5" x14ac:dyDescent="0.25">
      <c r="A3768" s="306">
        <v>92372</v>
      </c>
      <c r="B3768" s="305" t="s">
        <v>3521</v>
      </c>
      <c r="C3768" s="305" t="s">
        <v>363</v>
      </c>
      <c r="D3768" s="575">
        <v>30.11</v>
      </c>
    </row>
    <row r="3769" spans="1:4" ht="13.5" x14ac:dyDescent="0.25">
      <c r="A3769" s="306">
        <v>92373</v>
      </c>
      <c r="B3769" s="305" t="s">
        <v>3522</v>
      </c>
      <c r="C3769" s="305" t="s">
        <v>363</v>
      </c>
      <c r="D3769" s="575">
        <v>34.18</v>
      </c>
    </row>
    <row r="3770" spans="1:4" ht="13.5" x14ac:dyDescent="0.25">
      <c r="A3770" s="306">
        <v>92374</v>
      </c>
      <c r="B3770" s="305" t="s">
        <v>3523</v>
      </c>
      <c r="C3770" s="305" t="s">
        <v>363</v>
      </c>
      <c r="D3770" s="575">
        <v>34.380000000000003</v>
      </c>
    </row>
    <row r="3771" spans="1:4" ht="13.5" x14ac:dyDescent="0.25">
      <c r="A3771" s="306">
        <v>92375</v>
      </c>
      <c r="B3771" s="305" t="s">
        <v>3524</v>
      </c>
      <c r="C3771" s="305" t="s">
        <v>363</v>
      </c>
      <c r="D3771" s="575">
        <v>43.97</v>
      </c>
    </row>
    <row r="3772" spans="1:4" ht="13.5" x14ac:dyDescent="0.25">
      <c r="A3772" s="306">
        <v>92376</v>
      </c>
      <c r="B3772" s="305" t="s">
        <v>3525</v>
      </c>
      <c r="C3772" s="305" t="s">
        <v>363</v>
      </c>
      <c r="D3772" s="575">
        <v>43.96</v>
      </c>
    </row>
    <row r="3773" spans="1:4" ht="13.5" x14ac:dyDescent="0.25">
      <c r="A3773" s="306">
        <v>92377</v>
      </c>
      <c r="B3773" s="305" t="s">
        <v>3526</v>
      </c>
      <c r="C3773" s="305" t="s">
        <v>363</v>
      </c>
      <c r="D3773" s="575">
        <v>58.47</v>
      </c>
    </row>
    <row r="3774" spans="1:4" ht="13.5" x14ac:dyDescent="0.25">
      <c r="A3774" s="306">
        <v>92378</v>
      </c>
      <c r="B3774" s="305" t="s">
        <v>3527</v>
      </c>
      <c r="C3774" s="305" t="s">
        <v>363</v>
      </c>
      <c r="D3774" s="575">
        <v>64.650000000000006</v>
      </c>
    </row>
    <row r="3775" spans="1:4" ht="13.5" x14ac:dyDescent="0.25">
      <c r="A3775" s="306">
        <v>92379</v>
      </c>
      <c r="B3775" s="305" t="s">
        <v>3528</v>
      </c>
      <c r="C3775" s="305" t="s">
        <v>363</v>
      </c>
      <c r="D3775" s="575">
        <v>82.02</v>
      </c>
    </row>
    <row r="3776" spans="1:4" ht="13.5" x14ac:dyDescent="0.25">
      <c r="A3776" s="306">
        <v>92380</v>
      </c>
      <c r="B3776" s="305" t="s">
        <v>3529</v>
      </c>
      <c r="C3776" s="305" t="s">
        <v>363</v>
      </c>
      <c r="D3776" s="575">
        <v>87.51</v>
      </c>
    </row>
    <row r="3777" spans="1:4" ht="13.5" x14ac:dyDescent="0.25">
      <c r="A3777" s="306">
        <v>92381</v>
      </c>
      <c r="B3777" s="305" t="s">
        <v>3530</v>
      </c>
      <c r="C3777" s="305" t="s">
        <v>363</v>
      </c>
      <c r="D3777" s="575">
        <v>36.659999999999997</v>
      </c>
    </row>
    <row r="3778" spans="1:4" ht="13.5" x14ac:dyDescent="0.25">
      <c r="A3778" s="306">
        <v>92382</v>
      </c>
      <c r="B3778" s="305" t="s">
        <v>3531</v>
      </c>
      <c r="C3778" s="305" t="s">
        <v>363</v>
      </c>
      <c r="D3778" s="575">
        <v>35.18</v>
      </c>
    </row>
    <row r="3779" spans="1:4" ht="13.5" x14ac:dyDescent="0.25">
      <c r="A3779" s="306">
        <v>92383</v>
      </c>
      <c r="B3779" s="305" t="s">
        <v>3532</v>
      </c>
      <c r="C3779" s="305" t="s">
        <v>363</v>
      </c>
      <c r="D3779" s="575">
        <v>45.72</v>
      </c>
    </row>
    <row r="3780" spans="1:4" ht="13.5" x14ac:dyDescent="0.25">
      <c r="A3780" s="306">
        <v>92384</v>
      </c>
      <c r="B3780" s="305" t="s">
        <v>3533</v>
      </c>
      <c r="C3780" s="305" t="s">
        <v>363</v>
      </c>
      <c r="D3780" s="575">
        <v>42.79</v>
      </c>
    </row>
    <row r="3781" spans="1:4" ht="13.5" x14ac:dyDescent="0.25">
      <c r="A3781" s="306">
        <v>92385</v>
      </c>
      <c r="B3781" s="305" t="s">
        <v>3534</v>
      </c>
      <c r="C3781" s="305" t="s">
        <v>363</v>
      </c>
      <c r="D3781" s="575">
        <v>52.25</v>
      </c>
    </row>
    <row r="3782" spans="1:4" ht="13.5" x14ac:dyDescent="0.25">
      <c r="A3782" s="306">
        <v>92386</v>
      </c>
      <c r="B3782" s="305" t="s">
        <v>3535</v>
      </c>
      <c r="C3782" s="305" t="s">
        <v>363</v>
      </c>
      <c r="D3782" s="575">
        <v>50.23</v>
      </c>
    </row>
    <row r="3783" spans="1:4" ht="13.5" x14ac:dyDescent="0.25">
      <c r="A3783" s="306">
        <v>92387</v>
      </c>
      <c r="B3783" s="305" t="s">
        <v>3536</v>
      </c>
      <c r="C3783" s="305" t="s">
        <v>363</v>
      </c>
      <c r="D3783" s="575">
        <v>65.39</v>
      </c>
    </row>
    <row r="3784" spans="1:4" ht="13.5" x14ac:dyDescent="0.25">
      <c r="A3784" s="306">
        <v>92388</v>
      </c>
      <c r="B3784" s="305" t="s">
        <v>3537</v>
      </c>
      <c r="C3784" s="305" t="s">
        <v>363</v>
      </c>
      <c r="D3784" s="575">
        <v>64.02</v>
      </c>
    </row>
    <row r="3785" spans="1:4" ht="13.5" x14ac:dyDescent="0.25">
      <c r="A3785" s="306">
        <v>92389</v>
      </c>
      <c r="B3785" s="305" t="s">
        <v>3538</v>
      </c>
      <c r="C3785" s="305" t="s">
        <v>363</v>
      </c>
      <c r="D3785" s="575">
        <v>99.57</v>
      </c>
    </row>
    <row r="3786" spans="1:4" ht="13.5" x14ac:dyDescent="0.25">
      <c r="A3786" s="306">
        <v>92390</v>
      </c>
      <c r="B3786" s="305" t="s">
        <v>3539</v>
      </c>
      <c r="C3786" s="305" t="s">
        <v>363</v>
      </c>
      <c r="D3786" s="575">
        <v>93.53</v>
      </c>
    </row>
    <row r="3787" spans="1:4" ht="13.5" x14ac:dyDescent="0.25">
      <c r="A3787" s="306">
        <v>92635</v>
      </c>
      <c r="B3787" s="305" t="s">
        <v>3540</v>
      </c>
      <c r="C3787" s="305" t="s">
        <v>363</v>
      </c>
      <c r="D3787" s="575">
        <v>132.44</v>
      </c>
    </row>
    <row r="3788" spans="1:4" ht="13.5" x14ac:dyDescent="0.25">
      <c r="A3788" s="306">
        <v>92636</v>
      </c>
      <c r="B3788" s="305" t="s">
        <v>3541</v>
      </c>
      <c r="C3788" s="305" t="s">
        <v>363</v>
      </c>
      <c r="D3788" s="575">
        <v>120.8</v>
      </c>
    </row>
    <row r="3789" spans="1:4" ht="13.5" x14ac:dyDescent="0.25">
      <c r="A3789" s="306">
        <v>92637</v>
      </c>
      <c r="B3789" s="305" t="s">
        <v>3542</v>
      </c>
      <c r="C3789" s="305" t="s">
        <v>363</v>
      </c>
      <c r="D3789" s="575">
        <v>47.46</v>
      </c>
    </row>
    <row r="3790" spans="1:4" ht="13.5" x14ac:dyDescent="0.25">
      <c r="A3790" s="306">
        <v>92638</v>
      </c>
      <c r="B3790" s="305" t="s">
        <v>3543</v>
      </c>
      <c r="C3790" s="305" t="s">
        <v>363</v>
      </c>
      <c r="D3790" s="575">
        <v>57.43</v>
      </c>
    </row>
    <row r="3791" spans="1:4" ht="13.5" x14ac:dyDescent="0.25">
      <c r="A3791" s="306">
        <v>92639</v>
      </c>
      <c r="B3791" s="305" t="s">
        <v>3544</v>
      </c>
      <c r="C3791" s="305" t="s">
        <v>363</v>
      </c>
      <c r="D3791" s="575">
        <v>66.22</v>
      </c>
    </row>
    <row r="3792" spans="1:4" ht="13.5" x14ac:dyDescent="0.25">
      <c r="A3792" s="306">
        <v>92640</v>
      </c>
      <c r="B3792" s="305" t="s">
        <v>3545</v>
      </c>
      <c r="C3792" s="305" t="s">
        <v>363</v>
      </c>
      <c r="D3792" s="575">
        <v>85.33</v>
      </c>
    </row>
    <row r="3793" spans="1:4" ht="13.5" x14ac:dyDescent="0.25">
      <c r="A3793" s="306">
        <v>92642</v>
      </c>
      <c r="B3793" s="305" t="s">
        <v>3546</v>
      </c>
      <c r="C3793" s="305" t="s">
        <v>363</v>
      </c>
      <c r="D3793" s="575">
        <v>127.72</v>
      </c>
    </row>
    <row r="3794" spans="1:4" ht="13.5" x14ac:dyDescent="0.25">
      <c r="A3794" s="306">
        <v>92644</v>
      </c>
      <c r="B3794" s="305" t="s">
        <v>3547</v>
      </c>
      <c r="C3794" s="305" t="s">
        <v>363</v>
      </c>
      <c r="D3794" s="575">
        <v>159.97999999999999</v>
      </c>
    </row>
    <row r="3795" spans="1:4" ht="13.5" x14ac:dyDescent="0.25">
      <c r="A3795" s="306">
        <v>92657</v>
      </c>
      <c r="B3795" s="305" t="s">
        <v>3548</v>
      </c>
      <c r="C3795" s="305" t="s">
        <v>363</v>
      </c>
      <c r="D3795" s="575">
        <v>17.649999999999999</v>
      </c>
    </row>
    <row r="3796" spans="1:4" ht="13.5" x14ac:dyDescent="0.25">
      <c r="A3796" s="306">
        <v>92658</v>
      </c>
      <c r="B3796" s="305" t="s">
        <v>3549</v>
      </c>
      <c r="C3796" s="305" t="s">
        <v>363</v>
      </c>
      <c r="D3796" s="575">
        <v>18.760000000000002</v>
      </c>
    </row>
    <row r="3797" spans="1:4" ht="13.5" x14ac:dyDescent="0.25">
      <c r="A3797" s="306">
        <v>92659</v>
      </c>
      <c r="B3797" s="305" t="s">
        <v>3550</v>
      </c>
      <c r="C3797" s="305" t="s">
        <v>363</v>
      </c>
      <c r="D3797" s="575">
        <v>21.59</v>
      </c>
    </row>
    <row r="3798" spans="1:4" ht="13.5" x14ac:dyDescent="0.25">
      <c r="A3798" s="306">
        <v>92660</v>
      </c>
      <c r="B3798" s="305" t="s">
        <v>3551</v>
      </c>
      <c r="C3798" s="305" t="s">
        <v>363</v>
      </c>
      <c r="D3798" s="575">
        <v>22.62</v>
      </c>
    </row>
    <row r="3799" spans="1:4" ht="13.5" x14ac:dyDescent="0.25">
      <c r="A3799" s="306">
        <v>92661</v>
      </c>
      <c r="B3799" s="305" t="s">
        <v>3552</v>
      </c>
      <c r="C3799" s="305" t="s">
        <v>363</v>
      </c>
      <c r="D3799" s="575">
        <v>25.64</v>
      </c>
    </row>
    <row r="3800" spans="1:4" ht="13.5" x14ac:dyDescent="0.25">
      <c r="A3800" s="306">
        <v>92662</v>
      </c>
      <c r="B3800" s="305" t="s">
        <v>3553</v>
      </c>
      <c r="C3800" s="305" t="s">
        <v>363</v>
      </c>
      <c r="D3800" s="575">
        <v>25.84</v>
      </c>
    </row>
    <row r="3801" spans="1:4" ht="13.5" x14ac:dyDescent="0.25">
      <c r="A3801" s="306">
        <v>92663</v>
      </c>
      <c r="B3801" s="305" t="s">
        <v>3554</v>
      </c>
      <c r="C3801" s="305" t="s">
        <v>363</v>
      </c>
      <c r="D3801" s="575">
        <v>34.15</v>
      </c>
    </row>
    <row r="3802" spans="1:4" ht="13.5" x14ac:dyDescent="0.25">
      <c r="A3802" s="306">
        <v>92664</v>
      </c>
      <c r="B3802" s="305" t="s">
        <v>3555</v>
      </c>
      <c r="C3802" s="305" t="s">
        <v>363</v>
      </c>
      <c r="D3802" s="575">
        <v>34.14</v>
      </c>
    </row>
    <row r="3803" spans="1:4" ht="13.5" x14ac:dyDescent="0.25">
      <c r="A3803" s="306">
        <v>92665</v>
      </c>
      <c r="B3803" s="305" t="s">
        <v>3556</v>
      </c>
      <c r="C3803" s="305" t="s">
        <v>363</v>
      </c>
      <c r="D3803" s="575">
        <v>46.69</v>
      </c>
    </row>
    <row r="3804" spans="1:4" ht="13.5" x14ac:dyDescent="0.25">
      <c r="A3804" s="306">
        <v>92666</v>
      </c>
      <c r="B3804" s="305" t="s">
        <v>3557</v>
      </c>
      <c r="C3804" s="305" t="s">
        <v>363</v>
      </c>
      <c r="D3804" s="575">
        <v>52.87</v>
      </c>
    </row>
    <row r="3805" spans="1:4" ht="13.5" x14ac:dyDescent="0.25">
      <c r="A3805" s="306">
        <v>92667</v>
      </c>
      <c r="B3805" s="305" t="s">
        <v>3558</v>
      </c>
      <c r="C3805" s="305" t="s">
        <v>363</v>
      </c>
      <c r="D3805" s="575">
        <v>68.33</v>
      </c>
    </row>
    <row r="3806" spans="1:4" ht="13.5" x14ac:dyDescent="0.25">
      <c r="A3806" s="306">
        <v>92668</v>
      </c>
      <c r="B3806" s="305" t="s">
        <v>3559</v>
      </c>
      <c r="C3806" s="305" t="s">
        <v>363</v>
      </c>
      <c r="D3806" s="575">
        <v>73.819999999999993</v>
      </c>
    </row>
    <row r="3807" spans="1:4" ht="13.5" x14ac:dyDescent="0.25">
      <c r="A3807" s="306">
        <v>92669</v>
      </c>
      <c r="B3807" s="305" t="s">
        <v>3560</v>
      </c>
      <c r="C3807" s="305" t="s">
        <v>363</v>
      </c>
      <c r="D3807" s="575">
        <v>26.76</v>
      </c>
    </row>
    <row r="3808" spans="1:4" ht="13.5" x14ac:dyDescent="0.25">
      <c r="A3808" s="306">
        <v>92670</v>
      </c>
      <c r="B3808" s="305" t="s">
        <v>3561</v>
      </c>
      <c r="C3808" s="305" t="s">
        <v>363</v>
      </c>
      <c r="D3808" s="575">
        <v>25.28</v>
      </c>
    </row>
    <row r="3809" spans="1:4" ht="13.5" x14ac:dyDescent="0.25">
      <c r="A3809" s="306">
        <v>92671</v>
      </c>
      <c r="B3809" s="305" t="s">
        <v>3562</v>
      </c>
      <c r="C3809" s="305" t="s">
        <v>363</v>
      </c>
      <c r="D3809" s="575">
        <v>34.5</v>
      </c>
    </row>
    <row r="3810" spans="1:4" ht="13.5" x14ac:dyDescent="0.25">
      <c r="A3810" s="306">
        <v>92672</v>
      </c>
      <c r="B3810" s="305" t="s">
        <v>3563</v>
      </c>
      <c r="C3810" s="305" t="s">
        <v>363</v>
      </c>
      <c r="D3810" s="575">
        <v>31.57</v>
      </c>
    </row>
    <row r="3811" spans="1:4" ht="13.5" x14ac:dyDescent="0.25">
      <c r="A3811" s="306">
        <v>92673</v>
      </c>
      <c r="B3811" s="305" t="s">
        <v>3564</v>
      </c>
      <c r="C3811" s="305" t="s">
        <v>363</v>
      </c>
      <c r="D3811" s="575">
        <v>39.47</v>
      </c>
    </row>
    <row r="3812" spans="1:4" ht="13.5" x14ac:dyDescent="0.25">
      <c r="A3812" s="306">
        <v>92674</v>
      </c>
      <c r="B3812" s="305" t="s">
        <v>3565</v>
      </c>
      <c r="C3812" s="305" t="s">
        <v>363</v>
      </c>
      <c r="D3812" s="575">
        <v>37.450000000000003</v>
      </c>
    </row>
    <row r="3813" spans="1:4" ht="13.5" x14ac:dyDescent="0.25">
      <c r="A3813" s="306">
        <v>92675</v>
      </c>
      <c r="B3813" s="305" t="s">
        <v>3566</v>
      </c>
      <c r="C3813" s="305" t="s">
        <v>363</v>
      </c>
      <c r="D3813" s="575">
        <v>50.69</v>
      </c>
    </row>
    <row r="3814" spans="1:4" ht="13.5" x14ac:dyDescent="0.25">
      <c r="A3814" s="306">
        <v>92676</v>
      </c>
      <c r="B3814" s="305" t="s">
        <v>3567</v>
      </c>
      <c r="C3814" s="305" t="s">
        <v>363</v>
      </c>
      <c r="D3814" s="575">
        <v>49.32</v>
      </c>
    </row>
    <row r="3815" spans="1:4" ht="13.5" x14ac:dyDescent="0.25">
      <c r="A3815" s="306">
        <v>92677</v>
      </c>
      <c r="B3815" s="305" t="s">
        <v>3568</v>
      </c>
      <c r="C3815" s="305" t="s">
        <v>363</v>
      </c>
      <c r="D3815" s="575">
        <v>81.93</v>
      </c>
    </row>
    <row r="3816" spans="1:4" ht="13.5" x14ac:dyDescent="0.25">
      <c r="A3816" s="306">
        <v>92678</v>
      </c>
      <c r="B3816" s="305" t="s">
        <v>3569</v>
      </c>
      <c r="C3816" s="305" t="s">
        <v>363</v>
      </c>
      <c r="D3816" s="575">
        <v>75.89</v>
      </c>
    </row>
    <row r="3817" spans="1:4" ht="13.5" x14ac:dyDescent="0.25">
      <c r="A3817" s="306">
        <v>92679</v>
      </c>
      <c r="B3817" s="305" t="s">
        <v>3570</v>
      </c>
      <c r="C3817" s="305" t="s">
        <v>363</v>
      </c>
      <c r="D3817" s="575">
        <v>111.92</v>
      </c>
    </row>
    <row r="3818" spans="1:4" ht="13.5" x14ac:dyDescent="0.25">
      <c r="A3818" s="306">
        <v>92680</v>
      </c>
      <c r="B3818" s="305" t="s">
        <v>3571</v>
      </c>
      <c r="C3818" s="305" t="s">
        <v>363</v>
      </c>
      <c r="D3818" s="575">
        <v>100.28</v>
      </c>
    </row>
    <row r="3819" spans="1:4" ht="13.5" x14ac:dyDescent="0.25">
      <c r="A3819" s="306">
        <v>92681</v>
      </c>
      <c r="B3819" s="305" t="s">
        <v>3572</v>
      </c>
      <c r="C3819" s="305" t="s">
        <v>363</v>
      </c>
      <c r="D3819" s="575">
        <v>34.26</v>
      </c>
    </row>
    <row r="3820" spans="1:4" ht="13.5" x14ac:dyDescent="0.25">
      <c r="A3820" s="306">
        <v>92682</v>
      </c>
      <c r="B3820" s="305" t="s">
        <v>3573</v>
      </c>
      <c r="C3820" s="305" t="s">
        <v>363</v>
      </c>
      <c r="D3820" s="575">
        <v>42.42</v>
      </c>
    </row>
    <row r="3821" spans="1:4" ht="13.5" x14ac:dyDescent="0.25">
      <c r="A3821" s="306">
        <v>92683</v>
      </c>
      <c r="B3821" s="305" t="s">
        <v>3574</v>
      </c>
      <c r="C3821" s="305" t="s">
        <v>363</v>
      </c>
      <c r="D3821" s="575">
        <v>49.18</v>
      </c>
    </row>
    <row r="3822" spans="1:4" ht="13.5" x14ac:dyDescent="0.25">
      <c r="A3822" s="306">
        <v>92684</v>
      </c>
      <c r="B3822" s="305" t="s">
        <v>3575</v>
      </c>
      <c r="C3822" s="305" t="s">
        <v>363</v>
      </c>
      <c r="D3822" s="575">
        <v>65.709999999999994</v>
      </c>
    </row>
    <row r="3823" spans="1:4" ht="13.5" x14ac:dyDescent="0.25">
      <c r="A3823" s="306">
        <v>92685</v>
      </c>
      <c r="B3823" s="305" t="s">
        <v>3576</v>
      </c>
      <c r="C3823" s="305" t="s">
        <v>363</v>
      </c>
      <c r="D3823" s="575">
        <v>104.24</v>
      </c>
    </row>
    <row r="3824" spans="1:4" ht="13.5" x14ac:dyDescent="0.25">
      <c r="A3824" s="306">
        <v>92686</v>
      </c>
      <c r="B3824" s="305" t="s">
        <v>3577</v>
      </c>
      <c r="C3824" s="305" t="s">
        <v>363</v>
      </c>
      <c r="D3824" s="575">
        <v>132.59</v>
      </c>
    </row>
    <row r="3825" spans="1:4" ht="13.5" x14ac:dyDescent="0.25">
      <c r="A3825" s="306">
        <v>92692</v>
      </c>
      <c r="B3825" s="305" t="s">
        <v>3578</v>
      </c>
      <c r="C3825" s="305" t="s">
        <v>363</v>
      </c>
      <c r="D3825" s="575">
        <v>9.5399999999999991</v>
      </c>
    </row>
    <row r="3826" spans="1:4" ht="13.5" x14ac:dyDescent="0.25">
      <c r="A3826" s="306">
        <v>92693</v>
      </c>
      <c r="B3826" s="305" t="s">
        <v>3579</v>
      </c>
      <c r="C3826" s="305" t="s">
        <v>363</v>
      </c>
      <c r="D3826" s="575">
        <v>9.7899999999999991</v>
      </c>
    </row>
    <row r="3827" spans="1:4" ht="13.5" x14ac:dyDescent="0.25">
      <c r="A3827" s="306">
        <v>92694</v>
      </c>
      <c r="B3827" s="305" t="s">
        <v>3580</v>
      </c>
      <c r="C3827" s="305" t="s">
        <v>363</v>
      </c>
      <c r="D3827" s="575">
        <v>15.24</v>
      </c>
    </row>
    <row r="3828" spans="1:4" ht="13.5" x14ac:dyDescent="0.25">
      <c r="A3828" s="306">
        <v>92695</v>
      </c>
      <c r="B3828" s="305" t="s">
        <v>3581</v>
      </c>
      <c r="C3828" s="305" t="s">
        <v>363</v>
      </c>
      <c r="D3828" s="575">
        <v>15.49</v>
      </c>
    </row>
    <row r="3829" spans="1:4" ht="13.5" x14ac:dyDescent="0.25">
      <c r="A3829" s="306">
        <v>92696</v>
      </c>
      <c r="B3829" s="305" t="s">
        <v>3582</v>
      </c>
      <c r="C3829" s="305" t="s">
        <v>363</v>
      </c>
      <c r="D3829" s="575">
        <v>23.95</v>
      </c>
    </row>
    <row r="3830" spans="1:4" ht="13.5" x14ac:dyDescent="0.25">
      <c r="A3830" s="306">
        <v>92697</v>
      </c>
      <c r="B3830" s="305" t="s">
        <v>3583</v>
      </c>
      <c r="C3830" s="305" t="s">
        <v>363</v>
      </c>
      <c r="D3830" s="575">
        <v>25.06</v>
      </c>
    </row>
    <row r="3831" spans="1:4" ht="13.5" x14ac:dyDescent="0.25">
      <c r="A3831" s="306">
        <v>92698</v>
      </c>
      <c r="B3831" s="305" t="s">
        <v>3584</v>
      </c>
      <c r="C3831" s="305" t="s">
        <v>363</v>
      </c>
      <c r="D3831" s="575">
        <v>14.11</v>
      </c>
    </row>
    <row r="3832" spans="1:4" ht="13.5" x14ac:dyDescent="0.25">
      <c r="A3832" s="306">
        <v>92699</v>
      </c>
      <c r="B3832" s="305" t="s">
        <v>3585</v>
      </c>
      <c r="C3832" s="305" t="s">
        <v>363</v>
      </c>
      <c r="D3832" s="575">
        <v>13.31</v>
      </c>
    </row>
    <row r="3833" spans="1:4" ht="13.5" x14ac:dyDescent="0.25">
      <c r="A3833" s="306">
        <v>92700</v>
      </c>
      <c r="B3833" s="305" t="s">
        <v>3586</v>
      </c>
      <c r="C3833" s="305" t="s">
        <v>363</v>
      </c>
      <c r="D3833" s="575">
        <v>23.11</v>
      </c>
    </row>
    <row r="3834" spans="1:4" ht="13.5" x14ac:dyDescent="0.25">
      <c r="A3834" s="306">
        <v>92701</v>
      </c>
      <c r="B3834" s="305" t="s">
        <v>3587</v>
      </c>
      <c r="C3834" s="305" t="s">
        <v>363</v>
      </c>
      <c r="D3834" s="575">
        <v>21.92</v>
      </c>
    </row>
    <row r="3835" spans="1:4" ht="13.5" x14ac:dyDescent="0.25">
      <c r="A3835" s="306">
        <v>92702</v>
      </c>
      <c r="B3835" s="305" t="s">
        <v>3588</v>
      </c>
      <c r="C3835" s="305" t="s">
        <v>363</v>
      </c>
      <c r="D3835" s="575">
        <v>36.270000000000003</v>
      </c>
    </row>
    <row r="3836" spans="1:4" ht="13.5" x14ac:dyDescent="0.25">
      <c r="A3836" s="306">
        <v>92703</v>
      </c>
      <c r="B3836" s="305" t="s">
        <v>3589</v>
      </c>
      <c r="C3836" s="305" t="s">
        <v>363</v>
      </c>
      <c r="D3836" s="575">
        <v>34.79</v>
      </c>
    </row>
    <row r="3837" spans="1:4" ht="13.5" x14ac:dyDescent="0.25">
      <c r="A3837" s="306">
        <v>92704</v>
      </c>
      <c r="B3837" s="305" t="s">
        <v>3590</v>
      </c>
      <c r="C3837" s="305" t="s">
        <v>363</v>
      </c>
      <c r="D3837" s="575">
        <v>17.93</v>
      </c>
    </row>
    <row r="3838" spans="1:4" ht="13.5" x14ac:dyDescent="0.25">
      <c r="A3838" s="306">
        <v>92705</v>
      </c>
      <c r="B3838" s="305" t="s">
        <v>3591</v>
      </c>
      <c r="C3838" s="305" t="s">
        <v>363</v>
      </c>
      <c r="D3838" s="575">
        <v>29</v>
      </c>
    </row>
    <row r="3839" spans="1:4" ht="13.5" x14ac:dyDescent="0.25">
      <c r="A3839" s="306">
        <v>92706</v>
      </c>
      <c r="B3839" s="305" t="s">
        <v>3592</v>
      </c>
      <c r="C3839" s="305" t="s">
        <v>363</v>
      </c>
      <c r="D3839" s="575">
        <v>46.94</v>
      </c>
    </row>
    <row r="3840" spans="1:4" ht="13.5" x14ac:dyDescent="0.25">
      <c r="A3840" s="306">
        <v>92889</v>
      </c>
      <c r="B3840" s="305" t="s">
        <v>3593</v>
      </c>
      <c r="C3840" s="305" t="s">
        <v>363</v>
      </c>
      <c r="D3840" s="575">
        <v>84.08</v>
      </c>
    </row>
    <row r="3841" spans="1:4" ht="13.5" x14ac:dyDescent="0.25">
      <c r="A3841" s="306">
        <v>92890</v>
      </c>
      <c r="B3841" s="305" t="s">
        <v>3594</v>
      </c>
      <c r="C3841" s="305" t="s">
        <v>363</v>
      </c>
      <c r="D3841" s="575">
        <v>126.2</v>
      </c>
    </row>
    <row r="3842" spans="1:4" ht="13.5" x14ac:dyDescent="0.25">
      <c r="A3842" s="306">
        <v>92891</v>
      </c>
      <c r="B3842" s="305" t="s">
        <v>3595</v>
      </c>
      <c r="C3842" s="305" t="s">
        <v>363</v>
      </c>
      <c r="D3842" s="575">
        <v>183.82</v>
      </c>
    </row>
    <row r="3843" spans="1:4" ht="13.5" x14ac:dyDescent="0.25">
      <c r="A3843" s="306">
        <v>92892</v>
      </c>
      <c r="B3843" s="305" t="s">
        <v>3596</v>
      </c>
      <c r="C3843" s="305" t="s">
        <v>363</v>
      </c>
      <c r="D3843" s="575">
        <v>37.270000000000003</v>
      </c>
    </row>
    <row r="3844" spans="1:4" ht="13.5" x14ac:dyDescent="0.25">
      <c r="A3844" s="306">
        <v>92893</v>
      </c>
      <c r="B3844" s="305" t="s">
        <v>3597</v>
      </c>
      <c r="C3844" s="305" t="s">
        <v>363</v>
      </c>
      <c r="D3844" s="575">
        <v>52.28</v>
      </c>
    </row>
    <row r="3845" spans="1:4" ht="13.5" x14ac:dyDescent="0.25">
      <c r="A3845" s="306">
        <v>92894</v>
      </c>
      <c r="B3845" s="305" t="s">
        <v>3598</v>
      </c>
      <c r="C3845" s="305" t="s">
        <v>363</v>
      </c>
      <c r="D3845" s="575">
        <v>62.21</v>
      </c>
    </row>
    <row r="3846" spans="1:4" ht="13.5" x14ac:dyDescent="0.25">
      <c r="A3846" s="306">
        <v>92895</v>
      </c>
      <c r="B3846" s="305" t="s">
        <v>3599</v>
      </c>
      <c r="C3846" s="305" t="s">
        <v>363</v>
      </c>
      <c r="D3846" s="575">
        <v>84.04</v>
      </c>
    </row>
    <row r="3847" spans="1:4" ht="13.5" x14ac:dyDescent="0.25">
      <c r="A3847" s="306">
        <v>92896</v>
      </c>
      <c r="B3847" s="305" t="s">
        <v>3600</v>
      </c>
      <c r="C3847" s="305" t="s">
        <v>363</v>
      </c>
      <c r="D3847" s="575">
        <v>127.38</v>
      </c>
    </row>
    <row r="3848" spans="1:4" ht="13.5" x14ac:dyDescent="0.25">
      <c r="A3848" s="306">
        <v>92897</v>
      </c>
      <c r="B3848" s="305" t="s">
        <v>3601</v>
      </c>
      <c r="C3848" s="305" t="s">
        <v>363</v>
      </c>
      <c r="D3848" s="575">
        <v>186.26</v>
      </c>
    </row>
    <row r="3849" spans="1:4" ht="13.5" x14ac:dyDescent="0.25">
      <c r="A3849" s="306">
        <v>92898</v>
      </c>
      <c r="B3849" s="305" t="s">
        <v>3602</v>
      </c>
      <c r="C3849" s="305" t="s">
        <v>363</v>
      </c>
      <c r="D3849" s="575">
        <v>30.69</v>
      </c>
    </row>
    <row r="3850" spans="1:4" ht="13.5" x14ac:dyDescent="0.25">
      <c r="A3850" s="306">
        <v>92899</v>
      </c>
      <c r="B3850" s="305" t="s">
        <v>3603</v>
      </c>
      <c r="C3850" s="305" t="s">
        <v>363</v>
      </c>
      <c r="D3850" s="575">
        <v>44.79</v>
      </c>
    </row>
    <row r="3851" spans="1:4" ht="13.5" x14ac:dyDescent="0.25">
      <c r="A3851" s="306">
        <v>92900</v>
      </c>
      <c r="B3851" s="305" t="s">
        <v>3604</v>
      </c>
      <c r="C3851" s="305" t="s">
        <v>363</v>
      </c>
      <c r="D3851" s="575">
        <v>53.67</v>
      </c>
    </row>
    <row r="3852" spans="1:4" ht="13.5" x14ac:dyDescent="0.25">
      <c r="A3852" s="306">
        <v>92901</v>
      </c>
      <c r="B3852" s="305" t="s">
        <v>3605</v>
      </c>
      <c r="C3852" s="305" t="s">
        <v>363</v>
      </c>
      <c r="D3852" s="575">
        <v>74.22</v>
      </c>
    </row>
    <row r="3853" spans="1:4" ht="13.5" x14ac:dyDescent="0.25">
      <c r="A3853" s="306">
        <v>92902</v>
      </c>
      <c r="B3853" s="305" t="s">
        <v>3606</v>
      </c>
      <c r="C3853" s="305" t="s">
        <v>363</v>
      </c>
      <c r="D3853" s="575">
        <v>115.6</v>
      </c>
    </row>
    <row r="3854" spans="1:4" ht="13.5" x14ac:dyDescent="0.25">
      <c r="A3854" s="306">
        <v>92903</v>
      </c>
      <c r="B3854" s="305" t="s">
        <v>3607</v>
      </c>
      <c r="C3854" s="305" t="s">
        <v>363</v>
      </c>
      <c r="D3854" s="575">
        <v>172.57</v>
      </c>
    </row>
    <row r="3855" spans="1:4" ht="13.5" x14ac:dyDescent="0.25">
      <c r="A3855" s="306">
        <v>92904</v>
      </c>
      <c r="B3855" s="305" t="s">
        <v>3608</v>
      </c>
      <c r="C3855" s="305" t="s">
        <v>363</v>
      </c>
      <c r="D3855" s="575">
        <v>20.73</v>
      </c>
    </row>
    <row r="3856" spans="1:4" ht="13.5" x14ac:dyDescent="0.25">
      <c r="A3856" s="306">
        <v>92905</v>
      </c>
      <c r="B3856" s="305" t="s">
        <v>3609</v>
      </c>
      <c r="C3856" s="305" t="s">
        <v>363</v>
      </c>
      <c r="D3856" s="575">
        <v>29.85</v>
      </c>
    </row>
    <row r="3857" spans="1:4" ht="13.5" x14ac:dyDescent="0.25">
      <c r="A3857" s="306">
        <v>92906</v>
      </c>
      <c r="B3857" s="305" t="s">
        <v>3610</v>
      </c>
      <c r="C3857" s="305" t="s">
        <v>363</v>
      </c>
      <c r="D3857" s="575">
        <v>36.99</v>
      </c>
    </row>
    <row r="3858" spans="1:4" ht="13.5" x14ac:dyDescent="0.25">
      <c r="A3858" s="306">
        <v>92907</v>
      </c>
      <c r="B3858" s="305" t="s">
        <v>3611</v>
      </c>
      <c r="C3858" s="305" t="s">
        <v>363</v>
      </c>
      <c r="D3858" s="575">
        <v>46.33</v>
      </c>
    </row>
    <row r="3859" spans="1:4" ht="13.5" x14ac:dyDescent="0.25">
      <c r="A3859" s="306">
        <v>92908</v>
      </c>
      <c r="B3859" s="305" t="s">
        <v>3612</v>
      </c>
      <c r="C3859" s="305" t="s">
        <v>363</v>
      </c>
      <c r="D3859" s="575">
        <v>46.33</v>
      </c>
    </row>
    <row r="3860" spans="1:4" ht="13.5" x14ac:dyDescent="0.25">
      <c r="A3860" s="306">
        <v>92909</v>
      </c>
      <c r="B3860" s="305" t="s">
        <v>3613</v>
      </c>
      <c r="C3860" s="305" t="s">
        <v>363</v>
      </c>
      <c r="D3860" s="575">
        <v>46.33</v>
      </c>
    </row>
    <row r="3861" spans="1:4" ht="13.5" x14ac:dyDescent="0.25">
      <c r="A3861" s="306">
        <v>92910</v>
      </c>
      <c r="B3861" s="305" t="s">
        <v>3614</v>
      </c>
      <c r="C3861" s="305" t="s">
        <v>363</v>
      </c>
      <c r="D3861" s="575">
        <v>66.069999999999993</v>
      </c>
    </row>
    <row r="3862" spans="1:4" ht="13.5" x14ac:dyDescent="0.25">
      <c r="A3862" s="306">
        <v>92911</v>
      </c>
      <c r="B3862" s="305" t="s">
        <v>3615</v>
      </c>
      <c r="C3862" s="305" t="s">
        <v>363</v>
      </c>
      <c r="D3862" s="575">
        <v>66.069999999999993</v>
      </c>
    </row>
    <row r="3863" spans="1:4" ht="13.5" x14ac:dyDescent="0.25">
      <c r="A3863" s="306">
        <v>92912</v>
      </c>
      <c r="B3863" s="305" t="s">
        <v>3616</v>
      </c>
      <c r="C3863" s="305" t="s">
        <v>363</v>
      </c>
      <c r="D3863" s="575">
        <v>87.59</v>
      </c>
    </row>
    <row r="3864" spans="1:4" ht="13.5" x14ac:dyDescent="0.25">
      <c r="A3864" s="306">
        <v>92913</v>
      </c>
      <c r="B3864" s="305" t="s">
        <v>3617</v>
      </c>
      <c r="C3864" s="305" t="s">
        <v>363</v>
      </c>
      <c r="D3864" s="575">
        <v>89.62</v>
      </c>
    </row>
    <row r="3865" spans="1:4" ht="13.5" x14ac:dyDescent="0.25">
      <c r="A3865" s="306">
        <v>92914</v>
      </c>
      <c r="B3865" s="305" t="s">
        <v>3618</v>
      </c>
      <c r="C3865" s="305" t="s">
        <v>363</v>
      </c>
      <c r="D3865" s="575">
        <v>89.62</v>
      </c>
    </row>
    <row r="3866" spans="1:4" ht="13.5" x14ac:dyDescent="0.25">
      <c r="A3866" s="306">
        <v>92918</v>
      </c>
      <c r="B3866" s="305" t="s">
        <v>3619</v>
      </c>
      <c r="C3866" s="305" t="s">
        <v>363</v>
      </c>
      <c r="D3866" s="575">
        <v>25.25</v>
      </c>
    </row>
    <row r="3867" spans="1:4" ht="13.5" x14ac:dyDescent="0.25">
      <c r="A3867" s="306">
        <v>92920</v>
      </c>
      <c r="B3867" s="305" t="s">
        <v>3620</v>
      </c>
      <c r="C3867" s="305" t="s">
        <v>363</v>
      </c>
      <c r="D3867" s="575">
        <v>25.4</v>
      </c>
    </row>
    <row r="3868" spans="1:4" ht="13.5" x14ac:dyDescent="0.25">
      <c r="A3868" s="306">
        <v>92925</v>
      </c>
      <c r="B3868" s="305" t="s">
        <v>3621</v>
      </c>
      <c r="C3868" s="305" t="s">
        <v>363</v>
      </c>
      <c r="D3868" s="575">
        <v>30.94</v>
      </c>
    </row>
    <row r="3869" spans="1:4" ht="13.5" x14ac:dyDescent="0.25">
      <c r="A3869" s="306">
        <v>92926</v>
      </c>
      <c r="B3869" s="305" t="s">
        <v>3622</v>
      </c>
      <c r="C3869" s="305" t="s">
        <v>363</v>
      </c>
      <c r="D3869" s="575">
        <v>30.93</v>
      </c>
    </row>
    <row r="3870" spans="1:4" ht="13.5" x14ac:dyDescent="0.25">
      <c r="A3870" s="306">
        <v>92927</v>
      </c>
      <c r="B3870" s="305" t="s">
        <v>3623</v>
      </c>
      <c r="C3870" s="305" t="s">
        <v>363</v>
      </c>
      <c r="D3870" s="575">
        <v>30.93</v>
      </c>
    </row>
    <row r="3871" spans="1:4" ht="13.5" x14ac:dyDescent="0.25">
      <c r="A3871" s="306">
        <v>92928</v>
      </c>
      <c r="B3871" s="305" t="s">
        <v>3624</v>
      </c>
      <c r="C3871" s="305" t="s">
        <v>363</v>
      </c>
      <c r="D3871" s="575">
        <v>35.24</v>
      </c>
    </row>
    <row r="3872" spans="1:4" ht="13.5" x14ac:dyDescent="0.25">
      <c r="A3872" s="306">
        <v>92929</v>
      </c>
      <c r="B3872" s="305" t="s">
        <v>3625</v>
      </c>
      <c r="C3872" s="305" t="s">
        <v>363</v>
      </c>
      <c r="D3872" s="575">
        <v>35.24</v>
      </c>
    </row>
    <row r="3873" spans="1:4" ht="13.5" x14ac:dyDescent="0.25">
      <c r="A3873" s="306">
        <v>92930</v>
      </c>
      <c r="B3873" s="305" t="s">
        <v>3626</v>
      </c>
      <c r="C3873" s="305" t="s">
        <v>363</v>
      </c>
      <c r="D3873" s="575">
        <v>35.24</v>
      </c>
    </row>
    <row r="3874" spans="1:4" ht="13.5" x14ac:dyDescent="0.25">
      <c r="A3874" s="306">
        <v>92931</v>
      </c>
      <c r="B3874" s="305" t="s">
        <v>3627</v>
      </c>
      <c r="C3874" s="305" t="s">
        <v>363</v>
      </c>
      <c r="D3874" s="575">
        <v>46.29</v>
      </c>
    </row>
    <row r="3875" spans="1:4" ht="13.5" x14ac:dyDescent="0.25">
      <c r="A3875" s="306">
        <v>92932</v>
      </c>
      <c r="B3875" s="305" t="s">
        <v>3628</v>
      </c>
      <c r="C3875" s="305" t="s">
        <v>363</v>
      </c>
      <c r="D3875" s="575">
        <v>46.29</v>
      </c>
    </row>
    <row r="3876" spans="1:4" ht="13.5" x14ac:dyDescent="0.25">
      <c r="A3876" s="306">
        <v>92933</v>
      </c>
      <c r="B3876" s="305" t="s">
        <v>3629</v>
      </c>
      <c r="C3876" s="305" t="s">
        <v>363</v>
      </c>
      <c r="D3876" s="575">
        <v>46.29</v>
      </c>
    </row>
    <row r="3877" spans="1:4" ht="13.5" x14ac:dyDescent="0.25">
      <c r="A3877" s="306">
        <v>92934</v>
      </c>
      <c r="B3877" s="305" t="s">
        <v>3630</v>
      </c>
      <c r="C3877" s="305" t="s">
        <v>363</v>
      </c>
      <c r="D3877" s="575">
        <v>67.25</v>
      </c>
    </row>
    <row r="3878" spans="1:4" ht="13.5" x14ac:dyDescent="0.25">
      <c r="A3878" s="306">
        <v>92935</v>
      </c>
      <c r="B3878" s="305" t="s">
        <v>3631</v>
      </c>
      <c r="C3878" s="305" t="s">
        <v>363</v>
      </c>
      <c r="D3878" s="575">
        <v>67.25</v>
      </c>
    </row>
    <row r="3879" spans="1:4" ht="13.5" x14ac:dyDescent="0.25">
      <c r="A3879" s="306">
        <v>92936</v>
      </c>
      <c r="B3879" s="305" t="s">
        <v>3632</v>
      </c>
      <c r="C3879" s="305" t="s">
        <v>363</v>
      </c>
      <c r="D3879" s="575">
        <v>92.06</v>
      </c>
    </row>
    <row r="3880" spans="1:4" ht="13.5" x14ac:dyDescent="0.25">
      <c r="A3880" s="306">
        <v>92937</v>
      </c>
      <c r="B3880" s="305" t="s">
        <v>3633</v>
      </c>
      <c r="C3880" s="305" t="s">
        <v>363</v>
      </c>
      <c r="D3880" s="575">
        <v>92.06</v>
      </c>
    </row>
    <row r="3881" spans="1:4" ht="13.5" x14ac:dyDescent="0.25">
      <c r="A3881" s="306">
        <v>92938</v>
      </c>
      <c r="B3881" s="305" t="s">
        <v>3634</v>
      </c>
      <c r="C3881" s="305" t="s">
        <v>363</v>
      </c>
      <c r="D3881" s="575">
        <v>18.670000000000002</v>
      </c>
    </row>
    <row r="3882" spans="1:4" ht="13.5" x14ac:dyDescent="0.25">
      <c r="A3882" s="306">
        <v>92939</v>
      </c>
      <c r="B3882" s="305" t="s">
        <v>3635</v>
      </c>
      <c r="C3882" s="305" t="s">
        <v>363</v>
      </c>
      <c r="D3882" s="575">
        <v>18.82</v>
      </c>
    </row>
    <row r="3883" spans="1:4" ht="13.5" x14ac:dyDescent="0.25">
      <c r="A3883" s="306">
        <v>92940</v>
      </c>
      <c r="B3883" s="305" t="s">
        <v>3636</v>
      </c>
      <c r="C3883" s="305" t="s">
        <v>363</v>
      </c>
      <c r="D3883" s="575">
        <v>23.45</v>
      </c>
    </row>
    <row r="3884" spans="1:4" ht="13.5" x14ac:dyDescent="0.25">
      <c r="A3884" s="306">
        <v>92941</v>
      </c>
      <c r="B3884" s="305" t="s">
        <v>3637</v>
      </c>
      <c r="C3884" s="305" t="s">
        <v>363</v>
      </c>
      <c r="D3884" s="575">
        <v>23.44</v>
      </c>
    </row>
    <row r="3885" spans="1:4" ht="13.5" x14ac:dyDescent="0.25">
      <c r="A3885" s="306">
        <v>92942</v>
      </c>
      <c r="B3885" s="305" t="s">
        <v>3638</v>
      </c>
      <c r="C3885" s="305" t="s">
        <v>363</v>
      </c>
      <c r="D3885" s="575">
        <v>23.44</v>
      </c>
    </row>
    <row r="3886" spans="1:4" ht="13.5" x14ac:dyDescent="0.25">
      <c r="A3886" s="306">
        <v>92943</v>
      </c>
      <c r="B3886" s="305" t="s">
        <v>3639</v>
      </c>
      <c r="C3886" s="305" t="s">
        <v>363</v>
      </c>
      <c r="D3886" s="575">
        <v>26.7</v>
      </c>
    </row>
    <row r="3887" spans="1:4" ht="13.5" x14ac:dyDescent="0.25">
      <c r="A3887" s="306">
        <v>92944</v>
      </c>
      <c r="B3887" s="305" t="s">
        <v>3640</v>
      </c>
      <c r="C3887" s="305" t="s">
        <v>363</v>
      </c>
      <c r="D3887" s="575">
        <v>26.7</v>
      </c>
    </row>
    <row r="3888" spans="1:4" ht="13.5" x14ac:dyDescent="0.25">
      <c r="A3888" s="306">
        <v>92945</v>
      </c>
      <c r="B3888" s="305" t="s">
        <v>3641</v>
      </c>
      <c r="C3888" s="305" t="s">
        <v>363</v>
      </c>
      <c r="D3888" s="575">
        <v>26.7</v>
      </c>
    </row>
    <row r="3889" spans="1:4" ht="13.5" x14ac:dyDescent="0.25">
      <c r="A3889" s="306">
        <v>92946</v>
      </c>
      <c r="B3889" s="305" t="s">
        <v>3642</v>
      </c>
      <c r="C3889" s="305" t="s">
        <v>363</v>
      </c>
      <c r="D3889" s="575">
        <v>36.47</v>
      </c>
    </row>
    <row r="3890" spans="1:4" ht="13.5" x14ac:dyDescent="0.25">
      <c r="A3890" s="306">
        <v>92947</v>
      </c>
      <c r="B3890" s="305" t="s">
        <v>3643</v>
      </c>
      <c r="C3890" s="305" t="s">
        <v>363</v>
      </c>
      <c r="D3890" s="575">
        <v>36.47</v>
      </c>
    </row>
    <row r="3891" spans="1:4" ht="13.5" x14ac:dyDescent="0.25">
      <c r="A3891" s="306">
        <v>92948</v>
      </c>
      <c r="B3891" s="305" t="s">
        <v>3644</v>
      </c>
      <c r="C3891" s="305" t="s">
        <v>363</v>
      </c>
      <c r="D3891" s="575">
        <v>36.47</v>
      </c>
    </row>
    <row r="3892" spans="1:4" ht="13.5" x14ac:dyDescent="0.25">
      <c r="A3892" s="306">
        <v>92949</v>
      </c>
      <c r="B3892" s="305" t="s">
        <v>3645</v>
      </c>
      <c r="C3892" s="305" t="s">
        <v>363</v>
      </c>
      <c r="D3892" s="575">
        <v>55.47</v>
      </c>
    </row>
    <row r="3893" spans="1:4" ht="13.5" x14ac:dyDescent="0.25">
      <c r="A3893" s="306">
        <v>92950</v>
      </c>
      <c r="B3893" s="305" t="s">
        <v>3646</v>
      </c>
      <c r="C3893" s="305" t="s">
        <v>363</v>
      </c>
      <c r="D3893" s="575">
        <v>55.47</v>
      </c>
    </row>
    <row r="3894" spans="1:4" ht="13.5" x14ac:dyDescent="0.25">
      <c r="A3894" s="306">
        <v>92951</v>
      </c>
      <c r="B3894" s="305" t="s">
        <v>3647</v>
      </c>
      <c r="C3894" s="305" t="s">
        <v>363</v>
      </c>
      <c r="D3894" s="575">
        <v>78.37</v>
      </c>
    </row>
    <row r="3895" spans="1:4" ht="13.5" x14ac:dyDescent="0.25">
      <c r="A3895" s="306">
        <v>92952</v>
      </c>
      <c r="B3895" s="305" t="s">
        <v>3648</v>
      </c>
      <c r="C3895" s="305" t="s">
        <v>363</v>
      </c>
      <c r="D3895" s="575">
        <v>78.37</v>
      </c>
    </row>
    <row r="3896" spans="1:4" ht="13.5" x14ac:dyDescent="0.25">
      <c r="A3896" s="306">
        <v>92953</v>
      </c>
      <c r="B3896" s="305" t="s">
        <v>3649</v>
      </c>
      <c r="C3896" s="305" t="s">
        <v>363</v>
      </c>
      <c r="D3896" s="575">
        <v>16.29</v>
      </c>
    </row>
    <row r="3897" spans="1:4" ht="13.5" x14ac:dyDescent="0.25">
      <c r="A3897" s="306">
        <v>93050</v>
      </c>
      <c r="B3897" s="305" t="s">
        <v>3650</v>
      </c>
      <c r="C3897" s="305" t="s">
        <v>363</v>
      </c>
      <c r="D3897" s="575">
        <v>8.0299999999999994</v>
      </c>
    </row>
    <row r="3898" spans="1:4" ht="13.5" x14ac:dyDescent="0.25">
      <c r="A3898" s="306">
        <v>93051</v>
      </c>
      <c r="B3898" s="305" t="s">
        <v>3651</v>
      </c>
      <c r="C3898" s="305" t="s">
        <v>363</v>
      </c>
      <c r="D3898" s="575">
        <v>7.43</v>
      </c>
    </row>
    <row r="3899" spans="1:4" ht="13.5" x14ac:dyDescent="0.25">
      <c r="A3899" s="306">
        <v>93052</v>
      </c>
      <c r="B3899" s="305" t="s">
        <v>3652</v>
      </c>
      <c r="C3899" s="305" t="s">
        <v>363</v>
      </c>
      <c r="D3899" s="575">
        <v>349.52</v>
      </c>
    </row>
    <row r="3900" spans="1:4" ht="13.5" x14ac:dyDescent="0.25">
      <c r="A3900" s="306">
        <v>93054</v>
      </c>
      <c r="B3900" s="305" t="s">
        <v>3653</v>
      </c>
      <c r="C3900" s="305" t="s">
        <v>363</v>
      </c>
      <c r="D3900" s="575">
        <v>15.15</v>
      </c>
    </row>
    <row r="3901" spans="1:4" ht="13.5" x14ac:dyDescent="0.25">
      <c r="A3901" s="306">
        <v>93055</v>
      </c>
      <c r="B3901" s="305" t="s">
        <v>3654</v>
      </c>
      <c r="C3901" s="305" t="s">
        <v>363</v>
      </c>
      <c r="D3901" s="575">
        <v>30.65</v>
      </c>
    </row>
    <row r="3902" spans="1:4" ht="13.5" x14ac:dyDescent="0.25">
      <c r="A3902" s="306">
        <v>93056</v>
      </c>
      <c r="B3902" s="305" t="s">
        <v>3655</v>
      </c>
      <c r="C3902" s="305" t="s">
        <v>363</v>
      </c>
      <c r="D3902" s="575">
        <v>11.68</v>
      </c>
    </row>
    <row r="3903" spans="1:4" ht="13.5" x14ac:dyDescent="0.25">
      <c r="A3903" s="306">
        <v>93057</v>
      </c>
      <c r="B3903" s="305" t="s">
        <v>3656</v>
      </c>
      <c r="C3903" s="305" t="s">
        <v>363</v>
      </c>
      <c r="D3903" s="575">
        <v>10.23</v>
      </c>
    </row>
    <row r="3904" spans="1:4" ht="13.5" x14ac:dyDescent="0.25">
      <c r="A3904" s="306">
        <v>93058</v>
      </c>
      <c r="B3904" s="305" t="s">
        <v>3657</v>
      </c>
      <c r="C3904" s="305" t="s">
        <v>363</v>
      </c>
      <c r="D3904" s="575">
        <v>384.37</v>
      </c>
    </row>
    <row r="3905" spans="1:4" ht="13.5" x14ac:dyDescent="0.25">
      <c r="A3905" s="306">
        <v>93059</v>
      </c>
      <c r="B3905" s="305" t="s">
        <v>3658</v>
      </c>
      <c r="C3905" s="305" t="s">
        <v>363</v>
      </c>
      <c r="D3905" s="575">
        <v>20.76</v>
      </c>
    </row>
    <row r="3906" spans="1:4" ht="13.5" x14ac:dyDescent="0.25">
      <c r="A3906" s="306">
        <v>93060</v>
      </c>
      <c r="B3906" s="305" t="s">
        <v>3659</v>
      </c>
      <c r="C3906" s="305" t="s">
        <v>363</v>
      </c>
      <c r="D3906" s="575">
        <v>53.26</v>
      </c>
    </row>
    <row r="3907" spans="1:4" ht="13.5" x14ac:dyDescent="0.25">
      <c r="A3907" s="306">
        <v>93061</v>
      </c>
      <c r="B3907" s="305" t="s">
        <v>3660</v>
      </c>
      <c r="C3907" s="305" t="s">
        <v>363</v>
      </c>
      <c r="D3907" s="575">
        <v>21.67</v>
      </c>
    </row>
    <row r="3908" spans="1:4" ht="13.5" x14ac:dyDescent="0.25">
      <c r="A3908" s="306">
        <v>93062</v>
      </c>
      <c r="B3908" s="305" t="s">
        <v>3661</v>
      </c>
      <c r="C3908" s="305" t="s">
        <v>363</v>
      </c>
      <c r="D3908" s="575">
        <v>18.86</v>
      </c>
    </row>
    <row r="3909" spans="1:4" ht="13.5" x14ac:dyDescent="0.25">
      <c r="A3909" s="306">
        <v>93063</v>
      </c>
      <c r="B3909" s="305" t="s">
        <v>3662</v>
      </c>
      <c r="C3909" s="305" t="s">
        <v>363</v>
      </c>
      <c r="D3909" s="575">
        <v>440.26</v>
      </c>
    </row>
    <row r="3910" spans="1:4" ht="13.5" x14ac:dyDescent="0.25">
      <c r="A3910" s="306">
        <v>93064</v>
      </c>
      <c r="B3910" s="305" t="s">
        <v>3663</v>
      </c>
      <c r="C3910" s="305" t="s">
        <v>363</v>
      </c>
      <c r="D3910" s="575">
        <v>33.31</v>
      </c>
    </row>
    <row r="3911" spans="1:4" ht="13.5" x14ac:dyDescent="0.25">
      <c r="A3911" s="306">
        <v>93065</v>
      </c>
      <c r="B3911" s="305" t="s">
        <v>3664</v>
      </c>
      <c r="C3911" s="305" t="s">
        <v>363</v>
      </c>
      <c r="D3911" s="575">
        <v>31.23</v>
      </c>
    </row>
    <row r="3912" spans="1:4" ht="13.5" x14ac:dyDescent="0.25">
      <c r="A3912" s="306">
        <v>93066</v>
      </c>
      <c r="B3912" s="305" t="s">
        <v>3665</v>
      </c>
      <c r="C3912" s="305" t="s">
        <v>363</v>
      </c>
      <c r="D3912" s="575">
        <v>552.62</v>
      </c>
    </row>
    <row r="3913" spans="1:4" ht="13.5" x14ac:dyDescent="0.25">
      <c r="A3913" s="306">
        <v>93067</v>
      </c>
      <c r="B3913" s="305" t="s">
        <v>3666</v>
      </c>
      <c r="C3913" s="305" t="s">
        <v>363</v>
      </c>
      <c r="D3913" s="575">
        <v>49.3</v>
      </c>
    </row>
    <row r="3914" spans="1:4" ht="13.5" x14ac:dyDescent="0.25">
      <c r="A3914" s="306">
        <v>93068</v>
      </c>
      <c r="B3914" s="305" t="s">
        <v>3667</v>
      </c>
      <c r="C3914" s="305" t="s">
        <v>363</v>
      </c>
      <c r="D3914" s="575">
        <v>43.21</v>
      </c>
    </row>
    <row r="3915" spans="1:4" ht="13.5" x14ac:dyDescent="0.25">
      <c r="A3915" s="306">
        <v>93069</v>
      </c>
      <c r="B3915" s="305" t="s">
        <v>3668</v>
      </c>
      <c r="C3915" s="305" t="s">
        <v>363</v>
      </c>
      <c r="D3915" s="575">
        <v>765.81</v>
      </c>
    </row>
    <row r="3916" spans="1:4" ht="13.5" x14ac:dyDescent="0.25">
      <c r="A3916" s="306">
        <v>93070</v>
      </c>
      <c r="B3916" s="305" t="s">
        <v>3669</v>
      </c>
      <c r="C3916" s="305" t="s">
        <v>363</v>
      </c>
      <c r="D3916" s="575">
        <v>123.71</v>
      </c>
    </row>
    <row r="3917" spans="1:4" ht="13.5" x14ac:dyDescent="0.25">
      <c r="A3917" s="306">
        <v>93071</v>
      </c>
      <c r="B3917" s="305" t="s">
        <v>3670</v>
      </c>
      <c r="C3917" s="305" t="s">
        <v>363</v>
      </c>
      <c r="D3917" s="575">
        <v>114.92</v>
      </c>
    </row>
    <row r="3918" spans="1:4" ht="13.5" x14ac:dyDescent="0.25">
      <c r="A3918" s="306">
        <v>93072</v>
      </c>
      <c r="B3918" s="305" t="s">
        <v>3671</v>
      </c>
      <c r="C3918" s="305" t="s">
        <v>363</v>
      </c>
      <c r="D3918" s="576">
        <v>1010.34</v>
      </c>
    </row>
    <row r="3919" spans="1:4" ht="13.5" x14ac:dyDescent="0.25">
      <c r="A3919" s="306">
        <v>93073</v>
      </c>
      <c r="B3919" s="305" t="s">
        <v>3672</v>
      </c>
      <c r="C3919" s="305" t="s">
        <v>363</v>
      </c>
      <c r="D3919" s="575">
        <v>56.09</v>
      </c>
    </row>
    <row r="3920" spans="1:4" ht="13.5" x14ac:dyDescent="0.25">
      <c r="A3920" s="306">
        <v>93074</v>
      </c>
      <c r="B3920" s="305" t="s">
        <v>3673</v>
      </c>
      <c r="C3920" s="305" t="s">
        <v>363</v>
      </c>
      <c r="D3920" s="575">
        <v>8.9600000000000009</v>
      </c>
    </row>
    <row r="3921" spans="1:4" ht="13.5" x14ac:dyDescent="0.25">
      <c r="A3921" s="306">
        <v>93075</v>
      </c>
      <c r="B3921" s="305" t="s">
        <v>3674</v>
      </c>
      <c r="C3921" s="305" t="s">
        <v>363</v>
      </c>
      <c r="D3921" s="575">
        <v>14.76</v>
      </c>
    </row>
    <row r="3922" spans="1:4" ht="13.5" x14ac:dyDescent="0.25">
      <c r="A3922" s="306">
        <v>93076</v>
      </c>
      <c r="B3922" s="305" t="s">
        <v>3675</v>
      </c>
      <c r="C3922" s="305" t="s">
        <v>363</v>
      </c>
      <c r="D3922" s="575">
        <v>14.35</v>
      </c>
    </row>
    <row r="3923" spans="1:4" ht="13.5" x14ac:dyDescent="0.25">
      <c r="A3923" s="306">
        <v>93077</v>
      </c>
      <c r="B3923" s="305" t="s">
        <v>3676</v>
      </c>
      <c r="C3923" s="305" t="s">
        <v>363</v>
      </c>
      <c r="D3923" s="575">
        <v>20.87</v>
      </c>
    </row>
    <row r="3924" spans="1:4" ht="13.5" x14ac:dyDescent="0.25">
      <c r="A3924" s="306">
        <v>93078</v>
      </c>
      <c r="B3924" s="305" t="s">
        <v>3677</v>
      </c>
      <c r="C3924" s="305" t="s">
        <v>363</v>
      </c>
      <c r="D3924" s="575">
        <v>22.58</v>
      </c>
    </row>
    <row r="3925" spans="1:4" ht="13.5" x14ac:dyDescent="0.25">
      <c r="A3925" s="306">
        <v>93079</v>
      </c>
      <c r="B3925" s="305" t="s">
        <v>3678</v>
      </c>
      <c r="C3925" s="305" t="s">
        <v>363</v>
      </c>
      <c r="D3925" s="575">
        <v>19.97</v>
      </c>
    </row>
    <row r="3926" spans="1:4" ht="13.5" x14ac:dyDescent="0.25">
      <c r="A3926" s="306">
        <v>93080</v>
      </c>
      <c r="B3926" s="305" t="s">
        <v>3679</v>
      </c>
      <c r="C3926" s="305" t="s">
        <v>363</v>
      </c>
      <c r="D3926" s="575">
        <v>5.85</v>
      </c>
    </row>
    <row r="3927" spans="1:4" ht="13.5" x14ac:dyDescent="0.25">
      <c r="A3927" s="306">
        <v>93081</v>
      </c>
      <c r="B3927" s="305" t="s">
        <v>3680</v>
      </c>
      <c r="C3927" s="305" t="s">
        <v>363</v>
      </c>
      <c r="D3927" s="575">
        <v>13.21</v>
      </c>
    </row>
    <row r="3928" spans="1:4" ht="13.5" x14ac:dyDescent="0.25">
      <c r="A3928" s="306">
        <v>93082</v>
      </c>
      <c r="B3928" s="305" t="s">
        <v>3681</v>
      </c>
      <c r="C3928" s="305" t="s">
        <v>363</v>
      </c>
      <c r="D3928" s="575">
        <v>16.14</v>
      </c>
    </row>
    <row r="3929" spans="1:4" ht="13.5" x14ac:dyDescent="0.25">
      <c r="A3929" s="306">
        <v>93083</v>
      </c>
      <c r="B3929" s="305" t="s">
        <v>3682</v>
      </c>
      <c r="C3929" s="305" t="s">
        <v>363</v>
      </c>
      <c r="D3929" s="575">
        <v>302.26</v>
      </c>
    </row>
    <row r="3930" spans="1:4" ht="13.5" x14ac:dyDescent="0.25">
      <c r="A3930" s="306">
        <v>93084</v>
      </c>
      <c r="B3930" s="305" t="s">
        <v>3683</v>
      </c>
      <c r="C3930" s="305" t="s">
        <v>363</v>
      </c>
      <c r="D3930" s="575">
        <v>9.51</v>
      </c>
    </row>
    <row r="3931" spans="1:4" ht="13.5" x14ac:dyDescent="0.25">
      <c r="A3931" s="306">
        <v>93085</v>
      </c>
      <c r="B3931" s="305" t="s">
        <v>3684</v>
      </c>
      <c r="C3931" s="305" t="s">
        <v>363</v>
      </c>
      <c r="D3931" s="575">
        <v>8.91</v>
      </c>
    </row>
    <row r="3932" spans="1:4" ht="13.5" x14ac:dyDescent="0.25">
      <c r="A3932" s="306">
        <v>93086</v>
      </c>
      <c r="B3932" s="305" t="s">
        <v>3685</v>
      </c>
      <c r="C3932" s="305" t="s">
        <v>363</v>
      </c>
      <c r="D3932" s="575">
        <v>351</v>
      </c>
    </row>
    <row r="3933" spans="1:4" ht="13.5" x14ac:dyDescent="0.25">
      <c r="A3933" s="306">
        <v>93087</v>
      </c>
      <c r="B3933" s="305" t="s">
        <v>3686</v>
      </c>
      <c r="C3933" s="305" t="s">
        <v>363</v>
      </c>
      <c r="D3933" s="575">
        <v>14.36</v>
      </c>
    </row>
    <row r="3934" spans="1:4" ht="13.5" x14ac:dyDescent="0.25">
      <c r="A3934" s="306">
        <v>93088</v>
      </c>
      <c r="B3934" s="305" t="s">
        <v>3687</v>
      </c>
      <c r="C3934" s="305" t="s">
        <v>363</v>
      </c>
      <c r="D3934" s="575">
        <v>16.75</v>
      </c>
    </row>
    <row r="3935" spans="1:4" ht="13.5" x14ac:dyDescent="0.25">
      <c r="A3935" s="306">
        <v>93089</v>
      </c>
      <c r="B3935" s="305" t="s">
        <v>3688</v>
      </c>
      <c r="C3935" s="305" t="s">
        <v>363</v>
      </c>
      <c r="D3935" s="575">
        <v>32.130000000000003</v>
      </c>
    </row>
    <row r="3936" spans="1:4" ht="13.5" x14ac:dyDescent="0.25">
      <c r="A3936" s="306">
        <v>93090</v>
      </c>
      <c r="B3936" s="305" t="s">
        <v>3689</v>
      </c>
      <c r="C3936" s="305" t="s">
        <v>363</v>
      </c>
      <c r="D3936" s="575">
        <v>13.15</v>
      </c>
    </row>
    <row r="3937" spans="1:4" ht="13.5" x14ac:dyDescent="0.25">
      <c r="A3937" s="306">
        <v>93091</v>
      </c>
      <c r="B3937" s="305" t="s">
        <v>3690</v>
      </c>
      <c r="C3937" s="305" t="s">
        <v>363</v>
      </c>
      <c r="D3937" s="575">
        <v>11.7</v>
      </c>
    </row>
    <row r="3938" spans="1:4" ht="13.5" x14ac:dyDescent="0.25">
      <c r="A3938" s="306">
        <v>93092</v>
      </c>
      <c r="B3938" s="305" t="s">
        <v>3691</v>
      </c>
      <c r="C3938" s="305" t="s">
        <v>363</v>
      </c>
      <c r="D3938" s="575">
        <v>385.84</v>
      </c>
    </row>
    <row r="3939" spans="1:4" ht="13.5" x14ac:dyDescent="0.25">
      <c r="A3939" s="306">
        <v>93093</v>
      </c>
      <c r="B3939" s="305" t="s">
        <v>3692</v>
      </c>
      <c r="C3939" s="305" t="s">
        <v>363</v>
      </c>
      <c r="D3939" s="575">
        <v>22.23</v>
      </c>
    </row>
    <row r="3940" spans="1:4" ht="13.5" x14ac:dyDescent="0.25">
      <c r="A3940" s="306">
        <v>93094</v>
      </c>
      <c r="B3940" s="305" t="s">
        <v>3693</v>
      </c>
      <c r="C3940" s="305" t="s">
        <v>363</v>
      </c>
      <c r="D3940" s="575">
        <v>54.73</v>
      </c>
    </row>
    <row r="3941" spans="1:4" ht="13.5" x14ac:dyDescent="0.25">
      <c r="A3941" s="306">
        <v>93095</v>
      </c>
      <c r="B3941" s="305" t="s">
        <v>3694</v>
      </c>
      <c r="C3941" s="305" t="s">
        <v>363</v>
      </c>
      <c r="D3941" s="575">
        <v>41.46</v>
      </c>
    </row>
    <row r="3942" spans="1:4" ht="13.5" x14ac:dyDescent="0.25">
      <c r="A3942" s="306">
        <v>93096</v>
      </c>
      <c r="B3942" s="305" t="s">
        <v>3695</v>
      </c>
      <c r="C3942" s="305" t="s">
        <v>363</v>
      </c>
      <c r="D3942" s="575">
        <v>59</v>
      </c>
    </row>
    <row r="3943" spans="1:4" ht="13.5" x14ac:dyDescent="0.25">
      <c r="A3943" s="306">
        <v>93097</v>
      </c>
      <c r="B3943" s="305" t="s">
        <v>3696</v>
      </c>
      <c r="C3943" s="305" t="s">
        <v>363</v>
      </c>
      <c r="D3943" s="575">
        <v>9.1199999999999992</v>
      </c>
    </row>
    <row r="3944" spans="1:4" ht="13.5" x14ac:dyDescent="0.25">
      <c r="A3944" s="306">
        <v>93098</v>
      </c>
      <c r="B3944" s="305" t="s">
        <v>3697</v>
      </c>
      <c r="C3944" s="305" t="s">
        <v>363</v>
      </c>
      <c r="D3944" s="575">
        <v>14.92</v>
      </c>
    </row>
    <row r="3945" spans="1:4" ht="13.5" x14ac:dyDescent="0.25">
      <c r="A3945" s="306">
        <v>93099</v>
      </c>
      <c r="B3945" s="305" t="s">
        <v>3698</v>
      </c>
      <c r="C3945" s="305" t="s">
        <v>363</v>
      </c>
      <c r="D3945" s="575">
        <v>16.37</v>
      </c>
    </row>
    <row r="3946" spans="1:4" ht="13.5" x14ac:dyDescent="0.25">
      <c r="A3946" s="306">
        <v>93100</v>
      </c>
      <c r="B3946" s="305" t="s">
        <v>3699</v>
      </c>
      <c r="C3946" s="305" t="s">
        <v>363</v>
      </c>
      <c r="D3946" s="575">
        <v>22.89</v>
      </c>
    </row>
    <row r="3947" spans="1:4" ht="13.5" x14ac:dyDescent="0.25">
      <c r="A3947" s="306">
        <v>93101</v>
      </c>
      <c r="B3947" s="305" t="s">
        <v>3700</v>
      </c>
      <c r="C3947" s="305" t="s">
        <v>363</v>
      </c>
      <c r="D3947" s="575">
        <v>24.6</v>
      </c>
    </row>
    <row r="3948" spans="1:4" ht="13.5" x14ac:dyDescent="0.25">
      <c r="A3948" s="306">
        <v>93102</v>
      </c>
      <c r="B3948" s="305" t="s">
        <v>3701</v>
      </c>
      <c r="C3948" s="305" t="s">
        <v>363</v>
      </c>
      <c r="D3948" s="575">
        <v>21.82</v>
      </c>
    </row>
    <row r="3949" spans="1:4" ht="13.5" x14ac:dyDescent="0.25">
      <c r="A3949" s="306">
        <v>93103</v>
      </c>
      <c r="B3949" s="305" t="s">
        <v>3702</v>
      </c>
      <c r="C3949" s="305" t="s">
        <v>363</v>
      </c>
      <c r="D3949" s="575">
        <v>5.99</v>
      </c>
    </row>
    <row r="3950" spans="1:4" ht="13.5" x14ac:dyDescent="0.25">
      <c r="A3950" s="306">
        <v>93104</v>
      </c>
      <c r="B3950" s="305" t="s">
        <v>3703</v>
      </c>
      <c r="C3950" s="305" t="s">
        <v>363</v>
      </c>
      <c r="D3950" s="575">
        <v>13.35</v>
      </c>
    </row>
    <row r="3951" spans="1:4" ht="13.5" x14ac:dyDescent="0.25">
      <c r="A3951" s="306">
        <v>93105</v>
      </c>
      <c r="B3951" s="305" t="s">
        <v>3704</v>
      </c>
      <c r="C3951" s="305" t="s">
        <v>363</v>
      </c>
      <c r="D3951" s="575">
        <v>16.28</v>
      </c>
    </row>
    <row r="3952" spans="1:4" ht="13.5" x14ac:dyDescent="0.25">
      <c r="A3952" s="306">
        <v>93106</v>
      </c>
      <c r="B3952" s="305" t="s">
        <v>3705</v>
      </c>
      <c r="C3952" s="305" t="s">
        <v>363</v>
      </c>
      <c r="D3952" s="575">
        <v>302.39999999999998</v>
      </c>
    </row>
    <row r="3953" spans="1:4" ht="13.5" x14ac:dyDescent="0.25">
      <c r="A3953" s="306">
        <v>93107</v>
      </c>
      <c r="B3953" s="305" t="s">
        <v>3706</v>
      </c>
      <c r="C3953" s="305" t="s">
        <v>363</v>
      </c>
      <c r="D3953" s="575">
        <v>10.83</v>
      </c>
    </row>
    <row r="3954" spans="1:4" ht="13.5" x14ac:dyDescent="0.25">
      <c r="A3954" s="306">
        <v>93108</v>
      </c>
      <c r="B3954" s="305" t="s">
        <v>3707</v>
      </c>
      <c r="C3954" s="305" t="s">
        <v>363</v>
      </c>
      <c r="D3954" s="575">
        <v>10.23</v>
      </c>
    </row>
    <row r="3955" spans="1:4" ht="13.5" x14ac:dyDescent="0.25">
      <c r="A3955" s="306">
        <v>93109</v>
      </c>
      <c r="B3955" s="305" t="s">
        <v>3708</v>
      </c>
      <c r="C3955" s="305" t="s">
        <v>363</v>
      </c>
      <c r="D3955" s="575">
        <v>352.32</v>
      </c>
    </row>
    <row r="3956" spans="1:4" ht="13.5" x14ac:dyDescent="0.25">
      <c r="A3956" s="306">
        <v>93110</v>
      </c>
      <c r="B3956" s="305" t="s">
        <v>3709</v>
      </c>
      <c r="C3956" s="305" t="s">
        <v>363</v>
      </c>
      <c r="D3956" s="575">
        <v>15.68</v>
      </c>
    </row>
    <row r="3957" spans="1:4" ht="13.5" x14ac:dyDescent="0.25">
      <c r="A3957" s="306">
        <v>93111</v>
      </c>
      <c r="B3957" s="305" t="s">
        <v>3710</v>
      </c>
      <c r="C3957" s="305" t="s">
        <v>363</v>
      </c>
      <c r="D3957" s="575">
        <v>17.95</v>
      </c>
    </row>
    <row r="3958" spans="1:4" ht="13.5" x14ac:dyDescent="0.25">
      <c r="A3958" s="306">
        <v>93112</v>
      </c>
      <c r="B3958" s="305" t="s">
        <v>3711</v>
      </c>
      <c r="C3958" s="305" t="s">
        <v>363</v>
      </c>
      <c r="D3958" s="575">
        <v>33.450000000000003</v>
      </c>
    </row>
    <row r="3959" spans="1:4" ht="13.5" x14ac:dyDescent="0.25">
      <c r="A3959" s="306">
        <v>93113</v>
      </c>
      <c r="B3959" s="305" t="s">
        <v>3712</v>
      </c>
      <c r="C3959" s="305" t="s">
        <v>363</v>
      </c>
      <c r="D3959" s="575">
        <v>15.56</v>
      </c>
    </row>
    <row r="3960" spans="1:4" ht="13.5" x14ac:dyDescent="0.25">
      <c r="A3960" s="306">
        <v>93114</v>
      </c>
      <c r="B3960" s="305" t="s">
        <v>3713</v>
      </c>
      <c r="C3960" s="305" t="s">
        <v>363</v>
      </c>
      <c r="D3960" s="575">
        <v>24.64</v>
      </c>
    </row>
    <row r="3961" spans="1:4" ht="13.5" x14ac:dyDescent="0.25">
      <c r="A3961" s="306">
        <v>93115</v>
      </c>
      <c r="B3961" s="305" t="s">
        <v>3714</v>
      </c>
      <c r="C3961" s="305" t="s">
        <v>363</v>
      </c>
      <c r="D3961" s="575">
        <v>57.14</v>
      </c>
    </row>
    <row r="3962" spans="1:4" ht="13.5" x14ac:dyDescent="0.25">
      <c r="A3962" s="306">
        <v>93116</v>
      </c>
      <c r="B3962" s="305" t="s">
        <v>3715</v>
      </c>
      <c r="C3962" s="305" t="s">
        <v>363</v>
      </c>
      <c r="D3962" s="575">
        <v>388.25</v>
      </c>
    </row>
    <row r="3963" spans="1:4" ht="13.5" x14ac:dyDescent="0.25">
      <c r="A3963" s="306">
        <v>93117</v>
      </c>
      <c r="B3963" s="305" t="s">
        <v>3716</v>
      </c>
      <c r="C3963" s="305" t="s">
        <v>363</v>
      </c>
      <c r="D3963" s="575">
        <v>41.68</v>
      </c>
    </row>
    <row r="3964" spans="1:4" ht="13.5" x14ac:dyDescent="0.25">
      <c r="A3964" s="306">
        <v>93118</v>
      </c>
      <c r="B3964" s="305" t="s">
        <v>3717</v>
      </c>
      <c r="C3964" s="305" t="s">
        <v>363</v>
      </c>
      <c r="D3964" s="575">
        <v>61.66</v>
      </c>
    </row>
    <row r="3965" spans="1:4" ht="13.5" x14ac:dyDescent="0.25">
      <c r="A3965" s="306">
        <v>93119</v>
      </c>
      <c r="B3965" s="305" t="s">
        <v>3718</v>
      </c>
      <c r="C3965" s="305" t="s">
        <v>363</v>
      </c>
      <c r="D3965" s="575">
        <v>12.17</v>
      </c>
    </row>
    <row r="3966" spans="1:4" ht="13.5" x14ac:dyDescent="0.25">
      <c r="A3966" s="306">
        <v>93120</v>
      </c>
      <c r="B3966" s="305" t="s">
        <v>3719</v>
      </c>
      <c r="C3966" s="305" t="s">
        <v>363</v>
      </c>
      <c r="D3966" s="575">
        <v>18.690000000000001</v>
      </c>
    </row>
    <row r="3967" spans="1:4" ht="13.5" x14ac:dyDescent="0.25">
      <c r="A3967" s="306">
        <v>93121</v>
      </c>
      <c r="B3967" s="305" t="s">
        <v>3720</v>
      </c>
      <c r="C3967" s="305" t="s">
        <v>363</v>
      </c>
      <c r="D3967" s="575">
        <v>20.399999999999999</v>
      </c>
    </row>
    <row r="3968" spans="1:4" ht="13.5" x14ac:dyDescent="0.25">
      <c r="A3968" s="306">
        <v>93122</v>
      </c>
      <c r="B3968" s="305" t="s">
        <v>3721</v>
      </c>
      <c r="C3968" s="305" t="s">
        <v>363</v>
      </c>
      <c r="D3968" s="575">
        <v>17.8</v>
      </c>
    </row>
    <row r="3969" spans="1:4" ht="13.5" x14ac:dyDescent="0.25">
      <c r="A3969" s="306">
        <v>93123</v>
      </c>
      <c r="B3969" s="305" t="s">
        <v>3722</v>
      </c>
      <c r="C3969" s="305" t="s">
        <v>363</v>
      </c>
      <c r="D3969" s="575">
        <v>38.979999999999997</v>
      </c>
    </row>
    <row r="3970" spans="1:4" ht="13.5" x14ac:dyDescent="0.25">
      <c r="A3970" s="306">
        <v>93124</v>
      </c>
      <c r="B3970" s="305" t="s">
        <v>3723</v>
      </c>
      <c r="C3970" s="305" t="s">
        <v>363</v>
      </c>
      <c r="D3970" s="575">
        <v>61.15</v>
      </c>
    </row>
    <row r="3971" spans="1:4" ht="13.5" x14ac:dyDescent="0.25">
      <c r="A3971" s="306">
        <v>93125</v>
      </c>
      <c r="B3971" s="305" t="s">
        <v>3724</v>
      </c>
      <c r="C3971" s="305" t="s">
        <v>363</v>
      </c>
      <c r="D3971" s="575">
        <v>88.91</v>
      </c>
    </row>
    <row r="3972" spans="1:4" ht="13.5" x14ac:dyDescent="0.25">
      <c r="A3972" s="306">
        <v>93126</v>
      </c>
      <c r="B3972" s="305" t="s">
        <v>3725</v>
      </c>
      <c r="C3972" s="305" t="s">
        <v>363</v>
      </c>
      <c r="D3972" s="575">
        <v>196.61</v>
      </c>
    </row>
    <row r="3973" spans="1:4" ht="13.5" x14ac:dyDescent="0.25">
      <c r="A3973" s="306">
        <v>93133</v>
      </c>
      <c r="B3973" s="305" t="s">
        <v>3726</v>
      </c>
      <c r="C3973" s="305" t="s">
        <v>363</v>
      </c>
      <c r="D3973" s="575">
        <v>14.11</v>
      </c>
    </row>
    <row r="3974" spans="1:4" ht="13.5" x14ac:dyDescent="0.25">
      <c r="A3974" s="306">
        <v>94465</v>
      </c>
      <c r="B3974" s="305" t="s">
        <v>3727</v>
      </c>
      <c r="C3974" s="305" t="s">
        <v>363</v>
      </c>
      <c r="D3974" s="575">
        <v>33.61</v>
      </c>
    </row>
    <row r="3975" spans="1:4" ht="13.5" x14ac:dyDescent="0.25">
      <c r="A3975" s="306">
        <v>94466</v>
      </c>
      <c r="B3975" s="305" t="s">
        <v>3728</v>
      </c>
      <c r="C3975" s="305" t="s">
        <v>363</v>
      </c>
      <c r="D3975" s="575">
        <v>33.619999999999997</v>
      </c>
    </row>
    <row r="3976" spans="1:4" ht="13.5" x14ac:dyDescent="0.25">
      <c r="A3976" s="306">
        <v>94467</v>
      </c>
      <c r="B3976" s="305" t="s">
        <v>3729</v>
      </c>
      <c r="C3976" s="305" t="s">
        <v>363</v>
      </c>
      <c r="D3976" s="575">
        <v>51</v>
      </c>
    </row>
    <row r="3977" spans="1:4" ht="13.5" x14ac:dyDescent="0.25">
      <c r="A3977" s="306">
        <v>94468</v>
      </c>
      <c r="B3977" s="305" t="s">
        <v>3730</v>
      </c>
      <c r="C3977" s="305" t="s">
        <v>363</v>
      </c>
      <c r="D3977" s="575">
        <v>44.82</v>
      </c>
    </row>
    <row r="3978" spans="1:4" ht="13.5" x14ac:dyDescent="0.25">
      <c r="A3978" s="306">
        <v>94469</v>
      </c>
      <c r="B3978" s="305" t="s">
        <v>3731</v>
      </c>
      <c r="C3978" s="305" t="s">
        <v>363</v>
      </c>
      <c r="D3978" s="575">
        <v>73.73</v>
      </c>
    </row>
    <row r="3979" spans="1:4" ht="13.5" x14ac:dyDescent="0.25">
      <c r="A3979" s="306">
        <v>94470</v>
      </c>
      <c r="B3979" s="305" t="s">
        <v>3732</v>
      </c>
      <c r="C3979" s="305" t="s">
        <v>363</v>
      </c>
      <c r="D3979" s="575">
        <v>68.239999999999995</v>
      </c>
    </row>
    <row r="3980" spans="1:4" ht="13.5" x14ac:dyDescent="0.25">
      <c r="A3980" s="306">
        <v>94471</v>
      </c>
      <c r="B3980" s="305" t="s">
        <v>3733</v>
      </c>
      <c r="C3980" s="305" t="s">
        <v>363</v>
      </c>
      <c r="D3980" s="575">
        <v>48.55</v>
      </c>
    </row>
    <row r="3981" spans="1:4" ht="13.5" x14ac:dyDescent="0.25">
      <c r="A3981" s="306">
        <v>94472</v>
      </c>
      <c r="B3981" s="305" t="s">
        <v>3734</v>
      </c>
      <c r="C3981" s="305" t="s">
        <v>363</v>
      </c>
      <c r="D3981" s="575">
        <v>49.92</v>
      </c>
    </row>
    <row r="3982" spans="1:4" ht="13.5" x14ac:dyDescent="0.25">
      <c r="A3982" s="306">
        <v>94473</v>
      </c>
      <c r="B3982" s="305" t="s">
        <v>3735</v>
      </c>
      <c r="C3982" s="305" t="s">
        <v>363</v>
      </c>
      <c r="D3982" s="575">
        <v>73.12</v>
      </c>
    </row>
    <row r="3983" spans="1:4" ht="13.5" x14ac:dyDescent="0.25">
      <c r="A3983" s="306">
        <v>94474</v>
      </c>
      <c r="B3983" s="305" t="s">
        <v>3736</v>
      </c>
      <c r="C3983" s="305" t="s">
        <v>363</v>
      </c>
      <c r="D3983" s="575">
        <v>79.16</v>
      </c>
    </row>
    <row r="3984" spans="1:4" ht="13.5" x14ac:dyDescent="0.25">
      <c r="A3984" s="306">
        <v>94475</v>
      </c>
      <c r="B3984" s="305" t="s">
        <v>3737</v>
      </c>
      <c r="C3984" s="305" t="s">
        <v>363</v>
      </c>
      <c r="D3984" s="575">
        <v>100.16</v>
      </c>
    </row>
    <row r="3985" spans="1:4" ht="13.5" x14ac:dyDescent="0.25">
      <c r="A3985" s="306">
        <v>94476</v>
      </c>
      <c r="B3985" s="305" t="s">
        <v>3738</v>
      </c>
      <c r="C3985" s="305" t="s">
        <v>363</v>
      </c>
      <c r="D3985" s="575">
        <v>111.8</v>
      </c>
    </row>
    <row r="3986" spans="1:4" ht="13.5" x14ac:dyDescent="0.25">
      <c r="A3986" s="306">
        <v>94477</v>
      </c>
      <c r="B3986" s="305" t="s">
        <v>3739</v>
      </c>
      <c r="C3986" s="305" t="s">
        <v>363</v>
      </c>
      <c r="D3986" s="575">
        <v>64.62</v>
      </c>
    </row>
    <row r="3987" spans="1:4" ht="13.5" x14ac:dyDescent="0.25">
      <c r="A3987" s="306">
        <v>94478</v>
      </c>
      <c r="B3987" s="305" t="s">
        <v>3740</v>
      </c>
      <c r="C3987" s="305" t="s">
        <v>363</v>
      </c>
      <c r="D3987" s="575">
        <v>100.44</v>
      </c>
    </row>
    <row r="3988" spans="1:4" ht="13.5" x14ac:dyDescent="0.25">
      <c r="A3988" s="306">
        <v>94479</v>
      </c>
      <c r="B3988" s="305" t="s">
        <v>3741</v>
      </c>
      <c r="C3988" s="305" t="s">
        <v>363</v>
      </c>
      <c r="D3988" s="575">
        <v>132.34</v>
      </c>
    </row>
    <row r="3989" spans="1:4" ht="13.5" x14ac:dyDescent="0.25">
      <c r="A3989" s="306">
        <v>94606</v>
      </c>
      <c r="B3989" s="305" t="s">
        <v>3742</v>
      </c>
      <c r="C3989" s="305" t="s">
        <v>363</v>
      </c>
      <c r="D3989" s="575">
        <v>54.66</v>
      </c>
    </row>
    <row r="3990" spans="1:4" ht="13.5" x14ac:dyDescent="0.25">
      <c r="A3990" s="306">
        <v>94608</v>
      </c>
      <c r="B3990" s="305" t="s">
        <v>3743</v>
      </c>
      <c r="C3990" s="305" t="s">
        <v>363</v>
      </c>
      <c r="D3990" s="575">
        <v>131.94</v>
      </c>
    </row>
    <row r="3991" spans="1:4" ht="13.5" x14ac:dyDescent="0.25">
      <c r="A3991" s="306">
        <v>94610</v>
      </c>
      <c r="B3991" s="305" t="s">
        <v>3744</v>
      </c>
      <c r="C3991" s="305" t="s">
        <v>363</v>
      </c>
      <c r="D3991" s="575">
        <v>195.34</v>
      </c>
    </row>
    <row r="3992" spans="1:4" ht="13.5" x14ac:dyDescent="0.25">
      <c r="A3992" s="306">
        <v>94612</v>
      </c>
      <c r="B3992" s="305" t="s">
        <v>3745</v>
      </c>
      <c r="C3992" s="305" t="s">
        <v>363</v>
      </c>
      <c r="D3992" s="575">
        <v>273.35000000000002</v>
      </c>
    </row>
    <row r="3993" spans="1:4" ht="13.5" x14ac:dyDescent="0.25">
      <c r="A3993" s="306">
        <v>94614</v>
      </c>
      <c r="B3993" s="305" t="s">
        <v>3746</v>
      </c>
      <c r="C3993" s="305" t="s">
        <v>363</v>
      </c>
      <c r="D3993" s="575">
        <v>92.15</v>
      </c>
    </row>
    <row r="3994" spans="1:4" ht="13.5" x14ac:dyDescent="0.25">
      <c r="A3994" s="306">
        <v>94615</v>
      </c>
      <c r="B3994" s="305" t="s">
        <v>3747</v>
      </c>
      <c r="C3994" s="305" t="s">
        <v>363</v>
      </c>
      <c r="D3994" s="575">
        <v>104.28</v>
      </c>
    </row>
    <row r="3995" spans="1:4" ht="13.5" x14ac:dyDescent="0.25">
      <c r="A3995" s="306">
        <v>94616</v>
      </c>
      <c r="B3995" s="305" t="s">
        <v>3748</v>
      </c>
      <c r="C3995" s="305" t="s">
        <v>363</v>
      </c>
      <c r="D3995" s="575">
        <v>251.59</v>
      </c>
    </row>
    <row r="3996" spans="1:4" ht="13.5" x14ac:dyDescent="0.25">
      <c r="A3996" s="306">
        <v>94617</v>
      </c>
      <c r="B3996" s="305" t="s">
        <v>3749</v>
      </c>
      <c r="C3996" s="305" t="s">
        <v>363</v>
      </c>
      <c r="D3996" s="575">
        <v>209.41</v>
      </c>
    </row>
    <row r="3997" spans="1:4" ht="13.5" x14ac:dyDescent="0.25">
      <c r="A3997" s="306">
        <v>94618</v>
      </c>
      <c r="B3997" s="305" t="s">
        <v>3750</v>
      </c>
      <c r="C3997" s="305" t="s">
        <v>363</v>
      </c>
      <c r="D3997" s="575">
        <v>247.34</v>
      </c>
    </row>
    <row r="3998" spans="1:4" ht="13.5" x14ac:dyDescent="0.25">
      <c r="A3998" s="306">
        <v>94620</v>
      </c>
      <c r="B3998" s="305" t="s">
        <v>3751</v>
      </c>
      <c r="C3998" s="305" t="s">
        <v>363</v>
      </c>
      <c r="D3998" s="575">
        <v>562.85</v>
      </c>
    </row>
    <row r="3999" spans="1:4" ht="13.5" x14ac:dyDescent="0.25">
      <c r="A3999" s="306">
        <v>94622</v>
      </c>
      <c r="B3999" s="305" t="s">
        <v>3752</v>
      </c>
      <c r="C3999" s="305" t="s">
        <v>363</v>
      </c>
      <c r="D3999" s="575">
        <v>134.51</v>
      </c>
    </row>
    <row r="4000" spans="1:4" ht="13.5" x14ac:dyDescent="0.25">
      <c r="A4000" s="306">
        <v>94623</v>
      </c>
      <c r="B4000" s="305" t="s">
        <v>3753</v>
      </c>
      <c r="C4000" s="305" t="s">
        <v>363</v>
      </c>
      <c r="D4000" s="575">
        <v>311.85000000000002</v>
      </c>
    </row>
    <row r="4001" spans="1:4" ht="13.5" x14ac:dyDescent="0.25">
      <c r="A4001" s="306">
        <v>94624</v>
      </c>
      <c r="B4001" s="305" t="s">
        <v>3754</v>
      </c>
      <c r="C4001" s="305" t="s">
        <v>363</v>
      </c>
      <c r="D4001" s="575">
        <v>473.12</v>
      </c>
    </row>
    <row r="4002" spans="1:4" ht="13.5" x14ac:dyDescent="0.25">
      <c r="A4002" s="306">
        <v>94625</v>
      </c>
      <c r="B4002" s="305" t="s">
        <v>3755</v>
      </c>
      <c r="C4002" s="305" t="s">
        <v>363</v>
      </c>
      <c r="D4002" s="575">
        <v>980.6</v>
      </c>
    </row>
    <row r="4003" spans="1:4" ht="13.5" x14ac:dyDescent="0.25">
      <c r="A4003" s="306">
        <v>94656</v>
      </c>
      <c r="B4003" s="305" t="s">
        <v>3756</v>
      </c>
      <c r="C4003" s="305" t="s">
        <v>363</v>
      </c>
      <c r="D4003" s="575">
        <v>4.6500000000000004</v>
      </c>
    </row>
    <row r="4004" spans="1:4" ht="13.5" x14ac:dyDescent="0.25">
      <c r="A4004" s="306">
        <v>94657</v>
      </c>
      <c r="B4004" s="305" t="s">
        <v>3757</v>
      </c>
      <c r="C4004" s="305" t="s">
        <v>363</v>
      </c>
      <c r="D4004" s="575">
        <v>4.57</v>
      </c>
    </row>
    <row r="4005" spans="1:4" ht="13.5" x14ac:dyDescent="0.25">
      <c r="A4005" s="306">
        <v>94658</v>
      </c>
      <c r="B4005" s="305" t="s">
        <v>3758</v>
      </c>
      <c r="C4005" s="305" t="s">
        <v>363</v>
      </c>
      <c r="D4005" s="575">
        <v>5.41</v>
      </c>
    </row>
    <row r="4006" spans="1:4" ht="13.5" x14ac:dyDescent="0.25">
      <c r="A4006" s="306">
        <v>94659</v>
      </c>
      <c r="B4006" s="305" t="s">
        <v>3759</v>
      </c>
      <c r="C4006" s="305" t="s">
        <v>363</v>
      </c>
      <c r="D4006" s="575">
        <v>5.49</v>
      </c>
    </row>
    <row r="4007" spans="1:4" ht="13.5" x14ac:dyDescent="0.25">
      <c r="A4007" s="306">
        <v>94660</v>
      </c>
      <c r="B4007" s="305" t="s">
        <v>3760</v>
      </c>
      <c r="C4007" s="305" t="s">
        <v>363</v>
      </c>
      <c r="D4007" s="575">
        <v>8.84</v>
      </c>
    </row>
    <row r="4008" spans="1:4" ht="13.5" x14ac:dyDescent="0.25">
      <c r="A4008" s="306">
        <v>94661</v>
      </c>
      <c r="B4008" s="305" t="s">
        <v>3761</v>
      </c>
      <c r="C4008" s="305" t="s">
        <v>363</v>
      </c>
      <c r="D4008" s="575">
        <v>9.1999999999999993</v>
      </c>
    </row>
    <row r="4009" spans="1:4" ht="13.5" x14ac:dyDescent="0.25">
      <c r="A4009" s="306">
        <v>94662</v>
      </c>
      <c r="B4009" s="305" t="s">
        <v>3762</v>
      </c>
      <c r="C4009" s="305" t="s">
        <v>363</v>
      </c>
      <c r="D4009" s="575">
        <v>9.61</v>
      </c>
    </row>
    <row r="4010" spans="1:4" ht="13.5" x14ac:dyDescent="0.25">
      <c r="A4010" s="306">
        <v>94663</v>
      </c>
      <c r="B4010" s="305" t="s">
        <v>3763</v>
      </c>
      <c r="C4010" s="305" t="s">
        <v>363</v>
      </c>
      <c r="D4010" s="575">
        <v>9.75</v>
      </c>
    </row>
    <row r="4011" spans="1:4" ht="13.5" x14ac:dyDescent="0.25">
      <c r="A4011" s="306">
        <v>94664</v>
      </c>
      <c r="B4011" s="305" t="s">
        <v>3764</v>
      </c>
      <c r="C4011" s="305" t="s">
        <v>363</v>
      </c>
      <c r="D4011" s="575">
        <v>20.68</v>
      </c>
    </row>
    <row r="4012" spans="1:4" ht="13.5" x14ac:dyDescent="0.25">
      <c r="A4012" s="306">
        <v>94665</v>
      </c>
      <c r="B4012" s="305" t="s">
        <v>3765</v>
      </c>
      <c r="C4012" s="305" t="s">
        <v>363</v>
      </c>
      <c r="D4012" s="575">
        <v>20.66</v>
      </c>
    </row>
    <row r="4013" spans="1:4" ht="13.5" x14ac:dyDescent="0.25">
      <c r="A4013" s="306">
        <v>94666</v>
      </c>
      <c r="B4013" s="305" t="s">
        <v>3766</v>
      </c>
      <c r="C4013" s="305" t="s">
        <v>363</v>
      </c>
      <c r="D4013" s="575">
        <v>25.08</v>
      </c>
    </row>
    <row r="4014" spans="1:4" ht="13.5" x14ac:dyDescent="0.25">
      <c r="A4014" s="306">
        <v>94667</v>
      </c>
      <c r="B4014" s="305" t="s">
        <v>3767</v>
      </c>
      <c r="C4014" s="305" t="s">
        <v>363</v>
      </c>
      <c r="D4014" s="575">
        <v>27.82</v>
      </c>
    </row>
    <row r="4015" spans="1:4" ht="13.5" x14ac:dyDescent="0.25">
      <c r="A4015" s="306">
        <v>94668</v>
      </c>
      <c r="B4015" s="305" t="s">
        <v>3768</v>
      </c>
      <c r="C4015" s="305" t="s">
        <v>363</v>
      </c>
      <c r="D4015" s="575">
        <v>42.96</v>
      </c>
    </row>
    <row r="4016" spans="1:4" ht="13.5" x14ac:dyDescent="0.25">
      <c r="A4016" s="306">
        <v>94669</v>
      </c>
      <c r="B4016" s="305" t="s">
        <v>3769</v>
      </c>
      <c r="C4016" s="305" t="s">
        <v>363</v>
      </c>
      <c r="D4016" s="575">
        <v>58.35</v>
      </c>
    </row>
    <row r="4017" spans="1:4" ht="13.5" x14ac:dyDescent="0.25">
      <c r="A4017" s="306">
        <v>94670</v>
      </c>
      <c r="B4017" s="305" t="s">
        <v>3770</v>
      </c>
      <c r="C4017" s="305" t="s">
        <v>363</v>
      </c>
      <c r="D4017" s="575">
        <v>56.66</v>
      </c>
    </row>
    <row r="4018" spans="1:4" ht="13.5" x14ac:dyDescent="0.25">
      <c r="A4018" s="306">
        <v>94671</v>
      </c>
      <c r="B4018" s="305" t="s">
        <v>3771</v>
      </c>
      <c r="C4018" s="305" t="s">
        <v>363</v>
      </c>
      <c r="D4018" s="575">
        <v>82.32</v>
      </c>
    </row>
    <row r="4019" spans="1:4" ht="13.5" x14ac:dyDescent="0.25">
      <c r="A4019" s="306">
        <v>94672</v>
      </c>
      <c r="B4019" s="305" t="s">
        <v>3772</v>
      </c>
      <c r="C4019" s="305" t="s">
        <v>363</v>
      </c>
      <c r="D4019" s="575">
        <v>8.0299999999999994</v>
      </c>
    </row>
    <row r="4020" spans="1:4" ht="13.5" x14ac:dyDescent="0.25">
      <c r="A4020" s="306">
        <v>94673</v>
      </c>
      <c r="B4020" s="305" t="s">
        <v>3773</v>
      </c>
      <c r="C4020" s="305" t="s">
        <v>363</v>
      </c>
      <c r="D4020" s="575">
        <v>7.82</v>
      </c>
    </row>
    <row r="4021" spans="1:4" ht="13.5" x14ac:dyDescent="0.25">
      <c r="A4021" s="306">
        <v>94674</v>
      </c>
      <c r="B4021" s="305" t="s">
        <v>3774</v>
      </c>
      <c r="C4021" s="305" t="s">
        <v>363</v>
      </c>
      <c r="D4021" s="575">
        <v>7.1</v>
      </c>
    </row>
    <row r="4022" spans="1:4" ht="13.5" x14ac:dyDescent="0.25">
      <c r="A4022" s="306">
        <v>94675</v>
      </c>
      <c r="B4022" s="305" t="s">
        <v>3775</v>
      </c>
      <c r="C4022" s="305" t="s">
        <v>363</v>
      </c>
      <c r="D4022" s="575">
        <v>10.98</v>
      </c>
    </row>
    <row r="4023" spans="1:4" ht="13.5" x14ac:dyDescent="0.25">
      <c r="A4023" s="306">
        <v>94676</v>
      </c>
      <c r="B4023" s="305" t="s">
        <v>3776</v>
      </c>
      <c r="C4023" s="305" t="s">
        <v>363</v>
      </c>
      <c r="D4023" s="575">
        <v>12.22</v>
      </c>
    </row>
    <row r="4024" spans="1:4" ht="13.5" x14ac:dyDescent="0.25">
      <c r="A4024" s="306">
        <v>94677</v>
      </c>
      <c r="B4024" s="305" t="s">
        <v>3777</v>
      </c>
      <c r="C4024" s="305" t="s">
        <v>363</v>
      </c>
      <c r="D4024" s="575">
        <v>18.05</v>
      </c>
    </row>
    <row r="4025" spans="1:4" ht="13.5" x14ac:dyDescent="0.25">
      <c r="A4025" s="306">
        <v>94678</v>
      </c>
      <c r="B4025" s="305" t="s">
        <v>3778</v>
      </c>
      <c r="C4025" s="305" t="s">
        <v>363</v>
      </c>
      <c r="D4025" s="575">
        <v>12.56</v>
      </c>
    </row>
    <row r="4026" spans="1:4" ht="13.5" x14ac:dyDescent="0.25">
      <c r="A4026" s="306">
        <v>94679</v>
      </c>
      <c r="B4026" s="305" t="s">
        <v>3779</v>
      </c>
      <c r="C4026" s="305" t="s">
        <v>363</v>
      </c>
      <c r="D4026" s="575">
        <v>20.25</v>
      </c>
    </row>
    <row r="4027" spans="1:4" ht="13.5" x14ac:dyDescent="0.25">
      <c r="A4027" s="306">
        <v>94680</v>
      </c>
      <c r="B4027" s="305" t="s">
        <v>3780</v>
      </c>
      <c r="C4027" s="305" t="s">
        <v>363</v>
      </c>
      <c r="D4027" s="575">
        <v>33.89</v>
      </c>
    </row>
    <row r="4028" spans="1:4" ht="13.5" x14ac:dyDescent="0.25">
      <c r="A4028" s="306">
        <v>94681</v>
      </c>
      <c r="B4028" s="305" t="s">
        <v>3781</v>
      </c>
      <c r="C4028" s="305" t="s">
        <v>363</v>
      </c>
      <c r="D4028" s="575">
        <v>44.42</v>
      </c>
    </row>
    <row r="4029" spans="1:4" ht="13.5" x14ac:dyDescent="0.25">
      <c r="A4029" s="306">
        <v>94682</v>
      </c>
      <c r="B4029" s="305" t="s">
        <v>3782</v>
      </c>
      <c r="C4029" s="305" t="s">
        <v>363</v>
      </c>
      <c r="D4029" s="575">
        <v>88.08</v>
      </c>
    </row>
    <row r="4030" spans="1:4" ht="13.5" x14ac:dyDescent="0.25">
      <c r="A4030" s="306">
        <v>94683</v>
      </c>
      <c r="B4030" s="305" t="s">
        <v>3783</v>
      </c>
      <c r="C4030" s="305" t="s">
        <v>363</v>
      </c>
      <c r="D4030" s="575">
        <v>57.16</v>
      </c>
    </row>
    <row r="4031" spans="1:4" ht="13.5" x14ac:dyDescent="0.25">
      <c r="A4031" s="306">
        <v>94684</v>
      </c>
      <c r="B4031" s="305" t="s">
        <v>3784</v>
      </c>
      <c r="C4031" s="305" t="s">
        <v>363</v>
      </c>
      <c r="D4031" s="575">
        <v>112.95</v>
      </c>
    </row>
    <row r="4032" spans="1:4" ht="13.5" x14ac:dyDescent="0.25">
      <c r="A4032" s="306">
        <v>94685</v>
      </c>
      <c r="B4032" s="305" t="s">
        <v>3785</v>
      </c>
      <c r="C4032" s="305" t="s">
        <v>363</v>
      </c>
      <c r="D4032" s="575">
        <v>87.21</v>
      </c>
    </row>
    <row r="4033" spans="1:4" ht="13.5" x14ac:dyDescent="0.25">
      <c r="A4033" s="306">
        <v>94686</v>
      </c>
      <c r="B4033" s="305" t="s">
        <v>3786</v>
      </c>
      <c r="C4033" s="305" t="s">
        <v>363</v>
      </c>
      <c r="D4033" s="575">
        <v>209.97</v>
      </c>
    </row>
    <row r="4034" spans="1:4" ht="13.5" x14ac:dyDescent="0.25">
      <c r="A4034" s="306">
        <v>94687</v>
      </c>
      <c r="B4034" s="305" t="s">
        <v>3787</v>
      </c>
      <c r="C4034" s="305" t="s">
        <v>363</v>
      </c>
      <c r="D4034" s="575">
        <v>171.18</v>
      </c>
    </row>
    <row r="4035" spans="1:4" ht="13.5" x14ac:dyDescent="0.25">
      <c r="A4035" s="306">
        <v>94688</v>
      </c>
      <c r="B4035" s="305" t="s">
        <v>3788</v>
      </c>
      <c r="C4035" s="305" t="s">
        <v>363</v>
      </c>
      <c r="D4035" s="575">
        <v>8.25</v>
      </c>
    </row>
    <row r="4036" spans="1:4" ht="13.5" x14ac:dyDescent="0.25">
      <c r="A4036" s="306">
        <v>94689</v>
      </c>
      <c r="B4036" s="305" t="s">
        <v>3789</v>
      </c>
      <c r="C4036" s="305" t="s">
        <v>363</v>
      </c>
      <c r="D4036" s="575">
        <v>11.04</v>
      </c>
    </row>
    <row r="4037" spans="1:4" ht="13.5" x14ac:dyDescent="0.25">
      <c r="A4037" s="306">
        <v>94690</v>
      </c>
      <c r="B4037" s="305" t="s">
        <v>3790</v>
      </c>
      <c r="C4037" s="305" t="s">
        <v>363</v>
      </c>
      <c r="D4037" s="575">
        <v>10.59</v>
      </c>
    </row>
    <row r="4038" spans="1:4" ht="13.5" x14ac:dyDescent="0.25">
      <c r="A4038" s="306">
        <v>94691</v>
      </c>
      <c r="B4038" s="305" t="s">
        <v>3791</v>
      </c>
      <c r="C4038" s="305" t="s">
        <v>363</v>
      </c>
      <c r="D4038" s="575">
        <v>12.2</v>
      </c>
    </row>
    <row r="4039" spans="1:4" ht="13.5" x14ac:dyDescent="0.25">
      <c r="A4039" s="306">
        <v>94692</v>
      </c>
      <c r="B4039" s="305" t="s">
        <v>3792</v>
      </c>
      <c r="C4039" s="305" t="s">
        <v>363</v>
      </c>
      <c r="D4039" s="575">
        <v>18.37</v>
      </c>
    </row>
    <row r="4040" spans="1:4" ht="13.5" x14ac:dyDescent="0.25">
      <c r="A4040" s="306">
        <v>94693</v>
      </c>
      <c r="B4040" s="305" t="s">
        <v>3793</v>
      </c>
      <c r="C4040" s="305" t="s">
        <v>363</v>
      </c>
      <c r="D4040" s="575">
        <v>19.18</v>
      </c>
    </row>
    <row r="4041" spans="1:4" ht="13.5" x14ac:dyDescent="0.25">
      <c r="A4041" s="306">
        <v>94694</v>
      </c>
      <c r="B4041" s="305" t="s">
        <v>3794</v>
      </c>
      <c r="C4041" s="305" t="s">
        <v>363</v>
      </c>
      <c r="D4041" s="575">
        <v>19.23</v>
      </c>
    </row>
    <row r="4042" spans="1:4" ht="13.5" x14ac:dyDescent="0.25">
      <c r="A4042" s="306">
        <v>94695</v>
      </c>
      <c r="B4042" s="305" t="s">
        <v>3795</v>
      </c>
      <c r="C4042" s="305" t="s">
        <v>363</v>
      </c>
      <c r="D4042" s="575">
        <v>25.51</v>
      </c>
    </row>
    <row r="4043" spans="1:4" ht="13.5" x14ac:dyDescent="0.25">
      <c r="A4043" s="306">
        <v>94696</v>
      </c>
      <c r="B4043" s="305" t="s">
        <v>3796</v>
      </c>
      <c r="C4043" s="305" t="s">
        <v>363</v>
      </c>
      <c r="D4043" s="575">
        <v>44.11</v>
      </c>
    </row>
    <row r="4044" spans="1:4" ht="13.5" x14ac:dyDescent="0.25">
      <c r="A4044" s="306">
        <v>94697</v>
      </c>
      <c r="B4044" s="305" t="s">
        <v>3797</v>
      </c>
      <c r="C4044" s="305" t="s">
        <v>363</v>
      </c>
      <c r="D4044" s="575">
        <v>68.45</v>
      </c>
    </row>
    <row r="4045" spans="1:4" ht="13.5" x14ac:dyDescent="0.25">
      <c r="A4045" s="306">
        <v>94698</v>
      </c>
      <c r="B4045" s="305" t="s">
        <v>3798</v>
      </c>
      <c r="C4045" s="305" t="s">
        <v>363</v>
      </c>
      <c r="D4045" s="575">
        <v>59.89</v>
      </c>
    </row>
    <row r="4046" spans="1:4" ht="13.5" x14ac:dyDescent="0.25">
      <c r="A4046" s="306">
        <v>94699</v>
      </c>
      <c r="B4046" s="305" t="s">
        <v>3799</v>
      </c>
      <c r="C4046" s="305" t="s">
        <v>363</v>
      </c>
      <c r="D4046" s="575">
        <v>115.27</v>
      </c>
    </row>
    <row r="4047" spans="1:4" ht="13.5" x14ac:dyDescent="0.25">
      <c r="A4047" s="306">
        <v>94700</v>
      </c>
      <c r="B4047" s="305" t="s">
        <v>3800</v>
      </c>
      <c r="C4047" s="305" t="s">
        <v>363</v>
      </c>
      <c r="D4047" s="575">
        <v>97.76</v>
      </c>
    </row>
    <row r="4048" spans="1:4" ht="13.5" x14ac:dyDescent="0.25">
      <c r="A4048" s="306">
        <v>94701</v>
      </c>
      <c r="B4048" s="305" t="s">
        <v>3801</v>
      </c>
      <c r="C4048" s="305" t="s">
        <v>363</v>
      </c>
      <c r="D4048" s="575">
        <v>170.8</v>
      </c>
    </row>
    <row r="4049" spans="1:4" ht="13.5" x14ac:dyDescent="0.25">
      <c r="A4049" s="306">
        <v>94702</v>
      </c>
      <c r="B4049" s="305" t="s">
        <v>3802</v>
      </c>
      <c r="C4049" s="305" t="s">
        <v>363</v>
      </c>
      <c r="D4049" s="575">
        <v>161.85</v>
      </c>
    </row>
    <row r="4050" spans="1:4" ht="13.5" x14ac:dyDescent="0.25">
      <c r="A4050" s="306">
        <v>94703</v>
      </c>
      <c r="B4050" s="305" t="s">
        <v>3803</v>
      </c>
      <c r="C4050" s="305" t="s">
        <v>363</v>
      </c>
      <c r="D4050" s="575">
        <v>15.05</v>
      </c>
    </row>
    <row r="4051" spans="1:4" ht="13.5" x14ac:dyDescent="0.25">
      <c r="A4051" s="306">
        <v>94704</v>
      </c>
      <c r="B4051" s="305" t="s">
        <v>3804</v>
      </c>
      <c r="C4051" s="305" t="s">
        <v>363</v>
      </c>
      <c r="D4051" s="575">
        <v>17.739999999999998</v>
      </c>
    </row>
    <row r="4052" spans="1:4" ht="13.5" x14ac:dyDescent="0.25">
      <c r="A4052" s="306">
        <v>94705</v>
      </c>
      <c r="B4052" s="305" t="s">
        <v>3805</v>
      </c>
      <c r="C4052" s="305" t="s">
        <v>363</v>
      </c>
      <c r="D4052" s="575">
        <v>21.81</v>
      </c>
    </row>
    <row r="4053" spans="1:4" ht="13.5" x14ac:dyDescent="0.25">
      <c r="A4053" s="306">
        <v>94706</v>
      </c>
      <c r="B4053" s="305" t="s">
        <v>3806</v>
      </c>
      <c r="C4053" s="305" t="s">
        <v>363</v>
      </c>
      <c r="D4053" s="575">
        <v>31.21</v>
      </c>
    </row>
    <row r="4054" spans="1:4" ht="13.5" x14ac:dyDescent="0.25">
      <c r="A4054" s="306">
        <v>94707</v>
      </c>
      <c r="B4054" s="305" t="s">
        <v>3807</v>
      </c>
      <c r="C4054" s="305" t="s">
        <v>363</v>
      </c>
      <c r="D4054" s="575">
        <v>38.770000000000003</v>
      </c>
    </row>
    <row r="4055" spans="1:4" ht="13.5" x14ac:dyDescent="0.25">
      <c r="A4055" s="306">
        <v>94708</v>
      </c>
      <c r="B4055" s="305" t="s">
        <v>3808</v>
      </c>
      <c r="C4055" s="305" t="s">
        <v>363</v>
      </c>
      <c r="D4055" s="575">
        <v>19.510000000000002</v>
      </c>
    </row>
    <row r="4056" spans="1:4" ht="13.5" x14ac:dyDescent="0.25">
      <c r="A4056" s="306">
        <v>94709</v>
      </c>
      <c r="B4056" s="305" t="s">
        <v>3809</v>
      </c>
      <c r="C4056" s="305" t="s">
        <v>363</v>
      </c>
      <c r="D4056" s="575">
        <v>24.86</v>
      </c>
    </row>
    <row r="4057" spans="1:4" ht="13.5" x14ac:dyDescent="0.25">
      <c r="A4057" s="306">
        <v>94710</v>
      </c>
      <c r="B4057" s="305" t="s">
        <v>3810</v>
      </c>
      <c r="C4057" s="305" t="s">
        <v>363</v>
      </c>
      <c r="D4057" s="575">
        <v>38.17</v>
      </c>
    </row>
    <row r="4058" spans="1:4" ht="13.5" x14ac:dyDescent="0.25">
      <c r="A4058" s="306">
        <v>94711</v>
      </c>
      <c r="B4058" s="305" t="s">
        <v>3811</v>
      </c>
      <c r="C4058" s="305" t="s">
        <v>363</v>
      </c>
      <c r="D4058" s="575">
        <v>45.43</v>
      </c>
    </row>
    <row r="4059" spans="1:4" ht="13.5" x14ac:dyDescent="0.25">
      <c r="A4059" s="306">
        <v>94712</v>
      </c>
      <c r="B4059" s="305" t="s">
        <v>3812</v>
      </c>
      <c r="C4059" s="305" t="s">
        <v>363</v>
      </c>
      <c r="D4059" s="575">
        <v>60.7</v>
      </c>
    </row>
    <row r="4060" spans="1:4" ht="13.5" x14ac:dyDescent="0.25">
      <c r="A4060" s="306">
        <v>94713</v>
      </c>
      <c r="B4060" s="305" t="s">
        <v>3813</v>
      </c>
      <c r="C4060" s="305" t="s">
        <v>363</v>
      </c>
      <c r="D4060" s="575">
        <v>157.59</v>
      </c>
    </row>
    <row r="4061" spans="1:4" ht="13.5" x14ac:dyDescent="0.25">
      <c r="A4061" s="306">
        <v>94714</v>
      </c>
      <c r="B4061" s="305" t="s">
        <v>3814</v>
      </c>
      <c r="C4061" s="305" t="s">
        <v>363</v>
      </c>
      <c r="D4061" s="575">
        <v>213.46</v>
      </c>
    </row>
    <row r="4062" spans="1:4" ht="13.5" x14ac:dyDescent="0.25">
      <c r="A4062" s="306">
        <v>94715</v>
      </c>
      <c r="B4062" s="305" t="s">
        <v>3815</v>
      </c>
      <c r="C4062" s="305" t="s">
        <v>363</v>
      </c>
      <c r="D4062" s="575">
        <v>294.48</v>
      </c>
    </row>
    <row r="4063" spans="1:4" ht="13.5" x14ac:dyDescent="0.25">
      <c r="A4063" s="306">
        <v>94724</v>
      </c>
      <c r="B4063" s="305" t="s">
        <v>3816</v>
      </c>
      <c r="C4063" s="305" t="s">
        <v>363</v>
      </c>
      <c r="D4063" s="575">
        <v>19.77</v>
      </c>
    </row>
    <row r="4064" spans="1:4" ht="13.5" x14ac:dyDescent="0.25">
      <c r="A4064" s="306">
        <v>94725</v>
      </c>
      <c r="B4064" s="305" t="s">
        <v>3817</v>
      </c>
      <c r="C4064" s="305" t="s">
        <v>363</v>
      </c>
      <c r="D4064" s="575">
        <v>4.9400000000000004</v>
      </c>
    </row>
    <row r="4065" spans="1:4" ht="13.5" x14ac:dyDescent="0.25">
      <c r="A4065" s="306">
        <v>94726</v>
      </c>
      <c r="B4065" s="305" t="s">
        <v>3818</v>
      </c>
      <c r="C4065" s="305" t="s">
        <v>363</v>
      </c>
      <c r="D4065" s="575">
        <v>30.38</v>
      </c>
    </row>
    <row r="4066" spans="1:4" ht="13.5" x14ac:dyDescent="0.25">
      <c r="A4066" s="306">
        <v>94727</v>
      </c>
      <c r="B4066" s="305" t="s">
        <v>3819</v>
      </c>
      <c r="C4066" s="305" t="s">
        <v>363</v>
      </c>
      <c r="D4066" s="575">
        <v>6.91</v>
      </c>
    </row>
    <row r="4067" spans="1:4" ht="13.5" x14ac:dyDescent="0.25">
      <c r="A4067" s="306">
        <v>94728</v>
      </c>
      <c r="B4067" s="305" t="s">
        <v>3820</v>
      </c>
      <c r="C4067" s="305" t="s">
        <v>363</v>
      </c>
      <c r="D4067" s="575">
        <v>114.24</v>
      </c>
    </row>
    <row r="4068" spans="1:4" ht="13.5" x14ac:dyDescent="0.25">
      <c r="A4068" s="306">
        <v>94729</v>
      </c>
      <c r="B4068" s="305" t="s">
        <v>3821</v>
      </c>
      <c r="C4068" s="305" t="s">
        <v>363</v>
      </c>
      <c r="D4068" s="575">
        <v>12.07</v>
      </c>
    </row>
    <row r="4069" spans="1:4" ht="13.5" x14ac:dyDescent="0.25">
      <c r="A4069" s="306">
        <v>94730</v>
      </c>
      <c r="B4069" s="305" t="s">
        <v>3822</v>
      </c>
      <c r="C4069" s="305" t="s">
        <v>363</v>
      </c>
      <c r="D4069" s="575">
        <v>138.69999999999999</v>
      </c>
    </row>
    <row r="4070" spans="1:4" ht="13.5" x14ac:dyDescent="0.25">
      <c r="A4070" s="306">
        <v>94731</v>
      </c>
      <c r="B4070" s="305" t="s">
        <v>3823</v>
      </c>
      <c r="C4070" s="305" t="s">
        <v>363</v>
      </c>
      <c r="D4070" s="575">
        <v>15.05</v>
      </c>
    </row>
    <row r="4071" spans="1:4" ht="13.5" x14ac:dyDescent="0.25">
      <c r="A4071" s="306">
        <v>94733</v>
      </c>
      <c r="B4071" s="305" t="s">
        <v>3824</v>
      </c>
      <c r="C4071" s="305" t="s">
        <v>363</v>
      </c>
      <c r="D4071" s="575">
        <v>29.08</v>
      </c>
    </row>
    <row r="4072" spans="1:4" ht="13.5" x14ac:dyDescent="0.25">
      <c r="A4072" s="306">
        <v>94737</v>
      </c>
      <c r="B4072" s="305" t="s">
        <v>3825</v>
      </c>
      <c r="C4072" s="305" t="s">
        <v>363</v>
      </c>
      <c r="D4072" s="575">
        <v>120.22</v>
      </c>
    </row>
    <row r="4073" spans="1:4" ht="13.5" x14ac:dyDescent="0.25">
      <c r="A4073" s="306">
        <v>94740</v>
      </c>
      <c r="B4073" s="305" t="s">
        <v>3826</v>
      </c>
      <c r="C4073" s="305" t="s">
        <v>363</v>
      </c>
      <c r="D4073" s="575">
        <v>7.74</v>
      </c>
    </row>
    <row r="4074" spans="1:4" ht="13.5" x14ac:dyDescent="0.25">
      <c r="A4074" s="306">
        <v>94741</v>
      </c>
      <c r="B4074" s="305" t="s">
        <v>3827</v>
      </c>
      <c r="C4074" s="305" t="s">
        <v>363</v>
      </c>
      <c r="D4074" s="575">
        <v>9.5299999999999994</v>
      </c>
    </row>
    <row r="4075" spans="1:4" ht="13.5" x14ac:dyDescent="0.25">
      <c r="A4075" s="306">
        <v>94742</v>
      </c>
      <c r="B4075" s="305" t="s">
        <v>3828</v>
      </c>
      <c r="C4075" s="305" t="s">
        <v>363</v>
      </c>
      <c r="D4075" s="575">
        <v>11.53</v>
      </c>
    </row>
    <row r="4076" spans="1:4" ht="13.5" x14ac:dyDescent="0.25">
      <c r="A4076" s="306">
        <v>94743</v>
      </c>
      <c r="B4076" s="305" t="s">
        <v>3829</v>
      </c>
      <c r="C4076" s="305" t="s">
        <v>363</v>
      </c>
      <c r="D4076" s="575">
        <v>12.66</v>
      </c>
    </row>
    <row r="4077" spans="1:4" ht="13.5" x14ac:dyDescent="0.25">
      <c r="A4077" s="306">
        <v>94744</v>
      </c>
      <c r="B4077" s="305" t="s">
        <v>3830</v>
      </c>
      <c r="C4077" s="305" t="s">
        <v>363</v>
      </c>
      <c r="D4077" s="575">
        <v>18.32</v>
      </c>
    </row>
    <row r="4078" spans="1:4" ht="13.5" x14ac:dyDescent="0.25">
      <c r="A4078" s="306">
        <v>94746</v>
      </c>
      <c r="B4078" s="305" t="s">
        <v>3831</v>
      </c>
      <c r="C4078" s="305" t="s">
        <v>363</v>
      </c>
      <c r="D4078" s="575">
        <v>25.87</v>
      </c>
    </row>
    <row r="4079" spans="1:4" ht="13.5" x14ac:dyDescent="0.25">
      <c r="A4079" s="306">
        <v>94748</v>
      </c>
      <c r="B4079" s="305" t="s">
        <v>3832</v>
      </c>
      <c r="C4079" s="305" t="s">
        <v>363</v>
      </c>
      <c r="D4079" s="575">
        <v>53.13</v>
      </c>
    </row>
    <row r="4080" spans="1:4" ht="13.5" x14ac:dyDescent="0.25">
      <c r="A4080" s="306">
        <v>94750</v>
      </c>
      <c r="B4080" s="305" t="s">
        <v>3833</v>
      </c>
      <c r="C4080" s="305" t="s">
        <v>363</v>
      </c>
      <c r="D4080" s="575">
        <v>124.54</v>
      </c>
    </row>
    <row r="4081" spans="1:4" ht="13.5" x14ac:dyDescent="0.25">
      <c r="A4081" s="306">
        <v>94752</v>
      </c>
      <c r="B4081" s="305" t="s">
        <v>3834</v>
      </c>
      <c r="C4081" s="305" t="s">
        <v>363</v>
      </c>
      <c r="D4081" s="575">
        <v>152.62</v>
      </c>
    </row>
    <row r="4082" spans="1:4" ht="13.5" x14ac:dyDescent="0.25">
      <c r="A4082" s="306">
        <v>94756</v>
      </c>
      <c r="B4082" s="305" t="s">
        <v>3835</v>
      </c>
      <c r="C4082" s="305" t="s">
        <v>363</v>
      </c>
      <c r="D4082" s="575">
        <v>9.83</v>
      </c>
    </row>
    <row r="4083" spans="1:4" ht="13.5" x14ac:dyDescent="0.25">
      <c r="A4083" s="306">
        <v>94757</v>
      </c>
      <c r="B4083" s="305" t="s">
        <v>3836</v>
      </c>
      <c r="C4083" s="305" t="s">
        <v>363</v>
      </c>
      <c r="D4083" s="575">
        <v>13.22</v>
      </c>
    </row>
    <row r="4084" spans="1:4" ht="13.5" x14ac:dyDescent="0.25">
      <c r="A4084" s="306">
        <v>94758</v>
      </c>
      <c r="B4084" s="305" t="s">
        <v>3837</v>
      </c>
      <c r="C4084" s="305" t="s">
        <v>363</v>
      </c>
      <c r="D4084" s="575">
        <v>33.08</v>
      </c>
    </row>
    <row r="4085" spans="1:4" ht="13.5" x14ac:dyDescent="0.25">
      <c r="A4085" s="306">
        <v>94759</v>
      </c>
      <c r="B4085" s="305" t="s">
        <v>3838</v>
      </c>
      <c r="C4085" s="305" t="s">
        <v>363</v>
      </c>
      <c r="D4085" s="575">
        <v>40.61</v>
      </c>
    </row>
    <row r="4086" spans="1:4" ht="13.5" x14ac:dyDescent="0.25">
      <c r="A4086" s="306">
        <v>94760</v>
      </c>
      <c r="B4086" s="305" t="s">
        <v>3839</v>
      </c>
      <c r="C4086" s="305" t="s">
        <v>363</v>
      </c>
      <c r="D4086" s="575">
        <v>66.790000000000006</v>
      </c>
    </row>
    <row r="4087" spans="1:4" ht="13.5" x14ac:dyDescent="0.25">
      <c r="A4087" s="306">
        <v>94761</v>
      </c>
      <c r="B4087" s="305" t="s">
        <v>3840</v>
      </c>
      <c r="C4087" s="305" t="s">
        <v>363</v>
      </c>
      <c r="D4087" s="575">
        <v>142.28</v>
      </c>
    </row>
    <row r="4088" spans="1:4" ht="13.5" x14ac:dyDescent="0.25">
      <c r="A4088" s="306">
        <v>94762</v>
      </c>
      <c r="B4088" s="305" t="s">
        <v>3841</v>
      </c>
      <c r="C4088" s="305" t="s">
        <v>363</v>
      </c>
      <c r="D4088" s="575">
        <v>182.95</v>
      </c>
    </row>
    <row r="4089" spans="1:4" ht="13.5" x14ac:dyDescent="0.25">
      <c r="A4089" s="306">
        <v>94783</v>
      </c>
      <c r="B4089" s="305" t="s">
        <v>3842</v>
      </c>
      <c r="C4089" s="305" t="s">
        <v>363</v>
      </c>
      <c r="D4089" s="575">
        <v>13.88</v>
      </c>
    </row>
    <row r="4090" spans="1:4" ht="13.5" x14ac:dyDescent="0.25">
      <c r="A4090" s="306">
        <v>94785</v>
      </c>
      <c r="B4090" s="305" t="s">
        <v>3843</v>
      </c>
      <c r="C4090" s="305" t="s">
        <v>363</v>
      </c>
      <c r="D4090" s="575">
        <v>25.25</v>
      </c>
    </row>
    <row r="4091" spans="1:4" ht="13.5" x14ac:dyDescent="0.25">
      <c r="A4091" s="306">
        <v>94786</v>
      </c>
      <c r="B4091" s="305" t="s">
        <v>3844</v>
      </c>
      <c r="C4091" s="305" t="s">
        <v>363</v>
      </c>
      <c r="D4091" s="575">
        <v>32.840000000000003</v>
      </c>
    </row>
    <row r="4092" spans="1:4" ht="13.5" x14ac:dyDescent="0.25">
      <c r="A4092" s="306">
        <v>94787</v>
      </c>
      <c r="B4092" s="305" t="s">
        <v>3845</v>
      </c>
      <c r="C4092" s="305" t="s">
        <v>363</v>
      </c>
      <c r="D4092" s="575">
        <v>43.42</v>
      </c>
    </row>
    <row r="4093" spans="1:4" ht="13.5" x14ac:dyDescent="0.25">
      <c r="A4093" s="306">
        <v>94788</v>
      </c>
      <c r="B4093" s="305" t="s">
        <v>3846</v>
      </c>
      <c r="C4093" s="305" t="s">
        <v>363</v>
      </c>
      <c r="D4093" s="575">
        <v>62.52</v>
      </c>
    </row>
    <row r="4094" spans="1:4" ht="13.5" x14ac:dyDescent="0.25">
      <c r="A4094" s="306">
        <v>94789</v>
      </c>
      <c r="B4094" s="305" t="s">
        <v>3847</v>
      </c>
      <c r="C4094" s="305" t="s">
        <v>363</v>
      </c>
      <c r="D4094" s="575">
        <v>195.04</v>
      </c>
    </row>
    <row r="4095" spans="1:4" ht="13.5" x14ac:dyDescent="0.25">
      <c r="A4095" s="306">
        <v>94790</v>
      </c>
      <c r="B4095" s="305" t="s">
        <v>3848</v>
      </c>
      <c r="C4095" s="305" t="s">
        <v>363</v>
      </c>
      <c r="D4095" s="575">
        <v>225.52</v>
      </c>
    </row>
    <row r="4096" spans="1:4" ht="13.5" x14ac:dyDescent="0.25">
      <c r="A4096" s="306">
        <v>94791</v>
      </c>
      <c r="B4096" s="305" t="s">
        <v>3849</v>
      </c>
      <c r="C4096" s="305" t="s">
        <v>363</v>
      </c>
      <c r="D4096" s="575">
        <v>315.7</v>
      </c>
    </row>
    <row r="4097" spans="1:4" ht="13.5" x14ac:dyDescent="0.25">
      <c r="A4097" s="306">
        <v>94863</v>
      </c>
      <c r="B4097" s="305" t="s">
        <v>3850</v>
      </c>
      <c r="C4097" s="305" t="s">
        <v>363</v>
      </c>
      <c r="D4097" s="575">
        <v>102</v>
      </c>
    </row>
    <row r="4098" spans="1:4" ht="13.5" x14ac:dyDescent="0.25">
      <c r="A4098" s="306">
        <v>95141</v>
      </c>
      <c r="B4098" s="305" t="s">
        <v>3851</v>
      </c>
      <c r="C4098" s="305" t="s">
        <v>363</v>
      </c>
      <c r="D4098" s="575">
        <v>23.6</v>
      </c>
    </row>
    <row r="4099" spans="1:4" ht="13.5" x14ac:dyDescent="0.25">
      <c r="A4099" s="306">
        <v>95237</v>
      </c>
      <c r="B4099" s="305" t="s">
        <v>3852</v>
      </c>
      <c r="C4099" s="305" t="s">
        <v>363</v>
      </c>
      <c r="D4099" s="575">
        <v>18.34</v>
      </c>
    </row>
    <row r="4100" spans="1:4" ht="13.5" x14ac:dyDescent="0.25">
      <c r="A4100" s="306">
        <v>95693</v>
      </c>
      <c r="B4100" s="305" t="s">
        <v>3853</v>
      </c>
      <c r="C4100" s="305" t="s">
        <v>363</v>
      </c>
      <c r="D4100" s="575">
        <v>35.9</v>
      </c>
    </row>
    <row r="4101" spans="1:4" ht="13.5" x14ac:dyDescent="0.25">
      <c r="A4101" s="306">
        <v>95694</v>
      </c>
      <c r="B4101" s="305" t="s">
        <v>3854</v>
      </c>
      <c r="C4101" s="305" t="s">
        <v>363</v>
      </c>
      <c r="D4101" s="575">
        <v>44.27</v>
      </c>
    </row>
    <row r="4102" spans="1:4" ht="13.5" x14ac:dyDescent="0.25">
      <c r="A4102" s="306">
        <v>95695</v>
      </c>
      <c r="B4102" s="305" t="s">
        <v>3855</v>
      </c>
      <c r="C4102" s="305" t="s">
        <v>363</v>
      </c>
      <c r="D4102" s="575">
        <v>42.89</v>
      </c>
    </row>
    <row r="4103" spans="1:4" ht="13.5" x14ac:dyDescent="0.25">
      <c r="A4103" s="306">
        <v>95696</v>
      </c>
      <c r="B4103" s="305" t="s">
        <v>3856</v>
      </c>
      <c r="C4103" s="305" t="s">
        <v>363</v>
      </c>
      <c r="D4103" s="575">
        <v>26.99</v>
      </c>
    </row>
    <row r="4104" spans="1:4" ht="13.5" x14ac:dyDescent="0.25">
      <c r="A4104" s="306">
        <v>96637</v>
      </c>
      <c r="B4104" s="305" t="s">
        <v>3857</v>
      </c>
      <c r="C4104" s="305" t="s">
        <v>363</v>
      </c>
      <c r="D4104" s="575">
        <v>10.14</v>
      </c>
    </row>
    <row r="4105" spans="1:4" ht="13.5" x14ac:dyDescent="0.25">
      <c r="A4105" s="306">
        <v>96638</v>
      </c>
      <c r="B4105" s="305" t="s">
        <v>3858</v>
      </c>
      <c r="C4105" s="305" t="s">
        <v>363</v>
      </c>
      <c r="D4105" s="575">
        <v>9.7899999999999991</v>
      </c>
    </row>
    <row r="4106" spans="1:4" ht="13.5" x14ac:dyDescent="0.25">
      <c r="A4106" s="306">
        <v>96639</v>
      </c>
      <c r="B4106" s="305" t="s">
        <v>3859</v>
      </c>
      <c r="C4106" s="305" t="s">
        <v>363</v>
      </c>
      <c r="D4106" s="575">
        <v>7.05</v>
      </c>
    </row>
    <row r="4107" spans="1:4" ht="13.5" x14ac:dyDescent="0.25">
      <c r="A4107" s="306">
        <v>96640</v>
      </c>
      <c r="B4107" s="305" t="s">
        <v>3860</v>
      </c>
      <c r="C4107" s="305" t="s">
        <v>363</v>
      </c>
      <c r="D4107" s="575">
        <v>17</v>
      </c>
    </row>
    <row r="4108" spans="1:4" ht="13.5" x14ac:dyDescent="0.25">
      <c r="A4108" s="306">
        <v>96641</v>
      </c>
      <c r="B4108" s="305" t="s">
        <v>3861</v>
      </c>
      <c r="C4108" s="305" t="s">
        <v>363</v>
      </c>
      <c r="D4108" s="575">
        <v>13.45</v>
      </c>
    </row>
    <row r="4109" spans="1:4" ht="13.5" x14ac:dyDescent="0.25">
      <c r="A4109" s="306">
        <v>96642</v>
      </c>
      <c r="B4109" s="305" t="s">
        <v>3862</v>
      </c>
      <c r="C4109" s="305" t="s">
        <v>363</v>
      </c>
      <c r="D4109" s="575">
        <v>13.44</v>
      </c>
    </row>
    <row r="4110" spans="1:4" ht="13.5" x14ac:dyDescent="0.25">
      <c r="A4110" s="306">
        <v>96643</v>
      </c>
      <c r="B4110" s="305" t="s">
        <v>3863</v>
      </c>
      <c r="C4110" s="305" t="s">
        <v>363</v>
      </c>
      <c r="D4110" s="575">
        <v>34.26</v>
      </c>
    </row>
    <row r="4111" spans="1:4" ht="13.5" x14ac:dyDescent="0.25">
      <c r="A4111" s="306">
        <v>96650</v>
      </c>
      <c r="B4111" s="305" t="s">
        <v>3864</v>
      </c>
      <c r="C4111" s="305" t="s">
        <v>363</v>
      </c>
      <c r="D4111" s="575">
        <v>7.5</v>
      </c>
    </row>
    <row r="4112" spans="1:4" ht="13.5" x14ac:dyDescent="0.25">
      <c r="A4112" s="306">
        <v>96651</v>
      </c>
      <c r="B4112" s="305" t="s">
        <v>3865</v>
      </c>
      <c r="C4112" s="305" t="s">
        <v>363</v>
      </c>
      <c r="D4112" s="575">
        <v>7.15</v>
      </c>
    </row>
    <row r="4113" spans="1:4" ht="13.5" x14ac:dyDescent="0.25">
      <c r="A4113" s="306">
        <v>96652</v>
      </c>
      <c r="B4113" s="305" t="s">
        <v>3866</v>
      </c>
      <c r="C4113" s="305" t="s">
        <v>363</v>
      </c>
      <c r="D4113" s="575">
        <v>14.38</v>
      </c>
    </row>
    <row r="4114" spans="1:4" ht="13.5" x14ac:dyDescent="0.25">
      <c r="A4114" s="306">
        <v>96653</v>
      </c>
      <c r="B4114" s="305" t="s">
        <v>3867</v>
      </c>
      <c r="C4114" s="305" t="s">
        <v>363</v>
      </c>
      <c r="D4114" s="575">
        <v>14.35</v>
      </c>
    </row>
    <row r="4115" spans="1:4" ht="13.5" x14ac:dyDescent="0.25">
      <c r="A4115" s="306">
        <v>96654</v>
      </c>
      <c r="B4115" s="305" t="s">
        <v>3868</v>
      </c>
      <c r="C4115" s="305" t="s">
        <v>363</v>
      </c>
      <c r="D4115" s="575">
        <v>23.74</v>
      </c>
    </row>
    <row r="4116" spans="1:4" ht="13.5" x14ac:dyDescent="0.25">
      <c r="A4116" s="306">
        <v>96655</v>
      </c>
      <c r="B4116" s="305" t="s">
        <v>3869</v>
      </c>
      <c r="C4116" s="305" t="s">
        <v>363</v>
      </c>
      <c r="D4116" s="575">
        <v>23.35</v>
      </c>
    </row>
    <row r="4117" spans="1:4" ht="13.5" x14ac:dyDescent="0.25">
      <c r="A4117" s="306">
        <v>96656</v>
      </c>
      <c r="B4117" s="305" t="s">
        <v>3870</v>
      </c>
      <c r="C4117" s="305" t="s">
        <v>363</v>
      </c>
      <c r="D4117" s="575">
        <v>5.31</v>
      </c>
    </row>
    <row r="4118" spans="1:4" ht="13.5" x14ac:dyDescent="0.25">
      <c r="A4118" s="306">
        <v>96657</v>
      </c>
      <c r="B4118" s="305" t="s">
        <v>3871</v>
      </c>
      <c r="C4118" s="305" t="s">
        <v>363</v>
      </c>
      <c r="D4118" s="575">
        <v>15.26</v>
      </c>
    </row>
    <row r="4119" spans="1:4" ht="13.5" x14ac:dyDescent="0.25">
      <c r="A4119" s="306">
        <v>96658</v>
      </c>
      <c r="B4119" s="305" t="s">
        <v>3872</v>
      </c>
      <c r="C4119" s="305" t="s">
        <v>363</v>
      </c>
      <c r="D4119" s="575">
        <v>11.71</v>
      </c>
    </row>
    <row r="4120" spans="1:4" ht="13.5" x14ac:dyDescent="0.25">
      <c r="A4120" s="306">
        <v>96659</v>
      </c>
      <c r="B4120" s="305" t="s">
        <v>3873</v>
      </c>
      <c r="C4120" s="305" t="s">
        <v>363</v>
      </c>
      <c r="D4120" s="575">
        <v>9.7100000000000009</v>
      </c>
    </row>
    <row r="4121" spans="1:4" ht="13.5" x14ac:dyDescent="0.25">
      <c r="A4121" s="306">
        <v>96660</v>
      </c>
      <c r="B4121" s="305" t="s">
        <v>3874</v>
      </c>
      <c r="C4121" s="305" t="s">
        <v>363</v>
      </c>
      <c r="D4121" s="575">
        <v>26.3</v>
      </c>
    </row>
    <row r="4122" spans="1:4" ht="13.5" x14ac:dyDescent="0.25">
      <c r="A4122" s="306">
        <v>96661</v>
      </c>
      <c r="B4122" s="305" t="s">
        <v>3875</v>
      </c>
      <c r="C4122" s="305" t="s">
        <v>363</v>
      </c>
      <c r="D4122" s="575">
        <v>20.83</v>
      </c>
    </row>
    <row r="4123" spans="1:4" ht="13.5" x14ac:dyDescent="0.25">
      <c r="A4123" s="306">
        <v>96662</v>
      </c>
      <c r="B4123" s="305" t="s">
        <v>3876</v>
      </c>
      <c r="C4123" s="305" t="s">
        <v>363</v>
      </c>
      <c r="D4123" s="575">
        <v>9.9</v>
      </c>
    </row>
    <row r="4124" spans="1:4" ht="13.5" x14ac:dyDescent="0.25">
      <c r="A4124" s="306">
        <v>96663</v>
      </c>
      <c r="B4124" s="305" t="s">
        <v>3877</v>
      </c>
      <c r="C4124" s="305" t="s">
        <v>363</v>
      </c>
      <c r="D4124" s="575">
        <v>17.41</v>
      </c>
    </row>
    <row r="4125" spans="1:4" ht="13.5" x14ac:dyDescent="0.25">
      <c r="A4125" s="306">
        <v>96664</v>
      </c>
      <c r="B4125" s="305" t="s">
        <v>3878</v>
      </c>
      <c r="C4125" s="305" t="s">
        <v>363</v>
      </c>
      <c r="D4125" s="575">
        <v>18.579999999999998</v>
      </c>
    </row>
    <row r="4126" spans="1:4" ht="13.5" x14ac:dyDescent="0.25">
      <c r="A4126" s="306">
        <v>96665</v>
      </c>
      <c r="B4126" s="305" t="s">
        <v>3879</v>
      </c>
      <c r="C4126" s="305" t="s">
        <v>363</v>
      </c>
      <c r="D4126" s="575">
        <v>9.89</v>
      </c>
    </row>
    <row r="4127" spans="1:4" ht="13.5" x14ac:dyDescent="0.25">
      <c r="A4127" s="306">
        <v>96666</v>
      </c>
      <c r="B4127" s="305" t="s">
        <v>3880</v>
      </c>
      <c r="C4127" s="305" t="s">
        <v>363</v>
      </c>
      <c r="D4127" s="575">
        <v>19.260000000000002</v>
      </c>
    </row>
    <row r="4128" spans="1:4" ht="13.5" x14ac:dyDescent="0.25">
      <c r="A4128" s="306">
        <v>96667</v>
      </c>
      <c r="B4128" s="305" t="s">
        <v>3881</v>
      </c>
      <c r="C4128" s="305" t="s">
        <v>363</v>
      </c>
      <c r="D4128" s="575">
        <v>33.28</v>
      </c>
    </row>
    <row r="4129" spans="1:4" ht="13.5" x14ac:dyDescent="0.25">
      <c r="A4129" s="306">
        <v>96684</v>
      </c>
      <c r="B4129" s="305" t="s">
        <v>3882</v>
      </c>
      <c r="C4129" s="305" t="s">
        <v>363</v>
      </c>
      <c r="D4129" s="575">
        <v>3.52</v>
      </c>
    </row>
    <row r="4130" spans="1:4" ht="13.5" x14ac:dyDescent="0.25">
      <c r="A4130" s="306">
        <v>96685</v>
      </c>
      <c r="B4130" s="305" t="s">
        <v>3883</v>
      </c>
      <c r="C4130" s="305" t="s">
        <v>363</v>
      </c>
      <c r="D4130" s="575">
        <v>3.17</v>
      </c>
    </row>
    <row r="4131" spans="1:4" ht="13.5" x14ac:dyDescent="0.25">
      <c r="A4131" s="306">
        <v>96686</v>
      </c>
      <c r="B4131" s="305" t="s">
        <v>3884</v>
      </c>
      <c r="C4131" s="305" t="s">
        <v>363</v>
      </c>
      <c r="D4131" s="575">
        <v>5.28</v>
      </c>
    </row>
    <row r="4132" spans="1:4" ht="13.5" x14ac:dyDescent="0.25">
      <c r="A4132" s="306">
        <v>96687</v>
      </c>
      <c r="B4132" s="305" t="s">
        <v>3885</v>
      </c>
      <c r="C4132" s="305" t="s">
        <v>363</v>
      </c>
      <c r="D4132" s="575">
        <v>5.25</v>
      </c>
    </row>
    <row r="4133" spans="1:4" ht="13.5" x14ac:dyDescent="0.25">
      <c r="A4133" s="306">
        <v>96688</v>
      </c>
      <c r="B4133" s="305" t="s">
        <v>3886</v>
      </c>
      <c r="C4133" s="305" t="s">
        <v>363</v>
      </c>
      <c r="D4133" s="575">
        <v>9.0299999999999994</v>
      </c>
    </row>
    <row r="4134" spans="1:4" ht="13.5" x14ac:dyDescent="0.25">
      <c r="A4134" s="306">
        <v>96689</v>
      </c>
      <c r="B4134" s="305" t="s">
        <v>3887</v>
      </c>
      <c r="C4134" s="305" t="s">
        <v>363</v>
      </c>
      <c r="D4134" s="575">
        <v>8.64</v>
      </c>
    </row>
    <row r="4135" spans="1:4" ht="13.5" x14ac:dyDescent="0.25">
      <c r="A4135" s="306">
        <v>96690</v>
      </c>
      <c r="B4135" s="305" t="s">
        <v>3888</v>
      </c>
      <c r="C4135" s="305" t="s">
        <v>363</v>
      </c>
      <c r="D4135" s="575">
        <v>16.68</v>
      </c>
    </row>
    <row r="4136" spans="1:4" ht="13.5" x14ac:dyDescent="0.25">
      <c r="A4136" s="306">
        <v>96691</v>
      </c>
      <c r="B4136" s="305" t="s">
        <v>3889</v>
      </c>
      <c r="C4136" s="305" t="s">
        <v>363</v>
      </c>
      <c r="D4136" s="575">
        <v>17.21</v>
      </c>
    </row>
    <row r="4137" spans="1:4" ht="13.5" x14ac:dyDescent="0.25">
      <c r="A4137" s="306">
        <v>96692</v>
      </c>
      <c r="B4137" s="305" t="s">
        <v>3890</v>
      </c>
      <c r="C4137" s="305" t="s">
        <v>363</v>
      </c>
      <c r="D4137" s="575">
        <v>25.23</v>
      </c>
    </row>
    <row r="4138" spans="1:4" ht="13.5" x14ac:dyDescent="0.25">
      <c r="A4138" s="306">
        <v>96693</v>
      </c>
      <c r="B4138" s="305" t="s">
        <v>3891</v>
      </c>
      <c r="C4138" s="305" t="s">
        <v>363</v>
      </c>
      <c r="D4138" s="575">
        <v>23.93</v>
      </c>
    </row>
    <row r="4139" spans="1:4" ht="13.5" x14ac:dyDescent="0.25">
      <c r="A4139" s="306">
        <v>96694</v>
      </c>
      <c r="B4139" s="305" t="s">
        <v>3892</v>
      </c>
      <c r="C4139" s="305" t="s">
        <v>363</v>
      </c>
      <c r="D4139" s="575">
        <v>54.97</v>
      </c>
    </row>
    <row r="4140" spans="1:4" ht="13.5" x14ac:dyDescent="0.25">
      <c r="A4140" s="306">
        <v>96695</v>
      </c>
      <c r="B4140" s="305" t="s">
        <v>3893</v>
      </c>
      <c r="C4140" s="305" t="s">
        <v>363</v>
      </c>
      <c r="D4140" s="575">
        <v>53.44</v>
      </c>
    </row>
    <row r="4141" spans="1:4" ht="13.5" x14ac:dyDescent="0.25">
      <c r="A4141" s="306">
        <v>96696</v>
      </c>
      <c r="B4141" s="305" t="s">
        <v>3894</v>
      </c>
      <c r="C4141" s="305" t="s">
        <v>363</v>
      </c>
      <c r="D4141" s="575">
        <v>82.7</v>
      </c>
    </row>
    <row r="4142" spans="1:4" ht="13.5" x14ac:dyDescent="0.25">
      <c r="A4142" s="306">
        <v>96697</v>
      </c>
      <c r="B4142" s="305" t="s">
        <v>3895</v>
      </c>
      <c r="C4142" s="305" t="s">
        <v>363</v>
      </c>
      <c r="D4142" s="575">
        <v>123.71</v>
      </c>
    </row>
    <row r="4143" spans="1:4" ht="13.5" x14ac:dyDescent="0.25">
      <c r="A4143" s="306">
        <v>96698</v>
      </c>
      <c r="B4143" s="305" t="s">
        <v>3896</v>
      </c>
      <c r="C4143" s="305" t="s">
        <v>363</v>
      </c>
      <c r="D4143" s="575">
        <v>2.66</v>
      </c>
    </row>
    <row r="4144" spans="1:4" ht="13.5" x14ac:dyDescent="0.25">
      <c r="A4144" s="306">
        <v>96699</v>
      </c>
      <c r="B4144" s="305" t="s">
        <v>3897</v>
      </c>
      <c r="C4144" s="305" t="s">
        <v>363</v>
      </c>
      <c r="D4144" s="575">
        <v>12.61</v>
      </c>
    </row>
    <row r="4145" spans="1:4" ht="13.5" x14ac:dyDescent="0.25">
      <c r="A4145" s="306">
        <v>96700</v>
      </c>
      <c r="B4145" s="305" t="s">
        <v>3898</v>
      </c>
      <c r="C4145" s="305" t="s">
        <v>363</v>
      </c>
      <c r="D4145" s="575">
        <v>9.06</v>
      </c>
    </row>
    <row r="4146" spans="1:4" ht="13.5" x14ac:dyDescent="0.25">
      <c r="A4146" s="306">
        <v>96701</v>
      </c>
      <c r="B4146" s="305" t="s">
        <v>3899</v>
      </c>
      <c r="C4146" s="305" t="s">
        <v>363</v>
      </c>
      <c r="D4146" s="575">
        <v>3.65</v>
      </c>
    </row>
    <row r="4147" spans="1:4" ht="13.5" x14ac:dyDescent="0.25">
      <c r="A4147" s="306">
        <v>96702</v>
      </c>
      <c r="B4147" s="305" t="s">
        <v>3900</v>
      </c>
      <c r="C4147" s="305" t="s">
        <v>363</v>
      </c>
      <c r="D4147" s="575">
        <v>3.84</v>
      </c>
    </row>
    <row r="4148" spans="1:4" ht="13.5" x14ac:dyDescent="0.25">
      <c r="A4148" s="306">
        <v>96703</v>
      </c>
      <c r="B4148" s="305" t="s">
        <v>3901</v>
      </c>
      <c r="C4148" s="305" t="s">
        <v>363</v>
      </c>
      <c r="D4148" s="575">
        <v>7.58</v>
      </c>
    </row>
    <row r="4149" spans="1:4" ht="13.5" x14ac:dyDescent="0.25">
      <c r="A4149" s="306">
        <v>96704</v>
      </c>
      <c r="B4149" s="305" t="s">
        <v>3902</v>
      </c>
      <c r="C4149" s="305" t="s">
        <v>363</v>
      </c>
      <c r="D4149" s="575">
        <v>8.75</v>
      </c>
    </row>
    <row r="4150" spans="1:4" ht="13.5" x14ac:dyDescent="0.25">
      <c r="A4150" s="306">
        <v>96705</v>
      </c>
      <c r="B4150" s="305" t="s">
        <v>3903</v>
      </c>
      <c r="C4150" s="305" t="s">
        <v>363</v>
      </c>
      <c r="D4150" s="575">
        <v>11.42</v>
      </c>
    </row>
    <row r="4151" spans="1:4" ht="13.5" x14ac:dyDescent="0.25">
      <c r="A4151" s="306">
        <v>96706</v>
      </c>
      <c r="B4151" s="305" t="s">
        <v>3904</v>
      </c>
      <c r="C4151" s="305" t="s">
        <v>363</v>
      </c>
      <c r="D4151" s="575">
        <v>17.16</v>
      </c>
    </row>
    <row r="4152" spans="1:4" ht="13.5" x14ac:dyDescent="0.25">
      <c r="A4152" s="306">
        <v>96707</v>
      </c>
      <c r="B4152" s="305" t="s">
        <v>3905</v>
      </c>
      <c r="C4152" s="305" t="s">
        <v>363</v>
      </c>
      <c r="D4152" s="575">
        <v>35.35</v>
      </c>
    </row>
    <row r="4153" spans="1:4" ht="13.5" x14ac:dyDescent="0.25">
      <c r="A4153" s="306">
        <v>96708</v>
      </c>
      <c r="B4153" s="305" t="s">
        <v>3906</v>
      </c>
      <c r="C4153" s="305" t="s">
        <v>363</v>
      </c>
      <c r="D4153" s="575">
        <v>55.66</v>
      </c>
    </row>
    <row r="4154" spans="1:4" ht="13.5" x14ac:dyDescent="0.25">
      <c r="A4154" s="306">
        <v>96709</v>
      </c>
      <c r="B4154" s="305" t="s">
        <v>3907</v>
      </c>
      <c r="C4154" s="305" t="s">
        <v>363</v>
      </c>
      <c r="D4154" s="575">
        <v>87.84</v>
      </c>
    </row>
    <row r="4155" spans="1:4" ht="13.5" x14ac:dyDescent="0.25">
      <c r="A4155" s="306">
        <v>96710</v>
      </c>
      <c r="B4155" s="305" t="s">
        <v>3908</v>
      </c>
      <c r="C4155" s="305" t="s">
        <v>363</v>
      </c>
      <c r="D4155" s="575">
        <v>4.63</v>
      </c>
    </row>
    <row r="4156" spans="1:4" ht="13.5" x14ac:dyDescent="0.25">
      <c r="A4156" s="306">
        <v>96711</v>
      </c>
      <c r="B4156" s="305" t="s">
        <v>3909</v>
      </c>
      <c r="C4156" s="305" t="s">
        <v>363</v>
      </c>
      <c r="D4156" s="575">
        <v>7.16</v>
      </c>
    </row>
    <row r="4157" spans="1:4" ht="13.5" x14ac:dyDescent="0.25">
      <c r="A4157" s="306">
        <v>96712</v>
      </c>
      <c r="B4157" s="305" t="s">
        <v>3910</v>
      </c>
      <c r="C4157" s="305" t="s">
        <v>363</v>
      </c>
      <c r="D4157" s="575">
        <v>13.63</v>
      </c>
    </row>
    <row r="4158" spans="1:4" ht="13.5" x14ac:dyDescent="0.25">
      <c r="A4158" s="306">
        <v>96713</v>
      </c>
      <c r="B4158" s="305" t="s">
        <v>3911</v>
      </c>
      <c r="C4158" s="305" t="s">
        <v>363</v>
      </c>
      <c r="D4158" s="575">
        <v>18.96</v>
      </c>
    </row>
    <row r="4159" spans="1:4" ht="13.5" x14ac:dyDescent="0.25">
      <c r="A4159" s="306">
        <v>96714</v>
      </c>
      <c r="B4159" s="305" t="s">
        <v>3912</v>
      </c>
      <c r="C4159" s="305" t="s">
        <v>363</v>
      </c>
      <c r="D4159" s="575">
        <v>31.89</v>
      </c>
    </row>
    <row r="4160" spans="1:4" ht="13.5" x14ac:dyDescent="0.25">
      <c r="A4160" s="306">
        <v>96715</v>
      </c>
      <c r="B4160" s="305" t="s">
        <v>3913</v>
      </c>
      <c r="C4160" s="305" t="s">
        <v>363</v>
      </c>
      <c r="D4160" s="575">
        <v>59.43</v>
      </c>
    </row>
    <row r="4161" spans="1:4" ht="13.5" x14ac:dyDescent="0.25">
      <c r="A4161" s="306">
        <v>96716</v>
      </c>
      <c r="B4161" s="305" t="s">
        <v>3914</v>
      </c>
      <c r="C4161" s="305" t="s">
        <v>363</v>
      </c>
      <c r="D4161" s="575">
        <v>89.14</v>
      </c>
    </row>
    <row r="4162" spans="1:4" ht="13.5" x14ac:dyDescent="0.25">
      <c r="A4162" s="306">
        <v>96717</v>
      </c>
      <c r="B4162" s="305" t="s">
        <v>3915</v>
      </c>
      <c r="C4162" s="305" t="s">
        <v>363</v>
      </c>
      <c r="D4162" s="575">
        <v>140.18</v>
      </c>
    </row>
    <row r="4163" spans="1:4" ht="13.5" x14ac:dyDescent="0.25">
      <c r="A4163" s="306">
        <v>96736</v>
      </c>
      <c r="B4163" s="305" t="s">
        <v>3916</v>
      </c>
      <c r="C4163" s="305" t="s">
        <v>363</v>
      </c>
      <c r="D4163" s="575">
        <v>4.03</v>
      </c>
    </row>
    <row r="4164" spans="1:4" ht="13.5" x14ac:dyDescent="0.25">
      <c r="A4164" s="306">
        <v>96737</v>
      </c>
      <c r="B4164" s="305" t="s">
        <v>3917</v>
      </c>
      <c r="C4164" s="305" t="s">
        <v>363</v>
      </c>
      <c r="D4164" s="575">
        <v>4.57</v>
      </c>
    </row>
    <row r="4165" spans="1:4" ht="13.5" x14ac:dyDescent="0.25">
      <c r="A4165" s="306">
        <v>96738</v>
      </c>
      <c r="B4165" s="305" t="s">
        <v>3918</v>
      </c>
      <c r="C4165" s="305" t="s">
        <v>363</v>
      </c>
      <c r="D4165" s="575">
        <v>14.52</v>
      </c>
    </row>
    <row r="4166" spans="1:4" ht="13.5" x14ac:dyDescent="0.25">
      <c r="A4166" s="306">
        <v>96739</v>
      </c>
      <c r="B4166" s="305" t="s">
        <v>3919</v>
      </c>
      <c r="C4166" s="305" t="s">
        <v>363</v>
      </c>
      <c r="D4166" s="575">
        <v>5.92</v>
      </c>
    </row>
    <row r="4167" spans="1:4" ht="13.5" x14ac:dyDescent="0.25">
      <c r="A4167" s="306">
        <v>96740</v>
      </c>
      <c r="B4167" s="305" t="s">
        <v>3920</v>
      </c>
      <c r="C4167" s="305" t="s">
        <v>363</v>
      </c>
      <c r="D4167" s="575">
        <v>22.51</v>
      </c>
    </row>
    <row r="4168" spans="1:4" ht="13.5" x14ac:dyDescent="0.25">
      <c r="A4168" s="306">
        <v>96741</v>
      </c>
      <c r="B4168" s="305" t="s">
        <v>3921</v>
      </c>
      <c r="C4168" s="305" t="s">
        <v>363</v>
      </c>
      <c r="D4168" s="575">
        <v>9.16</v>
      </c>
    </row>
    <row r="4169" spans="1:4" ht="13.5" x14ac:dyDescent="0.25">
      <c r="A4169" s="306">
        <v>96742</v>
      </c>
      <c r="B4169" s="305" t="s">
        <v>3922</v>
      </c>
      <c r="C4169" s="305" t="s">
        <v>363</v>
      </c>
      <c r="D4169" s="575">
        <v>13.89</v>
      </c>
    </row>
    <row r="4170" spans="1:4" ht="13.5" x14ac:dyDescent="0.25">
      <c r="A4170" s="306">
        <v>96743</v>
      </c>
      <c r="B4170" s="305" t="s">
        <v>3923</v>
      </c>
      <c r="C4170" s="305" t="s">
        <v>363</v>
      </c>
      <c r="D4170" s="575">
        <v>17.82</v>
      </c>
    </row>
    <row r="4171" spans="1:4" ht="13.5" x14ac:dyDescent="0.25">
      <c r="A4171" s="306">
        <v>96744</v>
      </c>
      <c r="B4171" s="305" t="s">
        <v>3924</v>
      </c>
      <c r="C4171" s="305" t="s">
        <v>363</v>
      </c>
      <c r="D4171" s="575">
        <v>37.799999999999997</v>
      </c>
    </row>
    <row r="4172" spans="1:4" ht="13.5" x14ac:dyDescent="0.25">
      <c r="A4172" s="306">
        <v>96745</v>
      </c>
      <c r="B4172" s="305" t="s">
        <v>3925</v>
      </c>
      <c r="C4172" s="305" t="s">
        <v>363</v>
      </c>
      <c r="D4172" s="575">
        <v>55.08</v>
      </c>
    </row>
    <row r="4173" spans="1:4" ht="13.5" x14ac:dyDescent="0.25">
      <c r="A4173" s="306">
        <v>96746</v>
      </c>
      <c r="B4173" s="305" t="s">
        <v>3926</v>
      </c>
      <c r="C4173" s="305" t="s">
        <v>363</v>
      </c>
      <c r="D4173" s="575">
        <v>87.8</v>
      </c>
    </row>
    <row r="4174" spans="1:4" ht="13.5" x14ac:dyDescent="0.25">
      <c r="A4174" s="306">
        <v>96747</v>
      </c>
      <c r="B4174" s="305" t="s">
        <v>3927</v>
      </c>
      <c r="C4174" s="305" t="s">
        <v>363</v>
      </c>
      <c r="D4174" s="575">
        <v>5.74</v>
      </c>
    </row>
    <row r="4175" spans="1:4" ht="13.5" x14ac:dyDescent="0.25">
      <c r="A4175" s="306">
        <v>96748</v>
      </c>
      <c r="B4175" s="305" t="s">
        <v>3928</v>
      </c>
      <c r="C4175" s="305" t="s">
        <v>363</v>
      </c>
      <c r="D4175" s="575">
        <v>6.42</v>
      </c>
    </row>
    <row r="4176" spans="1:4" ht="13.5" x14ac:dyDescent="0.25">
      <c r="A4176" s="306">
        <v>96749</v>
      </c>
      <c r="B4176" s="305" t="s">
        <v>3929</v>
      </c>
      <c r="C4176" s="305" t="s">
        <v>363</v>
      </c>
      <c r="D4176" s="575">
        <v>8.6999999999999993</v>
      </c>
    </row>
    <row r="4177" spans="1:4" ht="13.5" x14ac:dyDescent="0.25">
      <c r="A4177" s="306">
        <v>96750</v>
      </c>
      <c r="B4177" s="305" t="s">
        <v>3930</v>
      </c>
      <c r="C4177" s="305" t="s">
        <v>363</v>
      </c>
      <c r="D4177" s="575">
        <v>11.37</v>
      </c>
    </row>
    <row r="4178" spans="1:4" ht="13.5" x14ac:dyDescent="0.25">
      <c r="A4178" s="306">
        <v>96751</v>
      </c>
      <c r="B4178" s="305" t="s">
        <v>3931</v>
      </c>
      <c r="C4178" s="305" t="s">
        <v>363</v>
      </c>
      <c r="D4178" s="575">
        <v>20.37</v>
      </c>
    </row>
    <row r="4179" spans="1:4" ht="13.5" x14ac:dyDescent="0.25">
      <c r="A4179" s="306">
        <v>96752</v>
      </c>
      <c r="B4179" s="305" t="s">
        <v>3932</v>
      </c>
      <c r="C4179" s="305" t="s">
        <v>363</v>
      </c>
      <c r="D4179" s="575">
        <v>26.21</v>
      </c>
    </row>
    <row r="4180" spans="1:4" ht="13.5" x14ac:dyDescent="0.25">
      <c r="A4180" s="306">
        <v>96753</v>
      </c>
      <c r="B4180" s="305" t="s">
        <v>3933</v>
      </c>
      <c r="C4180" s="305" t="s">
        <v>363</v>
      </c>
      <c r="D4180" s="575">
        <v>58.63</v>
      </c>
    </row>
    <row r="4181" spans="1:4" ht="13.5" x14ac:dyDescent="0.25">
      <c r="A4181" s="306">
        <v>96754</v>
      </c>
      <c r="B4181" s="305" t="s">
        <v>3934</v>
      </c>
      <c r="C4181" s="305" t="s">
        <v>363</v>
      </c>
      <c r="D4181" s="575">
        <v>81.790000000000006</v>
      </c>
    </row>
    <row r="4182" spans="1:4" ht="13.5" x14ac:dyDescent="0.25">
      <c r="A4182" s="306">
        <v>96755</v>
      </c>
      <c r="B4182" s="305" t="s">
        <v>3935</v>
      </c>
      <c r="C4182" s="305" t="s">
        <v>363</v>
      </c>
      <c r="D4182" s="575">
        <v>123.67</v>
      </c>
    </row>
    <row r="4183" spans="1:4" ht="13.5" x14ac:dyDescent="0.25">
      <c r="A4183" s="306">
        <v>96756</v>
      </c>
      <c r="B4183" s="305" t="s">
        <v>3936</v>
      </c>
      <c r="C4183" s="305" t="s">
        <v>363</v>
      </c>
      <c r="D4183" s="575">
        <v>10.23</v>
      </c>
    </row>
    <row r="4184" spans="1:4" ht="13.5" x14ac:dyDescent="0.25">
      <c r="A4184" s="306">
        <v>96757</v>
      </c>
      <c r="B4184" s="305" t="s">
        <v>3937</v>
      </c>
      <c r="C4184" s="305" t="s">
        <v>363</v>
      </c>
      <c r="D4184" s="575">
        <v>9.8699999999999992</v>
      </c>
    </row>
    <row r="4185" spans="1:4" ht="13.5" x14ac:dyDescent="0.25">
      <c r="A4185" s="306">
        <v>96758</v>
      </c>
      <c r="B4185" s="305" t="s">
        <v>3938</v>
      </c>
      <c r="C4185" s="305" t="s">
        <v>363</v>
      </c>
      <c r="D4185" s="575">
        <v>11.7</v>
      </c>
    </row>
    <row r="4186" spans="1:4" ht="13.5" x14ac:dyDescent="0.25">
      <c r="A4186" s="306">
        <v>96759</v>
      </c>
      <c r="B4186" s="305" t="s">
        <v>3939</v>
      </c>
      <c r="C4186" s="305" t="s">
        <v>363</v>
      </c>
      <c r="D4186" s="575">
        <v>16.77</v>
      </c>
    </row>
    <row r="4187" spans="1:4" ht="13.5" x14ac:dyDescent="0.25">
      <c r="A4187" s="306">
        <v>96760</v>
      </c>
      <c r="B4187" s="305" t="s">
        <v>3940</v>
      </c>
      <c r="C4187" s="305" t="s">
        <v>363</v>
      </c>
      <c r="D4187" s="575">
        <v>23.87</v>
      </c>
    </row>
    <row r="4188" spans="1:4" ht="13.5" x14ac:dyDescent="0.25">
      <c r="A4188" s="306">
        <v>96761</v>
      </c>
      <c r="B4188" s="305" t="s">
        <v>3941</v>
      </c>
      <c r="C4188" s="305" t="s">
        <v>363</v>
      </c>
      <c r="D4188" s="575">
        <v>33.21</v>
      </c>
    </row>
    <row r="4189" spans="1:4" ht="13.5" x14ac:dyDescent="0.25">
      <c r="A4189" s="306">
        <v>96762</v>
      </c>
      <c r="B4189" s="305" t="s">
        <v>3942</v>
      </c>
      <c r="C4189" s="305" t="s">
        <v>363</v>
      </c>
      <c r="D4189" s="575">
        <v>64.27</v>
      </c>
    </row>
    <row r="4190" spans="1:4" ht="13.5" x14ac:dyDescent="0.25">
      <c r="A4190" s="306">
        <v>96763</v>
      </c>
      <c r="B4190" s="305" t="s">
        <v>3943</v>
      </c>
      <c r="C4190" s="305" t="s">
        <v>363</v>
      </c>
      <c r="D4190" s="575">
        <v>87.93</v>
      </c>
    </row>
    <row r="4191" spans="1:4" ht="13.5" x14ac:dyDescent="0.25">
      <c r="A4191" s="306">
        <v>96764</v>
      </c>
      <c r="B4191" s="305" t="s">
        <v>3944</v>
      </c>
      <c r="C4191" s="305" t="s">
        <v>363</v>
      </c>
      <c r="D4191" s="575">
        <v>140.11000000000001</v>
      </c>
    </row>
    <row r="4192" spans="1:4" ht="13.5" x14ac:dyDescent="0.25">
      <c r="A4192" s="306">
        <v>96802</v>
      </c>
      <c r="B4192" s="305" t="s">
        <v>3945</v>
      </c>
      <c r="C4192" s="305" t="s">
        <v>363</v>
      </c>
      <c r="D4192" s="575">
        <v>213.43</v>
      </c>
    </row>
    <row r="4193" spans="1:4" ht="13.5" x14ac:dyDescent="0.25">
      <c r="A4193" s="306">
        <v>96803</v>
      </c>
      <c r="B4193" s="305" t="s">
        <v>3946</v>
      </c>
      <c r="C4193" s="305" t="s">
        <v>363</v>
      </c>
      <c r="D4193" s="575">
        <v>109.5</v>
      </c>
    </row>
    <row r="4194" spans="1:4" ht="13.5" x14ac:dyDescent="0.25">
      <c r="A4194" s="306">
        <v>96804</v>
      </c>
      <c r="B4194" s="305" t="s">
        <v>3947</v>
      </c>
      <c r="C4194" s="305" t="s">
        <v>363</v>
      </c>
      <c r="D4194" s="575">
        <v>195.72</v>
      </c>
    </row>
    <row r="4195" spans="1:4" ht="13.5" x14ac:dyDescent="0.25">
      <c r="A4195" s="306">
        <v>96805</v>
      </c>
      <c r="B4195" s="305" t="s">
        <v>3948</v>
      </c>
      <c r="C4195" s="305" t="s">
        <v>363</v>
      </c>
      <c r="D4195" s="575">
        <v>220.19</v>
      </c>
    </row>
    <row r="4196" spans="1:4" ht="13.5" x14ac:dyDescent="0.25">
      <c r="A4196" s="306">
        <v>96806</v>
      </c>
      <c r="B4196" s="305" t="s">
        <v>3949</v>
      </c>
      <c r="C4196" s="305" t="s">
        <v>363</v>
      </c>
      <c r="D4196" s="575">
        <v>106.65</v>
      </c>
    </row>
    <row r="4197" spans="1:4" ht="13.5" x14ac:dyDescent="0.25">
      <c r="A4197" s="306">
        <v>96807</v>
      </c>
      <c r="B4197" s="305" t="s">
        <v>3950</v>
      </c>
      <c r="C4197" s="305" t="s">
        <v>363</v>
      </c>
      <c r="D4197" s="575">
        <v>177.66</v>
      </c>
    </row>
    <row r="4198" spans="1:4" ht="13.5" x14ac:dyDescent="0.25">
      <c r="A4198" s="306">
        <v>96808</v>
      </c>
      <c r="B4198" s="305" t="s">
        <v>3951</v>
      </c>
      <c r="C4198" s="305" t="s">
        <v>363</v>
      </c>
      <c r="D4198" s="575">
        <v>9.94</v>
      </c>
    </row>
    <row r="4199" spans="1:4" ht="13.5" x14ac:dyDescent="0.25">
      <c r="A4199" s="306">
        <v>96809</v>
      </c>
      <c r="B4199" s="305" t="s">
        <v>3952</v>
      </c>
      <c r="C4199" s="305" t="s">
        <v>363</v>
      </c>
      <c r="D4199" s="575">
        <v>11.39</v>
      </c>
    </row>
    <row r="4200" spans="1:4" ht="13.5" x14ac:dyDescent="0.25">
      <c r="A4200" s="306">
        <v>96810</v>
      </c>
      <c r="B4200" s="305" t="s">
        <v>3953</v>
      </c>
      <c r="C4200" s="305" t="s">
        <v>363</v>
      </c>
      <c r="D4200" s="575">
        <v>12.36</v>
      </c>
    </row>
    <row r="4201" spans="1:4" ht="13.5" x14ac:dyDescent="0.25">
      <c r="A4201" s="306">
        <v>96811</v>
      </c>
      <c r="B4201" s="305" t="s">
        <v>3954</v>
      </c>
      <c r="C4201" s="305" t="s">
        <v>363</v>
      </c>
      <c r="D4201" s="575">
        <v>13.29</v>
      </c>
    </row>
    <row r="4202" spans="1:4" ht="13.5" x14ac:dyDescent="0.25">
      <c r="A4202" s="306">
        <v>96812</v>
      </c>
      <c r="B4202" s="305" t="s">
        <v>3955</v>
      </c>
      <c r="C4202" s="305" t="s">
        <v>363</v>
      </c>
      <c r="D4202" s="575">
        <v>12.77</v>
      </c>
    </row>
    <row r="4203" spans="1:4" ht="13.5" x14ac:dyDescent="0.25">
      <c r="A4203" s="306">
        <v>96813</v>
      </c>
      <c r="B4203" s="305" t="s">
        <v>3956</v>
      </c>
      <c r="C4203" s="305" t="s">
        <v>363</v>
      </c>
      <c r="D4203" s="575">
        <v>14.71</v>
      </c>
    </row>
    <row r="4204" spans="1:4" ht="13.5" x14ac:dyDescent="0.25">
      <c r="A4204" s="306">
        <v>96814</v>
      </c>
      <c r="B4204" s="305" t="s">
        <v>3957</v>
      </c>
      <c r="C4204" s="305" t="s">
        <v>363</v>
      </c>
      <c r="D4204" s="575">
        <v>12.44</v>
      </c>
    </row>
    <row r="4205" spans="1:4" ht="13.5" x14ac:dyDescent="0.25">
      <c r="A4205" s="306">
        <v>96815</v>
      </c>
      <c r="B4205" s="305" t="s">
        <v>3958</v>
      </c>
      <c r="C4205" s="305" t="s">
        <v>363</v>
      </c>
      <c r="D4205" s="575">
        <v>20.95</v>
      </c>
    </row>
    <row r="4206" spans="1:4" ht="13.5" x14ac:dyDescent="0.25">
      <c r="A4206" s="306">
        <v>96816</v>
      </c>
      <c r="B4206" s="305" t="s">
        <v>3959</v>
      </c>
      <c r="C4206" s="305" t="s">
        <v>363</v>
      </c>
      <c r="D4206" s="575">
        <v>17.260000000000002</v>
      </c>
    </row>
    <row r="4207" spans="1:4" ht="13.5" x14ac:dyDescent="0.25">
      <c r="A4207" s="306">
        <v>96817</v>
      </c>
      <c r="B4207" s="305" t="s">
        <v>3960</v>
      </c>
      <c r="C4207" s="305" t="s">
        <v>363</v>
      </c>
      <c r="D4207" s="575">
        <v>19.61</v>
      </c>
    </row>
    <row r="4208" spans="1:4" ht="13.5" x14ac:dyDescent="0.25">
      <c r="A4208" s="306">
        <v>96818</v>
      </c>
      <c r="B4208" s="305" t="s">
        <v>3961</v>
      </c>
      <c r="C4208" s="305" t="s">
        <v>363</v>
      </c>
      <c r="D4208" s="575">
        <v>18.27</v>
      </c>
    </row>
    <row r="4209" spans="1:4" ht="13.5" x14ac:dyDescent="0.25">
      <c r="A4209" s="306">
        <v>96819</v>
      </c>
      <c r="B4209" s="305" t="s">
        <v>3962</v>
      </c>
      <c r="C4209" s="305" t="s">
        <v>363</v>
      </c>
      <c r="D4209" s="575">
        <v>18.27</v>
      </c>
    </row>
    <row r="4210" spans="1:4" ht="13.5" x14ac:dyDescent="0.25">
      <c r="A4210" s="306">
        <v>96820</v>
      </c>
      <c r="B4210" s="305" t="s">
        <v>3963</v>
      </c>
      <c r="C4210" s="305" t="s">
        <v>363</v>
      </c>
      <c r="D4210" s="575">
        <v>33.18</v>
      </c>
    </row>
    <row r="4211" spans="1:4" ht="13.5" x14ac:dyDescent="0.25">
      <c r="A4211" s="306">
        <v>96821</v>
      </c>
      <c r="B4211" s="305" t="s">
        <v>3964</v>
      </c>
      <c r="C4211" s="305" t="s">
        <v>363</v>
      </c>
      <c r="D4211" s="575">
        <v>28.28</v>
      </c>
    </row>
    <row r="4212" spans="1:4" ht="13.5" x14ac:dyDescent="0.25">
      <c r="A4212" s="306">
        <v>96822</v>
      </c>
      <c r="B4212" s="305" t="s">
        <v>3965</v>
      </c>
      <c r="C4212" s="305" t="s">
        <v>363</v>
      </c>
      <c r="D4212" s="575">
        <v>28.66</v>
      </c>
    </row>
    <row r="4213" spans="1:4" ht="13.5" x14ac:dyDescent="0.25">
      <c r="A4213" s="306">
        <v>96823</v>
      </c>
      <c r="B4213" s="305" t="s">
        <v>3966</v>
      </c>
      <c r="C4213" s="305" t="s">
        <v>363</v>
      </c>
      <c r="D4213" s="575">
        <v>11.81</v>
      </c>
    </row>
    <row r="4214" spans="1:4" ht="13.5" x14ac:dyDescent="0.25">
      <c r="A4214" s="306">
        <v>96824</v>
      </c>
      <c r="B4214" s="305" t="s">
        <v>3967</v>
      </c>
      <c r="C4214" s="305" t="s">
        <v>363</v>
      </c>
      <c r="D4214" s="575">
        <v>13.32</v>
      </c>
    </row>
    <row r="4215" spans="1:4" ht="13.5" x14ac:dyDescent="0.25">
      <c r="A4215" s="306">
        <v>96825</v>
      </c>
      <c r="B4215" s="305" t="s">
        <v>3968</v>
      </c>
      <c r="C4215" s="305" t="s">
        <v>363</v>
      </c>
      <c r="D4215" s="575">
        <v>18.03</v>
      </c>
    </row>
    <row r="4216" spans="1:4" ht="13.5" x14ac:dyDescent="0.25">
      <c r="A4216" s="306">
        <v>96826</v>
      </c>
      <c r="B4216" s="305" t="s">
        <v>3969</v>
      </c>
      <c r="C4216" s="305" t="s">
        <v>363</v>
      </c>
      <c r="D4216" s="575">
        <v>16.39</v>
      </c>
    </row>
    <row r="4217" spans="1:4" ht="13.5" x14ac:dyDescent="0.25">
      <c r="A4217" s="306">
        <v>96827</v>
      </c>
      <c r="B4217" s="305" t="s">
        <v>3970</v>
      </c>
      <c r="C4217" s="305" t="s">
        <v>363</v>
      </c>
      <c r="D4217" s="575">
        <v>17</v>
      </c>
    </row>
    <row r="4218" spans="1:4" ht="13.5" x14ac:dyDescent="0.25">
      <c r="A4218" s="306">
        <v>96828</v>
      </c>
      <c r="B4218" s="305" t="s">
        <v>3971</v>
      </c>
      <c r="C4218" s="305" t="s">
        <v>363</v>
      </c>
      <c r="D4218" s="575">
        <v>21.31</v>
      </c>
    </row>
    <row r="4219" spans="1:4" ht="13.5" x14ac:dyDescent="0.25">
      <c r="A4219" s="306">
        <v>96829</v>
      </c>
      <c r="B4219" s="305" t="s">
        <v>3972</v>
      </c>
      <c r="C4219" s="305" t="s">
        <v>363</v>
      </c>
      <c r="D4219" s="575">
        <v>16.36</v>
      </c>
    </row>
    <row r="4220" spans="1:4" ht="13.5" x14ac:dyDescent="0.25">
      <c r="A4220" s="306">
        <v>96830</v>
      </c>
      <c r="B4220" s="305" t="s">
        <v>3973</v>
      </c>
      <c r="C4220" s="305" t="s">
        <v>363</v>
      </c>
      <c r="D4220" s="575">
        <v>23.75</v>
      </c>
    </row>
    <row r="4221" spans="1:4" ht="13.5" x14ac:dyDescent="0.25">
      <c r="A4221" s="306">
        <v>96831</v>
      </c>
      <c r="B4221" s="305" t="s">
        <v>3974</v>
      </c>
      <c r="C4221" s="305" t="s">
        <v>363</v>
      </c>
      <c r="D4221" s="575">
        <v>19.39</v>
      </c>
    </row>
    <row r="4222" spans="1:4" ht="13.5" x14ac:dyDescent="0.25">
      <c r="A4222" s="306">
        <v>96832</v>
      </c>
      <c r="B4222" s="305" t="s">
        <v>3975</v>
      </c>
      <c r="C4222" s="305" t="s">
        <v>363</v>
      </c>
      <c r="D4222" s="575">
        <v>22.39</v>
      </c>
    </row>
    <row r="4223" spans="1:4" ht="13.5" x14ac:dyDescent="0.25">
      <c r="A4223" s="306">
        <v>96833</v>
      </c>
      <c r="B4223" s="305" t="s">
        <v>3976</v>
      </c>
      <c r="C4223" s="305" t="s">
        <v>363</v>
      </c>
      <c r="D4223" s="575">
        <v>20.98</v>
      </c>
    </row>
    <row r="4224" spans="1:4" ht="13.5" x14ac:dyDescent="0.25">
      <c r="A4224" s="306">
        <v>96834</v>
      </c>
      <c r="B4224" s="305" t="s">
        <v>3977</v>
      </c>
      <c r="C4224" s="305" t="s">
        <v>363</v>
      </c>
      <c r="D4224" s="575">
        <v>34.590000000000003</v>
      </c>
    </row>
    <row r="4225" spans="1:4" ht="13.5" x14ac:dyDescent="0.25">
      <c r="A4225" s="306">
        <v>96835</v>
      </c>
      <c r="B4225" s="305" t="s">
        <v>3978</v>
      </c>
      <c r="C4225" s="305" t="s">
        <v>363</v>
      </c>
      <c r="D4225" s="575">
        <v>29.92</v>
      </c>
    </row>
    <row r="4226" spans="1:4" ht="13.5" x14ac:dyDescent="0.25">
      <c r="A4226" s="306">
        <v>96836</v>
      </c>
      <c r="B4226" s="305" t="s">
        <v>3979</v>
      </c>
      <c r="C4226" s="305" t="s">
        <v>363</v>
      </c>
      <c r="D4226" s="575">
        <v>31.86</v>
      </c>
    </row>
    <row r="4227" spans="1:4" ht="13.5" x14ac:dyDescent="0.25">
      <c r="A4227" s="306">
        <v>96837</v>
      </c>
      <c r="B4227" s="305" t="s">
        <v>3980</v>
      </c>
      <c r="C4227" s="305" t="s">
        <v>363</v>
      </c>
      <c r="D4227" s="575">
        <v>17.350000000000001</v>
      </c>
    </row>
    <row r="4228" spans="1:4" ht="13.5" x14ac:dyDescent="0.25">
      <c r="A4228" s="306">
        <v>96838</v>
      </c>
      <c r="B4228" s="305" t="s">
        <v>3981</v>
      </c>
      <c r="C4228" s="305" t="s">
        <v>363</v>
      </c>
      <c r="D4228" s="575">
        <v>15.96</v>
      </c>
    </row>
    <row r="4229" spans="1:4" ht="13.5" x14ac:dyDescent="0.25">
      <c r="A4229" s="306">
        <v>96839</v>
      </c>
      <c r="B4229" s="305" t="s">
        <v>3982</v>
      </c>
      <c r="C4229" s="305" t="s">
        <v>363</v>
      </c>
      <c r="D4229" s="575">
        <v>15.71</v>
      </c>
    </row>
    <row r="4230" spans="1:4" ht="13.5" x14ac:dyDescent="0.25">
      <c r="A4230" s="306">
        <v>96840</v>
      </c>
      <c r="B4230" s="305" t="s">
        <v>3983</v>
      </c>
      <c r="C4230" s="305" t="s">
        <v>363</v>
      </c>
      <c r="D4230" s="575">
        <v>20.28</v>
      </c>
    </row>
    <row r="4231" spans="1:4" ht="13.5" x14ac:dyDescent="0.25">
      <c r="A4231" s="306">
        <v>96841</v>
      </c>
      <c r="B4231" s="305" t="s">
        <v>3984</v>
      </c>
      <c r="C4231" s="305" t="s">
        <v>363</v>
      </c>
      <c r="D4231" s="575">
        <v>17.77</v>
      </c>
    </row>
    <row r="4232" spans="1:4" ht="13.5" x14ac:dyDescent="0.25">
      <c r="A4232" s="306">
        <v>96842</v>
      </c>
      <c r="B4232" s="305" t="s">
        <v>3985</v>
      </c>
      <c r="C4232" s="305" t="s">
        <v>363</v>
      </c>
      <c r="D4232" s="575">
        <v>22.58</v>
      </c>
    </row>
    <row r="4233" spans="1:4" ht="13.5" x14ac:dyDescent="0.25">
      <c r="A4233" s="306">
        <v>96843</v>
      </c>
      <c r="B4233" s="305" t="s">
        <v>3986</v>
      </c>
      <c r="C4233" s="305" t="s">
        <v>363</v>
      </c>
      <c r="D4233" s="575">
        <v>21.72</v>
      </c>
    </row>
    <row r="4234" spans="1:4" ht="13.5" x14ac:dyDescent="0.25">
      <c r="A4234" s="306">
        <v>96844</v>
      </c>
      <c r="B4234" s="305" t="s">
        <v>3987</v>
      </c>
      <c r="C4234" s="305" t="s">
        <v>363</v>
      </c>
      <c r="D4234" s="575">
        <v>29.55</v>
      </c>
    </row>
    <row r="4235" spans="1:4" ht="13.5" x14ac:dyDescent="0.25">
      <c r="A4235" s="306">
        <v>96845</v>
      </c>
      <c r="B4235" s="305" t="s">
        <v>3988</v>
      </c>
      <c r="C4235" s="305" t="s">
        <v>363</v>
      </c>
      <c r="D4235" s="575">
        <v>31.66</v>
      </c>
    </row>
    <row r="4236" spans="1:4" ht="13.5" x14ac:dyDescent="0.25">
      <c r="A4236" s="306">
        <v>96846</v>
      </c>
      <c r="B4236" s="305" t="s">
        <v>3989</v>
      </c>
      <c r="C4236" s="305" t="s">
        <v>363</v>
      </c>
      <c r="D4236" s="575">
        <v>24.97</v>
      </c>
    </row>
    <row r="4237" spans="1:4" ht="13.5" x14ac:dyDescent="0.25">
      <c r="A4237" s="306">
        <v>96847</v>
      </c>
      <c r="B4237" s="305" t="s">
        <v>3990</v>
      </c>
      <c r="C4237" s="305" t="s">
        <v>363</v>
      </c>
      <c r="D4237" s="575">
        <v>27.42</v>
      </c>
    </row>
    <row r="4238" spans="1:4" ht="13.5" x14ac:dyDescent="0.25">
      <c r="A4238" s="306">
        <v>96848</v>
      </c>
      <c r="B4238" s="305" t="s">
        <v>3991</v>
      </c>
      <c r="C4238" s="305" t="s">
        <v>363</v>
      </c>
      <c r="D4238" s="575">
        <v>41.03</v>
      </c>
    </row>
    <row r="4239" spans="1:4" ht="13.5" x14ac:dyDescent="0.25">
      <c r="A4239" s="306">
        <v>96849</v>
      </c>
      <c r="B4239" s="305" t="s">
        <v>3992</v>
      </c>
      <c r="C4239" s="305" t="s">
        <v>363</v>
      </c>
      <c r="D4239" s="575">
        <v>14.91</v>
      </c>
    </row>
    <row r="4240" spans="1:4" ht="13.5" x14ac:dyDescent="0.25">
      <c r="A4240" s="306">
        <v>96850</v>
      </c>
      <c r="B4240" s="305" t="s">
        <v>3993</v>
      </c>
      <c r="C4240" s="305" t="s">
        <v>363</v>
      </c>
      <c r="D4240" s="575">
        <v>17.420000000000002</v>
      </c>
    </row>
    <row r="4241" spans="1:4" ht="13.5" x14ac:dyDescent="0.25">
      <c r="A4241" s="306">
        <v>96851</v>
      </c>
      <c r="B4241" s="305" t="s">
        <v>3994</v>
      </c>
      <c r="C4241" s="305" t="s">
        <v>363</v>
      </c>
      <c r="D4241" s="575">
        <v>23.02</v>
      </c>
    </row>
    <row r="4242" spans="1:4" ht="13.5" x14ac:dyDescent="0.25">
      <c r="A4242" s="306">
        <v>96852</v>
      </c>
      <c r="B4242" s="305" t="s">
        <v>3995</v>
      </c>
      <c r="C4242" s="305" t="s">
        <v>363</v>
      </c>
      <c r="D4242" s="575">
        <v>19.829999999999998</v>
      </c>
    </row>
    <row r="4243" spans="1:4" ht="13.5" x14ac:dyDescent="0.25">
      <c r="A4243" s="306">
        <v>96853</v>
      </c>
      <c r="B4243" s="305" t="s">
        <v>3996</v>
      </c>
      <c r="C4243" s="305" t="s">
        <v>363</v>
      </c>
      <c r="D4243" s="575">
        <v>22.28</v>
      </c>
    </row>
    <row r="4244" spans="1:4" ht="13.5" x14ac:dyDescent="0.25">
      <c r="A4244" s="306">
        <v>96854</v>
      </c>
      <c r="B4244" s="305" t="s">
        <v>3997</v>
      </c>
      <c r="C4244" s="305" t="s">
        <v>363</v>
      </c>
      <c r="D4244" s="575">
        <v>26.61</v>
      </c>
    </row>
    <row r="4245" spans="1:4" ht="13.5" x14ac:dyDescent="0.25">
      <c r="A4245" s="306">
        <v>96855</v>
      </c>
      <c r="B4245" s="305" t="s">
        <v>3998</v>
      </c>
      <c r="C4245" s="305" t="s">
        <v>363</v>
      </c>
      <c r="D4245" s="575">
        <v>24.62</v>
      </c>
    </row>
    <row r="4246" spans="1:4" ht="13.5" x14ac:dyDescent="0.25">
      <c r="A4246" s="306">
        <v>96856</v>
      </c>
      <c r="B4246" s="305" t="s">
        <v>3999</v>
      </c>
      <c r="C4246" s="305" t="s">
        <v>363</v>
      </c>
      <c r="D4246" s="575">
        <v>24.98</v>
      </c>
    </row>
    <row r="4247" spans="1:4" ht="13.5" x14ac:dyDescent="0.25">
      <c r="A4247" s="306">
        <v>96857</v>
      </c>
      <c r="B4247" s="305" t="s">
        <v>4000</v>
      </c>
      <c r="C4247" s="305" t="s">
        <v>363</v>
      </c>
      <c r="D4247" s="575">
        <v>39.64</v>
      </c>
    </row>
    <row r="4248" spans="1:4" ht="13.5" x14ac:dyDescent="0.25">
      <c r="A4248" s="306">
        <v>96858</v>
      </c>
      <c r="B4248" s="305" t="s">
        <v>4001</v>
      </c>
      <c r="C4248" s="305" t="s">
        <v>363</v>
      </c>
      <c r="D4248" s="575">
        <v>40.130000000000003</v>
      </c>
    </row>
    <row r="4249" spans="1:4" ht="13.5" x14ac:dyDescent="0.25">
      <c r="A4249" s="306">
        <v>96859</v>
      </c>
      <c r="B4249" s="305" t="s">
        <v>4002</v>
      </c>
      <c r="C4249" s="305" t="s">
        <v>363</v>
      </c>
      <c r="D4249" s="575">
        <v>49.66</v>
      </c>
    </row>
    <row r="4250" spans="1:4" ht="13.5" x14ac:dyDescent="0.25">
      <c r="A4250" s="306">
        <v>96860</v>
      </c>
      <c r="B4250" s="305" t="s">
        <v>4003</v>
      </c>
      <c r="C4250" s="305" t="s">
        <v>363</v>
      </c>
      <c r="D4250" s="575">
        <v>20.18</v>
      </c>
    </row>
    <row r="4251" spans="1:4" ht="13.5" x14ac:dyDescent="0.25">
      <c r="A4251" s="306">
        <v>96861</v>
      </c>
      <c r="B4251" s="305" t="s">
        <v>4004</v>
      </c>
      <c r="C4251" s="305" t="s">
        <v>363</v>
      </c>
      <c r="D4251" s="575">
        <v>21.77</v>
      </c>
    </row>
    <row r="4252" spans="1:4" ht="13.5" x14ac:dyDescent="0.25">
      <c r="A4252" s="306">
        <v>96862</v>
      </c>
      <c r="B4252" s="305" t="s">
        <v>4005</v>
      </c>
      <c r="C4252" s="305" t="s">
        <v>363</v>
      </c>
      <c r="D4252" s="575">
        <v>24.32</v>
      </c>
    </row>
    <row r="4253" spans="1:4" ht="13.5" x14ac:dyDescent="0.25">
      <c r="A4253" s="306">
        <v>96863</v>
      </c>
      <c r="B4253" s="305" t="s">
        <v>4006</v>
      </c>
      <c r="C4253" s="305" t="s">
        <v>363</v>
      </c>
      <c r="D4253" s="575">
        <v>24.05</v>
      </c>
    </row>
    <row r="4254" spans="1:4" ht="13.5" x14ac:dyDescent="0.25">
      <c r="A4254" s="306">
        <v>96864</v>
      </c>
      <c r="B4254" s="305" t="s">
        <v>4007</v>
      </c>
      <c r="C4254" s="305" t="s">
        <v>363</v>
      </c>
      <c r="D4254" s="575">
        <v>37.96</v>
      </c>
    </row>
    <row r="4255" spans="1:4" ht="13.5" x14ac:dyDescent="0.25">
      <c r="A4255" s="306">
        <v>96865</v>
      </c>
      <c r="B4255" s="305" t="s">
        <v>4008</v>
      </c>
      <c r="C4255" s="305" t="s">
        <v>363</v>
      </c>
      <c r="D4255" s="575">
        <v>37.19</v>
      </c>
    </row>
    <row r="4256" spans="1:4" ht="13.5" x14ac:dyDescent="0.25">
      <c r="A4256" s="306">
        <v>96866</v>
      </c>
      <c r="B4256" s="305" t="s">
        <v>4009</v>
      </c>
      <c r="C4256" s="305" t="s">
        <v>363</v>
      </c>
      <c r="D4256" s="575">
        <v>49.87</v>
      </c>
    </row>
    <row r="4257" spans="1:4" ht="13.5" x14ac:dyDescent="0.25">
      <c r="A4257" s="306">
        <v>96867</v>
      </c>
      <c r="B4257" s="305" t="s">
        <v>4010</v>
      </c>
      <c r="C4257" s="305" t="s">
        <v>363</v>
      </c>
      <c r="D4257" s="575">
        <v>57.87</v>
      </c>
    </row>
    <row r="4258" spans="1:4" ht="13.5" x14ac:dyDescent="0.25">
      <c r="A4258" s="306">
        <v>96868</v>
      </c>
      <c r="B4258" s="305" t="s">
        <v>4011</v>
      </c>
      <c r="C4258" s="305" t="s">
        <v>363</v>
      </c>
      <c r="D4258" s="575">
        <v>23.08</v>
      </c>
    </row>
    <row r="4259" spans="1:4" ht="13.5" x14ac:dyDescent="0.25">
      <c r="A4259" s="306">
        <v>96869</v>
      </c>
      <c r="B4259" s="305" t="s">
        <v>4012</v>
      </c>
      <c r="C4259" s="305" t="s">
        <v>363</v>
      </c>
      <c r="D4259" s="575">
        <v>27.57</v>
      </c>
    </row>
    <row r="4260" spans="1:4" ht="13.5" x14ac:dyDescent="0.25">
      <c r="A4260" s="306">
        <v>96870</v>
      </c>
      <c r="B4260" s="305" t="s">
        <v>4013</v>
      </c>
      <c r="C4260" s="305" t="s">
        <v>363</v>
      </c>
      <c r="D4260" s="575">
        <v>43.46</v>
      </c>
    </row>
    <row r="4261" spans="1:4" ht="13.5" x14ac:dyDescent="0.25">
      <c r="A4261" s="306">
        <v>96871</v>
      </c>
      <c r="B4261" s="305" t="s">
        <v>4014</v>
      </c>
      <c r="C4261" s="305" t="s">
        <v>363</v>
      </c>
      <c r="D4261" s="575">
        <v>62.92</v>
      </c>
    </row>
    <row r="4262" spans="1:4" ht="13.5" x14ac:dyDescent="0.25">
      <c r="A4262" s="306">
        <v>96872</v>
      </c>
      <c r="B4262" s="305" t="s">
        <v>4015</v>
      </c>
      <c r="C4262" s="305" t="s">
        <v>363</v>
      </c>
      <c r="D4262" s="575">
        <v>58.52</v>
      </c>
    </row>
    <row r="4263" spans="1:4" ht="13.5" x14ac:dyDescent="0.25">
      <c r="A4263" s="306">
        <v>96873</v>
      </c>
      <c r="B4263" s="305" t="s">
        <v>4016</v>
      </c>
      <c r="C4263" s="305" t="s">
        <v>363</v>
      </c>
      <c r="D4263" s="575">
        <v>67.34</v>
      </c>
    </row>
    <row r="4264" spans="1:4" ht="13.5" x14ac:dyDescent="0.25">
      <c r="A4264" s="306">
        <v>96874</v>
      </c>
      <c r="B4264" s="305" t="s">
        <v>4017</v>
      </c>
      <c r="C4264" s="305" t="s">
        <v>363</v>
      </c>
      <c r="D4264" s="575">
        <v>71.209999999999994</v>
      </c>
    </row>
    <row r="4265" spans="1:4" ht="13.5" x14ac:dyDescent="0.25">
      <c r="A4265" s="306">
        <v>96875</v>
      </c>
      <c r="B4265" s="305" t="s">
        <v>4018</v>
      </c>
      <c r="C4265" s="305" t="s">
        <v>363</v>
      </c>
      <c r="D4265" s="575">
        <v>85.4</v>
      </c>
    </row>
    <row r="4266" spans="1:4" ht="13.5" x14ac:dyDescent="0.25">
      <c r="A4266" s="306">
        <v>96876</v>
      </c>
      <c r="B4266" s="305" t="s">
        <v>4019</v>
      </c>
      <c r="C4266" s="305" t="s">
        <v>363</v>
      </c>
      <c r="D4266" s="575">
        <v>149.88</v>
      </c>
    </row>
    <row r="4267" spans="1:4" ht="13.5" x14ac:dyDescent="0.25">
      <c r="A4267" s="306">
        <v>96877</v>
      </c>
      <c r="B4267" s="305" t="s">
        <v>4020</v>
      </c>
      <c r="C4267" s="305" t="s">
        <v>363</v>
      </c>
      <c r="D4267" s="575">
        <v>160.18</v>
      </c>
    </row>
    <row r="4268" spans="1:4" ht="13.5" x14ac:dyDescent="0.25">
      <c r="A4268" s="306">
        <v>96878</v>
      </c>
      <c r="B4268" s="305" t="s">
        <v>4021</v>
      </c>
      <c r="C4268" s="305" t="s">
        <v>363</v>
      </c>
      <c r="D4268" s="575">
        <v>162.1</v>
      </c>
    </row>
    <row r="4269" spans="1:4" ht="13.5" x14ac:dyDescent="0.25">
      <c r="A4269" s="306">
        <v>96879</v>
      </c>
      <c r="B4269" s="305" t="s">
        <v>4022</v>
      </c>
      <c r="C4269" s="305" t="s">
        <v>363</v>
      </c>
      <c r="D4269" s="575">
        <v>162.88999999999999</v>
      </c>
    </row>
    <row r="4270" spans="1:4" ht="13.5" x14ac:dyDescent="0.25">
      <c r="A4270" s="306">
        <v>96880</v>
      </c>
      <c r="B4270" s="305" t="s">
        <v>4023</v>
      </c>
      <c r="C4270" s="305" t="s">
        <v>363</v>
      </c>
      <c r="D4270" s="575">
        <v>185.96</v>
      </c>
    </row>
    <row r="4271" spans="1:4" ht="13.5" x14ac:dyDescent="0.25">
      <c r="A4271" s="306">
        <v>96881</v>
      </c>
      <c r="B4271" s="305" t="s">
        <v>4024</v>
      </c>
      <c r="C4271" s="305" t="s">
        <v>363</v>
      </c>
      <c r="D4271" s="575">
        <v>196.42</v>
      </c>
    </row>
    <row r="4272" spans="1:4" ht="13.5" x14ac:dyDescent="0.25">
      <c r="A4272" s="306">
        <v>97425</v>
      </c>
      <c r="B4272" s="305" t="s">
        <v>4025</v>
      </c>
      <c r="C4272" s="305" t="s">
        <v>363</v>
      </c>
      <c r="D4272" s="575">
        <v>20.36</v>
      </c>
    </row>
    <row r="4273" spans="1:4" ht="13.5" x14ac:dyDescent="0.25">
      <c r="A4273" s="306">
        <v>97426</v>
      </c>
      <c r="B4273" s="305" t="s">
        <v>4026</v>
      </c>
      <c r="C4273" s="305" t="s">
        <v>363</v>
      </c>
      <c r="D4273" s="575">
        <v>24.41</v>
      </c>
    </row>
    <row r="4274" spans="1:4" ht="13.5" x14ac:dyDescent="0.25">
      <c r="A4274" s="306">
        <v>97427</v>
      </c>
      <c r="B4274" s="305" t="s">
        <v>4027</v>
      </c>
      <c r="C4274" s="305" t="s">
        <v>363</v>
      </c>
      <c r="D4274" s="575">
        <v>27.46</v>
      </c>
    </row>
    <row r="4275" spans="1:4" ht="13.5" x14ac:dyDescent="0.25">
      <c r="A4275" s="306">
        <v>97428</v>
      </c>
      <c r="B4275" s="305" t="s">
        <v>4028</v>
      </c>
      <c r="C4275" s="305" t="s">
        <v>363</v>
      </c>
      <c r="D4275" s="575">
        <v>34.549999999999997</v>
      </c>
    </row>
    <row r="4276" spans="1:4" ht="13.5" x14ac:dyDescent="0.25">
      <c r="A4276" s="306">
        <v>97429</v>
      </c>
      <c r="B4276" s="305" t="s">
        <v>4029</v>
      </c>
      <c r="C4276" s="305" t="s">
        <v>363</v>
      </c>
      <c r="D4276" s="575">
        <v>41.08</v>
      </c>
    </row>
    <row r="4277" spans="1:4" ht="13.5" x14ac:dyDescent="0.25">
      <c r="A4277" s="306">
        <v>97430</v>
      </c>
      <c r="B4277" s="305" t="s">
        <v>4030</v>
      </c>
      <c r="C4277" s="305" t="s">
        <v>363</v>
      </c>
      <c r="D4277" s="575">
        <v>33.229999999999997</v>
      </c>
    </row>
    <row r="4278" spans="1:4" ht="13.5" x14ac:dyDescent="0.25">
      <c r="A4278" s="306">
        <v>97431</v>
      </c>
      <c r="B4278" s="305" t="s">
        <v>4031</v>
      </c>
      <c r="C4278" s="305" t="s">
        <v>363</v>
      </c>
      <c r="D4278" s="575">
        <v>36.94</v>
      </c>
    </row>
    <row r="4279" spans="1:4" ht="13.5" x14ac:dyDescent="0.25">
      <c r="A4279" s="306">
        <v>97432</v>
      </c>
      <c r="B4279" s="305" t="s">
        <v>4032</v>
      </c>
      <c r="C4279" s="305" t="s">
        <v>363</v>
      </c>
      <c r="D4279" s="575">
        <v>41.65</v>
      </c>
    </row>
    <row r="4280" spans="1:4" ht="13.5" x14ac:dyDescent="0.25">
      <c r="A4280" s="306">
        <v>97433</v>
      </c>
      <c r="B4280" s="305" t="s">
        <v>4033</v>
      </c>
      <c r="C4280" s="305" t="s">
        <v>363</v>
      </c>
      <c r="D4280" s="575">
        <v>78.28</v>
      </c>
    </row>
    <row r="4281" spans="1:4" ht="13.5" x14ac:dyDescent="0.25">
      <c r="A4281" s="306">
        <v>97434</v>
      </c>
      <c r="B4281" s="305" t="s">
        <v>4034</v>
      </c>
      <c r="C4281" s="305" t="s">
        <v>363</v>
      </c>
      <c r="D4281" s="575">
        <v>79.84</v>
      </c>
    </row>
    <row r="4282" spans="1:4" ht="13.5" x14ac:dyDescent="0.25">
      <c r="A4282" s="306">
        <v>97435</v>
      </c>
      <c r="B4282" s="305" t="s">
        <v>4035</v>
      </c>
      <c r="C4282" s="305" t="s">
        <v>363</v>
      </c>
      <c r="D4282" s="575">
        <v>91.64</v>
      </c>
    </row>
    <row r="4283" spans="1:4" ht="13.5" x14ac:dyDescent="0.25">
      <c r="A4283" s="306">
        <v>97436</v>
      </c>
      <c r="B4283" s="305" t="s">
        <v>4036</v>
      </c>
      <c r="C4283" s="305" t="s">
        <v>363</v>
      </c>
      <c r="D4283" s="575">
        <v>94.64</v>
      </c>
    </row>
    <row r="4284" spans="1:4" ht="13.5" x14ac:dyDescent="0.25">
      <c r="A4284" s="306">
        <v>97437</v>
      </c>
      <c r="B4284" s="305" t="s">
        <v>4037</v>
      </c>
      <c r="C4284" s="305" t="s">
        <v>363</v>
      </c>
      <c r="D4284" s="575">
        <v>104.93</v>
      </c>
    </row>
    <row r="4285" spans="1:4" ht="13.5" x14ac:dyDescent="0.25">
      <c r="A4285" s="306">
        <v>97438</v>
      </c>
      <c r="B4285" s="305" t="s">
        <v>4038</v>
      </c>
      <c r="C4285" s="305" t="s">
        <v>363</v>
      </c>
      <c r="D4285" s="575">
        <v>108.14</v>
      </c>
    </row>
    <row r="4286" spans="1:4" ht="13.5" x14ac:dyDescent="0.25">
      <c r="A4286" s="306">
        <v>97439</v>
      </c>
      <c r="B4286" s="305" t="s">
        <v>4039</v>
      </c>
      <c r="C4286" s="305" t="s">
        <v>363</v>
      </c>
      <c r="D4286" s="575">
        <v>119.31</v>
      </c>
    </row>
    <row r="4287" spans="1:4" ht="13.5" x14ac:dyDescent="0.25">
      <c r="A4287" s="306">
        <v>97440</v>
      </c>
      <c r="B4287" s="305" t="s">
        <v>4040</v>
      </c>
      <c r="C4287" s="305" t="s">
        <v>363</v>
      </c>
      <c r="D4287" s="575">
        <v>143.32</v>
      </c>
    </row>
    <row r="4288" spans="1:4" ht="13.5" x14ac:dyDescent="0.25">
      <c r="A4288" s="306">
        <v>97442</v>
      </c>
      <c r="B4288" s="305" t="s">
        <v>4041</v>
      </c>
      <c r="C4288" s="305" t="s">
        <v>363</v>
      </c>
      <c r="D4288" s="575">
        <v>158.16</v>
      </c>
    </row>
    <row r="4289" spans="1:4" ht="13.5" x14ac:dyDescent="0.25">
      <c r="A4289" s="306">
        <v>97443</v>
      </c>
      <c r="B4289" s="305" t="s">
        <v>4042</v>
      </c>
      <c r="C4289" s="305" t="s">
        <v>363</v>
      </c>
      <c r="D4289" s="575">
        <v>70.33</v>
      </c>
    </row>
    <row r="4290" spans="1:4" ht="13.5" x14ac:dyDescent="0.25">
      <c r="A4290" s="306">
        <v>97444</v>
      </c>
      <c r="B4290" s="305" t="s">
        <v>4043</v>
      </c>
      <c r="C4290" s="305" t="s">
        <v>363</v>
      </c>
      <c r="D4290" s="575">
        <v>81.91</v>
      </c>
    </row>
    <row r="4291" spans="1:4" ht="13.5" x14ac:dyDescent="0.25">
      <c r="A4291" s="306">
        <v>97446</v>
      </c>
      <c r="B4291" s="305" t="s">
        <v>4044</v>
      </c>
      <c r="C4291" s="305" t="s">
        <v>363</v>
      </c>
      <c r="D4291" s="575">
        <v>138.56</v>
      </c>
    </row>
    <row r="4292" spans="1:4" ht="13.5" x14ac:dyDescent="0.25">
      <c r="A4292" s="306">
        <v>97447</v>
      </c>
      <c r="B4292" s="305" t="s">
        <v>4045</v>
      </c>
      <c r="C4292" s="305" t="s">
        <v>363</v>
      </c>
      <c r="D4292" s="575">
        <v>138.56</v>
      </c>
    </row>
    <row r="4293" spans="1:4" ht="13.5" x14ac:dyDescent="0.25">
      <c r="A4293" s="306">
        <v>97449</v>
      </c>
      <c r="B4293" s="305" t="s">
        <v>4046</v>
      </c>
      <c r="C4293" s="305" t="s">
        <v>363</v>
      </c>
      <c r="D4293" s="575">
        <v>147.69999999999999</v>
      </c>
    </row>
    <row r="4294" spans="1:4" ht="13.5" x14ac:dyDescent="0.25">
      <c r="A4294" s="306">
        <v>97450</v>
      </c>
      <c r="B4294" s="305" t="s">
        <v>4047</v>
      </c>
      <c r="C4294" s="305" t="s">
        <v>363</v>
      </c>
      <c r="D4294" s="575">
        <v>179.25</v>
      </c>
    </row>
    <row r="4295" spans="1:4" ht="13.5" x14ac:dyDescent="0.25">
      <c r="A4295" s="306">
        <v>97452</v>
      </c>
      <c r="B4295" s="305" t="s">
        <v>4048</v>
      </c>
      <c r="C4295" s="305" t="s">
        <v>363</v>
      </c>
      <c r="D4295" s="575">
        <v>115.07</v>
      </c>
    </row>
    <row r="4296" spans="1:4" ht="13.5" x14ac:dyDescent="0.25">
      <c r="A4296" s="306">
        <v>97453</v>
      </c>
      <c r="B4296" s="305" t="s">
        <v>4049</v>
      </c>
      <c r="C4296" s="305" t="s">
        <v>363</v>
      </c>
      <c r="D4296" s="575">
        <v>121.69</v>
      </c>
    </row>
    <row r="4297" spans="1:4" ht="13.5" x14ac:dyDescent="0.25">
      <c r="A4297" s="306">
        <v>97454</v>
      </c>
      <c r="B4297" s="305" t="s">
        <v>4050</v>
      </c>
      <c r="C4297" s="305" t="s">
        <v>363</v>
      </c>
      <c r="D4297" s="575">
        <v>191.28</v>
      </c>
    </row>
    <row r="4298" spans="1:4" ht="13.5" x14ac:dyDescent="0.25">
      <c r="A4298" s="306">
        <v>97455</v>
      </c>
      <c r="B4298" s="305" t="s">
        <v>4051</v>
      </c>
      <c r="C4298" s="305" t="s">
        <v>363</v>
      </c>
      <c r="D4298" s="575">
        <v>201.86</v>
      </c>
    </row>
    <row r="4299" spans="1:4" ht="13.5" x14ac:dyDescent="0.25">
      <c r="A4299" s="306">
        <v>97456</v>
      </c>
      <c r="B4299" s="305" t="s">
        <v>4052</v>
      </c>
      <c r="C4299" s="305" t="s">
        <v>363</v>
      </c>
      <c r="D4299" s="575">
        <v>423.6</v>
      </c>
    </row>
    <row r="4300" spans="1:4" ht="13.5" x14ac:dyDescent="0.25">
      <c r="A4300" s="306">
        <v>97457</v>
      </c>
      <c r="B4300" s="305" t="s">
        <v>4053</v>
      </c>
      <c r="C4300" s="305" t="s">
        <v>363</v>
      </c>
      <c r="D4300" s="575">
        <v>376.14</v>
      </c>
    </row>
    <row r="4301" spans="1:4" ht="13.5" x14ac:dyDescent="0.25">
      <c r="A4301" s="306">
        <v>97458</v>
      </c>
      <c r="B4301" s="305" t="s">
        <v>4054</v>
      </c>
      <c r="C4301" s="305" t="s">
        <v>363</v>
      </c>
      <c r="D4301" s="575">
        <v>179.99</v>
      </c>
    </row>
    <row r="4302" spans="1:4" ht="13.5" x14ac:dyDescent="0.25">
      <c r="A4302" s="306">
        <v>97459</v>
      </c>
      <c r="B4302" s="305" t="s">
        <v>4055</v>
      </c>
      <c r="C4302" s="305" t="s">
        <v>363</v>
      </c>
      <c r="D4302" s="575">
        <v>302.54000000000002</v>
      </c>
    </row>
    <row r="4303" spans="1:4" ht="13.5" x14ac:dyDescent="0.25">
      <c r="A4303" s="306">
        <v>97460</v>
      </c>
      <c r="B4303" s="305" t="s">
        <v>4056</v>
      </c>
      <c r="C4303" s="305" t="s">
        <v>363</v>
      </c>
      <c r="D4303" s="575">
        <v>460.06</v>
      </c>
    </row>
    <row r="4304" spans="1:4" ht="13.5" x14ac:dyDescent="0.25">
      <c r="A4304" s="306">
        <v>97461</v>
      </c>
      <c r="B4304" s="305" t="s">
        <v>4057</v>
      </c>
      <c r="C4304" s="305" t="s">
        <v>363</v>
      </c>
      <c r="D4304" s="575">
        <v>22.03</v>
      </c>
    </row>
    <row r="4305" spans="1:4" ht="13.5" x14ac:dyDescent="0.25">
      <c r="A4305" s="306">
        <v>97462</v>
      </c>
      <c r="B4305" s="305" t="s">
        <v>4058</v>
      </c>
      <c r="C4305" s="305" t="s">
        <v>363</v>
      </c>
      <c r="D4305" s="575">
        <v>18.64</v>
      </c>
    </row>
    <row r="4306" spans="1:4" ht="13.5" x14ac:dyDescent="0.25">
      <c r="A4306" s="306">
        <v>97464</v>
      </c>
      <c r="B4306" s="305" t="s">
        <v>4059</v>
      </c>
      <c r="C4306" s="305" t="s">
        <v>363</v>
      </c>
      <c r="D4306" s="575">
        <v>31.5</v>
      </c>
    </row>
    <row r="4307" spans="1:4" ht="13.5" x14ac:dyDescent="0.25">
      <c r="A4307" s="306">
        <v>97465</v>
      </c>
      <c r="B4307" s="305" t="s">
        <v>4060</v>
      </c>
      <c r="C4307" s="305" t="s">
        <v>363</v>
      </c>
      <c r="D4307" s="575">
        <v>37.22</v>
      </c>
    </row>
    <row r="4308" spans="1:4" ht="13.5" x14ac:dyDescent="0.25">
      <c r="A4308" s="306">
        <v>97467</v>
      </c>
      <c r="B4308" s="305" t="s">
        <v>4061</v>
      </c>
      <c r="C4308" s="305" t="s">
        <v>363</v>
      </c>
      <c r="D4308" s="575">
        <v>39.94</v>
      </c>
    </row>
    <row r="4309" spans="1:4" ht="13.5" x14ac:dyDescent="0.25">
      <c r="A4309" s="306">
        <v>97468</v>
      </c>
      <c r="B4309" s="305" t="s">
        <v>4062</v>
      </c>
      <c r="C4309" s="305" t="s">
        <v>363</v>
      </c>
      <c r="D4309" s="575">
        <v>47.27</v>
      </c>
    </row>
    <row r="4310" spans="1:4" ht="13.5" x14ac:dyDescent="0.25">
      <c r="A4310" s="306">
        <v>97470</v>
      </c>
      <c r="B4310" s="305" t="s">
        <v>4063</v>
      </c>
      <c r="C4310" s="305" t="s">
        <v>363</v>
      </c>
      <c r="D4310" s="575">
        <v>58.45</v>
      </c>
    </row>
    <row r="4311" spans="1:4" ht="13.5" x14ac:dyDescent="0.25">
      <c r="A4311" s="306">
        <v>97471</v>
      </c>
      <c r="B4311" s="305" t="s">
        <v>4064</v>
      </c>
      <c r="C4311" s="305" t="s">
        <v>363</v>
      </c>
      <c r="D4311" s="575">
        <v>70.03</v>
      </c>
    </row>
    <row r="4312" spans="1:4" ht="13.5" x14ac:dyDescent="0.25">
      <c r="A4312" s="306">
        <v>97474</v>
      </c>
      <c r="B4312" s="305" t="s">
        <v>4065</v>
      </c>
      <c r="C4312" s="305" t="s">
        <v>363</v>
      </c>
      <c r="D4312" s="575">
        <v>105.27</v>
      </c>
    </row>
    <row r="4313" spans="1:4" ht="13.5" x14ac:dyDescent="0.25">
      <c r="A4313" s="306">
        <v>97475</v>
      </c>
      <c r="B4313" s="305" t="s">
        <v>4066</v>
      </c>
      <c r="C4313" s="305" t="s">
        <v>363</v>
      </c>
      <c r="D4313" s="575">
        <v>128.69999999999999</v>
      </c>
    </row>
    <row r="4314" spans="1:4" ht="13.5" x14ac:dyDescent="0.25">
      <c r="A4314" s="306">
        <v>97477</v>
      </c>
      <c r="B4314" s="305" t="s">
        <v>4067</v>
      </c>
      <c r="C4314" s="305" t="s">
        <v>363</v>
      </c>
      <c r="D4314" s="575">
        <v>139.87</v>
      </c>
    </row>
    <row r="4315" spans="1:4" ht="13.5" x14ac:dyDescent="0.25">
      <c r="A4315" s="306">
        <v>97478</v>
      </c>
      <c r="B4315" s="305" t="s">
        <v>4068</v>
      </c>
      <c r="C4315" s="305" t="s">
        <v>363</v>
      </c>
      <c r="D4315" s="575">
        <v>171.42</v>
      </c>
    </row>
    <row r="4316" spans="1:4" ht="13.5" x14ac:dyDescent="0.25">
      <c r="A4316" s="306">
        <v>97479</v>
      </c>
      <c r="B4316" s="305" t="s">
        <v>4069</v>
      </c>
      <c r="C4316" s="305" t="s">
        <v>363</v>
      </c>
      <c r="D4316" s="575">
        <v>35.409999999999997</v>
      </c>
    </row>
    <row r="4317" spans="1:4" ht="13.5" x14ac:dyDescent="0.25">
      <c r="A4317" s="306">
        <v>97480</v>
      </c>
      <c r="B4317" s="305" t="s">
        <v>4070</v>
      </c>
      <c r="C4317" s="305" t="s">
        <v>363</v>
      </c>
      <c r="D4317" s="575">
        <v>35.409999999999997</v>
      </c>
    </row>
    <row r="4318" spans="1:4" ht="13.5" x14ac:dyDescent="0.25">
      <c r="A4318" s="306">
        <v>97481</v>
      </c>
      <c r="B4318" s="305" t="s">
        <v>4071</v>
      </c>
      <c r="C4318" s="305" t="s">
        <v>363</v>
      </c>
      <c r="D4318" s="575">
        <v>50.91</v>
      </c>
    </row>
    <row r="4319" spans="1:4" ht="13.5" x14ac:dyDescent="0.25">
      <c r="A4319" s="306">
        <v>97482</v>
      </c>
      <c r="B4319" s="305" t="s">
        <v>4072</v>
      </c>
      <c r="C4319" s="305" t="s">
        <v>363</v>
      </c>
      <c r="D4319" s="575">
        <v>50.91</v>
      </c>
    </row>
    <row r="4320" spans="1:4" ht="13.5" x14ac:dyDescent="0.25">
      <c r="A4320" s="306">
        <v>97483</v>
      </c>
      <c r="B4320" s="305" t="s">
        <v>4073</v>
      </c>
      <c r="C4320" s="305" t="s">
        <v>363</v>
      </c>
      <c r="D4320" s="575">
        <v>70.88</v>
      </c>
    </row>
    <row r="4321" spans="1:4" ht="13.5" x14ac:dyDescent="0.25">
      <c r="A4321" s="306">
        <v>97484</v>
      </c>
      <c r="B4321" s="305" t="s">
        <v>4074</v>
      </c>
      <c r="C4321" s="305" t="s">
        <v>363</v>
      </c>
      <c r="D4321" s="575">
        <v>70.88</v>
      </c>
    </row>
    <row r="4322" spans="1:4" ht="13.5" x14ac:dyDescent="0.25">
      <c r="A4322" s="306">
        <v>97485</v>
      </c>
      <c r="B4322" s="305" t="s">
        <v>4075</v>
      </c>
      <c r="C4322" s="305" t="s">
        <v>363</v>
      </c>
      <c r="D4322" s="575">
        <v>97.26</v>
      </c>
    </row>
    <row r="4323" spans="1:4" ht="13.5" x14ac:dyDescent="0.25">
      <c r="A4323" s="306">
        <v>97486</v>
      </c>
      <c r="B4323" s="305" t="s">
        <v>4076</v>
      </c>
      <c r="C4323" s="305" t="s">
        <v>363</v>
      </c>
      <c r="D4323" s="575">
        <v>103.88</v>
      </c>
    </row>
    <row r="4324" spans="1:4" ht="13.5" x14ac:dyDescent="0.25">
      <c r="A4324" s="306">
        <v>97487</v>
      </c>
      <c r="B4324" s="305" t="s">
        <v>4077</v>
      </c>
      <c r="C4324" s="305" t="s">
        <v>363</v>
      </c>
      <c r="D4324" s="575">
        <v>176.52</v>
      </c>
    </row>
    <row r="4325" spans="1:4" ht="13.5" x14ac:dyDescent="0.25">
      <c r="A4325" s="306">
        <v>97488</v>
      </c>
      <c r="B4325" s="305" t="s">
        <v>4078</v>
      </c>
      <c r="C4325" s="305" t="s">
        <v>363</v>
      </c>
      <c r="D4325" s="575">
        <v>187.1</v>
      </c>
    </row>
    <row r="4326" spans="1:4" ht="13.5" x14ac:dyDescent="0.25">
      <c r="A4326" s="306">
        <v>97489</v>
      </c>
      <c r="B4326" s="305" t="s">
        <v>4079</v>
      </c>
      <c r="C4326" s="305" t="s">
        <v>363</v>
      </c>
      <c r="D4326" s="575">
        <v>411.82</v>
      </c>
    </row>
    <row r="4327" spans="1:4" ht="13.5" x14ac:dyDescent="0.25">
      <c r="A4327" s="306">
        <v>97490</v>
      </c>
      <c r="B4327" s="305" t="s">
        <v>4080</v>
      </c>
      <c r="C4327" s="305" t="s">
        <v>363</v>
      </c>
      <c r="D4327" s="575">
        <v>364.36</v>
      </c>
    </row>
    <row r="4328" spans="1:4" ht="13.5" x14ac:dyDescent="0.25">
      <c r="A4328" s="306">
        <v>97491</v>
      </c>
      <c r="B4328" s="305" t="s">
        <v>4081</v>
      </c>
      <c r="C4328" s="305" t="s">
        <v>363</v>
      </c>
      <c r="D4328" s="575">
        <v>54.2</v>
      </c>
    </row>
    <row r="4329" spans="1:4" ht="13.5" x14ac:dyDescent="0.25">
      <c r="A4329" s="306">
        <v>97492</v>
      </c>
      <c r="B4329" s="305" t="s">
        <v>4082</v>
      </c>
      <c r="C4329" s="305" t="s">
        <v>363</v>
      </c>
      <c r="D4329" s="575">
        <v>78.94</v>
      </c>
    </row>
    <row r="4330" spans="1:4" ht="13.5" x14ac:dyDescent="0.25">
      <c r="A4330" s="306">
        <v>97493</v>
      </c>
      <c r="B4330" s="305" t="s">
        <v>4083</v>
      </c>
      <c r="C4330" s="305" t="s">
        <v>363</v>
      </c>
      <c r="D4330" s="575">
        <v>101.65</v>
      </c>
    </row>
    <row r="4331" spans="1:4" ht="13.5" x14ac:dyDescent="0.25">
      <c r="A4331" s="306">
        <v>97494</v>
      </c>
      <c r="B4331" s="305" t="s">
        <v>4084</v>
      </c>
      <c r="C4331" s="305" t="s">
        <v>363</v>
      </c>
      <c r="D4331" s="575">
        <v>156.21</v>
      </c>
    </row>
    <row r="4332" spans="1:4" ht="13.5" x14ac:dyDescent="0.25">
      <c r="A4332" s="306">
        <v>97495</v>
      </c>
      <c r="B4332" s="305" t="s">
        <v>4085</v>
      </c>
      <c r="C4332" s="305" t="s">
        <v>363</v>
      </c>
      <c r="D4332" s="575">
        <v>282.81</v>
      </c>
    </row>
    <row r="4333" spans="1:4" ht="13.5" x14ac:dyDescent="0.25">
      <c r="A4333" s="306">
        <v>97496</v>
      </c>
      <c r="B4333" s="305" t="s">
        <v>4086</v>
      </c>
      <c r="C4333" s="305" t="s">
        <v>363</v>
      </c>
      <c r="D4333" s="575">
        <v>444.4</v>
      </c>
    </row>
    <row r="4334" spans="1:4" ht="13.5" x14ac:dyDescent="0.25">
      <c r="A4334" s="306">
        <v>97499</v>
      </c>
      <c r="B4334" s="305" t="s">
        <v>4087</v>
      </c>
      <c r="C4334" s="305" t="s">
        <v>363</v>
      </c>
      <c r="D4334" s="575">
        <v>20.11</v>
      </c>
    </row>
    <row r="4335" spans="1:4" ht="13.5" x14ac:dyDescent="0.25">
      <c r="A4335" s="306">
        <v>97500</v>
      </c>
      <c r="B4335" s="305" t="s">
        <v>4088</v>
      </c>
      <c r="C4335" s="305" t="s">
        <v>363</v>
      </c>
      <c r="D4335" s="575">
        <v>16.72</v>
      </c>
    </row>
    <row r="4336" spans="1:4" ht="13.5" x14ac:dyDescent="0.25">
      <c r="A4336" s="306">
        <v>97502</v>
      </c>
      <c r="B4336" s="305" t="s">
        <v>4089</v>
      </c>
      <c r="C4336" s="305" t="s">
        <v>363</v>
      </c>
      <c r="D4336" s="575">
        <v>27.94</v>
      </c>
    </row>
    <row r="4337" spans="1:4" ht="13.5" x14ac:dyDescent="0.25">
      <c r="A4337" s="306">
        <v>97503</v>
      </c>
      <c r="B4337" s="305" t="s">
        <v>4090</v>
      </c>
      <c r="C4337" s="305" t="s">
        <v>363</v>
      </c>
      <c r="D4337" s="575">
        <v>33.840000000000003</v>
      </c>
    </row>
    <row r="4338" spans="1:4" ht="13.5" x14ac:dyDescent="0.25">
      <c r="A4338" s="306">
        <v>97505</v>
      </c>
      <c r="B4338" s="305" t="s">
        <v>4091</v>
      </c>
      <c r="C4338" s="305" t="s">
        <v>363</v>
      </c>
      <c r="D4338" s="575">
        <v>34.92</v>
      </c>
    </row>
    <row r="4339" spans="1:4" ht="13.5" x14ac:dyDescent="0.25">
      <c r="A4339" s="306">
        <v>97506</v>
      </c>
      <c r="B4339" s="305" t="s">
        <v>4092</v>
      </c>
      <c r="C4339" s="305" t="s">
        <v>363</v>
      </c>
      <c r="D4339" s="575">
        <v>42.25</v>
      </c>
    </row>
    <row r="4340" spans="1:4" ht="13.5" x14ac:dyDescent="0.25">
      <c r="A4340" s="306">
        <v>97508</v>
      </c>
      <c r="B4340" s="305" t="s">
        <v>4093</v>
      </c>
      <c r="C4340" s="305" t="s">
        <v>363</v>
      </c>
      <c r="D4340" s="575">
        <v>51.34</v>
      </c>
    </row>
    <row r="4341" spans="1:4" ht="13.5" x14ac:dyDescent="0.25">
      <c r="A4341" s="306">
        <v>97509</v>
      </c>
      <c r="B4341" s="305" t="s">
        <v>4094</v>
      </c>
      <c r="C4341" s="305" t="s">
        <v>363</v>
      </c>
      <c r="D4341" s="575">
        <v>62.92</v>
      </c>
    </row>
    <row r="4342" spans="1:4" ht="13.5" x14ac:dyDescent="0.25">
      <c r="A4342" s="306">
        <v>97511</v>
      </c>
      <c r="B4342" s="305" t="s">
        <v>4095</v>
      </c>
      <c r="C4342" s="305" t="s">
        <v>363</v>
      </c>
      <c r="D4342" s="575">
        <v>95.07</v>
      </c>
    </row>
    <row r="4343" spans="1:4" ht="13.5" x14ac:dyDescent="0.25">
      <c r="A4343" s="306">
        <v>97512</v>
      </c>
      <c r="B4343" s="305" t="s">
        <v>4096</v>
      </c>
      <c r="C4343" s="305" t="s">
        <v>363</v>
      </c>
      <c r="D4343" s="575">
        <v>118.5</v>
      </c>
    </row>
    <row r="4344" spans="1:4" ht="13.5" x14ac:dyDescent="0.25">
      <c r="A4344" s="306">
        <v>97514</v>
      </c>
      <c r="B4344" s="305" t="s">
        <v>4097</v>
      </c>
      <c r="C4344" s="305" t="s">
        <v>363</v>
      </c>
      <c r="D4344" s="575">
        <v>126.45</v>
      </c>
    </row>
    <row r="4345" spans="1:4" ht="13.5" x14ac:dyDescent="0.25">
      <c r="A4345" s="306">
        <v>97515</v>
      </c>
      <c r="B4345" s="305" t="s">
        <v>4098</v>
      </c>
      <c r="C4345" s="305" t="s">
        <v>363</v>
      </c>
      <c r="D4345" s="575">
        <v>158</v>
      </c>
    </row>
    <row r="4346" spans="1:4" ht="13.5" x14ac:dyDescent="0.25">
      <c r="A4346" s="306">
        <v>97517</v>
      </c>
      <c r="B4346" s="305" t="s">
        <v>4099</v>
      </c>
      <c r="C4346" s="305" t="s">
        <v>363</v>
      </c>
      <c r="D4346" s="575">
        <v>32.53</v>
      </c>
    </row>
    <row r="4347" spans="1:4" ht="13.5" x14ac:dyDescent="0.25">
      <c r="A4347" s="306">
        <v>97518</v>
      </c>
      <c r="B4347" s="305" t="s">
        <v>4100</v>
      </c>
      <c r="C4347" s="305" t="s">
        <v>363</v>
      </c>
      <c r="D4347" s="575">
        <v>32.53</v>
      </c>
    </row>
    <row r="4348" spans="1:4" ht="13.5" x14ac:dyDescent="0.25">
      <c r="A4348" s="306">
        <v>97519</v>
      </c>
      <c r="B4348" s="305" t="s">
        <v>4101</v>
      </c>
      <c r="C4348" s="305" t="s">
        <v>363</v>
      </c>
      <c r="D4348" s="575">
        <v>45.84</v>
      </c>
    </row>
    <row r="4349" spans="1:4" ht="13.5" x14ac:dyDescent="0.25">
      <c r="A4349" s="306">
        <v>97520</v>
      </c>
      <c r="B4349" s="305" t="s">
        <v>4102</v>
      </c>
      <c r="C4349" s="305" t="s">
        <v>363</v>
      </c>
      <c r="D4349" s="575">
        <v>45.84</v>
      </c>
    </row>
    <row r="4350" spans="1:4" ht="13.5" x14ac:dyDescent="0.25">
      <c r="A4350" s="306">
        <v>97521</v>
      </c>
      <c r="B4350" s="305" t="s">
        <v>4103</v>
      </c>
      <c r="C4350" s="305" t="s">
        <v>363</v>
      </c>
      <c r="D4350" s="575">
        <v>63.32</v>
      </c>
    </row>
    <row r="4351" spans="1:4" ht="13.5" x14ac:dyDescent="0.25">
      <c r="A4351" s="306">
        <v>97522</v>
      </c>
      <c r="B4351" s="305" t="s">
        <v>4104</v>
      </c>
      <c r="C4351" s="305" t="s">
        <v>363</v>
      </c>
      <c r="D4351" s="575">
        <v>63.32</v>
      </c>
    </row>
    <row r="4352" spans="1:4" ht="13.5" x14ac:dyDescent="0.25">
      <c r="A4352" s="306">
        <v>97523</v>
      </c>
      <c r="B4352" s="305" t="s">
        <v>4105</v>
      </c>
      <c r="C4352" s="305" t="s">
        <v>363</v>
      </c>
      <c r="D4352" s="575">
        <v>86.6</v>
      </c>
    </row>
    <row r="4353" spans="1:4" ht="13.5" x14ac:dyDescent="0.25">
      <c r="A4353" s="306">
        <v>97524</v>
      </c>
      <c r="B4353" s="305" t="s">
        <v>4106</v>
      </c>
      <c r="C4353" s="305" t="s">
        <v>363</v>
      </c>
      <c r="D4353" s="575">
        <v>93.22</v>
      </c>
    </row>
    <row r="4354" spans="1:4" ht="13.5" x14ac:dyDescent="0.25">
      <c r="A4354" s="306">
        <v>97525</v>
      </c>
      <c r="B4354" s="305" t="s">
        <v>4107</v>
      </c>
      <c r="C4354" s="305" t="s">
        <v>363</v>
      </c>
      <c r="D4354" s="575">
        <v>161.13</v>
      </c>
    </row>
    <row r="4355" spans="1:4" ht="13.5" x14ac:dyDescent="0.25">
      <c r="A4355" s="306">
        <v>97526</v>
      </c>
      <c r="B4355" s="305" t="s">
        <v>4108</v>
      </c>
      <c r="C4355" s="305" t="s">
        <v>363</v>
      </c>
      <c r="D4355" s="575">
        <v>171.71</v>
      </c>
    </row>
    <row r="4356" spans="1:4" ht="13.5" x14ac:dyDescent="0.25">
      <c r="A4356" s="306">
        <v>97527</v>
      </c>
      <c r="B4356" s="305" t="s">
        <v>4109</v>
      </c>
      <c r="C4356" s="305" t="s">
        <v>363</v>
      </c>
      <c r="D4356" s="575">
        <v>391.75</v>
      </c>
    </row>
    <row r="4357" spans="1:4" ht="13.5" x14ac:dyDescent="0.25">
      <c r="A4357" s="306">
        <v>97528</v>
      </c>
      <c r="B4357" s="305" t="s">
        <v>4110</v>
      </c>
      <c r="C4357" s="305" t="s">
        <v>363</v>
      </c>
      <c r="D4357" s="575">
        <v>344.29</v>
      </c>
    </row>
    <row r="4358" spans="1:4" ht="13.5" x14ac:dyDescent="0.25">
      <c r="A4358" s="306">
        <v>97529</v>
      </c>
      <c r="B4358" s="305" t="s">
        <v>4111</v>
      </c>
      <c r="C4358" s="305" t="s">
        <v>363</v>
      </c>
      <c r="D4358" s="575">
        <v>50.42</v>
      </c>
    </row>
    <row r="4359" spans="1:4" ht="13.5" x14ac:dyDescent="0.25">
      <c r="A4359" s="306">
        <v>97530</v>
      </c>
      <c r="B4359" s="305" t="s">
        <v>4112</v>
      </c>
      <c r="C4359" s="305" t="s">
        <v>363</v>
      </c>
      <c r="D4359" s="575">
        <v>72.180000000000007</v>
      </c>
    </row>
    <row r="4360" spans="1:4" ht="13.5" x14ac:dyDescent="0.25">
      <c r="A4360" s="306">
        <v>97531</v>
      </c>
      <c r="B4360" s="305" t="s">
        <v>4113</v>
      </c>
      <c r="C4360" s="305" t="s">
        <v>363</v>
      </c>
      <c r="D4360" s="575">
        <v>91.57</v>
      </c>
    </row>
    <row r="4361" spans="1:4" ht="13.5" x14ac:dyDescent="0.25">
      <c r="A4361" s="306">
        <v>97532</v>
      </c>
      <c r="B4361" s="305" t="s">
        <v>4114</v>
      </c>
      <c r="C4361" s="305" t="s">
        <v>363</v>
      </c>
      <c r="D4361" s="575">
        <v>141.99</v>
      </c>
    </row>
    <row r="4362" spans="1:4" ht="13.5" x14ac:dyDescent="0.25">
      <c r="A4362" s="306">
        <v>97533</v>
      </c>
      <c r="B4362" s="305" t="s">
        <v>4115</v>
      </c>
      <c r="C4362" s="305" t="s">
        <v>363</v>
      </c>
      <c r="D4362" s="575">
        <v>265.33999999999997</v>
      </c>
    </row>
    <row r="4363" spans="1:4" ht="13.5" x14ac:dyDescent="0.25">
      <c r="A4363" s="306">
        <v>97534</v>
      </c>
      <c r="B4363" s="305" t="s">
        <v>4116</v>
      </c>
      <c r="C4363" s="305" t="s">
        <v>363</v>
      </c>
      <c r="D4363" s="575">
        <v>417.63</v>
      </c>
    </row>
    <row r="4364" spans="1:4" ht="13.5" x14ac:dyDescent="0.25">
      <c r="A4364" s="306">
        <v>97537</v>
      </c>
      <c r="B4364" s="305" t="s">
        <v>4117</v>
      </c>
      <c r="C4364" s="305" t="s">
        <v>363</v>
      </c>
      <c r="D4364" s="575">
        <v>15.39</v>
      </c>
    </row>
    <row r="4365" spans="1:4" ht="13.5" x14ac:dyDescent="0.25">
      <c r="A4365" s="306">
        <v>97540</v>
      </c>
      <c r="B4365" s="305" t="s">
        <v>4118</v>
      </c>
      <c r="C4365" s="305" t="s">
        <v>363</v>
      </c>
      <c r="D4365" s="575">
        <v>21.13</v>
      </c>
    </row>
    <row r="4366" spans="1:4" ht="13.5" x14ac:dyDescent="0.25">
      <c r="A4366" s="306">
        <v>97541</v>
      </c>
      <c r="B4366" s="305" t="s">
        <v>4119</v>
      </c>
      <c r="C4366" s="305" t="s">
        <v>363</v>
      </c>
      <c r="D4366" s="575">
        <v>18.309999999999999</v>
      </c>
    </row>
    <row r="4367" spans="1:4" ht="13.5" x14ac:dyDescent="0.25">
      <c r="A4367" s="306">
        <v>97543</v>
      </c>
      <c r="B4367" s="305" t="s">
        <v>4120</v>
      </c>
      <c r="C4367" s="305" t="s">
        <v>363</v>
      </c>
      <c r="D4367" s="575">
        <v>35.049999999999997</v>
      </c>
    </row>
    <row r="4368" spans="1:4" ht="13.5" x14ac:dyDescent="0.25">
      <c r="A4368" s="306">
        <v>97544</v>
      </c>
      <c r="B4368" s="305" t="s">
        <v>4121</v>
      </c>
      <c r="C4368" s="305" t="s">
        <v>363</v>
      </c>
      <c r="D4368" s="575">
        <v>31.66</v>
      </c>
    </row>
    <row r="4369" spans="1:4" ht="13.5" x14ac:dyDescent="0.25">
      <c r="A4369" s="306">
        <v>97546</v>
      </c>
      <c r="B4369" s="305" t="s">
        <v>4122</v>
      </c>
      <c r="C4369" s="305" t="s">
        <v>363</v>
      </c>
      <c r="D4369" s="575">
        <v>21.68</v>
      </c>
    </row>
    <row r="4370" spans="1:4" ht="13.5" x14ac:dyDescent="0.25">
      <c r="A4370" s="306">
        <v>97547</v>
      </c>
      <c r="B4370" s="305" t="s">
        <v>4123</v>
      </c>
      <c r="C4370" s="305" t="s">
        <v>363</v>
      </c>
      <c r="D4370" s="575">
        <v>21.68</v>
      </c>
    </row>
    <row r="4371" spans="1:4" ht="13.5" x14ac:dyDescent="0.25">
      <c r="A4371" s="306">
        <v>97548</v>
      </c>
      <c r="B4371" s="305" t="s">
        <v>4124</v>
      </c>
      <c r="C4371" s="305" t="s">
        <v>363</v>
      </c>
      <c r="D4371" s="575">
        <v>32.56</v>
      </c>
    </row>
    <row r="4372" spans="1:4" ht="13.5" x14ac:dyDescent="0.25">
      <c r="A4372" s="306">
        <v>97549</v>
      </c>
      <c r="B4372" s="305" t="s">
        <v>4125</v>
      </c>
      <c r="C4372" s="305" t="s">
        <v>363</v>
      </c>
      <c r="D4372" s="575">
        <v>32.56</v>
      </c>
    </row>
    <row r="4373" spans="1:4" ht="13.5" x14ac:dyDescent="0.25">
      <c r="A4373" s="306">
        <v>97550</v>
      </c>
      <c r="B4373" s="305" t="s">
        <v>4126</v>
      </c>
      <c r="C4373" s="305" t="s">
        <v>363</v>
      </c>
      <c r="D4373" s="575">
        <v>54.96</v>
      </c>
    </row>
    <row r="4374" spans="1:4" ht="13.5" x14ac:dyDescent="0.25">
      <c r="A4374" s="306">
        <v>97551</v>
      </c>
      <c r="B4374" s="305" t="s">
        <v>4127</v>
      </c>
      <c r="C4374" s="305" t="s">
        <v>363</v>
      </c>
      <c r="D4374" s="575">
        <v>54.96</v>
      </c>
    </row>
    <row r="4375" spans="1:4" ht="13.5" x14ac:dyDescent="0.25">
      <c r="A4375" s="306">
        <v>97552</v>
      </c>
      <c r="B4375" s="305" t="s">
        <v>4128</v>
      </c>
      <c r="C4375" s="305" t="s">
        <v>363</v>
      </c>
      <c r="D4375" s="575">
        <v>31.36</v>
      </c>
    </row>
    <row r="4376" spans="1:4" ht="13.5" x14ac:dyDescent="0.25">
      <c r="A4376" s="306">
        <v>97553</v>
      </c>
      <c r="B4376" s="305" t="s">
        <v>4129</v>
      </c>
      <c r="C4376" s="305" t="s">
        <v>363</v>
      </c>
      <c r="D4376" s="575">
        <v>45.86</v>
      </c>
    </row>
    <row r="4377" spans="1:4" ht="13.5" x14ac:dyDescent="0.25">
      <c r="A4377" s="306">
        <v>97554</v>
      </c>
      <c r="B4377" s="305" t="s">
        <v>4130</v>
      </c>
      <c r="C4377" s="305" t="s">
        <v>363</v>
      </c>
      <c r="D4377" s="575">
        <v>80.34</v>
      </c>
    </row>
    <row r="4378" spans="1:4" ht="13.5" x14ac:dyDescent="0.25">
      <c r="A4378" s="306">
        <v>98602</v>
      </c>
      <c r="B4378" s="305" t="s">
        <v>4131</v>
      </c>
      <c r="C4378" s="305" t="s">
        <v>363</v>
      </c>
      <c r="D4378" s="575">
        <v>12.88</v>
      </c>
    </row>
    <row r="4379" spans="1:4" ht="13.5" x14ac:dyDescent="0.25">
      <c r="A4379" s="306">
        <v>6171</v>
      </c>
      <c r="B4379" s="305" t="s">
        <v>4132</v>
      </c>
      <c r="C4379" s="305" t="s">
        <v>363</v>
      </c>
      <c r="D4379" s="575">
        <v>25.9</v>
      </c>
    </row>
    <row r="4380" spans="1:4" ht="13.5" x14ac:dyDescent="0.25">
      <c r="A4380" s="306">
        <v>88503</v>
      </c>
      <c r="B4380" s="305" t="s">
        <v>4133</v>
      </c>
      <c r="C4380" s="305" t="s">
        <v>363</v>
      </c>
      <c r="D4380" s="575">
        <v>701.2</v>
      </c>
    </row>
    <row r="4381" spans="1:4" ht="13.5" x14ac:dyDescent="0.25">
      <c r="A4381" s="306">
        <v>88504</v>
      </c>
      <c r="B4381" s="305" t="s">
        <v>4134</v>
      </c>
      <c r="C4381" s="305" t="s">
        <v>363</v>
      </c>
      <c r="D4381" s="575">
        <v>567.65</v>
      </c>
    </row>
    <row r="4382" spans="1:4" ht="13.5" x14ac:dyDescent="0.25">
      <c r="A4382" s="306">
        <v>97900</v>
      </c>
      <c r="B4382" s="305" t="s">
        <v>4135</v>
      </c>
      <c r="C4382" s="305" t="s">
        <v>363</v>
      </c>
      <c r="D4382" s="575">
        <v>154.85</v>
      </c>
    </row>
    <row r="4383" spans="1:4" ht="13.5" x14ac:dyDescent="0.25">
      <c r="A4383" s="306">
        <v>97901</v>
      </c>
      <c r="B4383" s="305" t="s">
        <v>4136</v>
      </c>
      <c r="C4383" s="305" t="s">
        <v>363</v>
      </c>
      <c r="D4383" s="575">
        <v>245.74</v>
      </c>
    </row>
    <row r="4384" spans="1:4" ht="13.5" x14ac:dyDescent="0.25">
      <c r="A4384" s="306">
        <v>97902</v>
      </c>
      <c r="B4384" s="305" t="s">
        <v>4137</v>
      </c>
      <c r="C4384" s="305" t="s">
        <v>363</v>
      </c>
      <c r="D4384" s="575">
        <v>485.52</v>
      </c>
    </row>
    <row r="4385" spans="1:4" ht="13.5" x14ac:dyDescent="0.25">
      <c r="A4385" s="306">
        <v>97903</v>
      </c>
      <c r="B4385" s="305" t="s">
        <v>4138</v>
      </c>
      <c r="C4385" s="305" t="s">
        <v>363</v>
      </c>
      <c r="D4385" s="575">
        <v>671.52</v>
      </c>
    </row>
    <row r="4386" spans="1:4" ht="13.5" x14ac:dyDescent="0.25">
      <c r="A4386" s="306">
        <v>97904</v>
      </c>
      <c r="B4386" s="305" t="s">
        <v>4139</v>
      </c>
      <c r="C4386" s="305" t="s">
        <v>363</v>
      </c>
      <c r="D4386" s="575">
        <v>797.93</v>
      </c>
    </row>
    <row r="4387" spans="1:4" ht="13.5" x14ac:dyDescent="0.25">
      <c r="A4387" s="306">
        <v>97905</v>
      </c>
      <c r="B4387" s="305" t="s">
        <v>4140</v>
      </c>
      <c r="C4387" s="305" t="s">
        <v>363</v>
      </c>
      <c r="D4387" s="575">
        <v>201.84</v>
      </c>
    </row>
    <row r="4388" spans="1:4" ht="13.5" x14ac:dyDescent="0.25">
      <c r="A4388" s="306">
        <v>97906</v>
      </c>
      <c r="B4388" s="305" t="s">
        <v>4141</v>
      </c>
      <c r="C4388" s="305" t="s">
        <v>363</v>
      </c>
      <c r="D4388" s="575">
        <v>378.02</v>
      </c>
    </row>
    <row r="4389" spans="1:4" ht="13.5" x14ac:dyDescent="0.25">
      <c r="A4389" s="306">
        <v>97907</v>
      </c>
      <c r="B4389" s="305" t="s">
        <v>4142</v>
      </c>
      <c r="C4389" s="305" t="s">
        <v>363</v>
      </c>
      <c r="D4389" s="575">
        <v>534.34</v>
      </c>
    </row>
    <row r="4390" spans="1:4" ht="13.5" x14ac:dyDescent="0.25">
      <c r="A4390" s="306">
        <v>97908</v>
      </c>
      <c r="B4390" s="305" t="s">
        <v>4143</v>
      </c>
      <c r="C4390" s="305" t="s">
        <v>363</v>
      </c>
      <c r="D4390" s="575">
        <v>635.62</v>
      </c>
    </row>
    <row r="4391" spans="1:4" ht="13.5" x14ac:dyDescent="0.25">
      <c r="A4391" s="306">
        <v>98102</v>
      </c>
      <c r="B4391" s="305" t="s">
        <v>4144</v>
      </c>
      <c r="C4391" s="305" t="s">
        <v>363</v>
      </c>
      <c r="D4391" s="575">
        <v>94.18</v>
      </c>
    </row>
    <row r="4392" spans="1:4" ht="13.5" x14ac:dyDescent="0.25">
      <c r="A4392" s="306">
        <v>98104</v>
      </c>
      <c r="B4392" s="305" t="s">
        <v>4145</v>
      </c>
      <c r="C4392" s="305" t="s">
        <v>363</v>
      </c>
      <c r="D4392" s="575">
        <v>325.56</v>
      </c>
    </row>
    <row r="4393" spans="1:4" ht="13.5" x14ac:dyDescent="0.25">
      <c r="A4393" s="306">
        <v>98105</v>
      </c>
      <c r="B4393" s="305" t="s">
        <v>4146</v>
      </c>
      <c r="C4393" s="305" t="s">
        <v>363</v>
      </c>
      <c r="D4393" s="575">
        <v>563.96</v>
      </c>
    </row>
    <row r="4394" spans="1:4" ht="13.5" x14ac:dyDescent="0.25">
      <c r="A4394" s="306">
        <v>98106</v>
      </c>
      <c r="B4394" s="305" t="s">
        <v>4147</v>
      </c>
      <c r="C4394" s="305" t="s">
        <v>363</v>
      </c>
      <c r="D4394" s="575">
        <v>931.97</v>
      </c>
    </row>
    <row r="4395" spans="1:4" ht="13.5" x14ac:dyDescent="0.25">
      <c r="A4395" s="306">
        <v>98107</v>
      </c>
      <c r="B4395" s="305" t="s">
        <v>4148</v>
      </c>
      <c r="C4395" s="305" t="s">
        <v>363</v>
      </c>
      <c r="D4395" s="575">
        <v>241.91</v>
      </c>
    </row>
    <row r="4396" spans="1:4" ht="13.5" x14ac:dyDescent="0.25">
      <c r="A4396" s="306">
        <v>98108</v>
      </c>
      <c r="B4396" s="305" t="s">
        <v>4149</v>
      </c>
      <c r="C4396" s="305" t="s">
        <v>363</v>
      </c>
      <c r="D4396" s="575">
        <v>429.09</v>
      </c>
    </row>
    <row r="4397" spans="1:4" ht="13.5" x14ac:dyDescent="0.25">
      <c r="A4397" s="306">
        <v>99250</v>
      </c>
      <c r="B4397" s="305" t="s">
        <v>4150</v>
      </c>
      <c r="C4397" s="305" t="s">
        <v>363</v>
      </c>
      <c r="D4397" s="575">
        <v>151.38</v>
      </c>
    </row>
    <row r="4398" spans="1:4" ht="13.5" x14ac:dyDescent="0.25">
      <c r="A4398" s="306">
        <v>99251</v>
      </c>
      <c r="B4398" s="305" t="s">
        <v>4151</v>
      </c>
      <c r="C4398" s="305" t="s">
        <v>363</v>
      </c>
      <c r="D4398" s="575">
        <v>239.79</v>
      </c>
    </row>
    <row r="4399" spans="1:4" ht="13.5" x14ac:dyDescent="0.25">
      <c r="A4399" s="306">
        <v>99253</v>
      </c>
      <c r="B4399" s="305" t="s">
        <v>4152</v>
      </c>
      <c r="C4399" s="305" t="s">
        <v>363</v>
      </c>
      <c r="D4399" s="575">
        <v>472.16</v>
      </c>
    </row>
    <row r="4400" spans="1:4" ht="13.5" x14ac:dyDescent="0.25">
      <c r="A4400" s="306">
        <v>99255</v>
      </c>
      <c r="B4400" s="305" t="s">
        <v>4153</v>
      </c>
      <c r="C4400" s="305" t="s">
        <v>363</v>
      </c>
      <c r="D4400" s="575">
        <v>653.19000000000005</v>
      </c>
    </row>
    <row r="4401" spans="1:4" ht="13.5" x14ac:dyDescent="0.25">
      <c r="A4401" s="306">
        <v>99257</v>
      </c>
      <c r="B4401" s="305" t="s">
        <v>4154</v>
      </c>
      <c r="C4401" s="305" t="s">
        <v>363</v>
      </c>
      <c r="D4401" s="575">
        <v>774.23</v>
      </c>
    </row>
    <row r="4402" spans="1:4" ht="13.5" x14ac:dyDescent="0.25">
      <c r="A4402" s="306">
        <v>99258</v>
      </c>
      <c r="B4402" s="305" t="s">
        <v>4155</v>
      </c>
      <c r="C4402" s="305" t="s">
        <v>363</v>
      </c>
      <c r="D4402" s="575">
        <v>196.93</v>
      </c>
    </row>
    <row r="4403" spans="1:4" ht="13.5" x14ac:dyDescent="0.25">
      <c r="A4403" s="306">
        <v>99260</v>
      </c>
      <c r="B4403" s="305" t="s">
        <v>4156</v>
      </c>
      <c r="C4403" s="305" t="s">
        <v>363</v>
      </c>
      <c r="D4403" s="575">
        <v>369.6</v>
      </c>
    </row>
    <row r="4404" spans="1:4" ht="13.5" x14ac:dyDescent="0.25">
      <c r="A4404" s="306">
        <v>99262</v>
      </c>
      <c r="B4404" s="305" t="s">
        <v>4157</v>
      </c>
      <c r="C4404" s="305" t="s">
        <v>363</v>
      </c>
      <c r="D4404" s="575">
        <v>522.32000000000005</v>
      </c>
    </row>
    <row r="4405" spans="1:4" ht="13.5" x14ac:dyDescent="0.25">
      <c r="A4405" s="306">
        <v>99264</v>
      </c>
      <c r="B4405" s="305" t="s">
        <v>4158</v>
      </c>
      <c r="C4405" s="305" t="s">
        <v>363</v>
      </c>
      <c r="D4405" s="575">
        <v>619.39</v>
      </c>
    </row>
    <row r="4406" spans="1:4" ht="13.5" x14ac:dyDescent="0.25">
      <c r="A4406" s="306">
        <v>89482</v>
      </c>
      <c r="B4406" s="305" t="s">
        <v>4159</v>
      </c>
      <c r="C4406" s="305" t="s">
        <v>363</v>
      </c>
      <c r="D4406" s="575">
        <v>18.89</v>
      </c>
    </row>
    <row r="4407" spans="1:4" ht="13.5" x14ac:dyDescent="0.25">
      <c r="A4407" s="306">
        <v>89491</v>
      </c>
      <c r="B4407" s="305" t="s">
        <v>4160</v>
      </c>
      <c r="C4407" s="305" t="s">
        <v>363</v>
      </c>
      <c r="D4407" s="575">
        <v>45.55</v>
      </c>
    </row>
    <row r="4408" spans="1:4" ht="13.5" x14ac:dyDescent="0.25">
      <c r="A4408" s="306">
        <v>89495</v>
      </c>
      <c r="B4408" s="305" t="s">
        <v>4161</v>
      </c>
      <c r="C4408" s="305" t="s">
        <v>363</v>
      </c>
      <c r="D4408" s="575">
        <v>7.31</v>
      </c>
    </row>
    <row r="4409" spans="1:4" ht="13.5" x14ac:dyDescent="0.25">
      <c r="A4409" s="306">
        <v>89707</v>
      </c>
      <c r="B4409" s="305" t="s">
        <v>4162</v>
      </c>
      <c r="C4409" s="305" t="s">
        <v>363</v>
      </c>
      <c r="D4409" s="575">
        <v>23.1</v>
      </c>
    </row>
    <row r="4410" spans="1:4" ht="13.5" x14ac:dyDescent="0.25">
      <c r="A4410" s="306">
        <v>89708</v>
      </c>
      <c r="B4410" s="305" t="s">
        <v>4163</v>
      </c>
      <c r="C4410" s="305" t="s">
        <v>363</v>
      </c>
      <c r="D4410" s="575">
        <v>51.22</v>
      </c>
    </row>
    <row r="4411" spans="1:4" ht="13.5" x14ac:dyDescent="0.25">
      <c r="A4411" s="306">
        <v>89709</v>
      </c>
      <c r="B4411" s="305" t="s">
        <v>4164</v>
      </c>
      <c r="C4411" s="305" t="s">
        <v>363</v>
      </c>
      <c r="D4411" s="575">
        <v>8.5399999999999991</v>
      </c>
    </row>
    <row r="4412" spans="1:4" ht="13.5" x14ac:dyDescent="0.25">
      <c r="A4412" s="306">
        <v>89710</v>
      </c>
      <c r="B4412" s="305" t="s">
        <v>4165</v>
      </c>
      <c r="C4412" s="305" t="s">
        <v>363</v>
      </c>
      <c r="D4412" s="575">
        <v>8.3800000000000008</v>
      </c>
    </row>
    <row r="4413" spans="1:4" ht="13.5" x14ac:dyDescent="0.25">
      <c r="A4413" s="306">
        <v>86872</v>
      </c>
      <c r="B4413" s="305" t="s">
        <v>12716</v>
      </c>
      <c r="C4413" s="305" t="s">
        <v>363</v>
      </c>
      <c r="D4413" s="575">
        <v>664.65</v>
      </c>
    </row>
    <row r="4414" spans="1:4" ht="13.5" x14ac:dyDescent="0.25">
      <c r="A4414" s="306">
        <v>86874</v>
      </c>
      <c r="B4414" s="305" t="s">
        <v>12717</v>
      </c>
      <c r="C4414" s="305" t="s">
        <v>363</v>
      </c>
      <c r="D4414" s="575">
        <v>407.72</v>
      </c>
    </row>
    <row r="4415" spans="1:4" ht="13.5" x14ac:dyDescent="0.25">
      <c r="A4415" s="306">
        <v>86875</v>
      </c>
      <c r="B4415" s="305" t="s">
        <v>12718</v>
      </c>
      <c r="C4415" s="305" t="s">
        <v>363</v>
      </c>
      <c r="D4415" s="575">
        <v>351.99</v>
      </c>
    </row>
    <row r="4416" spans="1:4" ht="13.5" x14ac:dyDescent="0.25">
      <c r="A4416" s="306">
        <v>86876</v>
      </c>
      <c r="B4416" s="305" t="s">
        <v>12719</v>
      </c>
      <c r="C4416" s="305" t="s">
        <v>363</v>
      </c>
      <c r="D4416" s="575">
        <v>200.92</v>
      </c>
    </row>
    <row r="4417" spans="1:4" ht="13.5" x14ac:dyDescent="0.25">
      <c r="A4417" s="306">
        <v>86877</v>
      </c>
      <c r="B4417" s="305" t="s">
        <v>12720</v>
      </c>
      <c r="C4417" s="305" t="s">
        <v>363</v>
      </c>
      <c r="D4417" s="575">
        <v>24.47</v>
      </c>
    </row>
    <row r="4418" spans="1:4" ht="13.5" x14ac:dyDescent="0.25">
      <c r="A4418" s="306">
        <v>86878</v>
      </c>
      <c r="B4418" s="305" t="s">
        <v>12721</v>
      </c>
      <c r="C4418" s="305" t="s">
        <v>363</v>
      </c>
      <c r="D4418" s="575">
        <v>36.909999999999997</v>
      </c>
    </row>
    <row r="4419" spans="1:4" ht="13.5" x14ac:dyDescent="0.25">
      <c r="A4419" s="306">
        <v>86879</v>
      </c>
      <c r="B4419" s="305" t="s">
        <v>12722</v>
      </c>
      <c r="C4419" s="305" t="s">
        <v>363</v>
      </c>
      <c r="D4419" s="575">
        <v>5.65</v>
      </c>
    </row>
    <row r="4420" spans="1:4" ht="13.5" x14ac:dyDescent="0.25">
      <c r="A4420" s="306">
        <v>86880</v>
      </c>
      <c r="B4420" s="305" t="s">
        <v>12723</v>
      </c>
      <c r="C4420" s="305" t="s">
        <v>363</v>
      </c>
      <c r="D4420" s="575">
        <v>15.46</v>
      </c>
    </row>
    <row r="4421" spans="1:4" ht="13.5" x14ac:dyDescent="0.25">
      <c r="A4421" s="306">
        <v>86881</v>
      </c>
      <c r="B4421" s="305" t="s">
        <v>12724</v>
      </c>
      <c r="C4421" s="305" t="s">
        <v>363</v>
      </c>
      <c r="D4421" s="575">
        <v>101.88</v>
      </c>
    </row>
    <row r="4422" spans="1:4" ht="13.5" x14ac:dyDescent="0.25">
      <c r="A4422" s="306">
        <v>86882</v>
      </c>
      <c r="B4422" s="305" t="s">
        <v>12725</v>
      </c>
      <c r="C4422" s="305" t="s">
        <v>363</v>
      </c>
      <c r="D4422" s="575">
        <v>15.87</v>
      </c>
    </row>
    <row r="4423" spans="1:4" ht="13.5" x14ac:dyDescent="0.25">
      <c r="A4423" s="306">
        <v>86883</v>
      </c>
      <c r="B4423" s="305" t="s">
        <v>12726</v>
      </c>
      <c r="C4423" s="305" t="s">
        <v>363</v>
      </c>
      <c r="D4423" s="575">
        <v>9.09</v>
      </c>
    </row>
    <row r="4424" spans="1:4" ht="13.5" x14ac:dyDescent="0.25">
      <c r="A4424" s="306">
        <v>86884</v>
      </c>
      <c r="B4424" s="305" t="s">
        <v>12727</v>
      </c>
      <c r="C4424" s="305" t="s">
        <v>363</v>
      </c>
      <c r="D4424" s="575">
        <v>6.96</v>
      </c>
    </row>
    <row r="4425" spans="1:4" ht="13.5" x14ac:dyDescent="0.25">
      <c r="A4425" s="306">
        <v>86885</v>
      </c>
      <c r="B4425" s="305" t="s">
        <v>12728</v>
      </c>
      <c r="C4425" s="305" t="s">
        <v>363</v>
      </c>
      <c r="D4425" s="575">
        <v>10.02</v>
      </c>
    </row>
    <row r="4426" spans="1:4" ht="13.5" x14ac:dyDescent="0.25">
      <c r="A4426" s="306">
        <v>86886</v>
      </c>
      <c r="B4426" s="305" t="s">
        <v>12729</v>
      </c>
      <c r="C4426" s="305" t="s">
        <v>363</v>
      </c>
      <c r="D4426" s="575">
        <v>25.64</v>
      </c>
    </row>
    <row r="4427" spans="1:4" ht="13.5" x14ac:dyDescent="0.25">
      <c r="A4427" s="306">
        <v>86887</v>
      </c>
      <c r="B4427" s="305" t="s">
        <v>12730</v>
      </c>
      <c r="C4427" s="305" t="s">
        <v>363</v>
      </c>
      <c r="D4427" s="575">
        <v>27.7</v>
      </c>
    </row>
    <row r="4428" spans="1:4" ht="13.5" x14ac:dyDescent="0.25">
      <c r="A4428" s="306">
        <v>86888</v>
      </c>
      <c r="B4428" s="305" t="s">
        <v>12731</v>
      </c>
      <c r="C4428" s="305" t="s">
        <v>363</v>
      </c>
      <c r="D4428" s="575">
        <v>395.19</v>
      </c>
    </row>
    <row r="4429" spans="1:4" ht="13.5" x14ac:dyDescent="0.25">
      <c r="A4429" s="306">
        <v>86889</v>
      </c>
      <c r="B4429" s="305" t="s">
        <v>12732</v>
      </c>
      <c r="C4429" s="305" t="s">
        <v>363</v>
      </c>
      <c r="D4429" s="575">
        <v>552.5</v>
      </c>
    </row>
    <row r="4430" spans="1:4" ht="13.5" x14ac:dyDescent="0.25">
      <c r="A4430" s="306">
        <v>86893</v>
      </c>
      <c r="B4430" s="305" t="s">
        <v>12733</v>
      </c>
      <c r="C4430" s="305" t="s">
        <v>363</v>
      </c>
      <c r="D4430" s="575">
        <v>567.51</v>
      </c>
    </row>
    <row r="4431" spans="1:4" ht="13.5" x14ac:dyDescent="0.25">
      <c r="A4431" s="306">
        <v>86894</v>
      </c>
      <c r="B4431" s="305" t="s">
        <v>12734</v>
      </c>
      <c r="C4431" s="305" t="s">
        <v>363</v>
      </c>
      <c r="D4431" s="575">
        <v>202.3</v>
      </c>
    </row>
    <row r="4432" spans="1:4" ht="13.5" x14ac:dyDescent="0.25">
      <c r="A4432" s="306">
        <v>86895</v>
      </c>
      <c r="B4432" s="305" t="s">
        <v>12735</v>
      </c>
      <c r="C4432" s="305" t="s">
        <v>363</v>
      </c>
      <c r="D4432" s="575">
        <v>268.24</v>
      </c>
    </row>
    <row r="4433" spans="1:4" ht="13.5" x14ac:dyDescent="0.25">
      <c r="A4433" s="306">
        <v>86899</v>
      </c>
      <c r="B4433" s="305" t="s">
        <v>12736</v>
      </c>
      <c r="C4433" s="305" t="s">
        <v>363</v>
      </c>
      <c r="D4433" s="575">
        <v>273.87</v>
      </c>
    </row>
    <row r="4434" spans="1:4" ht="13.5" x14ac:dyDescent="0.25">
      <c r="A4434" s="306">
        <v>86900</v>
      </c>
      <c r="B4434" s="305" t="s">
        <v>12737</v>
      </c>
      <c r="C4434" s="305" t="s">
        <v>363</v>
      </c>
      <c r="D4434" s="575">
        <v>176.26</v>
      </c>
    </row>
    <row r="4435" spans="1:4" ht="13.5" x14ac:dyDescent="0.25">
      <c r="A4435" s="306">
        <v>86901</v>
      </c>
      <c r="B4435" s="305" t="s">
        <v>12738</v>
      </c>
      <c r="C4435" s="305" t="s">
        <v>363</v>
      </c>
      <c r="D4435" s="575">
        <v>123.34</v>
      </c>
    </row>
    <row r="4436" spans="1:4" ht="13.5" x14ac:dyDescent="0.25">
      <c r="A4436" s="306">
        <v>86902</v>
      </c>
      <c r="B4436" s="305" t="s">
        <v>12739</v>
      </c>
      <c r="C4436" s="305" t="s">
        <v>363</v>
      </c>
      <c r="D4436" s="575">
        <v>221.6</v>
      </c>
    </row>
    <row r="4437" spans="1:4" ht="13.5" x14ac:dyDescent="0.25">
      <c r="A4437" s="306">
        <v>86903</v>
      </c>
      <c r="B4437" s="305" t="s">
        <v>12740</v>
      </c>
      <c r="C4437" s="305" t="s">
        <v>363</v>
      </c>
      <c r="D4437" s="575">
        <v>294.52</v>
      </c>
    </row>
    <row r="4438" spans="1:4" ht="13.5" x14ac:dyDescent="0.25">
      <c r="A4438" s="306">
        <v>86904</v>
      </c>
      <c r="B4438" s="305" t="s">
        <v>12741</v>
      </c>
      <c r="C4438" s="305" t="s">
        <v>363</v>
      </c>
      <c r="D4438" s="575">
        <v>115.91</v>
      </c>
    </row>
    <row r="4439" spans="1:4" ht="13.5" x14ac:dyDescent="0.25">
      <c r="A4439" s="306">
        <v>86905</v>
      </c>
      <c r="B4439" s="305" t="s">
        <v>12742</v>
      </c>
      <c r="C4439" s="305" t="s">
        <v>363</v>
      </c>
      <c r="D4439" s="575">
        <v>200.05</v>
      </c>
    </row>
    <row r="4440" spans="1:4" ht="13.5" x14ac:dyDescent="0.25">
      <c r="A4440" s="306">
        <v>86906</v>
      </c>
      <c r="B4440" s="305" t="s">
        <v>12743</v>
      </c>
      <c r="C4440" s="305" t="s">
        <v>363</v>
      </c>
      <c r="D4440" s="575">
        <v>46.68</v>
      </c>
    </row>
    <row r="4441" spans="1:4" ht="13.5" x14ac:dyDescent="0.25">
      <c r="A4441" s="306">
        <v>86908</v>
      </c>
      <c r="B4441" s="305" t="s">
        <v>12744</v>
      </c>
      <c r="C4441" s="305" t="s">
        <v>363</v>
      </c>
      <c r="D4441" s="575">
        <v>239.41</v>
      </c>
    </row>
    <row r="4442" spans="1:4" ht="13.5" x14ac:dyDescent="0.25">
      <c r="A4442" s="306">
        <v>86909</v>
      </c>
      <c r="B4442" s="305" t="s">
        <v>12745</v>
      </c>
      <c r="C4442" s="305" t="s">
        <v>363</v>
      </c>
      <c r="D4442" s="575">
        <v>93.38</v>
      </c>
    </row>
    <row r="4443" spans="1:4" ht="13.5" x14ac:dyDescent="0.25">
      <c r="A4443" s="306">
        <v>86910</v>
      </c>
      <c r="B4443" s="305" t="s">
        <v>12746</v>
      </c>
      <c r="C4443" s="305" t="s">
        <v>363</v>
      </c>
      <c r="D4443" s="575">
        <v>88.09</v>
      </c>
    </row>
    <row r="4444" spans="1:4" ht="13.5" x14ac:dyDescent="0.25">
      <c r="A4444" s="306">
        <v>86911</v>
      </c>
      <c r="B4444" s="305" t="s">
        <v>12747</v>
      </c>
      <c r="C4444" s="305" t="s">
        <v>363</v>
      </c>
      <c r="D4444" s="575">
        <v>39.590000000000003</v>
      </c>
    </row>
    <row r="4445" spans="1:4" ht="13.5" x14ac:dyDescent="0.25">
      <c r="A4445" s="306">
        <v>86913</v>
      </c>
      <c r="B4445" s="305" t="s">
        <v>12748</v>
      </c>
      <c r="C4445" s="305" t="s">
        <v>363</v>
      </c>
      <c r="D4445" s="575">
        <v>17.86</v>
      </c>
    </row>
    <row r="4446" spans="1:4" ht="13.5" x14ac:dyDescent="0.25">
      <c r="A4446" s="306">
        <v>86914</v>
      </c>
      <c r="B4446" s="305" t="s">
        <v>12749</v>
      </c>
      <c r="C4446" s="305" t="s">
        <v>363</v>
      </c>
      <c r="D4446" s="575">
        <v>36.17</v>
      </c>
    </row>
    <row r="4447" spans="1:4" ht="13.5" x14ac:dyDescent="0.25">
      <c r="A4447" s="306">
        <v>86915</v>
      </c>
      <c r="B4447" s="305" t="s">
        <v>12750</v>
      </c>
      <c r="C4447" s="305" t="s">
        <v>363</v>
      </c>
      <c r="D4447" s="575">
        <v>78.53</v>
      </c>
    </row>
    <row r="4448" spans="1:4" ht="13.5" x14ac:dyDescent="0.25">
      <c r="A4448" s="306">
        <v>86916</v>
      </c>
      <c r="B4448" s="305" t="s">
        <v>12751</v>
      </c>
      <c r="C4448" s="305" t="s">
        <v>363</v>
      </c>
      <c r="D4448" s="575">
        <v>31.16</v>
      </c>
    </row>
    <row r="4449" spans="1:4" ht="13.5" x14ac:dyDescent="0.25">
      <c r="A4449" s="306">
        <v>86919</v>
      </c>
      <c r="B4449" s="305" t="s">
        <v>12752</v>
      </c>
      <c r="C4449" s="305" t="s">
        <v>363</v>
      </c>
      <c r="D4449" s="575">
        <v>734.38</v>
      </c>
    </row>
    <row r="4450" spans="1:4" ht="13.5" x14ac:dyDescent="0.25">
      <c r="A4450" s="306">
        <v>86920</v>
      </c>
      <c r="B4450" s="305" t="s">
        <v>12753</v>
      </c>
      <c r="C4450" s="305" t="s">
        <v>363</v>
      </c>
      <c r="D4450" s="575">
        <v>697.25</v>
      </c>
    </row>
    <row r="4451" spans="1:4" ht="13.5" x14ac:dyDescent="0.25">
      <c r="A4451" s="306">
        <v>86921</v>
      </c>
      <c r="B4451" s="305" t="s">
        <v>12754</v>
      </c>
      <c r="C4451" s="305" t="s">
        <v>363</v>
      </c>
      <c r="D4451" s="575">
        <v>710.55</v>
      </c>
    </row>
    <row r="4452" spans="1:4" ht="13.5" x14ac:dyDescent="0.25">
      <c r="A4452" s="306">
        <v>86922</v>
      </c>
      <c r="B4452" s="305" t="s">
        <v>12755</v>
      </c>
      <c r="C4452" s="305" t="s">
        <v>363</v>
      </c>
      <c r="D4452" s="575">
        <v>570.24</v>
      </c>
    </row>
    <row r="4453" spans="1:4" ht="13.5" x14ac:dyDescent="0.25">
      <c r="A4453" s="306">
        <v>86923</v>
      </c>
      <c r="B4453" s="305" t="s">
        <v>12756</v>
      </c>
      <c r="C4453" s="305" t="s">
        <v>363</v>
      </c>
      <c r="D4453" s="575">
        <v>447.1</v>
      </c>
    </row>
    <row r="4454" spans="1:4" ht="13.5" x14ac:dyDescent="0.25">
      <c r="A4454" s="306">
        <v>86924</v>
      </c>
      <c r="B4454" s="305" t="s">
        <v>12757</v>
      </c>
      <c r="C4454" s="305" t="s">
        <v>363</v>
      </c>
      <c r="D4454" s="575">
        <v>460.4</v>
      </c>
    </row>
    <row r="4455" spans="1:4" ht="13.5" x14ac:dyDescent="0.25">
      <c r="A4455" s="306">
        <v>86925</v>
      </c>
      <c r="B4455" s="305" t="s">
        <v>12758</v>
      </c>
      <c r="C4455" s="305" t="s">
        <v>363</v>
      </c>
      <c r="D4455" s="575">
        <v>384.59</v>
      </c>
    </row>
    <row r="4456" spans="1:4" ht="13.5" x14ac:dyDescent="0.25">
      <c r="A4456" s="306">
        <v>86926</v>
      </c>
      <c r="B4456" s="305" t="s">
        <v>12759</v>
      </c>
      <c r="C4456" s="305" t="s">
        <v>363</v>
      </c>
      <c r="D4456" s="575">
        <v>397.89</v>
      </c>
    </row>
    <row r="4457" spans="1:4" ht="13.5" x14ac:dyDescent="0.25">
      <c r="A4457" s="306">
        <v>86927</v>
      </c>
      <c r="B4457" s="305" t="s">
        <v>12760</v>
      </c>
      <c r="C4457" s="305" t="s">
        <v>363</v>
      </c>
      <c r="D4457" s="575">
        <v>240.3</v>
      </c>
    </row>
    <row r="4458" spans="1:4" ht="13.5" x14ac:dyDescent="0.25">
      <c r="A4458" s="306">
        <v>86928</v>
      </c>
      <c r="B4458" s="305" t="s">
        <v>12761</v>
      </c>
      <c r="C4458" s="305" t="s">
        <v>363</v>
      </c>
      <c r="D4458" s="575">
        <v>253.6</v>
      </c>
    </row>
    <row r="4459" spans="1:4" ht="13.5" x14ac:dyDescent="0.25">
      <c r="A4459" s="306">
        <v>86929</v>
      </c>
      <c r="B4459" s="305" t="s">
        <v>12762</v>
      </c>
      <c r="C4459" s="305" t="s">
        <v>363</v>
      </c>
      <c r="D4459" s="575">
        <v>233.52</v>
      </c>
    </row>
    <row r="4460" spans="1:4" ht="13.5" x14ac:dyDescent="0.25">
      <c r="A4460" s="306">
        <v>86930</v>
      </c>
      <c r="B4460" s="305" t="s">
        <v>12763</v>
      </c>
      <c r="C4460" s="305" t="s">
        <v>363</v>
      </c>
      <c r="D4460" s="575">
        <v>246.82</v>
      </c>
    </row>
    <row r="4461" spans="1:4" ht="13.5" x14ac:dyDescent="0.25">
      <c r="A4461" s="306">
        <v>86931</v>
      </c>
      <c r="B4461" s="305" t="s">
        <v>12764</v>
      </c>
      <c r="C4461" s="305" t="s">
        <v>363</v>
      </c>
      <c r="D4461" s="575">
        <v>405.21</v>
      </c>
    </row>
    <row r="4462" spans="1:4" ht="13.5" x14ac:dyDescent="0.25">
      <c r="A4462" s="306">
        <v>86932</v>
      </c>
      <c r="B4462" s="305" t="s">
        <v>12765</v>
      </c>
      <c r="C4462" s="305" t="s">
        <v>363</v>
      </c>
      <c r="D4462" s="575">
        <v>422.89</v>
      </c>
    </row>
    <row r="4463" spans="1:4" ht="13.5" x14ac:dyDescent="0.25">
      <c r="A4463" s="306">
        <v>86933</v>
      </c>
      <c r="B4463" s="305" t="s">
        <v>12766</v>
      </c>
      <c r="C4463" s="305" t="s">
        <v>363</v>
      </c>
      <c r="D4463" s="575">
        <v>273.22000000000003</v>
      </c>
    </row>
    <row r="4464" spans="1:4" ht="13.5" x14ac:dyDescent="0.25">
      <c r="A4464" s="306">
        <v>86934</v>
      </c>
      <c r="B4464" s="305" t="s">
        <v>12767</v>
      </c>
      <c r="C4464" s="305" t="s">
        <v>363</v>
      </c>
      <c r="D4464" s="575">
        <v>266.44</v>
      </c>
    </row>
    <row r="4465" spans="1:4" ht="13.5" x14ac:dyDescent="0.25">
      <c r="A4465" s="306">
        <v>86935</v>
      </c>
      <c r="B4465" s="305" t="s">
        <v>12768</v>
      </c>
      <c r="C4465" s="305" t="s">
        <v>363</v>
      </c>
      <c r="D4465" s="575">
        <v>222.26</v>
      </c>
    </row>
    <row r="4466" spans="1:4" ht="13.5" x14ac:dyDescent="0.25">
      <c r="A4466" s="306">
        <v>86936</v>
      </c>
      <c r="B4466" s="305" t="s">
        <v>12769</v>
      </c>
      <c r="C4466" s="305" t="s">
        <v>363</v>
      </c>
      <c r="D4466" s="575">
        <v>315.05</v>
      </c>
    </row>
    <row r="4467" spans="1:4" ht="13.5" x14ac:dyDescent="0.25">
      <c r="A4467" s="306">
        <v>86937</v>
      </c>
      <c r="B4467" s="305" t="s">
        <v>12770</v>
      </c>
      <c r="C4467" s="305" t="s">
        <v>363</v>
      </c>
      <c r="D4467" s="575">
        <v>156.9</v>
      </c>
    </row>
    <row r="4468" spans="1:4" ht="13.5" x14ac:dyDescent="0.25">
      <c r="A4468" s="306">
        <v>86938</v>
      </c>
      <c r="B4468" s="305" t="s">
        <v>12771</v>
      </c>
      <c r="C4468" s="305" t="s">
        <v>363</v>
      </c>
      <c r="D4468" s="575">
        <v>249.69</v>
      </c>
    </row>
    <row r="4469" spans="1:4" ht="13.5" x14ac:dyDescent="0.25">
      <c r="A4469" s="306">
        <v>86939</v>
      </c>
      <c r="B4469" s="305" t="s">
        <v>12772</v>
      </c>
      <c r="C4469" s="305" t="s">
        <v>363</v>
      </c>
      <c r="D4469" s="575">
        <v>289.98</v>
      </c>
    </row>
    <row r="4470" spans="1:4" ht="13.5" x14ac:dyDescent="0.25">
      <c r="A4470" s="306">
        <v>86940</v>
      </c>
      <c r="B4470" s="305" t="s">
        <v>12773</v>
      </c>
      <c r="C4470" s="305" t="s">
        <v>363</v>
      </c>
      <c r="D4470" s="575">
        <v>676.32</v>
      </c>
    </row>
    <row r="4471" spans="1:4" ht="13.5" x14ac:dyDescent="0.25">
      <c r="A4471" s="306">
        <v>86941</v>
      </c>
      <c r="B4471" s="305" t="s">
        <v>12774</v>
      </c>
      <c r="C4471" s="305" t="s">
        <v>363</v>
      </c>
      <c r="D4471" s="575">
        <v>527.1</v>
      </c>
    </row>
    <row r="4472" spans="1:4" ht="13.5" x14ac:dyDescent="0.25">
      <c r="A4472" s="306">
        <v>86942</v>
      </c>
      <c r="B4472" s="305" t="s">
        <v>12775</v>
      </c>
      <c r="C4472" s="305" t="s">
        <v>363</v>
      </c>
      <c r="D4472" s="575">
        <v>191.07</v>
      </c>
    </row>
    <row r="4473" spans="1:4" ht="13.5" x14ac:dyDescent="0.25">
      <c r="A4473" s="306">
        <v>86943</v>
      </c>
      <c r="B4473" s="305" t="s">
        <v>12776</v>
      </c>
      <c r="C4473" s="305" t="s">
        <v>363</v>
      </c>
      <c r="D4473" s="575">
        <v>184.29</v>
      </c>
    </row>
    <row r="4474" spans="1:4" ht="13.5" x14ac:dyDescent="0.25">
      <c r="A4474" s="306">
        <v>86947</v>
      </c>
      <c r="B4474" s="305" t="s">
        <v>12777</v>
      </c>
      <c r="C4474" s="305" t="s">
        <v>363</v>
      </c>
      <c r="D4474" s="575">
        <v>779.01</v>
      </c>
    </row>
    <row r="4475" spans="1:4" ht="13.5" x14ac:dyDescent="0.25">
      <c r="A4475" s="306">
        <v>93396</v>
      </c>
      <c r="B4475" s="305" t="s">
        <v>12778</v>
      </c>
      <c r="C4475" s="305" t="s">
        <v>363</v>
      </c>
      <c r="D4475" s="575">
        <v>478.78</v>
      </c>
    </row>
    <row r="4476" spans="1:4" ht="13.5" x14ac:dyDescent="0.25">
      <c r="A4476" s="306">
        <v>93441</v>
      </c>
      <c r="B4476" s="305" t="s">
        <v>12779</v>
      </c>
      <c r="C4476" s="305" t="s">
        <v>363</v>
      </c>
      <c r="D4476" s="575">
        <v>821.31</v>
      </c>
    </row>
    <row r="4477" spans="1:4" ht="13.5" x14ac:dyDescent="0.25">
      <c r="A4477" s="306">
        <v>93442</v>
      </c>
      <c r="B4477" s="305" t="s">
        <v>12780</v>
      </c>
      <c r="C4477" s="305" t="s">
        <v>363</v>
      </c>
      <c r="D4477" s="575">
        <v>982.9</v>
      </c>
    </row>
    <row r="4478" spans="1:4" ht="13.5" x14ac:dyDescent="0.25">
      <c r="A4478" s="306">
        <v>95469</v>
      </c>
      <c r="B4478" s="305" t="s">
        <v>12781</v>
      </c>
      <c r="C4478" s="305" t="s">
        <v>363</v>
      </c>
      <c r="D4478" s="575">
        <v>177.77</v>
      </c>
    </row>
    <row r="4479" spans="1:4" ht="13.5" x14ac:dyDescent="0.25">
      <c r="A4479" s="306">
        <v>95470</v>
      </c>
      <c r="B4479" s="305" t="s">
        <v>4166</v>
      </c>
      <c r="C4479" s="305" t="s">
        <v>363</v>
      </c>
      <c r="D4479" s="575">
        <v>183.82</v>
      </c>
    </row>
    <row r="4480" spans="1:4" ht="13.5" x14ac:dyDescent="0.25">
      <c r="A4480" s="306">
        <v>95471</v>
      </c>
      <c r="B4480" s="305" t="s">
        <v>12782</v>
      </c>
      <c r="C4480" s="305" t="s">
        <v>363</v>
      </c>
      <c r="D4480" s="575">
        <v>696.92</v>
      </c>
    </row>
    <row r="4481" spans="1:4" ht="13.5" x14ac:dyDescent="0.25">
      <c r="A4481" s="306">
        <v>95472</v>
      </c>
      <c r="B4481" s="305" t="s">
        <v>12783</v>
      </c>
      <c r="C4481" s="305" t="s">
        <v>363</v>
      </c>
      <c r="D4481" s="575">
        <v>702.97</v>
      </c>
    </row>
    <row r="4482" spans="1:4" ht="13.5" x14ac:dyDescent="0.25">
      <c r="A4482" s="306">
        <v>95542</v>
      </c>
      <c r="B4482" s="305" t="s">
        <v>12784</v>
      </c>
      <c r="C4482" s="305" t="s">
        <v>363</v>
      </c>
      <c r="D4482" s="575">
        <v>26.07</v>
      </c>
    </row>
    <row r="4483" spans="1:4" ht="13.5" x14ac:dyDescent="0.25">
      <c r="A4483" s="306">
        <v>95543</v>
      </c>
      <c r="B4483" s="305" t="s">
        <v>12785</v>
      </c>
      <c r="C4483" s="305" t="s">
        <v>363</v>
      </c>
      <c r="D4483" s="575">
        <v>44.09</v>
      </c>
    </row>
    <row r="4484" spans="1:4" ht="13.5" x14ac:dyDescent="0.25">
      <c r="A4484" s="306">
        <v>95544</v>
      </c>
      <c r="B4484" s="305" t="s">
        <v>12786</v>
      </c>
      <c r="C4484" s="305" t="s">
        <v>363</v>
      </c>
      <c r="D4484" s="575">
        <v>31.69</v>
      </c>
    </row>
    <row r="4485" spans="1:4" ht="13.5" x14ac:dyDescent="0.25">
      <c r="A4485" s="306">
        <v>95545</v>
      </c>
      <c r="B4485" s="305" t="s">
        <v>12787</v>
      </c>
      <c r="C4485" s="305" t="s">
        <v>363</v>
      </c>
      <c r="D4485" s="575">
        <v>31.09</v>
      </c>
    </row>
    <row r="4486" spans="1:4" ht="13.5" x14ac:dyDescent="0.25">
      <c r="A4486" s="306">
        <v>95546</v>
      </c>
      <c r="B4486" s="305" t="s">
        <v>12788</v>
      </c>
      <c r="C4486" s="305" t="s">
        <v>363</v>
      </c>
      <c r="D4486" s="575">
        <v>108.53</v>
      </c>
    </row>
    <row r="4487" spans="1:4" ht="13.5" x14ac:dyDescent="0.25">
      <c r="A4487" s="306">
        <v>95547</v>
      </c>
      <c r="B4487" s="305" t="s">
        <v>12789</v>
      </c>
      <c r="C4487" s="305" t="s">
        <v>363</v>
      </c>
      <c r="D4487" s="575">
        <v>66.069999999999993</v>
      </c>
    </row>
    <row r="4488" spans="1:4" ht="13.5" x14ac:dyDescent="0.25">
      <c r="A4488" s="306">
        <v>100848</v>
      </c>
      <c r="B4488" s="305" t="s">
        <v>12790</v>
      </c>
      <c r="C4488" s="305" t="s">
        <v>363</v>
      </c>
      <c r="D4488" s="575">
        <v>335.88</v>
      </c>
    </row>
    <row r="4489" spans="1:4" ht="13.5" x14ac:dyDescent="0.25">
      <c r="A4489" s="306">
        <v>100849</v>
      </c>
      <c r="B4489" s="305" t="s">
        <v>12791</v>
      </c>
      <c r="C4489" s="305" t="s">
        <v>363</v>
      </c>
      <c r="D4489" s="575">
        <v>28.82</v>
      </c>
    </row>
    <row r="4490" spans="1:4" ht="13.5" x14ac:dyDescent="0.25">
      <c r="A4490" s="306">
        <v>100851</v>
      </c>
      <c r="B4490" s="305" t="s">
        <v>12792</v>
      </c>
      <c r="C4490" s="305" t="s">
        <v>363</v>
      </c>
      <c r="D4490" s="575">
        <v>57.02</v>
      </c>
    </row>
    <row r="4491" spans="1:4" ht="13.5" x14ac:dyDescent="0.25">
      <c r="A4491" s="306">
        <v>100852</v>
      </c>
      <c r="B4491" s="305" t="s">
        <v>12793</v>
      </c>
      <c r="C4491" s="305" t="s">
        <v>363</v>
      </c>
      <c r="D4491" s="575">
        <v>193.15</v>
      </c>
    </row>
    <row r="4492" spans="1:4" ht="13.5" x14ac:dyDescent="0.25">
      <c r="A4492" s="306">
        <v>100854</v>
      </c>
      <c r="B4492" s="305" t="s">
        <v>12794</v>
      </c>
      <c r="C4492" s="305" t="s">
        <v>363</v>
      </c>
      <c r="D4492" s="575">
        <v>589.64</v>
      </c>
    </row>
    <row r="4493" spans="1:4" ht="13.5" x14ac:dyDescent="0.25">
      <c r="A4493" s="306">
        <v>100855</v>
      </c>
      <c r="B4493" s="305" t="s">
        <v>12795</v>
      </c>
      <c r="C4493" s="305" t="s">
        <v>363</v>
      </c>
      <c r="D4493" s="575">
        <v>31.09</v>
      </c>
    </row>
    <row r="4494" spans="1:4" ht="13.5" x14ac:dyDescent="0.25">
      <c r="A4494" s="306">
        <v>100856</v>
      </c>
      <c r="B4494" s="305" t="s">
        <v>12796</v>
      </c>
      <c r="C4494" s="305" t="s">
        <v>363</v>
      </c>
      <c r="D4494" s="575">
        <v>22.36</v>
      </c>
    </row>
    <row r="4495" spans="1:4" ht="13.5" x14ac:dyDescent="0.25">
      <c r="A4495" s="306">
        <v>100857</v>
      </c>
      <c r="B4495" s="305" t="s">
        <v>12797</v>
      </c>
      <c r="C4495" s="305" t="s">
        <v>363</v>
      </c>
      <c r="D4495" s="575">
        <v>221.08</v>
      </c>
    </row>
    <row r="4496" spans="1:4" ht="13.5" x14ac:dyDescent="0.25">
      <c r="A4496" s="306">
        <v>100858</v>
      </c>
      <c r="B4496" s="305" t="s">
        <v>12798</v>
      </c>
      <c r="C4496" s="305" t="s">
        <v>363</v>
      </c>
      <c r="D4496" s="575">
        <v>441.51</v>
      </c>
    </row>
    <row r="4497" spans="1:4" ht="13.5" x14ac:dyDescent="0.25">
      <c r="A4497" s="306">
        <v>100860</v>
      </c>
      <c r="B4497" s="305" t="s">
        <v>12799</v>
      </c>
      <c r="C4497" s="305" t="s">
        <v>363</v>
      </c>
      <c r="D4497" s="575">
        <v>74.22</v>
      </c>
    </row>
    <row r="4498" spans="1:4" ht="13.5" x14ac:dyDescent="0.25">
      <c r="A4498" s="306">
        <v>100861</v>
      </c>
      <c r="B4498" s="305" t="s">
        <v>12800</v>
      </c>
      <c r="C4498" s="305" t="s">
        <v>363</v>
      </c>
      <c r="D4498" s="575">
        <v>23.35</v>
      </c>
    </row>
    <row r="4499" spans="1:4" ht="13.5" x14ac:dyDescent="0.25">
      <c r="A4499" s="306">
        <v>100862</v>
      </c>
      <c r="B4499" s="305" t="s">
        <v>12801</v>
      </c>
      <c r="C4499" s="305" t="s">
        <v>363</v>
      </c>
      <c r="D4499" s="575">
        <v>25.34</v>
      </c>
    </row>
    <row r="4500" spans="1:4" ht="13.5" x14ac:dyDescent="0.25">
      <c r="A4500" s="306">
        <v>100863</v>
      </c>
      <c r="B4500" s="305" t="s">
        <v>12802</v>
      </c>
      <c r="C4500" s="305" t="s">
        <v>363</v>
      </c>
      <c r="D4500" s="575">
        <v>424.09</v>
      </c>
    </row>
    <row r="4501" spans="1:4" ht="13.5" x14ac:dyDescent="0.25">
      <c r="A4501" s="306">
        <v>100864</v>
      </c>
      <c r="B4501" s="305" t="s">
        <v>12803</v>
      </c>
      <c r="C4501" s="305" t="s">
        <v>363</v>
      </c>
      <c r="D4501" s="575">
        <v>467.85</v>
      </c>
    </row>
    <row r="4502" spans="1:4" ht="13.5" x14ac:dyDescent="0.25">
      <c r="A4502" s="306">
        <v>100865</v>
      </c>
      <c r="B4502" s="305" t="s">
        <v>12804</v>
      </c>
      <c r="C4502" s="305" t="s">
        <v>363</v>
      </c>
      <c r="D4502" s="575">
        <v>424.79</v>
      </c>
    </row>
    <row r="4503" spans="1:4" ht="13.5" x14ac:dyDescent="0.25">
      <c r="A4503" s="306">
        <v>100866</v>
      </c>
      <c r="B4503" s="305" t="s">
        <v>12805</v>
      </c>
      <c r="C4503" s="305" t="s">
        <v>363</v>
      </c>
      <c r="D4503" s="575">
        <v>215.61</v>
      </c>
    </row>
    <row r="4504" spans="1:4" ht="13.5" x14ac:dyDescent="0.25">
      <c r="A4504" s="306">
        <v>100867</v>
      </c>
      <c r="B4504" s="305" t="s">
        <v>12806</v>
      </c>
      <c r="C4504" s="305" t="s">
        <v>363</v>
      </c>
      <c r="D4504" s="575">
        <v>230.05</v>
      </c>
    </row>
    <row r="4505" spans="1:4" ht="13.5" x14ac:dyDescent="0.25">
      <c r="A4505" s="306">
        <v>100868</v>
      </c>
      <c r="B4505" s="305" t="s">
        <v>12807</v>
      </c>
      <c r="C4505" s="305" t="s">
        <v>363</v>
      </c>
      <c r="D4505" s="575">
        <v>239.65</v>
      </c>
    </row>
    <row r="4506" spans="1:4" ht="13.5" x14ac:dyDescent="0.25">
      <c r="A4506" s="306">
        <v>100869</v>
      </c>
      <c r="B4506" s="305" t="s">
        <v>12808</v>
      </c>
      <c r="C4506" s="305" t="s">
        <v>363</v>
      </c>
      <c r="D4506" s="575">
        <v>247.01</v>
      </c>
    </row>
    <row r="4507" spans="1:4" ht="13.5" x14ac:dyDescent="0.25">
      <c r="A4507" s="306">
        <v>100870</v>
      </c>
      <c r="B4507" s="305" t="s">
        <v>12809</v>
      </c>
      <c r="C4507" s="305" t="s">
        <v>363</v>
      </c>
      <c r="D4507" s="575">
        <v>190.01</v>
      </c>
    </row>
    <row r="4508" spans="1:4" ht="13.5" x14ac:dyDescent="0.25">
      <c r="A4508" s="306">
        <v>100871</v>
      </c>
      <c r="B4508" s="305" t="s">
        <v>12810</v>
      </c>
      <c r="C4508" s="305" t="s">
        <v>363</v>
      </c>
      <c r="D4508" s="575">
        <v>205.4</v>
      </c>
    </row>
    <row r="4509" spans="1:4" ht="13.5" x14ac:dyDescent="0.25">
      <c r="A4509" s="306">
        <v>100872</v>
      </c>
      <c r="B4509" s="305" t="s">
        <v>12811</v>
      </c>
      <c r="C4509" s="305" t="s">
        <v>363</v>
      </c>
      <c r="D4509" s="575">
        <v>215.22</v>
      </c>
    </row>
    <row r="4510" spans="1:4" ht="13.5" x14ac:dyDescent="0.25">
      <c r="A4510" s="306">
        <v>100873</v>
      </c>
      <c r="B4510" s="305" t="s">
        <v>12812</v>
      </c>
      <c r="C4510" s="305" t="s">
        <v>363</v>
      </c>
      <c r="D4510" s="575">
        <v>221.35</v>
      </c>
    </row>
    <row r="4511" spans="1:4" ht="13.5" x14ac:dyDescent="0.25">
      <c r="A4511" s="306">
        <v>100874</v>
      </c>
      <c r="B4511" s="305" t="s">
        <v>12813</v>
      </c>
      <c r="C4511" s="305" t="s">
        <v>363</v>
      </c>
      <c r="D4511" s="575">
        <v>215.61</v>
      </c>
    </row>
    <row r="4512" spans="1:4" ht="13.5" x14ac:dyDescent="0.25">
      <c r="A4512" s="306">
        <v>100875</v>
      </c>
      <c r="B4512" s="305" t="s">
        <v>12814</v>
      </c>
      <c r="C4512" s="305" t="s">
        <v>363</v>
      </c>
      <c r="D4512" s="575">
        <v>782.68</v>
      </c>
    </row>
    <row r="4513" spans="1:4" ht="13.5" x14ac:dyDescent="0.25">
      <c r="A4513" s="306">
        <v>6087</v>
      </c>
      <c r="B4513" s="305" t="s">
        <v>4167</v>
      </c>
      <c r="C4513" s="305" t="s">
        <v>363</v>
      </c>
      <c r="D4513" s="575">
        <v>25.67</v>
      </c>
    </row>
    <row r="4514" spans="1:4" ht="13.5" x14ac:dyDescent="0.25">
      <c r="A4514" s="306">
        <v>98052</v>
      </c>
      <c r="B4514" s="305" t="s">
        <v>4168</v>
      </c>
      <c r="C4514" s="305" t="s">
        <v>363</v>
      </c>
      <c r="D4514" s="576">
        <v>1337.38</v>
      </c>
    </row>
    <row r="4515" spans="1:4" ht="13.5" x14ac:dyDescent="0.25">
      <c r="A4515" s="306">
        <v>98053</v>
      </c>
      <c r="B4515" s="305" t="s">
        <v>4169</v>
      </c>
      <c r="C4515" s="305" t="s">
        <v>363</v>
      </c>
      <c r="D4515" s="576">
        <v>1826.41</v>
      </c>
    </row>
    <row r="4516" spans="1:4" ht="13.5" x14ac:dyDescent="0.25">
      <c r="A4516" s="306">
        <v>98054</v>
      </c>
      <c r="B4516" s="305" t="s">
        <v>4170</v>
      </c>
      <c r="C4516" s="305" t="s">
        <v>363</v>
      </c>
      <c r="D4516" s="576">
        <v>2873.3</v>
      </c>
    </row>
    <row r="4517" spans="1:4" ht="13.5" x14ac:dyDescent="0.25">
      <c r="A4517" s="306">
        <v>98055</v>
      </c>
      <c r="B4517" s="305" t="s">
        <v>4171</v>
      </c>
      <c r="C4517" s="305" t="s">
        <v>363</v>
      </c>
      <c r="D4517" s="576">
        <v>3894.57</v>
      </c>
    </row>
    <row r="4518" spans="1:4" ht="13.5" x14ac:dyDescent="0.25">
      <c r="A4518" s="306">
        <v>98056</v>
      </c>
      <c r="B4518" s="305" t="s">
        <v>4172</v>
      </c>
      <c r="C4518" s="305" t="s">
        <v>363</v>
      </c>
      <c r="D4518" s="576">
        <v>4508.5</v>
      </c>
    </row>
    <row r="4519" spans="1:4" ht="13.5" x14ac:dyDescent="0.25">
      <c r="A4519" s="306">
        <v>98057</v>
      </c>
      <c r="B4519" s="305" t="s">
        <v>4173</v>
      </c>
      <c r="C4519" s="305" t="s">
        <v>363</v>
      </c>
      <c r="D4519" s="576">
        <v>5339.41</v>
      </c>
    </row>
    <row r="4520" spans="1:4" ht="13.5" x14ac:dyDescent="0.25">
      <c r="A4520" s="306">
        <v>98059</v>
      </c>
      <c r="B4520" s="305" t="s">
        <v>12815</v>
      </c>
      <c r="C4520" s="305" t="s">
        <v>363</v>
      </c>
      <c r="D4520" s="576">
        <v>2565.15</v>
      </c>
    </row>
    <row r="4521" spans="1:4" ht="13.5" x14ac:dyDescent="0.25">
      <c r="A4521" s="306">
        <v>98060</v>
      </c>
      <c r="B4521" s="305" t="s">
        <v>12816</v>
      </c>
      <c r="C4521" s="305" t="s">
        <v>363</v>
      </c>
      <c r="D4521" s="576">
        <v>3603.94</v>
      </c>
    </row>
    <row r="4522" spans="1:4" ht="13.5" x14ac:dyDescent="0.25">
      <c r="A4522" s="306">
        <v>98061</v>
      </c>
      <c r="B4522" s="305" t="s">
        <v>12817</v>
      </c>
      <c r="C4522" s="305" t="s">
        <v>363</v>
      </c>
      <c r="D4522" s="576">
        <v>4993.7700000000004</v>
      </c>
    </row>
    <row r="4523" spans="1:4" ht="13.5" x14ac:dyDescent="0.25">
      <c r="A4523" s="306">
        <v>98066</v>
      </c>
      <c r="B4523" s="305" t="s">
        <v>4174</v>
      </c>
      <c r="C4523" s="305" t="s">
        <v>363</v>
      </c>
      <c r="D4523" s="576">
        <v>4244.8500000000004</v>
      </c>
    </row>
    <row r="4524" spans="1:4" ht="13.5" x14ac:dyDescent="0.25">
      <c r="A4524" s="306">
        <v>98067</v>
      </c>
      <c r="B4524" s="305" t="s">
        <v>4175</v>
      </c>
      <c r="C4524" s="305" t="s">
        <v>363</v>
      </c>
      <c r="D4524" s="576">
        <v>5672.56</v>
      </c>
    </row>
    <row r="4525" spans="1:4" ht="13.5" x14ac:dyDescent="0.25">
      <c r="A4525" s="306">
        <v>98068</v>
      </c>
      <c r="B4525" s="305" t="s">
        <v>4176</v>
      </c>
      <c r="C4525" s="305" t="s">
        <v>363</v>
      </c>
      <c r="D4525" s="576">
        <v>8022.17</v>
      </c>
    </row>
    <row r="4526" spans="1:4" ht="13.5" x14ac:dyDescent="0.25">
      <c r="A4526" s="306">
        <v>98069</v>
      </c>
      <c r="B4526" s="305" t="s">
        <v>4177</v>
      </c>
      <c r="C4526" s="305" t="s">
        <v>363</v>
      </c>
      <c r="D4526" s="576">
        <v>10751.41</v>
      </c>
    </row>
    <row r="4527" spans="1:4" ht="13.5" x14ac:dyDescent="0.25">
      <c r="A4527" s="306">
        <v>98070</v>
      </c>
      <c r="B4527" s="305" t="s">
        <v>4178</v>
      </c>
      <c r="C4527" s="305" t="s">
        <v>363</v>
      </c>
      <c r="D4527" s="576">
        <v>12324.65</v>
      </c>
    </row>
    <row r="4528" spans="1:4" ht="13.5" x14ac:dyDescent="0.25">
      <c r="A4528" s="306">
        <v>98071</v>
      </c>
      <c r="B4528" s="305" t="s">
        <v>4179</v>
      </c>
      <c r="C4528" s="305" t="s">
        <v>363</v>
      </c>
      <c r="D4528" s="576">
        <v>13534.27</v>
      </c>
    </row>
    <row r="4529" spans="1:4" ht="13.5" x14ac:dyDescent="0.25">
      <c r="A4529" s="306">
        <v>98072</v>
      </c>
      <c r="B4529" s="305" t="s">
        <v>4180</v>
      </c>
      <c r="C4529" s="305" t="s">
        <v>363</v>
      </c>
      <c r="D4529" s="576">
        <v>3523.98</v>
      </c>
    </row>
    <row r="4530" spans="1:4" ht="13.5" x14ac:dyDescent="0.25">
      <c r="A4530" s="306">
        <v>98073</v>
      </c>
      <c r="B4530" s="305" t="s">
        <v>4181</v>
      </c>
      <c r="C4530" s="305" t="s">
        <v>363</v>
      </c>
      <c r="D4530" s="576">
        <v>5497.8</v>
      </c>
    </row>
    <row r="4531" spans="1:4" ht="13.5" x14ac:dyDescent="0.25">
      <c r="A4531" s="306">
        <v>98074</v>
      </c>
      <c r="B4531" s="305" t="s">
        <v>4182</v>
      </c>
      <c r="C4531" s="305" t="s">
        <v>363</v>
      </c>
      <c r="D4531" s="576">
        <v>8519.81</v>
      </c>
    </row>
    <row r="4532" spans="1:4" ht="13.5" x14ac:dyDescent="0.25">
      <c r="A4532" s="306">
        <v>98075</v>
      </c>
      <c r="B4532" s="305" t="s">
        <v>4183</v>
      </c>
      <c r="C4532" s="305" t="s">
        <v>363</v>
      </c>
      <c r="D4532" s="576">
        <v>11070.68</v>
      </c>
    </row>
    <row r="4533" spans="1:4" ht="13.5" x14ac:dyDescent="0.25">
      <c r="A4533" s="306">
        <v>98076</v>
      </c>
      <c r="B4533" s="305" t="s">
        <v>4184</v>
      </c>
      <c r="C4533" s="305" t="s">
        <v>363</v>
      </c>
      <c r="D4533" s="576">
        <v>12747.74</v>
      </c>
    </row>
    <row r="4534" spans="1:4" ht="13.5" x14ac:dyDescent="0.25">
      <c r="A4534" s="306">
        <v>98077</v>
      </c>
      <c r="B4534" s="305" t="s">
        <v>4185</v>
      </c>
      <c r="C4534" s="305" t="s">
        <v>363</v>
      </c>
      <c r="D4534" s="576">
        <v>15002.51</v>
      </c>
    </row>
    <row r="4535" spans="1:4" ht="13.5" x14ac:dyDescent="0.25">
      <c r="A4535" s="306">
        <v>98078</v>
      </c>
      <c r="B4535" s="305" t="s">
        <v>4186</v>
      </c>
      <c r="C4535" s="305" t="s">
        <v>363</v>
      </c>
      <c r="D4535" s="576">
        <v>3506.57</v>
      </c>
    </row>
    <row r="4536" spans="1:4" ht="13.5" x14ac:dyDescent="0.25">
      <c r="A4536" s="306">
        <v>98079</v>
      </c>
      <c r="B4536" s="305" t="s">
        <v>4187</v>
      </c>
      <c r="C4536" s="305" t="s">
        <v>363</v>
      </c>
      <c r="D4536" s="576">
        <v>6145.42</v>
      </c>
    </row>
    <row r="4537" spans="1:4" ht="13.5" x14ac:dyDescent="0.25">
      <c r="A4537" s="306">
        <v>98080</v>
      </c>
      <c r="B4537" s="305" t="s">
        <v>4188</v>
      </c>
      <c r="C4537" s="305" t="s">
        <v>363</v>
      </c>
      <c r="D4537" s="576">
        <v>7902.92</v>
      </c>
    </row>
    <row r="4538" spans="1:4" ht="13.5" x14ac:dyDescent="0.25">
      <c r="A4538" s="306">
        <v>98081</v>
      </c>
      <c r="B4538" s="305" t="s">
        <v>4189</v>
      </c>
      <c r="C4538" s="305" t="s">
        <v>363</v>
      </c>
      <c r="D4538" s="576">
        <v>11708.1</v>
      </c>
    </row>
    <row r="4539" spans="1:4" ht="13.5" x14ac:dyDescent="0.25">
      <c r="A4539" s="306">
        <v>98082</v>
      </c>
      <c r="B4539" s="305" t="s">
        <v>4190</v>
      </c>
      <c r="C4539" s="305" t="s">
        <v>363</v>
      </c>
      <c r="D4539" s="576">
        <v>3369.02</v>
      </c>
    </row>
    <row r="4540" spans="1:4" ht="13.5" x14ac:dyDescent="0.25">
      <c r="A4540" s="306">
        <v>98083</v>
      </c>
      <c r="B4540" s="305" t="s">
        <v>4191</v>
      </c>
      <c r="C4540" s="305" t="s">
        <v>363</v>
      </c>
      <c r="D4540" s="576">
        <v>4455.26</v>
      </c>
    </row>
    <row r="4541" spans="1:4" ht="13.5" x14ac:dyDescent="0.25">
      <c r="A4541" s="306">
        <v>98084</v>
      </c>
      <c r="B4541" s="305" t="s">
        <v>4192</v>
      </c>
      <c r="C4541" s="305" t="s">
        <v>363</v>
      </c>
      <c r="D4541" s="576">
        <v>6257.67</v>
      </c>
    </row>
    <row r="4542" spans="1:4" ht="13.5" x14ac:dyDescent="0.25">
      <c r="A4542" s="306">
        <v>98085</v>
      </c>
      <c r="B4542" s="305" t="s">
        <v>4193</v>
      </c>
      <c r="C4542" s="305" t="s">
        <v>363</v>
      </c>
      <c r="D4542" s="576">
        <v>8465.2000000000007</v>
      </c>
    </row>
    <row r="4543" spans="1:4" ht="13.5" x14ac:dyDescent="0.25">
      <c r="A4543" s="306">
        <v>98086</v>
      </c>
      <c r="B4543" s="305" t="s">
        <v>4194</v>
      </c>
      <c r="C4543" s="305" t="s">
        <v>363</v>
      </c>
      <c r="D4543" s="576">
        <v>9584.7199999999993</v>
      </c>
    </row>
    <row r="4544" spans="1:4" ht="13.5" x14ac:dyDescent="0.25">
      <c r="A4544" s="306">
        <v>98087</v>
      </c>
      <c r="B4544" s="305" t="s">
        <v>4195</v>
      </c>
      <c r="C4544" s="305" t="s">
        <v>363</v>
      </c>
      <c r="D4544" s="576">
        <v>10289.530000000001</v>
      </c>
    </row>
    <row r="4545" spans="1:4" ht="13.5" x14ac:dyDescent="0.25">
      <c r="A4545" s="306">
        <v>98088</v>
      </c>
      <c r="B4545" s="305" t="s">
        <v>4196</v>
      </c>
      <c r="C4545" s="305" t="s">
        <v>363</v>
      </c>
      <c r="D4545" s="576">
        <v>2869.3</v>
      </c>
    </row>
    <row r="4546" spans="1:4" ht="13.5" x14ac:dyDescent="0.25">
      <c r="A4546" s="306">
        <v>98089</v>
      </c>
      <c r="B4546" s="305" t="s">
        <v>4197</v>
      </c>
      <c r="C4546" s="305" t="s">
        <v>363</v>
      </c>
      <c r="D4546" s="576">
        <v>4522.8100000000004</v>
      </c>
    </row>
    <row r="4547" spans="1:4" ht="13.5" x14ac:dyDescent="0.25">
      <c r="A4547" s="306">
        <v>98090</v>
      </c>
      <c r="B4547" s="305" t="s">
        <v>4198</v>
      </c>
      <c r="C4547" s="305" t="s">
        <v>363</v>
      </c>
      <c r="D4547" s="576">
        <v>7086</v>
      </c>
    </row>
    <row r="4548" spans="1:4" ht="13.5" x14ac:dyDescent="0.25">
      <c r="A4548" s="306">
        <v>98091</v>
      </c>
      <c r="B4548" s="305" t="s">
        <v>4199</v>
      </c>
      <c r="C4548" s="305" t="s">
        <v>363</v>
      </c>
      <c r="D4548" s="576">
        <v>9158.1200000000008</v>
      </c>
    </row>
    <row r="4549" spans="1:4" ht="13.5" x14ac:dyDescent="0.25">
      <c r="A4549" s="306">
        <v>98092</v>
      </c>
      <c r="B4549" s="305" t="s">
        <v>4200</v>
      </c>
      <c r="C4549" s="305" t="s">
        <v>363</v>
      </c>
      <c r="D4549" s="576">
        <v>10725.09</v>
      </c>
    </row>
    <row r="4550" spans="1:4" ht="13.5" x14ac:dyDescent="0.25">
      <c r="A4550" s="306">
        <v>98093</v>
      </c>
      <c r="B4550" s="305" t="s">
        <v>4201</v>
      </c>
      <c r="C4550" s="305" t="s">
        <v>363</v>
      </c>
      <c r="D4550" s="576">
        <v>12653.71</v>
      </c>
    </row>
    <row r="4551" spans="1:4" ht="13.5" x14ac:dyDescent="0.25">
      <c r="A4551" s="306">
        <v>98094</v>
      </c>
      <c r="B4551" s="305" t="s">
        <v>4202</v>
      </c>
      <c r="C4551" s="305" t="s">
        <v>363</v>
      </c>
      <c r="D4551" s="576">
        <v>2395.2399999999998</v>
      </c>
    </row>
    <row r="4552" spans="1:4" ht="13.5" x14ac:dyDescent="0.25">
      <c r="A4552" s="306">
        <v>98099</v>
      </c>
      <c r="B4552" s="305" t="s">
        <v>4203</v>
      </c>
      <c r="C4552" s="305" t="s">
        <v>363</v>
      </c>
      <c r="D4552" s="576">
        <v>4103.67</v>
      </c>
    </row>
    <row r="4553" spans="1:4" ht="13.5" x14ac:dyDescent="0.25">
      <c r="A4553" s="306">
        <v>98100</v>
      </c>
      <c r="B4553" s="305" t="s">
        <v>4204</v>
      </c>
      <c r="C4553" s="305" t="s">
        <v>363</v>
      </c>
      <c r="D4553" s="576">
        <v>5344.22</v>
      </c>
    </row>
    <row r="4554" spans="1:4" ht="13.5" x14ac:dyDescent="0.25">
      <c r="A4554" s="306">
        <v>98101</v>
      </c>
      <c r="B4554" s="305" t="s">
        <v>4205</v>
      </c>
      <c r="C4554" s="305" t="s">
        <v>363</v>
      </c>
      <c r="D4554" s="576">
        <v>7893.16</v>
      </c>
    </row>
    <row r="4555" spans="1:4" ht="13.5" x14ac:dyDescent="0.25">
      <c r="A4555" s="306">
        <v>98109</v>
      </c>
      <c r="B4555" s="305" t="s">
        <v>4206</v>
      </c>
      <c r="C4555" s="305" t="s">
        <v>363</v>
      </c>
      <c r="D4555" s="575">
        <v>699.27</v>
      </c>
    </row>
    <row r="4556" spans="1:4" ht="13.5" x14ac:dyDescent="0.25">
      <c r="A4556" s="306">
        <v>98110</v>
      </c>
      <c r="B4556" s="305" t="s">
        <v>4207</v>
      </c>
      <c r="C4556" s="305" t="s">
        <v>363</v>
      </c>
      <c r="D4556" s="575">
        <v>364.84</v>
      </c>
    </row>
    <row r="4557" spans="1:4" ht="13.5" x14ac:dyDescent="0.25">
      <c r="A4557" s="306">
        <v>98111</v>
      </c>
      <c r="B4557" s="305" t="s">
        <v>4208</v>
      </c>
      <c r="C4557" s="305" t="s">
        <v>363</v>
      </c>
      <c r="D4557" s="575">
        <v>20.079999999999998</v>
      </c>
    </row>
    <row r="4558" spans="1:4" ht="13.5" x14ac:dyDescent="0.25">
      <c r="A4558" s="306">
        <v>98114</v>
      </c>
      <c r="B4558" s="305" t="s">
        <v>4209</v>
      </c>
      <c r="C4558" s="305" t="s">
        <v>363</v>
      </c>
      <c r="D4558" s="575">
        <v>469.74</v>
      </c>
    </row>
    <row r="4559" spans="1:4" ht="13.5" x14ac:dyDescent="0.25">
      <c r="A4559" s="306">
        <v>98115</v>
      </c>
      <c r="B4559" s="305" t="s">
        <v>4210</v>
      </c>
      <c r="C4559" s="305" t="s">
        <v>363</v>
      </c>
      <c r="D4559" s="575">
        <v>95.5</v>
      </c>
    </row>
    <row r="4560" spans="1:4" ht="13.5" x14ac:dyDescent="0.25">
      <c r="A4560" s="306">
        <v>89957</v>
      </c>
      <c r="B4560" s="305" t="s">
        <v>4211</v>
      </c>
      <c r="C4560" s="305" t="s">
        <v>363</v>
      </c>
      <c r="D4560" s="575">
        <v>105.6</v>
      </c>
    </row>
    <row r="4561" spans="1:4" ht="13.5" x14ac:dyDescent="0.25">
      <c r="A4561" s="306">
        <v>89959</v>
      </c>
      <c r="B4561" s="305" t="s">
        <v>4212</v>
      </c>
      <c r="C4561" s="305" t="s">
        <v>363</v>
      </c>
      <c r="D4561" s="575">
        <v>170.01</v>
      </c>
    </row>
    <row r="4562" spans="1:4" ht="13.5" x14ac:dyDescent="0.25">
      <c r="A4562" s="306">
        <v>89349</v>
      </c>
      <c r="B4562" s="305" t="s">
        <v>4213</v>
      </c>
      <c r="C4562" s="305" t="s">
        <v>363</v>
      </c>
      <c r="D4562" s="575">
        <v>20.34</v>
      </c>
    </row>
    <row r="4563" spans="1:4" ht="13.5" x14ac:dyDescent="0.25">
      <c r="A4563" s="306">
        <v>89351</v>
      </c>
      <c r="B4563" s="305" t="s">
        <v>4214</v>
      </c>
      <c r="C4563" s="305" t="s">
        <v>363</v>
      </c>
      <c r="D4563" s="575">
        <v>22.9</v>
      </c>
    </row>
    <row r="4564" spans="1:4" ht="13.5" x14ac:dyDescent="0.25">
      <c r="A4564" s="306">
        <v>89352</v>
      </c>
      <c r="B4564" s="305" t="s">
        <v>4215</v>
      </c>
      <c r="C4564" s="305" t="s">
        <v>363</v>
      </c>
      <c r="D4564" s="575">
        <v>25.77</v>
      </c>
    </row>
    <row r="4565" spans="1:4" ht="13.5" x14ac:dyDescent="0.25">
      <c r="A4565" s="306">
        <v>89353</v>
      </c>
      <c r="B4565" s="305" t="s">
        <v>4216</v>
      </c>
      <c r="C4565" s="305" t="s">
        <v>363</v>
      </c>
      <c r="D4565" s="575">
        <v>26.79</v>
      </c>
    </row>
    <row r="4566" spans="1:4" ht="13.5" x14ac:dyDescent="0.25">
      <c r="A4566" s="306">
        <v>89354</v>
      </c>
      <c r="B4566" s="305" t="s">
        <v>4217</v>
      </c>
      <c r="C4566" s="305" t="s">
        <v>363</v>
      </c>
      <c r="D4566" s="575">
        <v>226.67</v>
      </c>
    </row>
    <row r="4567" spans="1:4" ht="13.5" x14ac:dyDescent="0.25">
      <c r="A4567" s="306">
        <v>89969</v>
      </c>
      <c r="B4567" s="305" t="s">
        <v>4218</v>
      </c>
      <c r="C4567" s="305" t="s">
        <v>363</v>
      </c>
      <c r="D4567" s="575">
        <v>31.14</v>
      </c>
    </row>
    <row r="4568" spans="1:4" ht="13.5" x14ac:dyDescent="0.25">
      <c r="A4568" s="306">
        <v>89970</v>
      </c>
      <c r="B4568" s="305" t="s">
        <v>4219</v>
      </c>
      <c r="C4568" s="305" t="s">
        <v>363</v>
      </c>
      <c r="D4568" s="575">
        <v>33.54</v>
      </c>
    </row>
    <row r="4569" spans="1:4" ht="13.5" x14ac:dyDescent="0.25">
      <c r="A4569" s="306">
        <v>89971</v>
      </c>
      <c r="B4569" s="305" t="s">
        <v>4220</v>
      </c>
      <c r="C4569" s="305" t="s">
        <v>363</v>
      </c>
      <c r="D4569" s="575">
        <v>34.21</v>
      </c>
    </row>
    <row r="4570" spans="1:4" ht="13.5" x14ac:dyDescent="0.25">
      <c r="A4570" s="306">
        <v>89972</v>
      </c>
      <c r="B4570" s="305" t="s">
        <v>4221</v>
      </c>
      <c r="C4570" s="305" t="s">
        <v>363</v>
      </c>
      <c r="D4570" s="575">
        <v>36.83</v>
      </c>
    </row>
    <row r="4571" spans="1:4" ht="13.5" x14ac:dyDescent="0.25">
      <c r="A4571" s="306">
        <v>89973</v>
      </c>
      <c r="B4571" s="305" t="s">
        <v>4222</v>
      </c>
      <c r="C4571" s="305" t="s">
        <v>363</v>
      </c>
      <c r="D4571" s="575">
        <v>376.95</v>
      </c>
    </row>
    <row r="4572" spans="1:4" ht="13.5" x14ac:dyDescent="0.25">
      <c r="A4572" s="306">
        <v>89974</v>
      </c>
      <c r="B4572" s="305" t="s">
        <v>4223</v>
      </c>
      <c r="C4572" s="305" t="s">
        <v>363</v>
      </c>
      <c r="D4572" s="575">
        <v>208.35</v>
      </c>
    </row>
    <row r="4573" spans="1:4" ht="13.5" x14ac:dyDescent="0.25">
      <c r="A4573" s="306">
        <v>89984</v>
      </c>
      <c r="B4573" s="305" t="s">
        <v>4224</v>
      </c>
      <c r="C4573" s="305" t="s">
        <v>363</v>
      </c>
      <c r="D4573" s="575">
        <v>53.33</v>
      </c>
    </row>
    <row r="4574" spans="1:4" ht="13.5" x14ac:dyDescent="0.25">
      <c r="A4574" s="306">
        <v>89985</v>
      </c>
      <c r="B4574" s="305" t="s">
        <v>4225</v>
      </c>
      <c r="C4574" s="305" t="s">
        <v>363</v>
      </c>
      <c r="D4574" s="575">
        <v>54.81</v>
      </c>
    </row>
    <row r="4575" spans="1:4" ht="13.5" x14ac:dyDescent="0.25">
      <c r="A4575" s="306">
        <v>89986</v>
      </c>
      <c r="B4575" s="305" t="s">
        <v>4226</v>
      </c>
      <c r="C4575" s="305" t="s">
        <v>363</v>
      </c>
      <c r="D4575" s="575">
        <v>52.09</v>
      </c>
    </row>
    <row r="4576" spans="1:4" ht="13.5" x14ac:dyDescent="0.25">
      <c r="A4576" s="306">
        <v>89987</v>
      </c>
      <c r="B4576" s="305" t="s">
        <v>4227</v>
      </c>
      <c r="C4576" s="305" t="s">
        <v>363</v>
      </c>
      <c r="D4576" s="575">
        <v>57.54</v>
      </c>
    </row>
    <row r="4577" spans="1:4" ht="13.5" x14ac:dyDescent="0.25">
      <c r="A4577" s="306">
        <v>90371</v>
      </c>
      <c r="B4577" s="305" t="s">
        <v>4228</v>
      </c>
      <c r="C4577" s="305" t="s">
        <v>363</v>
      </c>
      <c r="D4577" s="575">
        <v>22.32</v>
      </c>
    </row>
    <row r="4578" spans="1:4" ht="13.5" x14ac:dyDescent="0.25">
      <c r="A4578" s="306">
        <v>94489</v>
      </c>
      <c r="B4578" s="305" t="s">
        <v>4229</v>
      </c>
      <c r="C4578" s="305" t="s">
        <v>363</v>
      </c>
      <c r="D4578" s="575">
        <v>18.96</v>
      </c>
    </row>
    <row r="4579" spans="1:4" ht="13.5" x14ac:dyDescent="0.25">
      <c r="A4579" s="306">
        <v>94490</v>
      </c>
      <c r="B4579" s="305" t="s">
        <v>4230</v>
      </c>
      <c r="C4579" s="305" t="s">
        <v>363</v>
      </c>
      <c r="D4579" s="575">
        <v>31.72</v>
      </c>
    </row>
    <row r="4580" spans="1:4" ht="13.5" x14ac:dyDescent="0.25">
      <c r="A4580" s="306">
        <v>94491</v>
      </c>
      <c r="B4580" s="305" t="s">
        <v>4231</v>
      </c>
      <c r="C4580" s="305" t="s">
        <v>363</v>
      </c>
      <c r="D4580" s="575">
        <v>43.79</v>
      </c>
    </row>
    <row r="4581" spans="1:4" ht="13.5" x14ac:dyDescent="0.25">
      <c r="A4581" s="306">
        <v>94492</v>
      </c>
      <c r="B4581" s="305" t="s">
        <v>4232</v>
      </c>
      <c r="C4581" s="305" t="s">
        <v>363</v>
      </c>
      <c r="D4581" s="575">
        <v>44.87</v>
      </c>
    </row>
    <row r="4582" spans="1:4" ht="13.5" x14ac:dyDescent="0.25">
      <c r="A4582" s="306">
        <v>94493</v>
      </c>
      <c r="B4582" s="305" t="s">
        <v>4233</v>
      </c>
      <c r="C4582" s="305" t="s">
        <v>363</v>
      </c>
      <c r="D4582" s="575">
        <v>81.680000000000007</v>
      </c>
    </row>
    <row r="4583" spans="1:4" ht="13.5" x14ac:dyDescent="0.25">
      <c r="A4583" s="306">
        <v>94494</v>
      </c>
      <c r="B4583" s="305" t="s">
        <v>4234</v>
      </c>
      <c r="C4583" s="305" t="s">
        <v>363</v>
      </c>
      <c r="D4583" s="575">
        <v>46.76</v>
      </c>
    </row>
    <row r="4584" spans="1:4" ht="13.5" x14ac:dyDescent="0.25">
      <c r="A4584" s="306">
        <v>94495</v>
      </c>
      <c r="B4584" s="305" t="s">
        <v>4235</v>
      </c>
      <c r="C4584" s="305" t="s">
        <v>363</v>
      </c>
      <c r="D4584" s="575">
        <v>58.14</v>
      </c>
    </row>
    <row r="4585" spans="1:4" ht="13.5" x14ac:dyDescent="0.25">
      <c r="A4585" s="306">
        <v>94496</v>
      </c>
      <c r="B4585" s="305" t="s">
        <v>4236</v>
      </c>
      <c r="C4585" s="305" t="s">
        <v>363</v>
      </c>
      <c r="D4585" s="575">
        <v>70.03</v>
      </c>
    </row>
    <row r="4586" spans="1:4" ht="13.5" x14ac:dyDescent="0.25">
      <c r="A4586" s="306">
        <v>94497</v>
      </c>
      <c r="B4586" s="305" t="s">
        <v>4237</v>
      </c>
      <c r="C4586" s="305" t="s">
        <v>363</v>
      </c>
      <c r="D4586" s="575">
        <v>81.14</v>
      </c>
    </row>
    <row r="4587" spans="1:4" ht="13.5" x14ac:dyDescent="0.25">
      <c r="A4587" s="306">
        <v>94498</v>
      </c>
      <c r="B4587" s="305" t="s">
        <v>4238</v>
      </c>
      <c r="C4587" s="305" t="s">
        <v>363</v>
      </c>
      <c r="D4587" s="575">
        <v>103.39</v>
      </c>
    </row>
    <row r="4588" spans="1:4" ht="13.5" x14ac:dyDescent="0.25">
      <c r="A4588" s="306">
        <v>94499</v>
      </c>
      <c r="B4588" s="305" t="s">
        <v>4239</v>
      </c>
      <c r="C4588" s="305" t="s">
        <v>363</v>
      </c>
      <c r="D4588" s="575">
        <v>183.32</v>
      </c>
    </row>
    <row r="4589" spans="1:4" ht="13.5" x14ac:dyDescent="0.25">
      <c r="A4589" s="306">
        <v>94500</v>
      </c>
      <c r="B4589" s="305" t="s">
        <v>4240</v>
      </c>
      <c r="C4589" s="305" t="s">
        <v>363</v>
      </c>
      <c r="D4589" s="575">
        <v>217.09</v>
      </c>
    </row>
    <row r="4590" spans="1:4" ht="13.5" x14ac:dyDescent="0.25">
      <c r="A4590" s="306">
        <v>94501</v>
      </c>
      <c r="B4590" s="305" t="s">
        <v>4241</v>
      </c>
      <c r="C4590" s="305" t="s">
        <v>363</v>
      </c>
      <c r="D4590" s="575">
        <v>419.6</v>
      </c>
    </row>
    <row r="4591" spans="1:4" ht="13.5" x14ac:dyDescent="0.25">
      <c r="A4591" s="306">
        <v>94792</v>
      </c>
      <c r="B4591" s="305" t="s">
        <v>4242</v>
      </c>
      <c r="C4591" s="305" t="s">
        <v>363</v>
      </c>
      <c r="D4591" s="575">
        <v>85.85</v>
      </c>
    </row>
    <row r="4592" spans="1:4" ht="13.5" x14ac:dyDescent="0.25">
      <c r="A4592" s="306">
        <v>94793</v>
      </c>
      <c r="B4592" s="305" t="s">
        <v>4243</v>
      </c>
      <c r="C4592" s="305" t="s">
        <v>363</v>
      </c>
      <c r="D4592" s="575">
        <v>109.4</v>
      </c>
    </row>
    <row r="4593" spans="1:4" ht="13.5" x14ac:dyDescent="0.25">
      <c r="A4593" s="306">
        <v>94794</v>
      </c>
      <c r="B4593" s="305" t="s">
        <v>4244</v>
      </c>
      <c r="C4593" s="305" t="s">
        <v>363</v>
      </c>
      <c r="D4593" s="575">
        <v>113.15</v>
      </c>
    </row>
    <row r="4594" spans="1:4" ht="13.5" x14ac:dyDescent="0.25">
      <c r="A4594" s="306">
        <v>94795</v>
      </c>
      <c r="B4594" s="305" t="s">
        <v>4245</v>
      </c>
      <c r="C4594" s="305" t="s">
        <v>363</v>
      </c>
      <c r="D4594" s="575">
        <v>18.93</v>
      </c>
    </row>
    <row r="4595" spans="1:4" ht="13.5" x14ac:dyDescent="0.25">
      <c r="A4595" s="306">
        <v>94796</v>
      </c>
      <c r="B4595" s="305" t="s">
        <v>4246</v>
      </c>
      <c r="C4595" s="305" t="s">
        <v>363</v>
      </c>
      <c r="D4595" s="575">
        <v>22.45</v>
      </c>
    </row>
    <row r="4596" spans="1:4" ht="13.5" x14ac:dyDescent="0.25">
      <c r="A4596" s="306">
        <v>94797</v>
      </c>
      <c r="B4596" s="305" t="s">
        <v>4247</v>
      </c>
      <c r="C4596" s="305" t="s">
        <v>363</v>
      </c>
      <c r="D4596" s="575">
        <v>33.83</v>
      </c>
    </row>
    <row r="4597" spans="1:4" ht="13.5" x14ac:dyDescent="0.25">
      <c r="A4597" s="306">
        <v>94798</v>
      </c>
      <c r="B4597" s="305" t="s">
        <v>4248</v>
      </c>
      <c r="C4597" s="305" t="s">
        <v>363</v>
      </c>
      <c r="D4597" s="575">
        <v>71.12</v>
      </c>
    </row>
    <row r="4598" spans="1:4" ht="13.5" x14ac:dyDescent="0.25">
      <c r="A4598" s="306">
        <v>94799</v>
      </c>
      <c r="B4598" s="305" t="s">
        <v>4249</v>
      </c>
      <c r="C4598" s="305" t="s">
        <v>363</v>
      </c>
      <c r="D4598" s="575">
        <v>69.72</v>
      </c>
    </row>
    <row r="4599" spans="1:4" ht="13.5" x14ac:dyDescent="0.25">
      <c r="A4599" s="306">
        <v>94800</v>
      </c>
      <c r="B4599" s="305" t="s">
        <v>4250</v>
      </c>
      <c r="C4599" s="305" t="s">
        <v>363</v>
      </c>
      <c r="D4599" s="575">
        <v>117.34</v>
      </c>
    </row>
    <row r="4600" spans="1:4" ht="13.5" x14ac:dyDescent="0.25">
      <c r="A4600" s="306">
        <v>95248</v>
      </c>
      <c r="B4600" s="305" t="s">
        <v>4251</v>
      </c>
      <c r="C4600" s="305" t="s">
        <v>363</v>
      </c>
      <c r="D4600" s="575">
        <v>55.05</v>
      </c>
    </row>
    <row r="4601" spans="1:4" ht="13.5" x14ac:dyDescent="0.25">
      <c r="A4601" s="306">
        <v>95249</v>
      </c>
      <c r="B4601" s="305" t="s">
        <v>4252</v>
      </c>
      <c r="C4601" s="305" t="s">
        <v>363</v>
      </c>
      <c r="D4601" s="575">
        <v>59.36</v>
      </c>
    </row>
    <row r="4602" spans="1:4" ht="13.5" x14ac:dyDescent="0.25">
      <c r="A4602" s="306">
        <v>95250</v>
      </c>
      <c r="B4602" s="305" t="s">
        <v>4253</v>
      </c>
      <c r="C4602" s="305" t="s">
        <v>363</v>
      </c>
      <c r="D4602" s="575">
        <v>70.66</v>
      </c>
    </row>
    <row r="4603" spans="1:4" ht="13.5" x14ac:dyDescent="0.25">
      <c r="A4603" s="306">
        <v>95251</v>
      </c>
      <c r="B4603" s="305" t="s">
        <v>4254</v>
      </c>
      <c r="C4603" s="305" t="s">
        <v>363</v>
      </c>
      <c r="D4603" s="575">
        <v>92.65</v>
      </c>
    </row>
    <row r="4604" spans="1:4" ht="13.5" x14ac:dyDescent="0.25">
      <c r="A4604" s="306">
        <v>95252</v>
      </c>
      <c r="B4604" s="305" t="s">
        <v>4255</v>
      </c>
      <c r="C4604" s="305" t="s">
        <v>363</v>
      </c>
      <c r="D4604" s="575">
        <v>105.97</v>
      </c>
    </row>
    <row r="4605" spans="1:4" ht="13.5" x14ac:dyDescent="0.25">
      <c r="A4605" s="306">
        <v>95253</v>
      </c>
      <c r="B4605" s="305" t="s">
        <v>4256</v>
      </c>
      <c r="C4605" s="305" t="s">
        <v>363</v>
      </c>
      <c r="D4605" s="575">
        <v>149.63</v>
      </c>
    </row>
    <row r="4606" spans="1:4" ht="13.5" x14ac:dyDescent="0.25">
      <c r="A4606" s="306">
        <v>99619</v>
      </c>
      <c r="B4606" s="305" t="s">
        <v>4257</v>
      </c>
      <c r="C4606" s="305" t="s">
        <v>363</v>
      </c>
      <c r="D4606" s="575">
        <v>60.05</v>
      </c>
    </row>
    <row r="4607" spans="1:4" ht="13.5" x14ac:dyDescent="0.25">
      <c r="A4607" s="306">
        <v>99620</v>
      </c>
      <c r="B4607" s="305" t="s">
        <v>4258</v>
      </c>
      <c r="C4607" s="305" t="s">
        <v>363</v>
      </c>
      <c r="D4607" s="575">
        <v>99.04</v>
      </c>
    </row>
    <row r="4608" spans="1:4" ht="13.5" x14ac:dyDescent="0.25">
      <c r="A4608" s="306">
        <v>99621</v>
      </c>
      <c r="B4608" s="305" t="s">
        <v>4259</v>
      </c>
      <c r="C4608" s="305" t="s">
        <v>363</v>
      </c>
      <c r="D4608" s="575">
        <v>135.41999999999999</v>
      </c>
    </row>
    <row r="4609" spans="1:4" ht="13.5" x14ac:dyDescent="0.25">
      <c r="A4609" s="306">
        <v>99622</v>
      </c>
      <c r="B4609" s="305" t="s">
        <v>4260</v>
      </c>
      <c r="C4609" s="305" t="s">
        <v>363</v>
      </c>
      <c r="D4609" s="575">
        <v>148.08000000000001</v>
      </c>
    </row>
    <row r="4610" spans="1:4" ht="13.5" x14ac:dyDescent="0.25">
      <c r="A4610" s="306">
        <v>99623</v>
      </c>
      <c r="B4610" s="305" t="s">
        <v>4261</v>
      </c>
      <c r="C4610" s="305" t="s">
        <v>363</v>
      </c>
      <c r="D4610" s="575">
        <v>197.6</v>
      </c>
    </row>
    <row r="4611" spans="1:4" ht="13.5" x14ac:dyDescent="0.25">
      <c r="A4611" s="306">
        <v>99624</v>
      </c>
      <c r="B4611" s="305" t="s">
        <v>4262</v>
      </c>
      <c r="C4611" s="305" t="s">
        <v>363</v>
      </c>
      <c r="D4611" s="575">
        <v>270.12</v>
      </c>
    </row>
    <row r="4612" spans="1:4" ht="13.5" x14ac:dyDescent="0.25">
      <c r="A4612" s="306">
        <v>99625</v>
      </c>
      <c r="B4612" s="305" t="s">
        <v>4263</v>
      </c>
      <c r="C4612" s="305" t="s">
        <v>363</v>
      </c>
      <c r="D4612" s="575">
        <v>363.31</v>
      </c>
    </row>
    <row r="4613" spans="1:4" ht="13.5" x14ac:dyDescent="0.25">
      <c r="A4613" s="306">
        <v>99626</v>
      </c>
      <c r="B4613" s="305" t="s">
        <v>4264</v>
      </c>
      <c r="C4613" s="305" t="s">
        <v>363</v>
      </c>
      <c r="D4613" s="575">
        <v>546.84</v>
      </c>
    </row>
    <row r="4614" spans="1:4" ht="13.5" x14ac:dyDescent="0.25">
      <c r="A4614" s="306">
        <v>99627</v>
      </c>
      <c r="B4614" s="305" t="s">
        <v>4265</v>
      </c>
      <c r="C4614" s="305" t="s">
        <v>363</v>
      </c>
      <c r="D4614" s="575">
        <v>59.51</v>
      </c>
    </row>
    <row r="4615" spans="1:4" ht="13.5" x14ac:dyDescent="0.25">
      <c r="A4615" s="306">
        <v>99628</v>
      </c>
      <c r="B4615" s="305" t="s">
        <v>4266</v>
      </c>
      <c r="C4615" s="305" t="s">
        <v>363</v>
      </c>
      <c r="D4615" s="575">
        <v>41.05</v>
      </c>
    </row>
    <row r="4616" spans="1:4" ht="13.5" x14ac:dyDescent="0.25">
      <c r="A4616" s="306">
        <v>99629</v>
      </c>
      <c r="B4616" s="305" t="s">
        <v>4267</v>
      </c>
      <c r="C4616" s="305" t="s">
        <v>363</v>
      </c>
      <c r="D4616" s="575">
        <v>64.16</v>
      </c>
    </row>
    <row r="4617" spans="1:4" ht="13.5" x14ac:dyDescent="0.25">
      <c r="A4617" s="306">
        <v>99630</v>
      </c>
      <c r="B4617" s="305" t="s">
        <v>4268</v>
      </c>
      <c r="C4617" s="305" t="s">
        <v>363</v>
      </c>
      <c r="D4617" s="575">
        <v>83.33</v>
      </c>
    </row>
    <row r="4618" spans="1:4" ht="13.5" x14ac:dyDescent="0.25">
      <c r="A4618" s="306">
        <v>99631</v>
      </c>
      <c r="B4618" s="305" t="s">
        <v>4269</v>
      </c>
      <c r="C4618" s="305" t="s">
        <v>363</v>
      </c>
      <c r="D4618" s="575">
        <v>91.79</v>
      </c>
    </row>
    <row r="4619" spans="1:4" ht="13.5" x14ac:dyDescent="0.25">
      <c r="A4619" s="306">
        <v>99632</v>
      </c>
      <c r="B4619" s="305" t="s">
        <v>4270</v>
      </c>
      <c r="C4619" s="305" t="s">
        <v>363</v>
      </c>
      <c r="D4619" s="575">
        <v>122.33</v>
      </c>
    </row>
    <row r="4620" spans="1:4" ht="13.5" x14ac:dyDescent="0.25">
      <c r="A4620" s="306">
        <v>99633</v>
      </c>
      <c r="B4620" s="305" t="s">
        <v>4271</v>
      </c>
      <c r="C4620" s="305" t="s">
        <v>363</v>
      </c>
      <c r="D4620" s="575">
        <v>234.52</v>
      </c>
    </row>
    <row r="4621" spans="1:4" ht="13.5" x14ac:dyDescent="0.25">
      <c r="A4621" s="306">
        <v>99634</v>
      </c>
      <c r="B4621" s="305" t="s">
        <v>4272</v>
      </c>
      <c r="C4621" s="305" t="s">
        <v>363</v>
      </c>
      <c r="D4621" s="575">
        <v>384.81</v>
      </c>
    </row>
    <row r="4622" spans="1:4" ht="13.5" x14ac:dyDescent="0.25">
      <c r="A4622" s="306">
        <v>99635</v>
      </c>
      <c r="B4622" s="305" t="s">
        <v>4273</v>
      </c>
      <c r="C4622" s="305" t="s">
        <v>363</v>
      </c>
      <c r="D4622" s="575">
        <v>146.97999999999999</v>
      </c>
    </row>
    <row r="4623" spans="1:4" ht="13.5" x14ac:dyDescent="0.25">
      <c r="A4623" s="306">
        <v>95634</v>
      </c>
      <c r="B4623" s="305" t="s">
        <v>4274</v>
      </c>
      <c r="C4623" s="305" t="s">
        <v>363</v>
      </c>
      <c r="D4623" s="575">
        <v>121.54</v>
      </c>
    </row>
    <row r="4624" spans="1:4" ht="13.5" x14ac:dyDescent="0.25">
      <c r="A4624" s="306">
        <v>95635</v>
      </c>
      <c r="B4624" s="305" t="s">
        <v>4275</v>
      </c>
      <c r="C4624" s="305" t="s">
        <v>363</v>
      </c>
      <c r="D4624" s="575">
        <v>131.30000000000001</v>
      </c>
    </row>
    <row r="4625" spans="1:4" ht="13.5" x14ac:dyDescent="0.25">
      <c r="A4625" s="306">
        <v>95637</v>
      </c>
      <c r="B4625" s="305" t="s">
        <v>4276</v>
      </c>
      <c r="C4625" s="305" t="s">
        <v>363</v>
      </c>
      <c r="D4625" s="575">
        <v>369.37</v>
      </c>
    </row>
    <row r="4626" spans="1:4" ht="13.5" x14ac:dyDescent="0.25">
      <c r="A4626" s="306">
        <v>95638</v>
      </c>
      <c r="B4626" s="305" t="s">
        <v>4277</v>
      </c>
      <c r="C4626" s="305" t="s">
        <v>363</v>
      </c>
      <c r="D4626" s="575">
        <v>447.09</v>
      </c>
    </row>
    <row r="4627" spans="1:4" ht="13.5" x14ac:dyDescent="0.25">
      <c r="A4627" s="306">
        <v>95639</v>
      </c>
      <c r="B4627" s="305" t="s">
        <v>4278</v>
      </c>
      <c r="C4627" s="305" t="s">
        <v>363</v>
      </c>
      <c r="D4627" s="575">
        <v>562.29</v>
      </c>
    </row>
    <row r="4628" spans="1:4" ht="13.5" x14ac:dyDescent="0.25">
      <c r="A4628" s="306">
        <v>95641</v>
      </c>
      <c r="B4628" s="305" t="s">
        <v>4279</v>
      </c>
      <c r="C4628" s="305" t="s">
        <v>363</v>
      </c>
      <c r="D4628" s="575">
        <v>211.57</v>
      </c>
    </row>
    <row r="4629" spans="1:4" ht="13.5" x14ac:dyDescent="0.25">
      <c r="A4629" s="306">
        <v>95642</v>
      </c>
      <c r="B4629" s="305" t="s">
        <v>4280</v>
      </c>
      <c r="C4629" s="305" t="s">
        <v>363</v>
      </c>
      <c r="D4629" s="575">
        <v>312.58999999999997</v>
      </c>
    </row>
    <row r="4630" spans="1:4" ht="13.5" x14ac:dyDescent="0.25">
      <c r="A4630" s="306">
        <v>95643</v>
      </c>
      <c r="B4630" s="305" t="s">
        <v>4281</v>
      </c>
      <c r="C4630" s="305" t="s">
        <v>363</v>
      </c>
      <c r="D4630" s="575">
        <v>408.84</v>
      </c>
    </row>
    <row r="4631" spans="1:4" ht="13.5" x14ac:dyDescent="0.25">
      <c r="A4631" s="306">
        <v>95644</v>
      </c>
      <c r="B4631" s="305" t="s">
        <v>4282</v>
      </c>
      <c r="C4631" s="305" t="s">
        <v>363</v>
      </c>
      <c r="D4631" s="575">
        <v>153.69</v>
      </c>
    </row>
    <row r="4632" spans="1:4" ht="13.5" x14ac:dyDescent="0.25">
      <c r="A4632" s="306">
        <v>95645</v>
      </c>
      <c r="B4632" s="305" t="s">
        <v>4283</v>
      </c>
      <c r="C4632" s="305" t="s">
        <v>363</v>
      </c>
      <c r="D4632" s="575">
        <v>280.86</v>
      </c>
    </row>
    <row r="4633" spans="1:4" ht="13.5" x14ac:dyDescent="0.25">
      <c r="A4633" s="306">
        <v>95646</v>
      </c>
      <c r="B4633" s="305" t="s">
        <v>4284</v>
      </c>
      <c r="C4633" s="305" t="s">
        <v>363</v>
      </c>
      <c r="D4633" s="575">
        <v>418.41</v>
      </c>
    </row>
    <row r="4634" spans="1:4" ht="13.5" x14ac:dyDescent="0.25">
      <c r="A4634" s="306">
        <v>95647</v>
      </c>
      <c r="B4634" s="305" t="s">
        <v>4285</v>
      </c>
      <c r="C4634" s="305" t="s">
        <v>363</v>
      </c>
      <c r="D4634" s="575">
        <v>548.45000000000005</v>
      </c>
    </row>
    <row r="4635" spans="1:4" ht="13.5" x14ac:dyDescent="0.25">
      <c r="A4635" s="306">
        <v>95673</v>
      </c>
      <c r="B4635" s="305" t="s">
        <v>4286</v>
      </c>
      <c r="C4635" s="305" t="s">
        <v>363</v>
      </c>
      <c r="D4635" s="575">
        <v>96.01</v>
      </c>
    </row>
    <row r="4636" spans="1:4" ht="13.5" x14ac:dyDescent="0.25">
      <c r="A4636" s="306">
        <v>95674</v>
      </c>
      <c r="B4636" s="305" t="s">
        <v>4287</v>
      </c>
      <c r="C4636" s="305" t="s">
        <v>363</v>
      </c>
      <c r="D4636" s="575">
        <v>101.89</v>
      </c>
    </row>
    <row r="4637" spans="1:4" ht="13.5" x14ac:dyDescent="0.25">
      <c r="A4637" s="306">
        <v>95675</v>
      </c>
      <c r="B4637" s="305" t="s">
        <v>4288</v>
      </c>
      <c r="C4637" s="305" t="s">
        <v>363</v>
      </c>
      <c r="D4637" s="575">
        <v>124.43</v>
      </c>
    </row>
    <row r="4638" spans="1:4" ht="13.5" x14ac:dyDescent="0.25">
      <c r="A4638" s="306">
        <v>95676</v>
      </c>
      <c r="B4638" s="305" t="s">
        <v>4289</v>
      </c>
      <c r="C4638" s="305" t="s">
        <v>363</v>
      </c>
      <c r="D4638" s="575">
        <v>69.05</v>
      </c>
    </row>
    <row r="4639" spans="1:4" ht="13.5" x14ac:dyDescent="0.25">
      <c r="A4639" s="306">
        <v>97741</v>
      </c>
      <c r="B4639" s="305" t="s">
        <v>4290</v>
      </c>
      <c r="C4639" s="305" t="s">
        <v>363</v>
      </c>
      <c r="D4639" s="575">
        <v>118.66</v>
      </c>
    </row>
    <row r="4640" spans="1:4" ht="13.5" x14ac:dyDescent="0.25">
      <c r="A4640" s="306">
        <v>72285</v>
      </c>
      <c r="B4640" s="305" t="s">
        <v>4291</v>
      </c>
      <c r="C4640" s="305" t="s">
        <v>363</v>
      </c>
      <c r="D4640" s="575">
        <v>89.1</v>
      </c>
    </row>
    <row r="4641" spans="1:4" ht="13.5" x14ac:dyDescent="0.25">
      <c r="A4641" s="306">
        <v>90436</v>
      </c>
      <c r="B4641" s="305" t="s">
        <v>4292</v>
      </c>
      <c r="C4641" s="305" t="s">
        <v>363</v>
      </c>
      <c r="D4641" s="575">
        <v>10.87</v>
      </c>
    </row>
    <row r="4642" spans="1:4" ht="13.5" x14ac:dyDescent="0.25">
      <c r="A4642" s="306">
        <v>90437</v>
      </c>
      <c r="B4642" s="305" t="s">
        <v>4293</v>
      </c>
      <c r="C4642" s="305" t="s">
        <v>363</v>
      </c>
      <c r="D4642" s="575">
        <v>26.4</v>
      </c>
    </row>
    <row r="4643" spans="1:4" ht="13.5" x14ac:dyDescent="0.25">
      <c r="A4643" s="306">
        <v>90438</v>
      </c>
      <c r="B4643" s="305" t="s">
        <v>4294</v>
      </c>
      <c r="C4643" s="305" t="s">
        <v>363</v>
      </c>
      <c r="D4643" s="575">
        <v>37.840000000000003</v>
      </c>
    </row>
    <row r="4644" spans="1:4" ht="13.5" x14ac:dyDescent="0.25">
      <c r="A4644" s="306">
        <v>90439</v>
      </c>
      <c r="B4644" s="305" t="s">
        <v>4295</v>
      </c>
      <c r="C4644" s="305" t="s">
        <v>363</v>
      </c>
      <c r="D4644" s="575">
        <v>50.03</v>
      </c>
    </row>
    <row r="4645" spans="1:4" ht="13.5" x14ac:dyDescent="0.25">
      <c r="A4645" s="306">
        <v>90440</v>
      </c>
      <c r="B4645" s="305" t="s">
        <v>4296</v>
      </c>
      <c r="C4645" s="305" t="s">
        <v>363</v>
      </c>
      <c r="D4645" s="575">
        <v>80.14</v>
      </c>
    </row>
    <row r="4646" spans="1:4" ht="13.5" x14ac:dyDescent="0.25">
      <c r="A4646" s="306">
        <v>90441</v>
      </c>
      <c r="B4646" s="305" t="s">
        <v>4297</v>
      </c>
      <c r="C4646" s="305" t="s">
        <v>363</v>
      </c>
      <c r="D4646" s="575">
        <v>102.36</v>
      </c>
    </row>
    <row r="4647" spans="1:4" ht="13.5" x14ac:dyDescent="0.25">
      <c r="A4647" s="306">
        <v>90443</v>
      </c>
      <c r="B4647" s="305" t="s">
        <v>4298</v>
      </c>
      <c r="C4647" s="305" t="s">
        <v>282</v>
      </c>
      <c r="D4647" s="575">
        <v>9.8699999999999992</v>
      </c>
    </row>
    <row r="4648" spans="1:4" ht="13.5" x14ac:dyDescent="0.25">
      <c r="A4648" s="306">
        <v>90444</v>
      </c>
      <c r="B4648" s="305" t="s">
        <v>4299</v>
      </c>
      <c r="C4648" s="305" t="s">
        <v>282</v>
      </c>
      <c r="D4648" s="575">
        <v>21.46</v>
      </c>
    </row>
    <row r="4649" spans="1:4" ht="13.5" x14ac:dyDescent="0.25">
      <c r="A4649" s="306">
        <v>90445</v>
      </c>
      <c r="B4649" s="305" t="s">
        <v>4300</v>
      </c>
      <c r="C4649" s="305" t="s">
        <v>282</v>
      </c>
      <c r="D4649" s="575">
        <v>22.91</v>
      </c>
    </row>
    <row r="4650" spans="1:4" ht="13.5" x14ac:dyDescent="0.25">
      <c r="A4650" s="306">
        <v>90446</v>
      </c>
      <c r="B4650" s="305" t="s">
        <v>4301</v>
      </c>
      <c r="C4650" s="305" t="s">
        <v>282</v>
      </c>
      <c r="D4650" s="575">
        <v>24.91</v>
      </c>
    </row>
    <row r="4651" spans="1:4" ht="13.5" x14ac:dyDescent="0.25">
      <c r="A4651" s="306">
        <v>90447</v>
      </c>
      <c r="B4651" s="305" t="s">
        <v>4302</v>
      </c>
      <c r="C4651" s="305" t="s">
        <v>282</v>
      </c>
      <c r="D4651" s="575">
        <v>5.0999999999999996</v>
      </c>
    </row>
    <row r="4652" spans="1:4" ht="13.5" x14ac:dyDescent="0.25">
      <c r="A4652" s="306">
        <v>90451</v>
      </c>
      <c r="B4652" s="305" t="s">
        <v>4303</v>
      </c>
      <c r="C4652" s="305" t="s">
        <v>363</v>
      </c>
      <c r="D4652" s="575">
        <v>3.28</v>
      </c>
    </row>
    <row r="4653" spans="1:4" ht="13.5" x14ac:dyDescent="0.25">
      <c r="A4653" s="306">
        <v>90452</v>
      </c>
      <c r="B4653" s="305" t="s">
        <v>4304</v>
      </c>
      <c r="C4653" s="305" t="s">
        <v>363</v>
      </c>
      <c r="D4653" s="575">
        <v>13.43</v>
      </c>
    </row>
    <row r="4654" spans="1:4" ht="13.5" x14ac:dyDescent="0.25">
      <c r="A4654" s="306">
        <v>90453</v>
      </c>
      <c r="B4654" s="305" t="s">
        <v>4305</v>
      </c>
      <c r="C4654" s="305" t="s">
        <v>363</v>
      </c>
      <c r="D4654" s="575">
        <v>1.99</v>
      </c>
    </row>
    <row r="4655" spans="1:4" ht="13.5" x14ac:dyDescent="0.25">
      <c r="A4655" s="306">
        <v>90454</v>
      </c>
      <c r="B4655" s="305" t="s">
        <v>4306</v>
      </c>
      <c r="C4655" s="305" t="s">
        <v>363</v>
      </c>
      <c r="D4655" s="575">
        <v>3.49</v>
      </c>
    </row>
    <row r="4656" spans="1:4" ht="13.5" x14ac:dyDescent="0.25">
      <c r="A4656" s="306">
        <v>90455</v>
      </c>
      <c r="B4656" s="305" t="s">
        <v>4307</v>
      </c>
      <c r="C4656" s="305" t="s">
        <v>363</v>
      </c>
      <c r="D4656" s="575">
        <v>4.6500000000000004</v>
      </c>
    </row>
    <row r="4657" spans="1:4" ht="13.5" x14ac:dyDescent="0.25">
      <c r="A4657" s="306">
        <v>90456</v>
      </c>
      <c r="B4657" s="305" t="s">
        <v>4308</v>
      </c>
      <c r="C4657" s="305" t="s">
        <v>363</v>
      </c>
      <c r="D4657" s="575">
        <v>3.16</v>
      </c>
    </row>
    <row r="4658" spans="1:4" ht="13.5" x14ac:dyDescent="0.25">
      <c r="A4658" s="306">
        <v>90457</v>
      </c>
      <c r="B4658" s="305" t="s">
        <v>4309</v>
      </c>
      <c r="C4658" s="305" t="s">
        <v>363</v>
      </c>
      <c r="D4658" s="575">
        <v>7.23</v>
      </c>
    </row>
    <row r="4659" spans="1:4" ht="13.5" x14ac:dyDescent="0.25">
      <c r="A4659" s="306">
        <v>90458</v>
      </c>
      <c r="B4659" s="305" t="s">
        <v>4310</v>
      </c>
      <c r="C4659" s="305" t="s">
        <v>363</v>
      </c>
      <c r="D4659" s="575">
        <v>20.51</v>
      </c>
    </row>
    <row r="4660" spans="1:4" ht="13.5" x14ac:dyDescent="0.25">
      <c r="A4660" s="306">
        <v>90459</v>
      </c>
      <c r="B4660" s="305" t="s">
        <v>4311</v>
      </c>
      <c r="C4660" s="305" t="s">
        <v>363</v>
      </c>
      <c r="D4660" s="575">
        <v>28.93</v>
      </c>
    </row>
    <row r="4661" spans="1:4" ht="13.5" x14ac:dyDescent="0.25">
      <c r="A4661" s="306">
        <v>90460</v>
      </c>
      <c r="B4661" s="305" t="s">
        <v>12818</v>
      </c>
      <c r="C4661" s="305" t="s">
        <v>282</v>
      </c>
      <c r="D4661" s="575">
        <v>26.43</v>
      </c>
    </row>
    <row r="4662" spans="1:4" ht="13.5" x14ac:dyDescent="0.25">
      <c r="A4662" s="306">
        <v>90461</v>
      </c>
      <c r="B4662" s="305" t="s">
        <v>12819</v>
      </c>
      <c r="C4662" s="305" t="s">
        <v>282</v>
      </c>
      <c r="D4662" s="575">
        <v>14.25</v>
      </c>
    </row>
    <row r="4663" spans="1:4" ht="13.5" x14ac:dyDescent="0.25">
      <c r="A4663" s="306">
        <v>90462</v>
      </c>
      <c r="B4663" s="305" t="s">
        <v>12820</v>
      </c>
      <c r="C4663" s="305" t="s">
        <v>282</v>
      </c>
      <c r="D4663" s="575">
        <v>3.14</v>
      </c>
    </row>
    <row r="4664" spans="1:4" ht="13.5" x14ac:dyDescent="0.25">
      <c r="A4664" s="306">
        <v>90463</v>
      </c>
      <c r="B4664" s="305" t="s">
        <v>12821</v>
      </c>
      <c r="C4664" s="305" t="s">
        <v>282</v>
      </c>
      <c r="D4664" s="575">
        <v>2.4900000000000002</v>
      </c>
    </row>
    <row r="4665" spans="1:4" ht="13.5" x14ac:dyDescent="0.25">
      <c r="A4665" s="306">
        <v>90466</v>
      </c>
      <c r="B4665" s="305" t="s">
        <v>4312</v>
      </c>
      <c r="C4665" s="305" t="s">
        <v>282</v>
      </c>
      <c r="D4665" s="575">
        <v>10.18</v>
      </c>
    </row>
    <row r="4666" spans="1:4" ht="13.5" x14ac:dyDescent="0.25">
      <c r="A4666" s="306">
        <v>90467</v>
      </c>
      <c r="B4666" s="305" t="s">
        <v>4313</v>
      </c>
      <c r="C4666" s="305" t="s">
        <v>282</v>
      </c>
      <c r="D4666" s="575">
        <v>16.14</v>
      </c>
    </row>
    <row r="4667" spans="1:4" ht="13.5" x14ac:dyDescent="0.25">
      <c r="A4667" s="306">
        <v>90468</v>
      </c>
      <c r="B4667" s="305" t="s">
        <v>4314</v>
      </c>
      <c r="C4667" s="305" t="s">
        <v>282</v>
      </c>
      <c r="D4667" s="575">
        <v>4.6500000000000004</v>
      </c>
    </row>
    <row r="4668" spans="1:4" ht="13.5" x14ac:dyDescent="0.25">
      <c r="A4668" s="306">
        <v>90469</v>
      </c>
      <c r="B4668" s="305" t="s">
        <v>4315</v>
      </c>
      <c r="C4668" s="305" t="s">
        <v>282</v>
      </c>
      <c r="D4668" s="575">
        <v>7.48</v>
      </c>
    </row>
    <row r="4669" spans="1:4" ht="13.5" x14ac:dyDescent="0.25">
      <c r="A4669" s="306">
        <v>90470</v>
      </c>
      <c r="B4669" s="305" t="s">
        <v>4316</v>
      </c>
      <c r="C4669" s="305" t="s">
        <v>282</v>
      </c>
      <c r="D4669" s="575">
        <v>10.41</v>
      </c>
    </row>
    <row r="4670" spans="1:4" ht="13.5" x14ac:dyDescent="0.25">
      <c r="A4670" s="306">
        <v>91166</v>
      </c>
      <c r="B4670" s="305" t="s">
        <v>4317</v>
      </c>
      <c r="C4670" s="305" t="s">
        <v>282</v>
      </c>
      <c r="D4670" s="575">
        <v>2.75</v>
      </c>
    </row>
    <row r="4671" spans="1:4" ht="13.5" x14ac:dyDescent="0.25">
      <c r="A4671" s="306">
        <v>91167</v>
      </c>
      <c r="B4671" s="305" t="s">
        <v>4318</v>
      </c>
      <c r="C4671" s="305" t="s">
        <v>282</v>
      </c>
      <c r="D4671" s="575">
        <v>11.13</v>
      </c>
    </row>
    <row r="4672" spans="1:4" ht="13.5" x14ac:dyDescent="0.25">
      <c r="A4672" s="306">
        <v>91168</v>
      </c>
      <c r="B4672" s="305" t="s">
        <v>4319</v>
      </c>
      <c r="C4672" s="305" t="s">
        <v>282</v>
      </c>
      <c r="D4672" s="575">
        <v>8.48</v>
      </c>
    </row>
    <row r="4673" spans="1:4" ht="13.5" x14ac:dyDescent="0.25">
      <c r="A4673" s="306">
        <v>91169</v>
      </c>
      <c r="B4673" s="305" t="s">
        <v>4320</v>
      </c>
      <c r="C4673" s="305" t="s">
        <v>282</v>
      </c>
      <c r="D4673" s="575">
        <v>10.039999999999999</v>
      </c>
    </row>
    <row r="4674" spans="1:4" ht="13.5" x14ac:dyDescent="0.25">
      <c r="A4674" s="306">
        <v>91170</v>
      </c>
      <c r="B4674" s="305" t="s">
        <v>4321</v>
      </c>
      <c r="C4674" s="305" t="s">
        <v>282</v>
      </c>
      <c r="D4674" s="575">
        <v>2.86</v>
      </c>
    </row>
    <row r="4675" spans="1:4" ht="13.5" x14ac:dyDescent="0.25">
      <c r="A4675" s="306">
        <v>91171</v>
      </c>
      <c r="B4675" s="305" t="s">
        <v>4322</v>
      </c>
      <c r="C4675" s="305" t="s">
        <v>282</v>
      </c>
      <c r="D4675" s="575">
        <v>3.61</v>
      </c>
    </row>
    <row r="4676" spans="1:4" ht="13.5" x14ac:dyDescent="0.25">
      <c r="A4676" s="306">
        <v>91172</v>
      </c>
      <c r="B4676" s="305" t="s">
        <v>4323</v>
      </c>
      <c r="C4676" s="305" t="s">
        <v>282</v>
      </c>
      <c r="D4676" s="575">
        <v>5.29</v>
      </c>
    </row>
    <row r="4677" spans="1:4" ht="13.5" x14ac:dyDescent="0.25">
      <c r="A4677" s="306">
        <v>91173</v>
      </c>
      <c r="B4677" s="305" t="s">
        <v>4324</v>
      </c>
      <c r="C4677" s="305" t="s">
        <v>282</v>
      </c>
      <c r="D4677" s="575">
        <v>1.44</v>
      </c>
    </row>
    <row r="4678" spans="1:4" ht="13.5" x14ac:dyDescent="0.25">
      <c r="A4678" s="306">
        <v>91174</v>
      </c>
      <c r="B4678" s="305" t="s">
        <v>4325</v>
      </c>
      <c r="C4678" s="305" t="s">
        <v>282</v>
      </c>
      <c r="D4678" s="575">
        <v>2.87</v>
      </c>
    </row>
    <row r="4679" spans="1:4" ht="13.5" x14ac:dyDescent="0.25">
      <c r="A4679" s="306">
        <v>91175</v>
      </c>
      <c r="B4679" s="305" t="s">
        <v>4326</v>
      </c>
      <c r="C4679" s="305" t="s">
        <v>282</v>
      </c>
      <c r="D4679" s="575">
        <v>4.66</v>
      </c>
    </row>
    <row r="4680" spans="1:4" ht="13.5" x14ac:dyDescent="0.25">
      <c r="A4680" s="306">
        <v>91176</v>
      </c>
      <c r="B4680" s="305" t="s">
        <v>4327</v>
      </c>
      <c r="C4680" s="305" t="s">
        <v>282</v>
      </c>
      <c r="D4680" s="575">
        <v>38.630000000000003</v>
      </c>
    </row>
    <row r="4681" spans="1:4" ht="13.5" x14ac:dyDescent="0.25">
      <c r="A4681" s="306">
        <v>91177</v>
      </c>
      <c r="B4681" s="305" t="s">
        <v>4328</v>
      </c>
      <c r="C4681" s="305" t="s">
        <v>282</v>
      </c>
      <c r="D4681" s="575">
        <v>16.97</v>
      </c>
    </row>
    <row r="4682" spans="1:4" ht="13.5" x14ac:dyDescent="0.25">
      <c r="A4682" s="306">
        <v>91178</v>
      </c>
      <c r="B4682" s="305" t="s">
        <v>4329</v>
      </c>
      <c r="C4682" s="305" t="s">
        <v>282</v>
      </c>
      <c r="D4682" s="575">
        <v>17.78</v>
      </c>
    </row>
    <row r="4683" spans="1:4" ht="13.5" x14ac:dyDescent="0.25">
      <c r="A4683" s="306">
        <v>91179</v>
      </c>
      <c r="B4683" s="305" t="s">
        <v>4330</v>
      </c>
      <c r="C4683" s="305" t="s">
        <v>282</v>
      </c>
      <c r="D4683" s="575">
        <v>9.91</v>
      </c>
    </row>
    <row r="4684" spans="1:4" ht="13.5" x14ac:dyDescent="0.25">
      <c r="A4684" s="306">
        <v>91180</v>
      </c>
      <c r="B4684" s="305" t="s">
        <v>4331</v>
      </c>
      <c r="C4684" s="305" t="s">
        <v>282</v>
      </c>
      <c r="D4684" s="575">
        <v>8.1300000000000008</v>
      </c>
    </row>
    <row r="4685" spans="1:4" ht="13.5" x14ac:dyDescent="0.25">
      <c r="A4685" s="306">
        <v>91181</v>
      </c>
      <c r="B4685" s="305" t="s">
        <v>4332</v>
      </c>
      <c r="C4685" s="305" t="s">
        <v>282</v>
      </c>
      <c r="D4685" s="575">
        <v>8.42</v>
      </c>
    </row>
    <row r="4686" spans="1:4" ht="13.5" x14ac:dyDescent="0.25">
      <c r="A4686" s="306">
        <v>91182</v>
      </c>
      <c r="B4686" s="305" t="s">
        <v>4333</v>
      </c>
      <c r="C4686" s="305" t="s">
        <v>282</v>
      </c>
      <c r="D4686" s="575">
        <v>20.7</v>
      </c>
    </row>
    <row r="4687" spans="1:4" ht="13.5" x14ac:dyDescent="0.25">
      <c r="A4687" s="306">
        <v>91183</v>
      </c>
      <c r="B4687" s="305" t="s">
        <v>4334</v>
      </c>
      <c r="C4687" s="305" t="s">
        <v>282</v>
      </c>
      <c r="D4687" s="575">
        <v>10.220000000000001</v>
      </c>
    </row>
    <row r="4688" spans="1:4" ht="13.5" x14ac:dyDescent="0.25">
      <c r="A4688" s="306">
        <v>91184</v>
      </c>
      <c r="B4688" s="305" t="s">
        <v>4335</v>
      </c>
      <c r="C4688" s="305" t="s">
        <v>282</v>
      </c>
      <c r="D4688" s="575">
        <v>9.5299999999999994</v>
      </c>
    </row>
    <row r="4689" spans="1:4" ht="13.5" x14ac:dyDescent="0.25">
      <c r="A4689" s="306">
        <v>91185</v>
      </c>
      <c r="B4689" s="305" t="s">
        <v>4336</v>
      </c>
      <c r="C4689" s="305" t="s">
        <v>282</v>
      </c>
      <c r="D4689" s="575">
        <v>5.31</v>
      </c>
    </row>
    <row r="4690" spans="1:4" ht="13.5" x14ac:dyDescent="0.25">
      <c r="A4690" s="306">
        <v>91186</v>
      </c>
      <c r="B4690" s="305" t="s">
        <v>4337</v>
      </c>
      <c r="C4690" s="305" t="s">
        <v>282</v>
      </c>
      <c r="D4690" s="575">
        <v>4.3600000000000003</v>
      </c>
    </row>
    <row r="4691" spans="1:4" ht="13.5" x14ac:dyDescent="0.25">
      <c r="A4691" s="306">
        <v>91187</v>
      </c>
      <c r="B4691" s="305" t="s">
        <v>4338</v>
      </c>
      <c r="C4691" s="305" t="s">
        <v>282</v>
      </c>
      <c r="D4691" s="575">
        <v>5.04</v>
      </c>
    </row>
    <row r="4692" spans="1:4" ht="13.5" x14ac:dyDescent="0.25">
      <c r="A4692" s="306">
        <v>91188</v>
      </c>
      <c r="B4692" s="305" t="s">
        <v>4339</v>
      </c>
      <c r="C4692" s="305" t="s">
        <v>363</v>
      </c>
      <c r="D4692" s="575">
        <v>5.52</v>
      </c>
    </row>
    <row r="4693" spans="1:4" ht="13.5" x14ac:dyDescent="0.25">
      <c r="A4693" s="306">
        <v>91189</v>
      </c>
      <c r="B4693" s="305" t="s">
        <v>4340</v>
      </c>
      <c r="C4693" s="305" t="s">
        <v>363</v>
      </c>
      <c r="D4693" s="575">
        <v>39.04</v>
      </c>
    </row>
    <row r="4694" spans="1:4" ht="13.5" x14ac:dyDescent="0.25">
      <c r="A4694" s="306">
        <v>91190</v>
      </c>
      <c r="B4694" s="305" t="s">
        <v>4341</v>
      </c>
      <c r="C4694" s="305" t="s">
        <v>363</v>
      </c>
      <c r="D4694" s="575">
        <v>3.93</v>
      </c>
    </row>
    <row r="4695" spans="1:4" ht="13.5" x14ac:dyDescent="0.25">
      <c r="A4695" s="306">
        <v>91191</v>
      </c>
      <c r="B4695" s="305" t="s">
        <v>4342</v>
      </c>
      <c r="C4695" s="305" t="s">
        <v>363</v>
      </c>
      <c r="D4695" s="575">
        <v>4.16</v>
      </c>
    </row>
    <row r="4696" spans="1:4" ht="13.5" x14ac:dyDescent="0.25">
      <c r="A4696" s="306">
        <v>91192</v>
      </c>
      <c r="B4696" s="305" t="s">
        <v>4343</v>
      </c>
      <c r="C4696" s="305" t="s">
        <v>363</v>
      </c>
      <c r="D4696" s="575">
        <v>4.5999999999999996</v>
      </c>
    </row>
    <row r="4697" spans="1:4" ht="13.5" x14ac:dyDescent="0.25">
      <c r="A4697" s="306">
        <v>91222</v>
      </c>
      <c r="B4697" s="305" t="s">
        <v>4344</v>
      </c>
      <c r="C4697" s="305" t="s">
        <v>282</v>
      </c>
      <c r="D4697" s="575">
        <v>10.63</v>
      </c>
    </row>
    <row r="4698" spans="1:4" ht="13.5" x14ac:dyDescent="0.25">
      <c r="A4698" s="306">
        <v>94480</v>
      </c>
      <c r="B4698" s="305" t="s">
        <v>4345</v>
      </c>
      <c r="C4698" s="305" t="s">
        <v>363</v>
      </c>
      <c r="D4698" s="576">
        <v>1705.95</v>
      </c>
    </row>
    <row r="4699" spans="1:4" ht="13.5" x14ac:dyDescent="0.25">
      <c r="A4699" s="306">
        <v>94481</v>
      </c>
      <c r="B4699" s="305" t="s">
        <v>4346</v>
      </c>
      <c r="C4699" s="305" t="s">
        <v>363</v>
      </c>
      <c r="D4699" s="576">
        <v>1223</v>
      </c>
    </row>
    <row r="4700" spans="1:4" ht="13.5" x14ac:dyDescent="0.25">
      <c r="A4700" s="306">
        <v>94482</v>
      </c>
      <c r="B4700" s="305" t="s">
        <v>4347</v>
      </c>
      <c r="C4700" s="305" t="s">
        <v>363</v>
      </c>
      <c r="D4700" s="575">
        <v>979.2</v>
      </c>
    </row>
    <row r="4701" spans="1:4" ht="13.5" x14ac:dyDescent="0.25">
      <c r="A4701" s="306">
        <v>94483</v>
      </c>
      <c r="B4701" s="305" t="s">
        <v>4348</v>
      </c>
      <c r="C4701" s="305" t="s">
        <v>363</v>
      </c>
      <c r="D4701" s="575">
        <v>831.73</v>
      </c>
    </row>
    <row r="4702" spans="1:4" ht="13.5" x14ac:dyDescent="0.25">
      <c r="A4702" s="306">
        <v>95541</v>
      </c>
      <c r="B4702" s="305" t="s">
        <v>4349</v>
      </c>
      <c r="C4702" s="305" t="s">
        <v>363</v>
      </c>
      <c r="D4702" s="575">
        <v>3.52</v>
      </c>
    </row>
    <row r="4703" spans="1:4" ht="13.5" x14ac:dyDescent="0.25">
      <c r="A4703" s="306">
        <v>96559</v>
      </c>
      <c r="B4703" s="305" t="s">
        <v>12822</v>
      </c>
      <c r="C4703" s="305" t="s">
        <v>521</v>
      </c>
      <c r="D4703" s="575">
        <v>74.8</v>
      </c>
    </row>
    <row r="4704" spans="1:4" ht="13.5" x14ac:dyDescent="0.25">
      <c r="A4704" s="306">
        <v>96560</v>
      </c>
      <c r="B4704" s="305" t="s">
        <v>12823</v>
      </c>
      <c r="C4704" s="305" t="s">
        <v>521</v>
      </c>
      <c r="D4704" s="575">
        <v>37.18</v>
      </c>
    </row>
    <row r="4705" spans="1:4" ht="13.5" x14ac:dyDescent="0.25">
      <c r="A4705" s="306">
        <v>96561</v>
      </c>
      <c r="B4705" s="305" t="s">
        <v>12824</v>
      </c>
      <c r="C4705" s="305" t="s">
        <v>521</v>
      </c>
      <c r="D4705" s="575">
        <v>22.39</v>
      </c>
    </row>
    <row r="4706" spans="1:4" ht="13.5" x14ac:dyDescent="0.25">
      <c r="A4706" s="306">
        <v>96562</v>
      </c>
      <c r="B4706" s="305" t="s">
        <v>12825</v>
      </c>
      <c r="C4706" s="305" t="s">
        <v>282</v>
      </c>
      <c r="D4706" s="575">
        <v>38.07</v>
      </c>
    </row>
    <row r="4707" spans="1:4" ht="13.5" x14ac:dyDescent="0.25">
      <c r="A4707" s="306">
        <v>96563</v>
      </c>
      <c r="B4707" s="305" t="s">
        <v>12826</v>
      </c>
      <c r="C4707" s="305" t="s">
        <v>282</v>
      </c>
      <c r="D4707" s="575">
        <v>40.369999999999997</v>
      </c>
    </row>
    <row r="4708" spans="1:4" ht="13.5" x14ac:dyDescent="0.25">
      <c r="A4708" s="305" t="s">
        <v>4350</v>
      </c>
      <c r="B4708" s="305" t="s">
        <v>4351</v>
      </c>
      <c r="C4708" s="305" t="s">
        <v>363</v>
      </c>
      <c r="D4708" s="575">
        <v>491</v>
      </c>
    </row>
    <row r="4709" spans="1:4" ht="13.5" x14ac:dyDescent="0.25">
      <c r="A4709" s="305" t="s">
        <v>4352</v>
      </c>
      <c r="B4709" s="305" t="s">
        <v>4353</v>
      </c>
      <c r="C4709" s="305" t="s">
        <v>363</v>
      </c>
      <c r="D4709" s="575">
        <v>638.29999999999995</v>
      </c>
    </row>
    <row r="4710" spans="1:4" ht="13.5" x14ac:dyDescent="0.25">
      <c r="A4710" s="305" t="s">
        <v>4354</v>
      </c>
      <c r="B4710" s="305" t="s">
        <v>4355</v>
      </c>
      <c r="C4710" s="305" t="s">
        <v>363</v>
      </c>
      <c r="D4710" s="575">
        <v>242.32</v>
      </c>
    </row>
    <row r="4711" spans="1:4" ht="13.5" x14ac:dyDescent="0.25">
      <c r="A4711" s="305" t="s">
        <v>4356</v>
      </c>
      <c r="B4711" s="305" t="s">
        <v>4357</v>
      </c>
      <c r="C4711" s="305" t="s">
        <v>363</v>
      </c>
      <c r="D4711" s="575">
        <v>387.72</v>
      </c>
    </row>
    <row r="4712" spans="1:4" ht="13.5" x14ac:dyDescent="0.25">
      <c r="A4712" s="305" t="s">
        <v>4358</v>
      </c>
      <c r="B4712" s="305" t="s">
        <v>4359</v>
      </c>
      <c r="C4712" s="305" t="s">
        <v>363</v>
      </c>
      <c r="D4712" s="575">
        <v>775.44</v>
      </c>
    </row>
    <row r="4713" spans="1:4" ht="13.5" x14ac:dyDescent="0.25">
      <c r="A4713" s="305" t="s">
        <v>4360</v>
      </c>
      <c r="B4713" s="305" t="s">
        <v>4361</v>
      </c>
      <c r="C4713" s="305" t="s">
        <v>363</v>
      </c>
      <c r="D4713" s="576">
        <v>1163.1600000000001</v>
      </c>
    </row>
    <row r="4714" spans="1:4" ht="13.5" x14ac:dyDescent="0.25">
      <c r="A4714" s="305" t="s">
        <v>4362</v>
      </c>
      <c r="B4714" s="305" t="s">
        <v>4363</v>
      </c>
      <c r="C4714" s="305" t="s">
        <v>363</v>
      </c>
      <c r="D4714" s="576">
        <v>1753.5</v>
      </c>
    </row>
    <row r="4715" spans="1:4" ht="13.5" x14ac:dyDescent="0.25">
      <c r="A4715" s="305" t="s">
        <v>4364</v>
      </c>
      <c r="B4715" s="305" t="s">
        <v>4365</v>
      </c>
      <c r="C4715" s="305" t="s">
        <v>363</v>
      </c>
      <c r="D4715" s="576">
        <v>2384.7600000000002</v>
      </c>
    </row>
    <row r="4716" spans="1:4" ht="13.5" x14ac:dyDescent="0.25">
      <c r="A4716" s="305" t="s">
        <v>4366</v>
      </c>
      <c r="B4716" s="305" t="s">
        <v>4367</v>
      </c>
      <c r="C4716" s="305" t="s">
        <v>363</v>
      </c>
      <c r="D4716" s="576">
        <v>2665.32</v>
      </c>
    </row>
    <row r="4717" spans="1:4" ht="13.5" x14ac:dyDescent="0.25">
      <c r="A4717" s="305" t="s">
        <v>4368</v>
      </c>
      <c r="B4717" s="305" t="s">
        <v>4369</v>
      </c>
      <c r="C4717" s="305" t="s">
        <v>363</v>
      </c>
      <c r="D4717" s="575">
        <v>701.4</v>
      </c>
    </row>
    <row r="4718" spans="1:4" ht="13.5" x14ac:dyDescent="0.25">
      <c r="A4718" s="305" t="s">
        <v>4370</v>
      </c>
      <c r="B4718" s="305" t="s">
        <v>4371</v>
      </c>
      <c r="C4718" s="305" t="s">
        <v>363</v>
      </c>
      <c r="D4718" s="575">
        <v>911.82</v>
      </c>
    </row>
    <row r="4719" spans="1:4" ht="13.5" x14ac:dyDescent="0.25">
      <c r="A4719" s="305" t="s">
        <v>4372</v>
      </c>
      <c r="B4719" s="305" t="s">
        <v>4373</v>
      </c>
      <c r="C4719" s="305" t="s">
        <v>363</v>
      </c>
      <c r="D4719" s="576">
        <v>1402.8</v>
      </c>
    </row>
    <row r="4720" spans="1:4" ht="13.5" x14ac:dyDescent="0.25">
      <c r="A4720" s="305" t="s">
        <v>4374</v>
      </c>
      <c r="B4720" s="305" t="s">
        <v>4375</v>
      </c>
      <c r="C4720" s="305" t="s">
        <v>363</v>
      </c>
      <c r="D4720" s="576">
        <v>2244.48</v>
      </c>
    </row>
    <row r="4721" spans="1:4" ht="13.5" x14ac:dyDescent="0.25">
      <c r="A4721" s="305" t="s">
        <v>4376</v>
      </c>
      <c r="B4721" s="305" t="s">
        <v>4377</v>
      </c>
      <c r="C4721" s="305" t="s">
        <v>363</v>
      </c>
      <c r="D4721" s="575">
        <v>242.32</v>
      </c>
    </row>
    <row r="4722" spans="1:4" ht="13.5" x14ac:dyDescent="0.25">
      <c r="A4722" s="305" t="s">
        <v>4378</v>
      </c>
      <c r="B4722" s="305" t="s">
        <v>4379</v>
      </c>
      <c r="C4722" s="305" t="s">
        <v>363</v>
      </c>
      <c r="D4722" s="575">
        <v>484.65</v>
      </c>
    </row>
    <row r="4723" spans="1:4" ht="13.5" x14ac:dyDescent="0.25">
      <c r="A4723" s="305" t="s">
        <v>4380</v>
      </c>
      <c r="B4723" s="305" t="s">
        <v>4381</v>
      </c>
      <c r="C4723" s="305" t="s">
        <v>363</v>
      </c>
      <c r="D4723" s="575">
        <v>969.3</v>
      </c>
    </row>
    <row r="4724" spans="1:4" ht="13.5" x14ac:dyDescent="0.25">
      <c r="A4724" s="306">
        <v>93350</v>
      </c>
      <c r="B4724" s="305" t="s">
        <v>4382</v>
      </c>
      <c r="C4724" s="305" t="s">
        <v>363</v>
      </c>
      <c r="D4724" s="575">
        <v>788.36</v>
      </c>
    </row>
    <row r="4725" spans="1:4" ht="13.5" x14ac:dyDescent="0.25">
      <c r="A4725" s="306">
        <v>93351</v>
      </c>
      <c r="B4725" s="305" t="s">
        <v>4383</v>
      </c>
      <c r="C4725" s="305" t="s">
        <v>363</v>
      </c>
      <c r="D4725" s="575">
        <v>642.22</v>
      </c>
    </row>
    <row r="4726" spans="1:4" ht="13.5" x14ac:dyDescent="0.25">
      <c r="A4726" s="306">
        <v>93352</v>
      </c>
      <c r="B4726" s="305" t="s">
        <v>4384</v>
      </c>
      <c r="C4726" s="305" t="s">
        <v>363</v>
      </c>
      <c r="D4726" s="575">
        <v>497.25</v>
      </c>
    </row>
    <row r="4727" spans="1:4" ht="13.5" x14ac:dyDescent="0.25">
      <c r="A4727" s="306">
        <v>93353</v>
      </c>
      <c r="B4727" s="305" t="s">
        <v>4385</v>
      </c>
      <c r="C4727" s="305" t="s">
        <v>363</v>
      </c>
      <c r="D4727" s="575">
        <v>355.93</v>
      </c>
    </row>
    <row r="4728" spans="1:4" ht="13.5" x14ac:dyDescent="0.25">
      <c r="A4728" s="306">
        <v>93354</v>
      </c>
      <c r="B4728" s="305" t="s">
        <v>4386</v>
      </c>
      <c r="C4728" s="305" t="s">
        <v>363</v>
      </c>
      <c r="D4728" s="575">
        <v>482.04</v>
      </c>
    </row>
    <row r="4729" spans="1:4" ht="13.5" x14ac:dyDescent="0.25">
      <c r="A4729" s="306">
        <v>93355</v>
      </c>
      <c r="B4729" s="305" t="s">
        <v>4387</v>
      </c>
      <c r="C4729" s="305" t="s">
        <v>363</v>
      </c>
      <c r="D4729" s="575">
        <v>400.76</v>
      </c>
    </row>
    <row r="4730" spans="1:4" ht="13.5" x14ac:dyDescent="0.25">
      <c r="A4730" s="306">
        <v>93356</v>
      </c>
      <c r="B4730" s="305" t="s">
        <v>4388</v>
      </c>
      <c r="C4730" s="305" t="s">
        <v>363</v>
      </c>
      <c r="D4730" s="575">
        <v>318.83999999999997</v>
      </c>
    </row>
    <row r="4731" spans="1:4" ht="13.5" x14ac:dyDescent="0.25">
      <c r="A4731" s="306">
        <v>93357</v>
      </c>
      <c r="B4731" s="305" t="s">
        <v>4389</v>
      </c>
      <c r="C4731" s="305" t="s">
        <v>363</v>
      </c>
      <c r="D4731" s="575">
        <v>238.78</v>
      </c>
    </row>
    <row r="4732" spans="1:4" ht="13.5" x14ac:dyDescent="0.25">
      <c r="A4732" s="305" t="s">
        <v>4390</v>
      </c>
      <c r="B4732" s="305" t="s">
        <v>4391</v>
      </c>
      <c r="C4732" s="305" t="s">
        <v>1456</v>
      </c>
      <c r="D4732" s="575">
        <v>2.62</v>
      </c>
    </row>
    <row r="4733" spans="1:4" ht="13.5" x14ac:dyDescent="0.25">
      <c r="A4733" s="305" t="s">
        <v>4392</v>
      </c>
      <c r="B4733" s="305" t="s">
        <v>4393</v>
      </c>
      <c r="C4733" s="305" t="s">
        <v>1456</v>
      </c>
      <c r="D4733" s="575">
        <v>2.69</v>
      </c>
    </row>
    <row r="4734" spans="1:4" ht="13.5" x14ac:dyDescent="0.25">
      <c r="A4734" s="305" t="s">
        <v>4394</v>
      </c>
      <c r="B4734" s="305" t="s">
        <v>4395</v>
      </c>
      <c r="C4734" s="305" t="s">
        <v>1456</v>
      </c>
      <c r="D4734" s="575">
        <v>1.34</v>
      </c>
    </row>
    <row r="4735" spans="1:4" ht="13.5" x14ac:dyDescent="0.25">
      <c r="A4735" s="306">
        <v>79480</v>
      </c>
      <c r="B4735" s="305" t="s">
        <v>4396</v>
      </c>
      <c r="C4735" s="305" t="s">
        <v>1456</v>
      </c>
      <c r="D4735" s="575">
        <v>2</v>
      </c>
    </row>
    <row r="4736" spans="1:4" ht="13.5" x14ac:dyDescent="0.25">
      <c r="A4736" s="306">
        <v>83336</v>
      </c>
      <c r="B4736" s="305" t="s">
        <v>4397</v>
      </c>
      <c r="C4736" s="305" t="s">
        <v>1456</v>
      </c>
      <c r="D4736" s="575">
        <v>4.26</v>
      </c>
    </row>
    <row r="4737" spans="1:4" ht="13.5" x14ac:dyDescent="0.25">
      <c r="A4737" s="306">
        <v>83338</v>
      </c>
      <c r="B4737" s="305" t="s">
        <v>4398</v>
      </c>
      <c r="C4737" s="305" t="s">
        <v>1456</v>
      </c>
      <c r="D4737" s="575">
        <v>2.35</v>
      </c>
    </row>
    <row r="4738" spans="1:4" ht="13.5" x14ac:dyDescent="0.25">
      <c r="A4738" s="306">
        <v>96520</v>
      </c>
      <c r="B4738" s="305" t="s">
        <v>4399</v>
      </c>
      <c r="C4738" s="305" t="s">
        <v>1456</v>
      </c>
      <c r="D4738" s="575">
        <v>70.78</v>
      </c>
    </row>
    <row r="4739" spans="1:4" ht="13.5" x14ac:dyDescent="0.25">
      <c r="A4739" s="306">
        <v>96521</v>
      </c>
      <c r="B4739" s="305" t="s">
        <v>4400</v>
      </c>
      <c r="C4739" s="305" t="s">
        <v>1456</v>
      </c>
      <c r="D4739" s="575">
        <v>28.56</v>
      </c>
    </row>
    <row r="4740" spans="1:4" ht="13.5" x14ac:dyDescent="0.25">
      <c r="A4740" s="306">
        <v>96522</v>
      </c>
      <c r="B4740" s="305" t="s">
        <v>4401</v>
      </c>
      <c r="C4740" s="305" t="s">
        <v>1456</v>
      </c>
      <c r="D4740" s="575">
        <v>118.48</v>
      </c>
    </row>
    <row r="4741" spans="1:4" ht="13.5" x14ac:dyDescent="0.25">
      <c r="A4741" s="306">
        <v>96523</v>
      </c>
      <c r="B4741" s="305" t="s">
        <v>4402</v>
      </c>
      <c r="C4741" s="305" t="s">
        <v>1456</v>
      </c>
      <c r="D4741" s="575">
        <v>76</v>
      </c>
    </row>
    <row r="4742" spans="1:4" ht="13.5" x14ac:dyDescent="0.25">
      <c r="A4742" s="306">
        <v>96524</v>
      </c>
      <c r="B4742" s="305" t="s">
        <v>4403</v>
      </c>
      <c r="C4742" s="305" t="s">
        <v>1456</v>
      </c>
      <c r="D4742" s="575">
        <v>137.24</v>
      </c>
    </row>
    <row r="4743" spans="1:4" ht="13.5" x14ac:dyDescent="0.25">
      <c r="A4743" s="306">
        <v>96525</v>
      </c>
      <c r="B4743" s="305" t="s">
        <v>4404</v>
      </c>
      <c r="C4743" s="305" t="s">
        <v>1456</v>
      </c>
      <c r="D4743" s="575">
        <v>28.19</v>
      </c>
    </row>
    <row r="4744" spans="1:4" ht="13.5" x14ac:dyDescent="0.25">
      <c r="A4744" s="306">
        <v>96526</v>
      </c>
      <c r="B4744" s="305" t="s">
        <v>4405</v>
      </c>
      <c r="C4744" s="305" t="s">
        <v>1456</v>
      </c>
      <c r="D4744" s="575">
        <v>238.81</v>
      </c>
    </row>
    <row r="4745" spans="1:4" ht="13.5" x14ac:dyDescent="0.25">
      <c r="A4745" s="306">
        <v>96527</v>
      </c>
      <c r="B4745" s="305" t="s">
        <v>4406</v>
      </c>
      <c r="C4745" s="305" t="s">
        <v>1456</v>
      </c>
      <c r="D4745" s="575">
        <v>99.89</v>
      </c>
    </row>
    <row r="4746" spans="1:4" ht="13.5" x14ac:dyDescent="0.25">
      <c r="A4746" s="306">
        <v>96528</v>
      </c>
      <c r="B4746" s="305" t="s">
        <v>4407</v>
      </c>
      <c r="C4746" s="305" t="s">
        <v>521</v>
      </c>
      <c r="D4746" s="575">
        <v>98.92</v>
      </c>
    </row>
    <row r="4747" spans="1:4" ht="13.5" x14ac:dyDescent="0.25">
      <c r="A4747" s="306">
        <v>101114</v>
      </c>
      <c r="B4747" s="305" t="s">
        <v>12827</v>
      </c>
      <c r="C4747" s="305" t="s">
        <v>1456</v>
      </c>
      <c r="D4747" s="575">
        <v>2.67</v>
      </c>
    </row>
    <row r="4748" spans="1:4" ht="13.5" x14ac:dyDescent="0.25">
      <c r="A4748" s="306">
        <v>101115</v>
      </c>
      <c r="B4748" s="305" t="s">
        <v>12828</v>
      </c>
      <c r="C4748" s="305" t="s">
        <v>1456</v>
      </c>
      <c r="D4748" s="575">
        <v>2.21</v>
      </c>
    </row>
    <row r="4749" spans="1:4" ht="13.5" x14ac:dyDescent="0.25">
      <c r="A4749" s="306">
        <v>101116</v>
      </c>
      <c r="B4749" s="305" t="s">
        <v>12829</v>
      </c>
      <c r="C4749" s="305" t="s">
        <v>1456</v>
      </c>
      <c r="D4749" s="575">
        <v>1.37</v>
      </c>
    </row>
    <row r="4750" spans="1:4" ht="13.5" x14ac:dyDescent="0.25">
      <c r="A4750" s="306">
        <v>101117</v>
      </c>
      <c r="B4750" s="305" t="s">
        <v>12830</v>
      </c>
      <c r="C4750" s="305" t="s">
        <v>1456</v>
      </c>
      <c r="D4750" s="575">
        <v>1.83</v>
      </c>
    </row>
    <row r="4751" spans="1:4" ht="13.5" x14ac:dyDescent="0.25">
      <c r="A4751" s="306">
        <v>101118</v>
      </c>
      <c r="B4751" s="305" t="s">
        <v>12831</v>
      </c>
      <c r="C4751" s="305" t="s">
        <v>1456</v>
      </c>
      <c r="D4751" s="575">
        <v>2.29</v>
      </c>
    </row>
    <row r="4752" spans="1:4" ht="13.5" x14ac:dyDescent="0.25">
      <c r="A4752" s="306">
        <v>101119</v>
      </c>
      <c r="B4752" s="305" t="s">
        <v>12832</v>
      </c>
      <c r="C4752" s="305" t="s">
        <v>1456</v>
      </c>
      <c r="D4752" s="575">
        <v>5.12</v>
      </c>
    </row>
    <row r="4753" spans="1:4" ht="13.5" x14ac:dyDescent="0.25">
      <c r="A4753" s="306">
        <v>101120</v>
      </c>
      <c r="B4753" s="305" t="s">
        <v>12833</v>
      </c>
      <c r="C4753" s="305" t="s">
        <v>1456</v>
      </c>
      <c r="D4753" s="575">
        <v>4.22</v>
      </c>
    </row>
    <row r="4754" spans="1:4" ht="13.5" x14ac:dyDescent="0.25">
      <c r="A4754" s="306">
        <v>101121</v>
      </c>
      <c r="B4754" s="305" t="s">
        <v>12834</v>
      </c>
      <c r="C4754" s="305" t="s">
        <v>1456</v>
      </c>
      <c r="D4754" s="575">
        <v>2.64</v>
      </c>
    </row>
    <row r="4755" spans="1:4" ht="13.5" x14ac:dyDescent="0.25">
      <c r="A4755" s="306">
        <v>101122</v>
      </c>
      <c r="B4755" s="305" t="s">
        <v>12835</v>
      </c>
      <c r="C4755" s="305" t="s">
        <v>1456</v>
      </c>
      <c r="D4755" s="575">
        <v>3.5</v>
      </c>
    </row>
    <row r="4756" spans="1:4" ht="13.5" x14ac:dyDescent="0.25">
      <c r="A4756" s="306">
        <v>101123</v>
      </c>
      <c r="B4756" s="305" t="s">
        <v>12836</v>
      </c>
      <c r="C4756" s="305" t="s">
        <v>1456</v>
      </c>
      <c r="D4756" s="575">
        <v>4.3899999999999997</v>
      </c>
    </row>
    <row r="4757" spans="1:4" ht="13.5" x14ac:dyDescent="0.25">
      <c r="A4757" s="306">
        <v>101124</v>
      </c>
      <c r="B4757" s="305" t="s">
        <v>12837</v>
      </c>
      <c r="C4757" s="305" t="s">
        <v>1456</v>
      </c>
      <c r="D4757" s="575">
        <v>8.7200000000000006</v>
      </c>
    </row>
    <row r="4758" spans="1:4" ht="13.5" x14ac:dyDescent="0.25">
      <c r="A4758" s="306">
        <v>101125</v>
      </c>
      <c r="B4758" s="305" t="s">
        <v>12838</v>
      </c>
      <c r="C4758" s="305" t="s">
        <v>1456</v>
      </c>
      <c r="D4758" s="575">
        <v>8.26</v>
      </c>
    </row>
    <row r="4759" spans="1:4" ht="13.5" x14ac:dyDescent="0.25">
      <c r="A4759" s="306">
        <v>101126</v>
      </c>
      <c r="B4759" s="305" t="s">
        <v>12839</v>
      </c>
      <c r="C4759" s="305" t="s">
        <v>1456</v>
      </c>
      <c r="D4759" s="575">
        <v>7.42</v>
      </c>
    </row>
    <row r="4760" spans="1:4" ht="13.5" x14ac:dyDescent="0.25">
      <c r="A4760" s="306">
        <v>101127</v>
      </c>
      <c r="B4760" s="305" t="s">
        <v>12840</v>
      </c>
      <c r="C4760" s="305" t="s">
        <v>1456</v>
      </c>
      <c r="D4760" s="575">
        <v>7.88</v>
      </c>
    </row>
    <row r="4761" spans="1:4" ht="13.5" x14ac:dyDescent="0.25">
      <c r="A4761" s="306">
        <v>101128</v>
      </c>
      <c r="B4761" s="305" t="s">
        <v>12841</v>
      </c>
      <c r="C4761" s="305" t="s">
        <v>1456</v>
      </c>
      <c r="D4761" s="575">
        <v>8.34</v>
      </c>
    </row>
    <row r="4762" spans="1:4" ht="13.5" x14ac:dyDescent="0.25">
      <c r="A4762" s="306">
        <v>101129</v>
      </c>
      <c r="B4762" s="305" t="s">
        <v>12842</v>
      </c>
      <c r="C4762" s="305" t="s">
        <v>1456</v>
      </c>
      <c r="D4762" s="575">
        <v>11.41</v>
      </c>
    </row>
    <row r="4763" spans="1:4" ht="13.5" x14ac:dyDescent="0.25">
      <c r="A4763" s="306">
        <v>101130</v>
      </c>
      <c r="B4763" s="305" t="s">
        <v>12843</v>
      </c>
      <c r="C4763" s="305" t="s">
        <v>1456</v>
      </c>
      <c r="D4763" s="575">
        <v>10.51</v>
      </c>
    </row>
    <row r="4764" spans="1:4" ht="13.5" x14ac:dyDescent="0.25">
      <c r="A4764" s="306">
        <v>101131</v>
      </c>
      <c r="B4764" s="305" t="s">
        <v>12844</v>
      </c>
      <c r="C4764" s="305" t="s">
        <v>1456</v>
      </c>
      <c r="D4764" s="575">
        <v>8.93</v>
      </c>
    </row>
    <row r="4765" spans="1:4" ht="13.5" x14ac:dyDescent="0.25">
      <c r="A4765" s="306">
        <v>101132</v>
      </c>
      <c r="B4765" s="305" t="s">
        <v>12845</v>
      </c>
      <c r="C4765" s="305" t="s">
        <v>1456</v>
      </c>
      <c r="D4765" s="575">
        <v>9.7899999999999991</v>
      </c>
    </row>
    <row r="4766" spans="1:4" ht="13.5" x14ac:dyDescent="0.25">
      <c r="A4766" s="306">
        <v>101133</v>
      </c>
      <c r="B4766" s="305" t="s">
        <v>12846</v>
      </c>
      <c r="C4766" s="305" t="s">
        <v>1456</v>
      </c>
      <c r="D4766" s="575">
        <v>10.68</v>
      </c>
    </row>
    <row r="4767" spans="1:4" ht="13.5" x14ac:dyDescent="0.25">
      <c r="A4767" s="306">
        <v>101134</v>
      </c>
      <c r="B4767" s="305" t="s">
        <v>12847</v>
      </c>
      <c r="C4767" s="305" t="s">
        <v>1456</v>
      </c>
      <c r="D4767" s="575">
        <v>9.08</v>
      </c>
    </row>
    <row r="4768" spans="1:4" ht="13.5" x14ac:dyDescent="0.25">
      <c r="A4768" s="306">
        <v>101135</v>
      </c>
      <c r="B4768" s="305" t="s">
        <v>12848</v>
      </c>
      <c r="C4768" s="305" t="s">
        <v>1456</v>
      </c>
      <c r="D4768" s="575">
        <v>8.6199999999999992</v>
      </c>
    </row>
    <row r="4769" spans="1:4" ht="13.5" x14ac:dyDescent="0.25">
      <c r="A4769" s="306">
        <v>101136</v>
      </c>
      <c r="B4769" s="305" t="s">
        <v>12849</v>
      </c>
      <c r="C4769" s="305" t="s">
        <v>1456</v>
      </c>
      <c r="D4769" s="575">
        <v>7.78</v>
      </c>
    </row>
    <row r="4770" spans="1:4" ht="13.5" x14ac:dyDescent="0.25">
      <c r="A4770" s="306">
        <v>101137</v>
      </c>
      <c r="B4770" s="305" t="s">
        <v>12850</v>
      </c>
      <c r="C4770" s="305" t="s">
        <v>1456</v>
      </c>
      <c r="D4770" s="575">
        <v>8.24</v>
      </c>
    </row>
    <row r="4771" spans="1:4" ht="13.5" x14ac:dyDescent="0.25">
      <c r="A4771" s="306">
        <v>101138</v>
      </c>
      <c r="B4771" s="305" t="s">
        <v>12851</v>
      </c>
      <c r="C4771" s="305" t="s">
        <v>1456</v>
      </c>
      <c r="D4771" s="575">
        <v>8.6999999999999993</v>
      </c>
    </row>
    <row r="4772" spans="1:4" ht="13.5" x14ac:dyDescent="0.25">
      <c r="A4772" s="306">
        <v>101139</v>
      </c>
      <c r="B4772" s="305" t="s">
        <v>12852</v>
      </c>
      <c r="C4772" s="305" t="s">
        <v>1456</v>
      </c>
      <c r="D4772" s="575">
        <v>11.78</v>
      </c>
    </row>
    <row r="4773" spans="1:4" ht="13.5" x14ac:dyDescent="0.25">
      <c r="A4773" s="306">
        <v>101140</v>
      </c>
      <c r="B4773" s="305" t="s">
        <v>12853</v>
      </c>
      <c r="C4773" s="305" t="s">
        <v>1456</v>
      </c>
      <c r="D4773" s="575">
        <v>10.88</v>
      </c>
    </row>
    <row r="4774" spans="1:4" ht="13.5" x14ac:dyDescent="0.25">
      <c r="A4774" s="306">
        <v>101141</v>
      </c>
      <c r="B4774" s="305" t="s">
        <v>12854</v>
      </c>
      <c r="C4774" s="305" t="s">
        <v>1456</v>
      </c>
      <c r="D4774" s="575">
        <v>9.3000000000000007</v>
      </c>
    </row>
    <row r="4775" spans="1:4" ht="13.5" x14ac:dyDescent="0.25">
      <c r="A4775" s="306">
        <v>101142</v>
      </c>
      <c r="B4775" s="305" t="s">
        <v>12855</v>
      </c>
      <c r="C4775" s="305" t="s">
        <v>1456</v>
      </c>
      <c r="D4775" s="575">
        <v>10.16</v>
      </c>
    </row>
    <row r="4776" spans="1:4" ht="13.5" x14ac:dyDescent="0.25">
      <c r="A4776" s="306">
        <v>101143</v>
      </c>
      <c r="B4776" s="305" t="s">
        <v>12856</v>
      </c>
      <c r="C4776" s="305" t="s">
        <v>1456</v>
      </c>
      <c r="D4776" s="575">
        <v>11.05</v>
      </c>
    </row>
    <row r="4777" spans="1:4" ht="13.5" x14ac:dyDescent="0.25">
      <c r="A4777" s="306">
        <v>101144</v>
      </c>
      <c r="B4777" s="305" t="s">
        <v>12857</v>
      </c>
      <c r="C4777" s="305" t="s">
        <v>1456</v>
      </c>
      <c r="D4777" s="575">
        <v>9</v>
      </c>
    </row>
    <row r="4778" spans="1:4" ht="13.5" x14ac:dyDescent="0.25">
      <c r="A4778" s="306">
        <v>101145</v>
      </c>
      <c r="B4778" s="305" t="s">
        <v>12858</v>
      </c>
      <c r="C4778" s="305" t="s">
        <v>1456</v>
      </c>
      <c r="D4778" s="575">
        <v>8.5399999999999991</v>
      </c>
    </row>
    <row r="4779" spans="1:4" ht="13.5" x14ac:dyDescent="0.25">
      <c r="A4779" s="306">
        <v>101146</v>
      </c>
      <c r="B4779" s="305" t="s">
        <v>12859</v>
      </c>
      <c r="C4779" s="305" t="s">
        <v>1456</v>
      </c>
      <c r="D4779" s="575">
        <v>7.7</v>
      </c>
    </row>
    <row r="4780" spans="1:4" ht="13.5" x14ac:dyDescent="0.25">
      <c r="A4780" s="306">
        <v>101147</v>
      </c>
      <c r="B4780" s="305" t="s">
        <v>12860</v>
      </c>
      <c r="C4780" s="305" t="s">
        <v>1456</v>
      </c>
      <c r="D4780" s="575">
        <v>8.16</v>
      </c>
    </row>
    <row r="4781" spans="1:4" ht="13.5" x14ac:dyDescent="0.25">
      <c r="A4781" s="306">
        <v>101148</v>
      </c>
      <c r="B4781" s="305" t="s">
        <v>12861</v>
      </c>
      <c r="C4781" s="305" t="s">
        <v>1456</v>
      </c>
      <c r="D4781" s="575">
        <v>8.6199999999999992</v>
      </c>
    </row>
    <row r="4782" spans="1:4" ht="13.5" x14ac:dyDescent="0.25">
      <c r="A4782" s="306">
        <v>101149</v>
      </c>
      <c r="B4782" s="305" t="s">
        <v>12862</v>
      </c>
      <c r="C4782" s="305" t="s">
        <v>1456</v>
      </c>
      <c r="D4782" s="575">
        <v>11.71</v>
      </c>
    </row>
    <row r="4783" spans="1:4" ht="13.5" x14ac:dyDescent="0.25">
      <c r="A4783" s="306">
        <v>101150</v>
      </c>
      <c r="B4783" s="305" t="s">
        <v>12863</v>
      </c>
      <c r="C4783" s="305" t="s">
        <v>1456</v>
      </c>
      <c r="D4783" s="575">
        <v>10.81</v>
      </c>
    </row>
    <row r="4784" spans="1:4" ht="13.5" x14ac:dyDescent="0.25">
      <c r="A4784" s="306">
        <v>101151</v>
      </c>
      <c r="B4784" s="305" t="s">
        <v>12864</v>
      </c>
      <c r="C4784" s="305" t="s">
        <v>1456</v>
      </c>
      <c r="D4784" s="575">
        <v>9.23</v>
      </c>
    </row>
    <row r="4785" spans="1:4" ht="13.5" x14ac:dyDescent="0.25">
      <c r="A4785" s="306">
        <v>101152</v>
      </c>
      <c r="B4785" s="305" t="s">
        <v>12865</v>
      </c>
      <c r="C4785" s="305" t="s">
        <v>1456</v>
      </c>
      <c r="D4785" s="575">
        <v>10.09</v>
      </c>
    </row>
    <row r="4786" spans="1:4" ht="13.5" x14ac:dyDescent="0.25">
      <c r="A4786" s="306">
        <v>101153</v>
      </c>
      <c r="B4786" s="305" t="s">
        <v>12866</v>
      </c>
      <c r="C4786" s="305" t="s">
        <v>1456</v>
      </c>
      <c r="D4786" s="575">
        <v>10.98</v>
      </c>
    </row>
    <row r="4787" spans="1:4" ht="13.5" x14ac:dyDescent="0.25">
      <c r="A4787" s="306">
        <v>101206</v>
      </c>
      <c r="B4787" s="305" t="s">
        <v>12867</v>
      </c>
      <c r="C4787" s="305" t="s">
        <v>1456</v>
      </c>
      <c r="D4787" s="575">
        <v>7.05</v>
      </c>
    </row>
    <row r="4788" spans="1:4" ht="13.5" x14ac:dyDescent="0.25">
      <c r="A4788" s="306">
        <v>101207</v>
      </c>
      <c r="B4788" s="305" t="s">
        <v>12868</v>
      </c>
      <c r="C4788" s="305" t="s">
        <v>1456</v>
      </c>
      <c r="D4788" s="575">
        <v>6.14</v>
      </c>
    </row>
    <row r="4789" spans="1:4" ht="13.5" x14ac:dyDescent="0.25">
      <c r="A4789" s="306">
        <v>101208</v>
      </c>
      <c r="B4789" s="305" t="s">
        <v>12869</v>
      </c>
      <c r="C4789" s="305" t="s">
        <v>1456</v>
      </c>
      <c r="D4789" s="575">
        <v>5.96</v>
      </c>
    </row>
    <row r="4790" spans="1:4" ht="13.5" x14ac:dyDescent="0.25">
      <c r="A4790" s="306">
        <v>101209</v>
      </c>
      <c r="B4790" s="305" t="s">
        <v>12870</v>
      </c>
      <c r="C4790" s="305" t="s">
        <v>1456</v>
      </c>
      <c r="D4790" s="575">
        <v>5.52</v>
      </c>
    </row>
    <row r="4791" spans="1:4" ht="13.5" x14ac:dyDescent="0.25">
      <c r="A4791" s="306">
        <v>101210</v>
      </c>
      <c r="B4791" s="305" t="s">
        <v>12871</v>
      </c>
      <c r="C4791" s="305" t="s">
        <v>1456</v>
      </c>
      <c r="D4791" s="575">
        <v>9.8000000000000007</v>
      </c>
    </row>
    <row r="4792" spans="1:4" ht="13.5" x14ac:dyDescent="0.25">
      <c r="A4792" s="306">
        <v>101211</v>
      </c>
      <c r="B4792" s="305" t="s">
        <v>12872</v>
      </c>
      <c r="C4792" s="305" t="s">
        <v>1456</v>
      </c>
      <c r="D4792" s="575">
        <v>10.51</v>
      </c>
    </row>
    <row r="4793" spans="1:4" ht="13.5" x14ac:dyDescent="0.25">
      <c r="A4793" s="306">
        <v>101212</v>
      </c>
      <c r="B4793" s="305" t="s">
        <v>12873</v>
      </c>
      <c r="C4793" s="305" t="s">
        <v>1456</v>
      </c>
      <c r="D4793" s="575">
        <v>12.19</v>
      </c>
    </row>
    <row r="4794" spans="1:4" ht="13.5" x14ac:dyDescent="0.25">
      <c r="A4794" s="306">
        <v>101213</v>
      </c>
      <c r="B4794" s="305" t="s">
        <v>12874</v>
      </c>
      <c r="C4794" s="305" t="s">
        <v>1456</v>
      </c>
      <c r="D4794" s="575">
        <v>13.57</v>
      </c>
    </row>
    <row r="4795" spans="1:4" ht="13.5" x14ac:dyDescent="0.25">
      <c r="A4795" s="306">
        <v>101214</v>
      </c>
      <c r="B4795" s="305" t="s">
        <v>12875</v>
      </c>
      <c r="C4795" s="305" t="s">
        <v>1456</v>
      </c>
      <c r="D4795" s="575">
        <v>16.38</v>
      </c>
    </row>
    <row r="4796" spans="1:4" ht="13.5" x14ac:dyDescent="0.25">
      <c r="A4796" s="306">
        <v>101215</v>
      </c>
      <c r="B4796" s="305" t="s">
        <v>12876</v>
      </c>
      <c r="C4796" s="305" t="s">
        <v>1456</v>
      </c>
      <c r="D4796" s="575">
        <v>9.35</v>
      </c>
    </row>
    <row r="4797" spans="1:4" ht="13.5" x14ac:dyDescent="0.25">
      <c r="A4797" s="306">
        <v>101216</v>
      </c>
      <c r="B4797" s="305" t="s">
        <v>12877</v>
      </c>
      <c r="C4797" s="305" t="s">
        <v>1456</v>
      </c>
      <c r="D4797" s="575">
        <v>9.81</v>
      </c>
    </row>
    <row r="4798" spans="1:4" ht="13.5" x14ac:dyDescent="0.25">
      <c r="A4798" s="306">
        <v>101217</v>
      </c>
      <c r="B4798" s="305" t="s">
        <v>12878</v>
      </c>
      <c r="C4798" s="305" t="s">
        <v>1456</v>
      </c>
      <c r="D4798" s="575">
        <v>11.37</v>
      </c>
    </row>
    <row r="4799" spans="1:4" ht="13.5" x14ac:dyDescent="0.25">
      <c r="A4799" s="306">
        <v>101218</v>
      </c>
      <c r="B4799" s="305" t="s">
        <v>12879</v>
      </c>
      <c r="C4799" s="305" t="s">
        <v>1456</v>
      </c>
      <c r="D4799" s="575">
        <v>12.05</v>
      </c>
    </row>
    <row r="4800" spans="1:4" ht="13.5" x14ac:dyDescent="0.25">
      <c r="A4800" s="306">
        <v>101219</v>
      </c>
      <c r="B4800" s="305" t="s">
        <v>12880</v>
      </c>
      <c r="C4800" s="305" t="s">
        <v>1456</v>
      </c>
      <c r="D4800" s="575">
        <v>14.57</v>
      </c>
    </row>
    <row r="4801" spans="1:4" ht="13.5" x14ac:dyDescent="0.25">
      <c r="A4801" s="306">
        <v>101220</v>
      </c>
      <c r="B4801" s="305" t="s">
        <v>12881</v>
      </c>
      <c r="C4801" s="305" t="s">
        <v>1456</v>
      </c>
      <c r="D4801" s="575">
        <v>9.18</v>
      </c>
    </row>
    <row r="4802" spans="1:4" ht="13.5" x14ac:dyDescent="0.25">
      <c r="A4802" s="306">
        <v>101221</v>
      </c>
      <c r="B4802" s="305" t="s">
        <v>12882</v>
      </c>
      <c r="C4802" s="305" t="s">
        <v>1456</v>
      </c>
      <c r="D4802" s="575">
        <v>9.7200000000000006</v>
      </c>
    </row>
    <row r="4803" spans="1:4" ht="13.5" x14ac:dyDescent="0.25">
      <c r="A4803" s="306">
        <v>101222</v>
      </c>
      <c r="B4803" s="305" t="s">
        <v>12883</v>
      </c>
      <c r="C4803" s="305" t="s">
        <v>1456</v>
      </c>
      <c r="D4803" s="575">
        <v>11.26</v>
      </c>
    </row>
    <row r="4804" spans="1:4" ht="13.5" x14ac:dyDescent="0.25">
      <c r="A4804" s="306">
        <v>101223</v>
      </c>
      <c r="B4804" s="305" t="s">
        <v>12884</v>
      </c>
      <c r="C4804" s="305" t="s">
        <v>1456</v>
      </c>
      <c r="D4804" s="575">
        <v>12.49</v>
      </c>
    </row>
    <row r="4805" spans="1:4" ht="13.5" x14ac:dyDescent="0.25">
      <c r="A4805" s="306">
        <v>101224</v>
      </c>
      <c r="B4805" s="305" t="s">
        <v>12885</v>
      </c>
      <c r="C4805" s="305" t="s">
        <v>1456</v>
      </c>
      <c r="D4805" s="575">
        <v>15.6</v>
      </c>
    </row>
    <row r="4806" spans="1:4" ht="13.5" x14ac:dyDescent="0.25">
      <c r="A4806" s="306">
        <v>101225</v>
      </c>
      <c r="B4806" s="305" t="s">
        <v>12886</v>
      </c>
      <c r="C4806" s="305" t="s">
        <v>1456</v>
      </c>
      <c r="D4806" s="575">
        <v>8.4</v>
      </c>
    </row>
    <row r="4807" spans="1:4" ht="13.5" x14ac:dyDescent="0.25">
      <c r="A4807" s="306">
        <v>101226</v>
      </c>
      <c r="B4807" s="305" t="s">
        <v>12887</v>
      </c>
      <c r="C4807" s="305" t="s">
        <v>1456</v>
      </c>
      <c r="D4807" s="575">
        <v>8.8699999999999992</v>
      </c>
    </row>
    <row r="4808" spans="1:4" ht="13.5" x14ac:dyDescent="0.25">
      <c r="A4808" s="306">
        <v>101227</v>
      </c>
      <c r="B4808" s="305" t="s">
        <v>12888</v>
      </c>
      <c r="C4808" s="305" t="s">
        <v>1456</v>
      </c>
      <c r="D4808" s="575">
        <v>10.24</v>
      </c>
    </row>
    <row r="4809" spans="1:4" ht="13.5" x14ac:dyDescent="0.25">
      <c r="A4809" s="306">
        <v>101228</v>
      </c>
      <c r="B4809" s="305" t="s">
        <v>12889</v>
      </c>
      <c r="C4809" s="305" t="s">
        <v>1456</v>
      </c>
      <c r="D4809" s="575">
        <v>10.94</v>
      </c>
    </row>
    <row r="4810" spans="1:4" ht="13.5" x14ac:dyDescent="0.25">
      <c r="A4810" s="306">
        <v>101229</v>
      </c>
      <c r="B4810" s="305" t="s">
        <v>12890</v>
      </c>
      <c r="C4810" s="305" t="s">
        <v>1456</v>
      </c>
      <c r="D4810" s="575">
        <v>13.73</v>
      </c>
    </row>
    <row r="4811" spans="1:4" ht="13.5" x14ac:dyDescent="0.25">
      <c r="A4811" s="306">
        <v>101230</v>
      </c>
      <c r="B4811" s="305" t="s">
        <v>12891</v>
      </c>
      <c r="C4811" s="305" t="s">
        <v>1456</v>
      </c>
      <c r="D4811" s="575">
        <v>6.21</v>
      </c>
    </row>
    <row r="4812" spans="1:4" ht="13.5" x14ac:dyDescent="0.25">
      <c r="A4812" s="306">
        <v>101231</v>
      </c>
      <c r="B4812" s="305" t="s">
        <v>12892</v>
      </c>
      <c r="C4812" s="305" t="s">
        <v>1456</v>
      </c>
      <c r="D4812" s="575">
        <v>5.87</v>
      </c>
    </row>
    <row r="4813" spans="1:4" ht="13.5" x14ac:dyDescent="0.25">
      <c r="A4813" s="306">
        <v>101232</v>
      </c>
      <c r="B4813" s="305" t="s">
        <v>12893</v>
      </c>
      <c r="C4813" s="305" t="s">
        <v>1456</v>
      </c>
      <c r="D4813" s="575">
        <v>5.32</v>
      </c>
    </row>
    <row r="4814" spans="1:4" ht="13.5" x14ac:dyDescent="0.25">
      <c r="A4814" s="306">
        <v>101233</v>
      </c>
      <c r="B4814" s="305" t="s">
        <v>12894</v>
      </c>
      <c r="C4814" s="305" t="s">
        <v>1456</v>
      </c>
      <c r="D4814" s="575">
        <v>4.88</v>
      </c>
    </row>
    <row r="4815" spans="1:4" ht="13.5" x14ac:dyDescent="0.25">
      <c r="A4815" s="306">
        <v>101234</v>
      </c>
      <c r="B4815" s="305" t="s">
        <v>12895</v>
      </c>
      <c r="C4815" s="305" t="s">
        <v>1456</v>
      </c>
      <c r="D4815" s="575">
        <v>9.5299999999999994</v>
      </c>
    </row>
    <row r="4816" spans="1:4" ht="13.5" x14ac:dyDescent="0.25">
      <c r="A4816" s="306">
        <v>101235</v>
      </c>
      <c r="B4816" s="305" t="s">
        <v>12896</v>
      </c>
      <c r="C4816" s="305" t="s">
        <v>1456</v>
      </c>
      <c r="D4816" s="575">
        <v>10.039999999999999</v>
      </c>
    </row>
    <row r="4817" spans="1:4" ht="13.5" x14ac:dyDescent="0.25">
      <c r="A4817" s="306">
        <v>101236</v>
      </c>
      <c r="B4817" s="305" t="s">
        <v>12897</v>
      </c>
      <c r="C4817" s="305" t="s">
        <v>1456</v>
      </c>
      <c r="D4817" s="575">
        <v>11.66</v>
      </c>
    </row>
    <row r="4818" spans="1:4" ht="13.5" x14ac:dyDescent="0.25">
      <c r="A4818" s="306">
        <v>101237</v>
      </c>
      <c r="B4818" s="305" t="s">
        <v>12898</v>
      </c>
      <c r="C4818" s="305" t="s">
        <v>1456</v>
      </c>
      <c r="D4818" s="575">
        <v>12.44</v>
      </c>
    </row>
    <row r="4819" spans="1:4" ht="13.5" x14ac:dyDescent="0.25">
      <c r="A4819" s="306">
        <v>101238</v>
      </c>
      <c r="B4819" s="305" t="s">
        <v>12899</v>
      </c>
      <c r="C4819" s="305" t="s">
        <v>1456</v>
      </c>
      <c r="D4819" s="575">
        <v>15.66</v>
      </c>
    </row>
    <row r="4820" spans="1:4" ht="13.5" x14ac:dyDescent="0.25">
      <c r="A4820" s="306">
        <v>101239</v>
      </c>
      <c r="B4820" s="305" t="s">
        <v>12900</v>
      </c>
      <c r="C4820" s="305" t="s">
        <v>1456</v>
      </c>
      <c r="D4820" s="575">
        <v>8.3800000000000008</v>
      </c>
    </row>
    <row r="4821" spans="1:4" ht="13.5" x14ac:dyDescent="0.25">
      <c r="A4821" s="306">
        <v>101240</v>
      </c>
      <c r="B4821" s="305" t="s">
        <v>12901</v>
      </c>
      <c r="C4821" s="305" t="s">
        <v>1456</v>
      </c>
      <c r="D4821" s="575">
        <v>8.8699999999999992</v>
      </c>
    </row>
    <row r="4822" spans="1:4" ht="13.5" x14ac:dyDescent="0.25">
      <c r="A4822" s="306">
        <v>101241</v>
      </c>
      <c r="B4822" s="305" t="s">
        <v>12902</v>
      </c>
      <c r="C4822" s="305" t="s">
        <v>1456</v>
      </c>
      <c r="D4822" s="575">
        <v>10.3</v>
      </c>
    </row>
    <row r="4823" spans="1:4" ht="13.5" x14ac:dyDescent="0.25">
      <c r="A4823" s="306">
        <v>101242</v>
      </c>
      <c r="B4823" s="305" t="s">
        <v>12903</v>
      </c>
      <c r="C4823" s="305" t="s">
        <v>1456</v>
      </c>
      <c r="D4823" s="575">
        <v>11.47</v>
      </c>
    </row>
    <row r="4824" spans="1:4" ht="13.5" x14ac:dyDescent="0.25">
      <c r="A4824" s="306">
        <v>101243</v>
      </c>
      <c r="B4824" s="305" t="s">
        <v>12904</v>
      </c>
      <c r="C4824" s="305" t="s">
        <v>1456</v>
      </c>
      <c r="D4824" s="575">
        <v>13.89</v>
      </c>
    </row>
    <row r="4825" spans="1:4" ht="13.5" x14ac:dyDescent="0.25">
      <c r="A4825" s="306">
        <v>101244</v>
      </c>
      <c r="B4825" s="305" t="s">
        <v>12905</v>
      </c>
      <c r="C4825" s="305" t="s">
        <v>1456</v>
      </c>
      <c r="D4825" s="575">
        <v>8.7799999999999994</v>
      </c>
    </row>
    <row r="4826" spans="1:4" ht="13.5" x14ac:dyDescent="0.25">
      <c r="A4826" s="306">
        <v>101245</v>
      </c>
      <c r="B4826" s="305" t="s">
        <v>12906</v>
      </c>
      <c r="C4826" s="305" t="s">
        <v>1456</v>
      </c>
      <c r="D4826" s="575">
        <v>9.31</v>
      </c>
    </row>
    <row r="4827" spans="1:4" ht="13.5" x14ac:dyDescent="0.25">
      <c r="A4827" s="306">
        <v>101246</v>
      </c>
      <c r="B4827" s="305" t="s">
        <v>12907</v>
      </c>
      <c r="C4827" s="305" t="s">
        <v>1456</v>
      </c>
      <c r="D4827" s="575">
        <v>10.79</v>
      </c>
    </row>
    <row r="4828" spans="1:4" ht="13.5" x14ac:dyDescent="0.25">
      <c r="A4828" s="306">
        <v>101247</v>
      </c>
      <c r="B4828" s="305" t="s">
        <v>12908</v>
      </c>
      <c r="C4828" s="305" t="s">
        <v>1456</v>
      </c>
      <c r="D4828" s="575">
        <v>11.94</v>
      </c>
    </row>
    <row r="4829" spans="1:4" ht="13.5" x14ac:dyDescent="0.25">
      <c r="A4829" s="306">
        <v>101248</v>
      </c>
      <c r="B4829" s="305" t="s">
        <v>12909</v>
      </c>
      <c r="C4829" s="305" t="s">
        <v>1456</v>
      </c>
      <c r="D4829" s="575">
        <v>14.93</v>
      </c>
    </row>
    <row r="4830" spans="1:4" ht="13.5" x14ac:dyDescent="0.25">
      <c r="A4830" s="306">
        <v>101249</v>
      </c>
      <c r="B4830" s="305" t="s">
        <v>12910</v>
      </c>
      <c r="C4830" s="305" t="s">
        <v>1456</v>
      </c>
      <c r="D4830" s="575">
        <v>7.65</v>
      </c>
    </row>
    <row r="4831" spans="1:4" ht="13.5" x14ac:dyDescent="0.25">
      <c r="A4831" s="306">
        <v>101250</v>
      </c>
      <c r="B4831" s="305" t="s">
        <v>12911</v>
      </c>
      <c r="C4831" s="305" t="s">
        <v>1456</v>
      </c>
      <c r="D4831" s="575">
        <v>8.4499999999999993</v>
      </c>
    </row>
    <row r="4832" spans="1:4" ht="13.5" x14ac:dyDescent="0.25">
      <c r="A4832" s="306">
        <v>101251</v>
      </c>
      <c r="B4832" s="305" t="s">
        <v>12912</v>
      </c>
      <c r="C4832" s="305" t="s">
        <v>1456</v>
      </c>
      <c r="D4832" s="575">
        <v>9.69</v>
      </c>
    </row>
    <row r="4833" spans="1:4" ht="13.5" x14ac:dyDescent="0.25">
      <c r="A4833" s="306">
        <v>101252</v>
      </c>
      <c r="B4833" s="305" t="s">
        <v>12913</v>
      </c>
      <c r="C4833" s="305" t="s">
        <v>1456</v>
      </c>
      <c r="D4833" s="575">
        <v>10.45</v>
      </c>
    </row>
    <row r="4834" spans="1:4" ht="13.5" x14ac:dyDescent="0.25">
      <c r="A4834" s="306">
        <v>101253</v>
      </c>
      <c r="B4834" s="305" t="s">
        <v>12914</v>
      </c>
      <c r="C4834" s="305" t="s">
        <v>1456</v>
      </c>
      <c r="D4834" s="575">
        <v>13.13</v>
      </c>
    </row>
    <row r="4835" spans="1:4" ht="13.5" x14ac:dyDescent="0.25">
      <c r="A4835" s="306">
        <v>101254</v>
      </c>
      <c r="B4835" s="305" t="s">
        <v>12915</v>
      </c>
      <c r="C4835" s="305" t="s">
        <v>1456</v>
      </c>
      <c r="D4835" s="575">
        <v>7.26</v>
      </c>
    </row>
    <row r="4836" spans="1:4" ht="13.5" x14ac:dyDescent="0.25">
      <c r="A4836" s="306">
        <v>101255</v>
      </c>
      <c r="B4836" s="305" t="s">
        <v>12916</v>
      </c>
      <c r="C4836" s="305" t="s">
        <v>1456</v>
      </c>
      <c r="D4836" s="575">
        <v>6.42</v>
      </c>
    </row>
    <row r="4837" spans="1:4" ht="13.5" x14ac:dyDescent="0.25">
      <c r="A4837" s="306">
        <v>101256</v>
      </c>
      <c r="B4837" s="305" t="s">
        <v>12917</v>
      </c>
      <c r="C4837" s="305" t="s">
        <v>1456</v>
      </c>
      <c r="D4837" s="575">
        <v>11.05</v>
      </c>
    </row>
    <row r="4838" spans="1:4" ht="13.5" x14ac:dyDescent="0.25">
      <c r="A4838" s="306">
        <v>101257</v>
      </c>
      <c r="B4838" s="305" t="s">
        <v>12918</v>
      </c>
      <c r="C4838" s="305" t="s">
        <v>1456</v>
      </c>
      <c r="D4838" s="575">
        <v>11.65</v>
      </c>
    </row>
    <row r="4839" spans="1:4" ht="13.5" x14ac:dyDescent="0.25">
      <c r="A4839" s="306">
        <v>101258</v>
      </c>
      <c r="B4839" s="305" t="s">
        <v>12919</v>
      </c>
      <c r="C4839" s="305" t="s">
        <v>1456</v>
      </c>
      <c r="D4839" s="575">
        <v>13.46</v>
      </c>
    </row>
    <row r="4840" spans="1:4" ht="13.5" x14ac:dyDescent="0.25">
      <c r="A4840" s="306">
        <v>101259</v>
      </c>
      <c r="B4840" s="305" t="s">
        <v>12920</v>
      </c>
      <c r="C4840" s="305" t="s">
        <v>1456</v>
      </c>
      <c r="D4840" s="575">
        <v>14.91</v>
      </c>
    </row>
    <row r="4841" spans="1:4" ht="13.5" x14ac:dyDescent="0.25">
      <c r="A4841" s="306">
        <v>101260</v>
      </c>
      <c r="B4841" s="305" t="s">
        <v>12921</v>
      </c>
      <c r="C4841" s="305" t="s">
        <v>1456</v>
      </c>
      <c r="D4841" s="575">
        <v>18.55</v>
      </c>
    </row>
    <row r="4842" spans="1:4" ht="13.5" x14ac:dyDescent="0.25">
      <c r="A4842" s="306">
        <v>101261</v>
      </c>
      <c r="B4842" s="305" t="s">
        <v>12922</v>
      </c>
      <c r="C4842" s="305" t="s">
        <v>1456</v>
      </c>
      <c r="D4842" s="575">
        <v>10.43</v>
      </c>
    </row>
    <row r="4843" spans="1:4" ht="13.5" x14ac:dyDescent="0.25">
      <c r="A4843" s="306">
        <v>101262</v>
      </c>
      <c r="B4843" s="305" t="s">
        <v>12923</v>
      </c>
      <c r="C4843" s="305" t="s">
        <v>1456</v>
      </c>
      <c r="D4843" s="575">
        <v>11.02</v>
      </c>
    </row>
    <row r="4844" spans="1:4" ht="13.5" x14ac:dyDescent="0.25">
      <c r="A4844" s="306">
        <v>101263</v>
      </c>
      <c r="B4844" s="305" t="s">
        <v>12924</v>
      </c>
      <c r="C4844" s="305" t="s">
        <v>1456</v>
      </c>
      <c r="D4844" s="575">
        <v>12.71</v>
      </c>
    </row>
    <row r="4845" spans="1:4" ht="13.5" x14ac:dyDescent="0.25">
      <c r="A4845" s="306">
        <v>101264</v>
      </c>
      <c r="B4845" s="305" t="s">
        <v>12925</v>
      </c>
      <c r="C4845" s="305" t="s">
        <v>1456</v>
      </c>
      <c r="D4845" s="575">
        <v>14.05</v>
      </c>
    </row>
    <row r="4846" spans="1:4" ht="13.5" x14ac:dyDescent="0.25">
      <c r="A4846" s="306">
        <v>101265</v>
      </c>
      <c r="B4846" s="305" t="s">
        <v>12926</v>
      </c>
      <c r="C4846" s="305" t="s">
        <v>1456</v>
      </c>
      <c r="D4846" s="575">
        <v>17.46</v>
      </c>
    </row>
    <row r="4847" spans="1:4" ht="13.5" x14ac:dyDescent="0.25">
      <c r="A4847" s="306">
        <v>101266</v>
      </c>
      <c r="B4847" s="305" t="s">
        <v>12927</v>
      </c>
      <c r="C4847" s="305" t="s">
        <v>1456</v>
      </c>
      <c r="D4847" s="575">
        <v>6.45</v>
      </c>
    </row>
    <row r="4848" spans="1:4" ht="13.5" x14ac:dyDescent="0.25">
      <c r="A4848" s="306">
        <v>101267</v>
      </c>
      <c r="B4848" s="305" t="s">
        <v>12928</v>
      </c>
      <c r="C4848" s="305" t="s">
        <v>1456</v>
      </c>
      <c r="D4848" s="575">
        <v>6.16</v>
      </c>
    </row>
    <row r="4849" spans="1:4" ht="13.5" x14ac:dyDescent="0.25">
      <c r="A4849" s="306">
        <v>101268</v>
      </c>
      <c r="B4849" s="305" t="s">
        <v>12929</v>
      </c>
      <c r="C4849" s="305" t="s">
        <v>1456</v>
      </c>
      <c r="D4849" s="575">
        <v>10.039999999999999</v>
      </c>
    </row>
    <row r="4850" spans="1:4" ht="13.5" x14ac:dyDescent="0.25">
      <c r="A4850" s="306">
        <v>101269</v>
      </c>
      <c r="B4850" s="305" t="s">
        <v>12930</v>
      </c>
      <c r="C4850" s="305" t="s">
        <v>1456</v>
      </c>
      <c r="D4850" s="575">
        <v>11.13</v>
      </c>
    </row>
    <row r="4851" spans="1:4" ht="13.5" x14ac:dyDescent="0.25">
      <c r="A4851" s="306">
        <v>101270</v>
      </c>
      <c r="B4851" s="305" t="s">
        <v>12931</v>
      </c>
      <c r="C4851" s="305" t="s">
        <v>1456</v>
      </c>
      <c r="D4851" s="575">
        <v>12.85</v>
      </c>
    </row>
    <row r="4852" spans="1:4" ht="13.5" x14ac:dyDescent="0.25">
      <c r="A4852" s="306">
        <v>101271</v>
      </c>
      <c r="B4852" s="305" t="s">
        <v>12932</v>
      </c>
      <c r="C4852" s="305" t="s">
        <v>1456</v>
      </c>
      <c r="D4852" s="575">
        <v>14.22</v>
      </c>
    </row>
    <row r="4853" spans="1:4" ht="13.5" x14ac:dyDescent="0.25">
      <c r="A4853" s="306">
        <v>101272</v>
      </c>
      <c r="B4853" s="305" t="s">
        <v>12933</v>
      </c>
      <c r="C4853" s="305" t="s">
        <v>1456</v>
      </c>
      <c r="D4853" s="575">
        <v>17.690000000000001</v>
      </c>
    </row>
    <row r="4854" spans="1:4" ht="13.5" x14ac:dyDescent="0.25">
      <c r="A4854" s="306">
        <v>101273</v>
      </c>
      <c r="B4854" s="305" t="s">
        <v>12934</v>
      </c>
      <c r="C4854" s="305" t="s">
        <v>1456</v>
      </c>
      <c r="D4854" s="575">
        <v>9.57</v>
      </c>
    </row>
    <row r="4855" spans="1:4" ht="13.5" x14ac:dyDescent="0.25">
      <c r="A4855" s="306">
        <v>101274</v>
      </c>
      <c r="B4855" s="305" t="s">
        <v>12935</v>
      </c>
      <c r="C4855" s="305" t="s">
        <v>1456</v>
      </c>
      <c r="D4855" s="575">
        <v>10.55</v>
      </c>
    </row>
    <row r="4856" spans="1:4" ht="13.5" x14ac:dyDescent="0.25">
      <c r="A4856" s="306">
        <v>101275</v>
      </c>
      <c r="B4856" s="305" t="s">
        <v>12936</v>
      </c>
      <c r="C4856" s="305" t="s">
        <v>1456</v>
      </c>
      <c r="D4856" s="575">
        <v>12.19</v>
      </c>
    </row>
    <row r="4857" spans="1:4" ht="13.5" x14ac:dyDescent="0.25">
      <c r="A4857" s="306">
        <v>101276</v>
      </c>
      <c r="B4857" s="305" t="s">
        <v>12937</v>
      </c>
      <c r="C4857" s="305" t="s">
        <v>1456</v>
      </c>
      <c r="D4857" s="575">
        <v>13.45</v>
      </c>
    </row>
    <row r="4858" spans="1:4" ht="13.5" x14ac:dyDescent="0.25">
      <c r="A4858" s="306">
        <v>101277</v>
      </c>
      <c r="B4858" s="305" t="s">
        <v>12938</v>
      </c>
      <c r="C4858" s="305" t="s">
        <v>1456</v>
      </c>
      <c r="D4858" s="575">
        <v>17.12</v>
      </c>
    </row>
    <row r="4859" spans="1:4" ht="13.5" x14ac:dyDescent="0.25">
      <c r="A4859" s="306">
        <v>72915</v>
      </c>
      <c r="B4859" s="305" t="s">
        <v>4408</v>
      </c>
      <c r="C4859" s="305" t="s">
        <v>1456</v>
      </c>
      <c r="D4859" s="575">
        <v>10.15</v>
      </c>
    </row>
    <row r="4860" spans="1:4" ht="13.5" x14ac:dyDescent="0.25">
      <c r="A4860" s="306">
        <v>72917</v>
      </c>
      <c r="B4860" s="305" t="s">
        <v>4409</v>
      </c>
      <c r="C4860" s="305" t="s">
        <v>1456</v>
      </c>
      <c r="D4860" s="575">
        <v>11.6</v>
      </c>
    </row>
    <row r="4861" spans="1:4" ht="13.5" x14ac:dyDescent="0.25">
      <c r="A4861" s="306">
        <v>72918</v>
      </c>
      <c r="B4861" s="305" t="s">
        <v>4410</v>
      </c>
      <c r="C4861" s="305" t="s">
        <v>1456</v>
      </c>
      <c r="D4861" s="575">
        <v>13.54</v>
      </c>
    </row>
    <row r="4862" spans="1:4" ht="13.5" x14ac:dyDescent="0.25">
      <c r="A4862" s="305" t="s">
        <v>4411</v>
      </c>
      <c r="B4862" s="305" t="s">
        <v>4412</v>
      </c>
      <c r="C4862" s="305" t="s">
        <v>1456</v>
      </c>
      <c r="D4862" s="575">
        <v>169.4</v>
      </c>
    </row>
    <row r="4863" spans="1:4" ht="13.5" x14ac:dyDescent="0.25">
      <c r="A4863" s="305" t="s">
        <v>4413</v>
      </c>
      <c r="B4863" s="305" t="s">
        <v>4414</v>
      </c>
      <c r="C4863" s="305" t="s">
        <v>1456</v>
      </c>
      <c r="D4863" s="575">
        <v>254.1</v>
      </c>
    </row>
    <row r="4864" spans="1:4" ht="13.5" x14ac:dyDescent="0.25">
      <c r="A4864" s="306">
        <v>83343</v>
      </c>
      <c r="B4864" s="305" t="s">
        <v>4415</v>
      </c>
      <c r="C4864" s="305" t="s">
        <v>1456</v>
      </c>
      <c r="D4864" s="575">
        <v>11.73</v>
      </c>
    </row>
    <row r="4865" spans="1:4" ht="13.5" x14ac:dyDescent="0.25">
      <c r="A4865" s="306">
        <v>90082</v>
      </c>
      <c r="B4865" s="305" t="s">
        <v>4416</v>
      </c>
      <c r="C4865" s="305" t="s">
        <v>1456</v>
      </c>
      <c r="D4865" s="575">
        <v>8.15</v>
      </c>
    </row>
    <row r="4866" spans="1:4" ht="13.5" x14ac:dyDescent="0.25">
      <c r="A4866" s="306">
        <v>90084</v>
      </c>
      <c r="B4866" s="305" t="s">
        <v>4417</v>
      </c>
      <c r="C4866" s="305" t="s">
        <v>1456</v>
      </c>
      <c r="D4866" s="575">
        <v>7.93</v>
      </c>
    </row>
    <row r="4867" spans="1:4" ht="13.5" x14ac:dyDescent="0.25">
      <c r="A4867" s="306">
        <v>90085</v>
      </c>
      <c r="B4867" s="305" t="s">
        <v>4418</v>
      </c>
      <c r="C4867" s="305" t="s">
        <v>1456</v>
      </c>
      <c r="D4867" s="575">
        <v>7.45</v>
      </c>
    </row>
    <row r="4868" spans="1:4" ht="13.5" x14ac:dyDescent="0.25">
      <c r="A4868" s="306">
        <v>90086</v>
      </c>
      <c r="B4868" s="305" t="s">
        <v>4419</v>
      </c>
      <c r="C4868" s="305" t="s">
        <v>1456</v>
      </c>
      <c r="D4868" s="575">
        <v>7.53</v>
      </c>
    </row>
    <row r="4869" spans="1:4" ht="13.5" x14ac:dyDescent="0.25">
      <c r="A4869" s="306">
        <v>90087</v>
      </c>
      <c r="B4869" s="305" t="s">
        <v>4420</v>
      </c>
      <c r="C4869" s="305" t="s">
        <v>1456</v>
      </c>
      <c r="D4869" s="575">
        <v>6.43</v>
      </c>
    </row>
    <row r="4870" spans="1:4" ht="13.5" x14ac:dyDescent="0.25">
      <c r="A4870" s="306">
        <v>90088</v>
      </c>
      <c r="B4870" s="305" t="s">
        <v>4421</v>
      </c>
      <c r="C4870" s="305" t="s">
        <v>1456</v>
      </c>
      <c r="D4870" s="575">
        <v>6.56</v>
      </c>
    </row>
    <row r="4871" spans="1:4" ht="13.5" x14ac:dyDescent="0.25">
      <c r="A4871" s="306">
        <v>90090</v>
      </c>
      <c r="B4871" s="305" t="s">
        <v>4422</v>
      </c>
      <c r="C4871" s="305" t="s">
        <v>1456</v>
      </c>
      <c r="D4871" s="575">
        <v>6.3</v>
      </c>
    </row>
    <row r="4872" spans="1:4" ht="13.5" x14ac:dyDescent="0.25">
      <c r="A4872" s="306">
        <v>90091</v>
      </c>
      <c r="B4872" s="305" t="s">
        <v>4423</v>
      </c>
      <c r="C4872" s="305" t="s">
        <v>1456</v>
      </c>
      <c r="D4872" s="575">
        <v>4.88</v>
      </c>
    </row>
    <row r="4873" spans="1:4" ht="13.5" x14ac:dyDescent="0.25">
      <c r="A4873" s="306">
        <v>90092</v>
      </c>
      <c r="B4873" s="305" t="s">
        <v>4424</v>
      </c>
      <c r="C4873" s="305" t="s">
        <v>1456</v>
      </c>
      <c r="D4873" s="575">
        <v>4.72</v>
      </c>
    </row>
    <row r="4874" spans="1:4" ht="13.5" x14ac:dyDescent="0.25">
      <c r="A4874" s="306">
        <v>90093</v>
      </c>
      <c r="B4874" s="305" t="s">
        <v>4425</v>
      </c>
      <c r="C4874" s="305" t="s">
        <v>1456</v>
      </c>
      <c r="D4874" s="575">
        <v>4.4400000000000004</v>
      </c>
    </row>
    <row r="4875" spans="1:4" ht="13.5" x14ac:dyDescent="0.25">
      <c r="A4875" s="306">
        <v>90094</v>
      </c>
      <c r="B4875" s="305" t="s">
        <v>4426</v>
      </c>
      <c r="C4875" s="305" t="s">
        <v>1456</v>
      </c>
      <c r="D4875" s="575">
        <v>4.4800000000000004</v>
      </c>
    </row>
    <row r="4876" spans="1:4" ht="13.5" x14ac:dyDescent="0.25">
      <c r="A4876" s="306">
        <v>90095</v>
      </c>
      <c r="B4876" s="305" t="s">
        <v>4427</v>
      </c>
      <c r="C4876" s="305" t="s">
        <v>1456</v>
      </c>
      <c r="D4876" s="575">
        <v>3.83</v>
      </c>
    </row>
    <row r="4877" spans="1:4" ht="13.5" x14ac:dyDescent="0.25">
      <c r="A4877" s="306">
        <v>90096</v>
      </c>
      <c r="B4877" s="305" t="s">
        <v>4428</v>
      </c>
      <c r="C4877" s="305" t="s">
        <v>1456</v>
      </c>
      <c r="D4877" s="575">
        <v>3.91</v>
      </c>
    </row>
    <row r="4878" spans="1:4" ht="13.5" x14ac:dyDescent="0.25">
      <c r="A4878" s="306">
        <v>90098</v>
      </c>
      <c r="B4878" s="305" t="s">
        <v>4429</v>
      </c>
      <c r="C4878" s="305" t="s">
        <v>1456</v>
      </c>
      <c r="D4878" s="575">
        <v>3.75</v>
      </c>
    </row>
    <row r="4879" spans="1:4" ht="13.5" x14ac:dyDescent="0.25">
      <c r="A4879" s="306">
        <v>90099</v>
      </c>
      <c r="B4879" s="305" t="s">
        <v>4430</v>
      </c>
      <c r="C4879" s="305" t="s">
        <v>1456</v>
      </c>
      <c r="D4879" s="575">
        <v>10.09</v>
      </c>
    </row>
    <row r="4880" spans="1:4" ht="13.5" x14ac:dyDescent="0.25">
      <c r="A4880" s="306">
        <v>90100</v>
      </c>
      <c r="B4880" s="305" t="s">
        <v>4431</v>
      </c>
      <c r="C4880" s="305" t="s">
        <v>1456</v>
      </c>
      <c r="D4880" s="575">
        <v>8.57</v>
      </c>
    </row>
    <row r="4881" spans="1:4" ht="13.5" x14ac:dyDescent="0.25">
      <c r="A4881" s="306">
        <v>90101</v>
      </c>
      <c r="B4881" s="305" t="s">
        <v>4432</v>
      </c>
      <c r="C4881" s="305" t="s">
        <v>1456</v>
      </c>
      <c r="D4881" s="575">
        <v>8.4600000000000009</v>
      </c>
    </row>
    <row r="4882" spans="1:4" ht="13.5" x14ac:dyDescent="0.25">
      <c r="A4882" s="306">
        <v>90102</v>
      </c>
      <c r="B4882" s="305" t="s">
        <v>4433</v>
      </c>
      <c r="C4882" s="305" t="s">
        <v>1456</v>
      </c>
      <c r="D4882" s="575">
        <v>7.7</v>
      </c>
    </row>
    <row r="4883" spans="1:4" ht="13.5" x14ac:dyDescent="0.25">
      <c r="A4883" s="306">
        <v>90105</v>
      </c>
      <c r="B4883" s="305" t="s">
        <v>4434</v>
      </c>
      <c r="C4883" s="305" t="s">
        <v>1456</v>
      </c>
      <c r="D4883" s="575">
        <v>6.01</v>
      </c>
    </row>
    <row r="4884" spans="1:4" ht="13.5" x14ac:dyDescent="0.25">
      <c r="A4884" s="306">
        <v>90106</v>
      </c>
      <c r="B4884" s="305" t="s">
        <v>4435</v>
      </c>
      <c r="C4884" s="305" t="s">
        <v>1456</v>
      </c>
      <c r="D4884" s="575">
        <v>5.1100000000000003</v>
      </c>
    </row>
    <row r="4885" spans="1:4" ht="13.5" x14ac:dyDescent="0.25">
      <c r="A4885" s="306">
        <v>90107</v>
      </c>
      <c r="B4885" s="305" t="s">
        <v>4436</v>
      </c>
      <c r="C4885" s="305" t="s">
        <v>1456</v>
      </c>
      <c r="D4885" s="575">
        <v>5.05</v>
      </c>
    </row>
    <row r="4886" spans="1:4" ht="13.5" x14ac:dyDescent="0.25">
      <c r="A4886" s="306">
        <v>90108</v>
      </c>
      <c r="B4886" s="305" t="s">
        <v>4437</v>
      </c>
      <c r="C4886" s="305" t="s">
        <v>1456</v>
      </c>
      <c r="D4886" s="575">
        <v>4.5999999999999996</v>
      </c>
    </row>
    <row r="4887" spans="1:4" ht="13.5" x14ac:dyDescent="0.25">
      <c r="A4887" s="306">
        <v>93358</v>
      </c>
      <c r="B4887" s="305" t="s">
        <v>4438</v>
      </c>
      <c r="C4887" s="305" t="s">
        <v>1456</v>
      </c>
      <c r="D4887" s="575">
        <v>67.010000000000005</v>
      </c>
    </row>
    <row r="4888" spans="1:4" ht="13.5" x14ac:dyDescent="0.25">
      <c r="A4888" s="306">
        <v>94304</v>
      </c>
      <c r="B4888" s="305" t="s">
        <v>4439</v>
      </c>
      <c r="C4888" s="305" t="s">
        <v>1456</v>
      </c>
      <c r="D4888" s="575">
        <v>26.27</v>
      </c>
    </row>
    <row r="4889" spans="1:4" ht="13.5" x14ac:dyDescent="0.25">
      <c r="A4889" s="306">
        <v>94305</v>
      </c>
      <c r="B4889" s="305" t="s">
        <v>4440</v>
      </c>
      <c r="C4889" s="305" t="s">
        <v>1456</v>
      </c>
      <c r="D4889" s="575">
        <v>23.36</v>
      </c>
    </row>
    <row r="4890" spans="1:4" ht="13.5" x14ac:dyDescent="0.25">
      <c r="A4890" s="306">
        <v>94306</v>
      </c>
      <c r="B4890" s="305" t="s">
        <v>4441</v>
      </c>
      <c r="C4890" s="305" t="s">
        <v>1456</v>
      </c>
      <c r="D4890" s="575">
        <v>19.670000000000002</v>
      </c>
    </row>
    <row r="4891" spans="1:4" ht="13.5" x14ac:dyDescent="0.25">
      <c r="A4891" s="306">
        <v>94307</v>
      </c>
      <c r="B4891" s="305" t="s">
        <v>4442</v>
      </c>
      <c r="C4891" s="305" t="s">
        <v>1456</v>
      </c>
      <c r="D4891" s="575">
        <v>20.52</v>
      </c>
    </row>
    <row r="4892" spans="1:4" ht="13.5" x14ac:dyDescent="0.25">
      <c r="A4892" s="306">
        <v>94308</v>
      </c>
      <c r="B4892" s="305" t="s">
        <v>4443</v>
      </c>
      <c r="C4892" s="305" t="s">
        <v>1456</v>
      </c>
      <c r="D4892" s="575">
        <v>18.309999999999999</v>
      </c>
    </row>
    <row r="4893" spans="1:4" ht="13.5" x14ac:dyDescent="0.25">
      <c r="A4893" s="306">
        <v>94309</v>
      </c>
      <c r="B4893" s="305" t="s">
        <v>4444</v>
      </c>
      <c r="C4893" s="305" t="s">
        <v>1456</v>
      </c>
      <c r="D4893" s="575">
        <v>19.3</v>
      </c>
    </row>
    <row r="4894" spans="1:4" ht="13.5" x14ac:dyDescent="0.25">
      <c r="A4894" s="306">
        <v>94310</v>
      </c>
      <c r="B4894" s="305" t="s">
        <v>4445</v>
      </c>
      <c r="C4894" s="305" t="s">
        <v>1456</v>
      </c>
      <c r="D4894" s="575">
        <v>17.63</v>
      </c>
    </row>
    <row r="4895" spans="1:4" ht="13.5" x14ac:dyDescent="0.25">
      <c r="A4895" s="306">
        <v>94315</v>
      </c>
      <c r="B4895" s="305" t="s">
        <v>4446</v>
      </c>
      <c r="C4895" s="305" t="s">
        <v>1456</v>
      </c>
      <c r="D4895" s="575">
        <v>32.630000000000003</v>
      </c>
    </row>
    <row r="4896" spans="1:4" ht="13.5" x14ac:dyDescent="0.25">
      <c r="A4896" s="306">
        <v>94316</v>
      </c>
      <c r="B4896" s="305" t="s">
        <v>4447</v>
      </c>
      <c r="C4896" s="305" t="s">
        <v>1456</v>
      </c>
      <c r="D4896" s="575">
        <v>25.75</v>
      </c>
    </row>
    <row r="4897" spans="1:4" ht="13.5" x14ac:dyDescent="0.25">
      <c r="A4897" s="306">
        <v>94317</v>
      </c>
      <c r="B4897" s="305" t="s">
        <v>4448</v>
      </c>
      <c r="C4897" s="305" t="s">
        <v>1456</v>
      </c>
      <c r="D4897" s="575">
        <v>22.7</v>
      </c>
    </row>
    <row r="4898" spans="1:4" ht="13.5" x14ac:dyDescent="0.25">
      <c r="A4898" s="306">
        <v>94318</v>
      </c>
      <c r="B4898" s="305" t="s">
        <v>4449</v>
      </c>
      <c r="C4898" s="305" t="s">
        <v>1456</v>
      </c>
      <c r="D4898" s="575">
        <v>18.75</v>
      </c>
    </row>
    <row r="4899" spans="1:4" ht="13.5" x14ac:dyDescent="0.25">
      <c r="A4899" s="306">
        <v>94319</v>
      </c>
      <c r="B4899" s="305" t="s">
        <v>4450</v>
      </c>
      <c r="C4899" s="305" t="s">
        <v>1456</v>
      </c>
      <c r="D4899" s="575">
        <v>37.32</v>
      </c>
    </row>
    <row r="4900" spans="1:4" ht="13.5" x14ac:dyDescent="0.25">
      <c r="A4900" s="306">
        <v>94327</v>
      </c>
      <c r="B4900" s="305" t="s">
        <v>4451</v>
      </c>
      <c r="C4900" s="305" t="s">
        <v>1456</v>
      </c>
      <c r="D4900" s="575">
        <v>84.88</v>
      </c>
    </row>
    <row r="4901" spans="1:4" ht="13.5" x14ac:dyDescent="0.25">
      <c r="A4901" s="306">
        <v>94328</v>
      </c>
      <c r="B4901" s="305" t="s">
        <v>4452</v>
      </c>
      <c r="C4901" s="305" t="s">
        <v>1456</v>
      </c>
      <c r="D4901" s="575">
        <v>81.97</v>
      </c>
    </row>
    <row r="4902" spans="1:4" ht="13.5" x14ac:dyDescent="0.25">
      <c r="A4902" s="306">
        <v>94329</v>
      </c>
      <c r="B4902" s="305" t="s">
        <v>4453</v>
      </c>
      <c r="C4902" s="305" t="s">
        <v>1456</v>
      </c>
      <c r="D4902" s="575">
        <v>78.28</v>
      </c>
    </row>
    <row r="4903" spans="1:4" ht="13.5" x14ac:dyDescent="0.25">
      <c r="A4903" s="306">
        <v>94330</v>
      </c>
      <c r="B4903" s="305" t="s">
        <v>4454</v>
      </c>
      <c r="C4903" s="305" t="s">
        <v>1456</v>
      </c>
      <c r="D4903" s="575">
        <v>79.13</v>
      </c>
    </row>
    <row r="4904" spans="1:4" ht="13.5" x14ac:dyDescent="0.25">
      <c r="A4904" s="306">
        <v>94331</v>
      </c>
      <c r="B4904" s="305" t="s">
        <v>4455</v>
      </c>
      <c r="C4904" s="305" t="s">
        <v>1456</v>
      </c>
      <c r="D4904" s="575">
        <v>76.92</v>
      </c>
    </row>
    <row r="4905" spans="1:4" ht="13.5" x14ac:dyDescent="0.25">
      <c r="A4905" s="306">
        <v>94332</v>
      </c>
      <c r="B4905" s="305" t="s">
        <v>4456</v>
      </c>
      <c r="C4905" s="305" t="s">
        <v>1456</v>
      </c>
      <c r="D4905" s="575">
        <v>77.91</v>
      </c>
    </row>
    <row r="4906" spans="1:4" ht="13.5" x14ac:dyDescent="0.25">
      <c r="A4906" s="306">
        <v>94333</v>
      </c>
      <c r="B4906" s="305" t="s">
        <v>4457</v>
      </c>
      <c r="C4906" s="305" t="s">
        <v>1456</v>
      </c>
      <c r="D4906" s="575">
        <v>76.239999999999995</v>
      </c>
    </row>
    <row r="4907" spans="1:4" ht="13.5" x14ac:dyDescent="0.25">
      <c r="A4907" s="306">
        <v>94338</v>
      </c>
      <c r="B4907" s="305" t="s">
        <v>4458</v>
      </c>
      <c r="C4907" s="305" t="s">
        <v>1456</v>
      </c>
      <c r="D4907" s="575">
        <v>91.24</v>
      </c>
    </row>
    <row r="4908" spans="1:4" ht="13.5" x14ac:dyDescent="0.25">
      <c r="A4908" s="306">
        <v>94339</v>
      </c>
      <c r="B4908" s="305" t="s">
        <v>4459</v>
      </c>
      <c r="C4908" s="305" t="s">
        <v>1456</v>
      </c>
      <c r="D4908" s="575">
        <v>84.36</v>
      </c>
    </row>
    <row r="4909" spans="1:4" ht="13.5" x14ac:dyDescent="0.25">
      <c r="A4909" s="306">
        <v>94340</v>
      </c>
      <c r="B4909" s="305" t="s">
        <v>4460</v>
      </c>
      <c r="C4909" s="305" t="s">
        <v>1456</v>
      </c>
      <c r="D4909" s="575">
        <v>81.31</v>
      </c>
    </row>
    <row r="4910" spans="1:4" ht="13.5" x14ac:dyDescent="0.25">
      <c r="A4910" s="306">
        <v>94341</v>
      </c>
      <c r="B4910" s="305" t="s">
        <v>4461</v>
      </c>
      <c r="C4910" s="305" t="s">
        <v>1456</v>
      </c>
      <c r="D4910" s="575">
        <v>77.36</v>
      </c>
    </row>
    <row r="4911" spans="1:4" ht="13.5" x14ac:dyDescent="0.25">
      <c r="A4911" s="306">
        <v>94342</v>
      </c>
      <c r="B4911" s="305" t="s">
        <v>4462</v>
      </c>
      <c r="C4911" s="305" t="s">
        <v>1456</v>
      </c>
      <c r="D4911" s="575">
        <v>95.93</v>
      </c>
    </row>
    <row r="4912" spans="1:4" ht="13.5" x14ac:dyDescent="0.25">
      <c r="A4912" s="306">
        <v>96385</v>
      </c>
      <c r="B4912" s="305" t="s">
        <v>12939</v>
      </c>
      <c r="C4912" s="305" t="s">
        <v>1456</v>
      </c>
      <c r="D4912" s="575">
        <v>6.76</v>
      </c>
    </row>
    <row r="4913" spans="1:4" ht="13.5" x14ac:dyDescent="0.25">
      <c r="A4913" s="306">
        <v>96386</v>
      </c>
      <c r="B4913" s="305" t="s">
        <v>12940</v>
      </c>
      <c r="C4913" s="305" t="s">
        <v>1456</v>
      </c>
      <c r="D4913" s="575">
        <v>4.71</v>
      </c>
    </row>
    <row r="4914" spans="1:4" ht="13.5" x14ac:dyDescent="0.25">
      <c r="A4914" s="306">
        <v>93360</v>
      </c>
      <c r="B4914" s="305" t="s">
        <v>4463</v>
      </c>
      <c r="C4914" s="305" t="s">
        <v>1456</v>
      </c>
      <c r="D4914" s="575">
        <v>15.52</v>
      </c>
    </row>
    <row r="4915" spans="1:4" ht="13.5" x14ac:dyDescent="0.25">
      <c r="A4915" s="306">
        <v>93361</v>
      </c>
      <c r="B4915" s="305" t="s">
        <v>4464</v>
      </c>
      <c r="C4915" s="305" t="s">
        <v>1456</v>
      </c>
      <c r="D4915" s="575">
        <v>12.68</v>
      </c>
    </row>
    <row r="4916" spans="1:4" ht="13.5" x14ac:dyDescent="0.25">
      <c r="A4916" s="306">
        <v>93362</v>
      </c>
      <c r="B4916" s="305" t="s">
        <v>4465</v>
      </c>
      <c r="C4916" s="305" t="s">
        <v>1456</v>
      </c>
      <c r="D4916" s="575">
        <v>8.94</v>
      </c>
    </row>
    <row r="4917" spans="1:4" ht="13.5" x14ac:dyDescent="0.25">
      <c r="A4917" s="306">
        <v>93363</v>
      </c>
      <c r="B4917" s="305" t="s">
        <v>4466</v>
      </c>
      <c r="C4917" s="305" t="s">
        <v>1456</v>
      </c>
      <c r="D4917" s="575">
        <v>9.77</v>
      </c>
    </row>
    <row r="4918" spans="1:4" ht="13.5" x14ac:dyDescent="0.25">
      <c r="A4918" s="306">
        <v>93364</v>
      </c>
      <c r="B4918" s="305" t="s">
        <v>4467</v>
      </c>
      <c r="C4918" s="305" t="s">
        <v>1456</v>
      </c>
      <c r="D4918" s="575">
        <v>7.56</v>
      </c>
    </row>
    <row r="4919" spans="1:4" ht="13.5" x14ac:dyDescent="0.25">
      <c r="A4919" s="306">
        <v>93365</v>
      </c>
      <c r="B4919" s="305" t="s">
        <v>4468</v>
      </c>
      <c r="C4919" s="305" t="s">
        <v>1456</v>
      </c>
      <c r="D4919" s="575">
        <v>8.49</v>
      </c>
    </row>
    <row r="4920" spans="1:4" ht="13.5" x14ac:dyDescent="0.25">
      <c r="A4920" s="306">
        <v>93366</v>
      </c>
      <c r="B4920" s="305" t="s">
        <v>4469</v>
      </c>
      <c r="C4920" s="305" t="s">
        <v>1456</v>
      </c>
      <c r="D4920" s="575">
        <v>6.9</v>
      </c>
    </row>
    <row r="4921" spans="1:4" ht="13.5" x14ac:dyDescent="0.25">
      <c r="A4921" s="306">
        <v>93367</v>
      </c>
      <c r="B4921" s="305" t="s">
        <v>4470</v>
      </c>
      <c r="C4921" s="305" t="s">
        <v>1456</v>
      </c>
      <c r="D4921" s="575">
        <v>14.55</v>
      </c>
    </row>
    <row r="4922" spans="1:4" ht="13.5" x14ac:dyDescent="0.25">
      <c r="A4922" s="306">
        <v>93368</v>
      </c>
      <c r="B4922" s="305" t="s">
        <v>4471</v>
      </c>
      <c r="C4922" s="305" t="s">
        <v>1456</v>
      </c>
      <c r="D4922" s="575">
        <v>11.65</v>
      </c>
    </row>
    <row r="4923" spans="1:4" ht="13.5" x14ac:dyDescent="0.25">
      <c r="A4923" s="306">
        <v>93369</v>
      </c>
      <c r="B4923" s="305" t="s">
        <v>4472</v>
      </c>
      <c r="C4923" s="305" t="s">
        <v>1456</v>
      </c>
      <c r="D4923" s="575">
        <v>7.96</v>
      </c>
    </row>
    <row r="4924" spans="1:4" ht="13.5" x14ac:dyDescent="0.25">
      <c r="A4924" s="306">
        <v>93370</v>
      </c>
      <c r="B4924" s="305" t="s">
        <v>4473</v>
      </c>
      <c r="C4924" s="305" t="s">
        <v>1456</v>
      </c>
      <c r="D4924" s="575">
        <v>8.82</v>
      </c>
    </row>
    <row r="4925" spans="1:4" ht="13.5" x14ac:dyDescent="0.25">
      <c r="A4925" s="306">
        <v>93371</v>
      </c>
      <c r="B4925" s="305" t="s">
        <v>4474</v>
      </c>
      <c r="C4925" s="305" t="s">
        <v>1456</v>
      </c>
      <c r="D4925" s="575">
        <v>6.61</v>
      </c>
    </row>
    <row r="4926" spans="1:4" ht="13.5" x14ac:dyDescent="0.25">
      <c r="A4926" s="306">
        <v>93372</v>
      </c>
      <c r="B4926" s="305" t="s">
        <v>4475</v>
      </c>
      <c r="C4926" s="305" t="s">
        <v>1456</v>
      </c>
      <c r="D4926" s="575">
        <v>7.6</v>
      </c>
    </row>
    <row r="4927" spans="1:4" ht="13.5" x14ac:dyDescent="0.25">
      <c r="A4927" s="306">
        <v>93373</v>
      </c>
      <c r="B4927" s="305" t="s">
        <v>4476</v>
      </c>
      <c r="C4927" s="305" t="s">
        <v>1456</v>
      </c>
      <c r="D4927" s="575">
        <v>5.95</v>
      </c>
    </row>
    <row r="4928" spans="1:4" ht="13.5" x14ac:dyDescent="0.25">
      <c r="A4928" s="306">
        <v>93374</v>
      </c>
      <c r="B4928" s="305" t="s">
        <v>4477</v>
      </c>
      <c r="C4928" s="305" t="s">
        <v>1456</v>
      </c>
      <c r="D4928" s="575">
        <v>18.600000000000001</v>
      </c>
    </row>
    <row r="4929" spans="1:4" ht="13.5" x14ac:dyDescent="0.25">
      <c r="A4929" s="306">
        <v>93375</v>
      </c>
      <c r="B4929" s="305" t="s">
        <v>4478</v>
      </c>
      <c r="C4929" s="305" t="s">
        <v>1456</v>
      </c>
      <c r="D4929" s="575">
        <v>14.31</v>
      </c>
    </row>
    <row r="4930" spans="1:4" ht="13.5" x14ac:dyDescent="0.25">
      <c r="A4930" s="306">
        <v>93376</v>
      </c>
      <c r="B4930" s="305" t="s">
        <v>4479</v>
      </c>
      <c r="C4930" s="305" t="s">
        <v>1456</v>
      </c>
      <c r="D4930" s="575">
        <v>11.6</v>
      </c>
    </row>
    <row r="4931" spans="1:4" ht="13.5" x14ac:dyDescent="0.25">
      <c r="A4931" s="306">
        <v>93377</v>
      </c>
      <c r="B4931" s="305" t="s">
        <v>4480</v>
      </c>
      <c r="C4931" s="305" t="s">
        <v>1456</v>
      </c>
      <c r="D4931" s="575">
        <v>7.5</v>
      </c>
    </row>
    <row r="4932" spans="1:4" ht="13.5" x14ac:dyDescent="0.25">
      <c r="A4932" s="306">
        <v>93378</v>
      </c>
      <c r="B4932" s="305" t="s">
        <v>4481</v>
      </c>
      <c r="C4932" s="305" t="s">
        <v>1456</v>
      </c>
      <c r="D4932" s="575">
        <v>17.55</v>
      </c>
    </row>
    <row r="4933" spans="1:4" ht="13.5" x14ac:dyDescent="0.25">
      <c r="A4933" s="306">
        <v>93379</v>
      </c>
      <c r="B4933" s="305" t="s">
        <v>4482</v>
      </c>
      <c r="C4933" s="305" t="s">
        <v>1456</v>
      </c>
      <c r="D4933" s="575">
        <v>13.52</v>
      </c>
    </row>
    <row r="4934" spans="1:4" ht="13.5" x14ac:dyDescent="0.25">
      <c r="A4934" s="306">
        <v>93380</v>
      </c>
      <c r="B4934" s="305" t="s">
        <v>4483</v>
      </c>
      <c r="C4934" s="305" t="s">
        <v>1456</v>
      </c>
      <c r="D4934" s="575">
        <v>10.98</v>
      </c>
    </row>
    <row r="4935" spans="1:4" ht="13.5" x14ac:dyDescent="0.25">
      <c r="A4935" s="306">
        <v>93381</v>
      </c>
      <c r="B4935" s="305" t="s">
        <v>4484</v>
      </c>
      <c r="C4935" s="305" t="s">
        <v>1456</v>
      </c>
      <c r="D4935" s="575">
        <v>7.05</v>
      </c>
    </row>
    <row r="4936" spans="1:4" ht="13.5" x14ac:dyDescent="0.25">
      <c r="A4936" s="306">
        <v>93382</v>
      </c>
      <c r="B4936" s="305" t="s">
        <v>4485</v>
      </c>
      <c r="C4936" s="305" t="s">
        <v>1456</v>
      </c>
      <c r="D4936" s="575">
        <v>25.62</v>
      </c>
    </row>
    <row r="4937" spans="1:4" ht="13.5" x14ac:dyDescent="0.25">
      <c r="A4937" s="306">
        <v>96995</v>
      </c>
      <c r="B4937" s="305" t="s">
        <v>4486</v>
      </c>
      <c r="C4937" s="305" t="s">
        <v>1456</v>
      </c>
      <c r="D4937" s="575">
        <v>40.630000000000003</v>
      </c>
    </row>
    <row r="4938" spans="1:4" ht="13.5" x14ac:dyDescent="0.25">
      <c r="A4938" s="306">
        <v>72844</v>
      </c>
      <c r="B4938" s="305" t="s">
        <v>4491</v>
      </c>
      <c r="C4938" s="305" t="s">
        <v>4492</v>
      </c>
      <c r="D4938" s="575">
        <v>0.55000000000000004</v>
      </c>
    </row>
    <row r="4939" spans="1:4" ht="13.5" x14ac:dyDescent="0.25">
      <c r="A4939" s="306">
        <v>72846</v>
      </c>
      <c r="B4939" s="305" t="s">
        <v>4493</v>
      </c>
      <c r="C4939" s="305" t="s">
        <v>4492</v>
      </c>
      <c r="D4939" s="575">
        <v>2.72</v>
      </c>
    </row>
    <row r="4940" spans="1:4" ht="13.5" x14ac:dyDescent="0.25">
      <c r="A4940" s="306">
        <v>72847</v>
      </c>
      <c r="B4940" s="305" t="s">
        <v>4494</v>
      </c>
      <c r="C4940" s="305" t="s">
        <v>4492</v>
      </c>
      <c r="D4940" s="575">
        <v>5.88</v>
      </c>
    </row>
    <row r="4941" spans="1:4" ht="13.5" x14ac:dyDescent="0.25">
      <c r="A4941" s="306">
        <v>72848</v>
      </c>
      <c r="B4941" s="305" t="s">
        <v>4495</v>
      </c>
      <c r="C4941" s="305" t="s">
        <v>4492</v>
      </c>
      <c r="D4941" s="575">
        <v>1.47</v>
      </c>
    </row>
    <row r="4942" spans="1:4" ht="13.5" x14ac:dyDescent="0.25">
      <c r="A4942" s="306">
        <v>72849</v>
      </c>
      <c r="B4942" s="305" t="s">
        <v>4496</v>
      </c>
      <c r="C4942" s="305" t="s">
        <v>4492</v>
      </c>
      <c r="D4942" s="575">
        <v>1.88</v>
      </c>
    </row>
    <row r="4943" spans="1:4" ht="13.5" x14ac:dyDescent="0.25">
      <c r="A4943" s="306">
        <v>72850</v>
      </c>
      <c r="B4943" s="305" t="s">
        <v>4497</v>
      </c>
      <c r="C4943" s="305" t="s">
        <v>4492</v>
      </c>
      <c r="D4943" s="575">
        <v>9.4</v>
      </c>
    </row>
    <row r="4944" spans="1:4" ht="13.5" x14ac:dyDescent="0.25">
      <c r="A4944" s="306">
        <v>72882</v>
      </c>
      <c r="B4944" s="305" t="s">
        <v>4487</v>
      </c>
      <c r="C4944" s="305" t="s">
        <v>4498</v>
      </c>
      <c r="D4944" s="575">
        <v>1.1100000000000001</v>
      </c>
    </row>
    <row r="4945" spans="1:4" ht="13.5" x14ac:dyDescent="0.25">
      <c r="A4945" s="306">
        <v>72883</v>
      </c>
      <c r="B4945" s="305" t="s">
        <v>4489</v>
      </c>
      <c r="C4945" s="305" t="s">
        <v>4498</v>
      </c>
      <c r="D4945" s="575">
        <v>0.89</v>
      </c>
    </row>
    <row r="4946" spans="1:4" ht="13.5" x14ac:dyDescent="0.25">
      <c r="A4946" s="306">
        <v>72884</v>
      </c>
      <c r="B4946" s="305" t="s">
        <v>4490</v>
      </c>
      <c r="C4946" s="305" t="s">
        <v>4498</v>
      </c>
      <c r="D4946" s="575">
        <v>0.74</v>
      </c>
    </row>
    <row r="4947" spans="1:4" ht="13.5" x14ac:dyDescent="0.25">
      <c r="A4947" s="306">
        <v>72888</v>
      </c>
      <c r="B4947" s="305" t="s">
        <v>4491</v>
      </c>
      <c r="C4947" s="305" t="s">
        <v>1456</v>
      </c>
      <c r="D4947" s="575">
        <v>0.82</v>
      </c>
    </row>
    <row r="4948" spans="1:4" ht="13.5" x14ac:dyDescent="0.25">
      <c r="A4948" s="306">
        <v>72890</v>
      </c>
      <c r="B4948" s="305" t="s">
        <v>4499</v>
      </c>
      <c r="C4948" s="305" t="s">
        <v>1456</v>
      </c>
      <c r="D4948" s="575">
        <v>4.96</v>
      </c>
    </row>
    <row r="4949" spans="1:4" ht="13.5" x14ac:dyDescent="0.25">
      <c r="A4949" s="306">
        <v>72891</v>
      </c>
      <c r="B4949" s="305" t="s">
        <v>4500</v>
      </c>
      <c r="C4949" s="305" t="s">
        <v>1456</v>
      </c>
      <c r="D4949" s="575">
        <v>4.09</v>
      </c>
    </row>
    <row r="4950" spans="1:4" ht="13.5" x14ac:dyDescent="0.25">
      <c r="A4950" s="306">
        <v>72892</v>
      </c>
      <c r="B4950" s="305" t="s">
        <v>4501</v>
      </c>
      <c r="C4950" s="305" t="s">
        <v>1456</v>
      </c>
      <c r="D4950" s="575">
        <v>8.82</v>
      </c>
    </row>
    <row r="4951" spans="1:4" ht="13.5" x14ac:dyDescent="0.25">
      <c r="A4951" s="306">
        <v>72893</v>
      </c>
      <c r="B4951" s="305" t="s">
        <v>4502</v>
      </c>
      <c r="C4951" s="305" t="s">
        <v>1456</v>
      </c>
      <c r="D4951" s="575">
        <v>2.19</v>
      </c>
    </row>
    <row r="4952" spans="1:4" ht="13.5" x14ac:dyDescent="0.25">
      <c r="A4952" s="306">
        <v>72894</v>
      </c>
      <c r="B4952" s="305" t="s">
        <v>4503</v>
      </c>
      <c r="C4952" s="305" t="s">
        <v>1456</v>
      </c>
      <c r="D4952" s="575">
        <v>2.82</v>
      </c>
    </row>
    <row r="4953" spans="1:4" ht="13.5" x14ac:dyDescent="0.25">
      <c r="A4953" s="306">
        <v>72895</v>
      </c>
      <c r="B4953" s="305" t="s">
        <v>4504</v>
      </c>
      <c r="C4953" s="305" t="s">
        <v>1456</v>
      </c>
      <c r="D4953" s="575">
        <v>14.87</v>
      </c>
    </row>
    <row r="4954" spans="1:4" ht="13.5" x14ac:dyDescent="0.25">
      <c r="A4954" s="306">
        <v>72897</v>
      </c>
      <c r="B4954" s="305" t="s">
        <v>4505</v>
      </c>
      <c r="C4954" s="305" t="s">
        <v>1456</v>
      </c>
      <c r="D4954" s="575">
        <v>20.43</v>
      </c>
    </row>
    <row r="4955" spans="1:4" ht="13.5" x14ac:dyDescent="0.25">
      <c r="A4955" s="306">
        <v>72899</v>
      </c>
      <c r="B4955" s="305" t="s">
        <v>4506</v>
      </c>
      <c r="C4955" s="305" t="s">
        <v>1456</v>
      </c>
      <c r="D4955" s="575">
        <v>3.84</v>
      </c>
    </row>
    <row r="4956" spans="1:4" ht="13.5" x14ac:dyDescent="0.25">
      <c r="A4956" s="306">
        <v>83356</v>
      </c>
      <c r="B4956" s="305" t="s">
        <v>4507</v>
      </c>
      <c r="C4956" s="305" t="s">
        <v>4498</v>
      </c>
      <c r="D4956" s="575">
        <v>0.67</v>
      </c>
    </row>
    <row r="4957" spans="1:4" ht="13.5" x14ac:dyDescent="0.25">
      <c r="A4957" s="306">
        <v>83358</v>
      </c>
      <c r="B4957" s="305" t="s">
        <v>4508</v>
      </c>
      <c r="C4957" s="305" t="s">
        <v>4498</v>
      </c>
      <c r="D4957" s="575">
        <v>1.39</v>
      </c>
    </row>
    <row r="4958" spans="1:4" ht="13.5" x14ac:dyDescent="0.25">
      <c r="A4958" s="306">
        <v>95303</v>
      </c>
      <c r="B4958" s="305" t="s">
        <v>4509</v>
      </c>
      <c r="C4958" s="305" t="s">
        <v>4498</v>
      </c>
      <c r="D4958" s="575">
        <v>0.86</v>
      </c>
    </row>
    <row r="4959" spans="1:4" ht="13.5" x14ac:dyDescent="0.25">
      <c r="A4959" s="306">
        <v>97916</v>
      </c>
      <c r="B4959" s="305" t="s">
        <v>12941</v>
      </c>
      <c r="C4959" s="305" t="s">
        <v>4488</v>
      </c>
      <c r="D4959" s="575">
        <v>1.38</v>
      </c>
    </row>
    <row r="4960" spans="1:4" ht="13.5" x14ac:dyDescent="0.25">
      <c r="A4960" s="306">
        <v>97917</v>
      </c>
      <c r="B4960" s="305" t="s">
        <v>12942</v>
      </c>
      <c r="C4960" s="305" t="s">
        <v>4488</v>
      </c>
      <c r="D4960" s="575">
        <v>1.19</v>
      </c>
    </row>
    <row r="4961" spans="1:4" ht="13.5" x14ac:dyDescent="0.25">
      <c r="A4961" s="306">
        <v>97918</v>
      </c>
      <c r="B4961" s="305" t="s">
        <v>12943</v>
      </c>
      <c r="C4961" s="305" t="s">
        <v>4488</v>
      </c>
      <c r="D4961" s="575">
        <v>1.1000000000000001</v>
      </c>
    </row>
    <row r="4962" spans="1:4" ht="13.5" x14ac:dyDescent="0.25">
      <c r="A4962" s="306">
        <v>97919</v>
      </c>
      <c r="B4962" s="305" t="s">
        <v>12944</v>
      </c>
      <c r="C4962" s="305" t="s">
        <v>4488</v>
      </c>
      <c r="D4962" s="575">
        <v>0.43</v>
      </c>
    </row>
    <row r="4963" spans="1:4" ht="13.5" x14ac:dyDescent="0.25">
      <c r="A4963" s="306">
        <v>94097</v>
      </c>
      <c r="B4963" s="305" t="s">
        <v>4510</v>
      </c>
      <c r="C4963" s="305" t="s">
        <v>521</v>
      </c>
      <c r="D4963" s="575">
        <v>4.9000000000000004</v>
      </c>
    </row>
    <row r="4964" spans="1:4" ht="13.5" x14ac:dyDescent="0.25">
      <c r="A4964" s="306">
        <v>94098</v>
      </c>
      <c r="B4964" s="305" t="s">
        <v>4511</v>
      </c>
      <c r="C4964" s="305" t="s">
        <v>521</v>
      </c>
      <c r="D4964" s="575">
        <v>5.6</v>
      </c>
    </row>
    <row r="4965" spans="1:4" ht="13.5" x14ac:dyDescent="0.25">
      <c r="A4965" s="306">
        <v>94099</v>
      </c>
      <c r="B4965" s="305" t="s">
        <v>4512</v>
      </c>
      <c r="C4965" s="305" t="s">
        <v>521</v>
      </c>
      <c r="D4965" s="575">
        <v>2.4700000000000002</v>
      </c>
    </row>
    <row r="4966" spans="1:4" ht="13.5" x14ac:dyDescent="0.25">
      <c r="A4966" s="306">
        <v>94100</v>
      </c>
      <c r="B4966" s="305" t="s">
        <v>4513</v>
      </c>
      <c r="C4966" s="305" t="s">
        <v>521</v>
      </c>
      <c r="D4966" s="575">
        <v>3.14</v>
      </c>
    </row>
    <row r="4967" spans="1:4" ht="13.5" x14ac:dyDescent="0.25">
      <c r="A4967" s="306">
        <v>94102</v>
      </c>
      <c r="B4967" s="305" t="s">
        <v>4514</v>
      </c>
      <c r="C4967" s="305" t="s">
        <v>1456</v>
      </c>
      <c r="D4967" s="575">
        <v>174.99</v>
      </c>
    </row>
    <row r="4968" spans="1:4" ht="13.5" x14ac:dyDescent="0.25">
      <c r="A4968" s="306">
        <v>94103</v>
      </c>
      <c r="B4968" s="305" t="s">
        <v>4515</v>
      </c>
      <c r="C4968" s="305" t="s">
        <v>1456</v>
      </c>
      <c r="D4968" s="575">
        <v>242.94</v>
      </c>
    </row>
    <row r="4969" spans="1:4" ht="13.5" x14ac:dyDescent="0.25">
      <c r="A4969" s="306">
        <v>94104</v>
      </c>
      <c r="B4969" s="305" t="s">
        <v>4516</v>
      </c>
      <c r="C4969" s="305" t="s">
        <v>1456</v>
      </c>
      <c r="D4969" s="575">
        <v>178.86</v>
      </c>
    </row>
    <row r="4970" spans="1:4" ht="13.5" x14ac:dyDescent="0.25">
      <c r="A4970" s="306">
        <v>94105</v>
      </c>
      <c r="B4970" s="305" t="s">
        <v>4517</v>
      </c>
      <c r="C4970" s="305" t="s">
        <v>1456</v>
      </c>
      <c r="D4970" s="575">
        <v>246.85</v>
      </c>
    </row>
    <row r="4971" spans="1:4" ht="13.5" x14ac:dyDescent="0.25">
      <c r="A4971" s="306">
        <v>94106</v>
      </c>
      <c r="B4971" s="305" t="s">
        <v>4518</v>
      </c>
      <c r="C4971" s="305" t="s">
        <v>1456</v>
      </c>
      <c r="D4971" s="575">
        <v>155.19</v>
      </c>
    </row>
    <row r="4972" spans="1:4" ht="13.5" x14ac:dyDescent="0.25">
      <c r="A4972" s="306">
        <v>94107</v>
      </c>
      <c r="B4972" s="305" t="s">
        <v>4519</v>
      </c>
      <c r="C4972" s="305" t="s">
        <v>1456</v>
      </c>
      <c r="D4972" s="575">
        <v>223.16</v>
      </c>
    </row>
    <row r="4973" spans="1:4" ht="13.5" x14ac:dyDescent="0.25">
      <c r="A4973" s="306">
        <v>94108</v>
      </c>
      <c r="B4973" s="305" t="s">
        <v>4520</v>
      </c>
      <c r="C4973" s="305" t="s">
        <v>1456</v>
      </c>
      <c r="D4973" s="575">
        <v>159.08000000000001</v>
      </c>
    </row>
    <row r="4974" spans="1:4" ht="13.5" x14ac:dyDescent="0.25">
      <c r="A4974" s="306">
        <v>94110</v>
      </c>
      <c r="B4974" s="305" t="s">
        <v>4521</v>
      </c>
      <c r="C4974" s="305" t="s">
        <v>1456</v>
      </c>
      <c r="D4974" s="575">
        <v>227.03</v>
      </c>
    </row>
    <row r="4975" spans="1:4" ht="13.5" x14ac:dyDescent="0.25">
      <c r="A4975" s="306">
        <v>94111</v>
      </c>
      <c r="B4975" s="305" t="s">
        <v>4522</v>
      </c>
      <c r="C4975" s="305" t="s">
        <v>1456</v>
      </c>
      <c r="D4975" s="575">
        <v>144.6</v>
      </c>
    </row>
    <row r="4976" spans="1:4" ht="13.5" x14ac:dyDescent="0.25">
      <c r="A4976" s="306">
        <v>94112</v>
      </c>
      <c r="B4976" s="305" t="s">
        <v>4523</v>
      </c>
      <c r="C4976" s="305" t="s">
        <v>1456</v>
      </c>
      <c r="D4976" s="575">
        <v>205.5</v>
      </c>
    </row>
    <row r="4977" spans="1:4" ht="13.5" x14ac:dyDescent="0.25">
      <c r="A4977" s="306">
        <v>94113</v>
      </c>
      <c r="B4977" s="305" t="s">
        <v>4524</v>
      </c>
      <c r="C4977" s="305" t="s">
        <v>1456</v>
      </c>
      <c r="D4977" s="575">
        <v>150.46</v>
      </c>
    </row>
    <row r="4978" spans="1:4" ht="13.5" x14ac:dyDescent="0.25">
      <c r="A4978" s="306">
        <v>94114</v>
      </c>
      <c r="B4978" s="305" t="s">
        <v>4525</v>
      </c>
      <c r="C4978" s="305" t="s">
        <v>1456</v>
      </c>
      <c r="D4978" s="575">
        <v>212.1</v>
      </c>
    </row>
    <row r="4979" spans="1:4" ht="13.5" x14ac:dyDescent="0.25">
      <c r="A4979" s="306">
        <v>94115</v>
      </c>
      <c r="B4979" s="305" t="s">
        <v>4526</v>
      </c>
      <c r="C4979" s="305" t="s">
        <v>1456</v>
      </c>
      <c r="D4979" s="575">
        <v>116.73</v>
      </c>
    </row>
    <row r="4980" spans="1:4" ht="13.5" x14ac:dyDescent="0.25">
      <c r="A4980" s="306">
        <v>94116</v>
      </c>
      <c r="B4980" s="305" t="s">
        <v>4527</v>
      </c>
      <c r="C4980" s="305" t="s">
        <v>1456</v>
      </c>
      <c r="D4980" s="575">
        <v>173.63</v>
      </c>
    </row>
    <row r="4981" spans="1:4" ht="13.5" x14ac:dyDescent="0.25">
      <c r="A4981" s="306">
        <v>94117</v>
      </c>
      <c r="B4981" s="305" t="s">
        <v>4528</v>
      </c>
      <c r="C4981" s="305" t="s">
        <v>1456</v>
      </c>
      <c r="D4981" s="575">
        <v>122.2</v>
      </c>
    </row>
    <row r="4982" spans="1:4" ht="13.5" x14ac:dyDescent="0.25">
      <c r="A4982" s="306">
        <v>94118</v>
      </c>
      <c r="B4982" s="305" t="s">
        <v>4529</v>
      </c>
      <c r="C4982" s="305" t="s">
        <v>1456</v>
      </c>
      <c r="D4982" s="575">
        <v>180.05</v>
      </c>
    </row>
    <row r="4983" spans="1:4" ht="13.5" x14ac:dyDescent="0.25">
      <c r="A4983" s="306">
        <v>95606</v>
      </c>
      <c r="B4983" s="305" t="s">
        <v>4530</v>
      </c>
      <c r="C4983" s="305" t="s">
        <v>1456</v>
      </c>
      <c r="D4983" s="575">
        <v>1.27</v>
      </c>
    </row>
    <row r="4984" spans="1:4" ht="13.5" x14ac:dyDescent="0.25">
      <c r="A4984" s="306">
        <v>87471</v>
      </c>
      <c r="B4984" s="305" t="s">
        <v>4531</v>
      </c>
      <c r="C4984" s="305" t="s">
        <v>521</v>
      </c>
      <c r="D4984" s="575">
        <v>39.76</v>
      </c>
    </row>
    <row r="4985" spans="1:4" ht="13.5" x14ac:dyDescent="0.25">
      <c r="A4985" s="306">
        <v>87472</v>
      </c>
      <c r="B4985" s="305" t="s">
        <v>4532</v>
      </c>
      <c r="C4985" s="305" t="s">
        <v>521</v>
      </c>
      <c r="D4985" s="575">
        <v>40.85</v>
      </c>
    </row>
    <row r="4986" spans="1:4" ht="13.5" x14ac:dyDescent="0.25">
      <c r="A4986" s="306">
        <v>87473</v>
      </c>
      <c r="B4986" s="305" t="s">
        <v>4533</v>
      </c>
      <c r="C4986" s="305" t="s">
        <v>521</v>
      </c>
      <c r="D4986" s="575">
        <v>53.78</v>
      </c>
    </row>
    <row r="4987" spans="1:4" ht="13.5" x14ac:dyDescent="0.25">
      <c r="A4987" s="306">
        <v>87474</v>
      </c>
      <c r="B4987" s="305" t="s">
        <v>4534</v>
      </c>
      <c r="C4987" s="305" t="s">
        <v>521</v>
      </c>
      <c r="D4987" s="575">
        <v>55.02</v>
      </c>
    </row>
    <row r="4988" spans="1:4" ht="13.5" x14ac:dyDescent="0.25">
      <c r="A4988" s="306">
        <v>87475</v>
      </c>
      <c r="B4988" s="305" t="s">
        <v>4535</v>
      </c>
      <c r="C4988" s="305" t="s">
        <v>521</v>
      </c>
      <c r="D4988" s="575">
        <v>65.03</v>
      </c>
    </row>
    <row r="4989" spans="1:4" ht="13.5" x14ac:dyDescent="0.25">
      <c r="A4989" s="306">
        <v>87476</v>
      </c>
      <c r="B4989" s="305" t="s">
        <v>4536</v>
      </c>
      <c r="C4989" s="305" t="s">
        <v>521</v>
      </c>
      <c r="D4989" s="575">
        <v>66.48</v>
      </c>
    </row>
    <row r="4990" spans="1:4" ht="13.5" x14ac:dyDescent="0.25">
      <c r="A4990" s="306">
        <v>87477</v>
      </c>
      <c r="B4990" s="305" t="s">
        <v>4537</v>
      </c>
      <c r="C4990" s="305" t="s">
        <v>521</v>
      </c>
      <c r="D4990" s="575">
        <v>35.729999999999997</v>
      </c>
    </row>
    <row r="4991" spans="1:4" ht="13.5" x14ac:dyDescent="0.25">
      <c r="A4991" s="306">
        <v>87478</v>
      </c>
      <c r="B4991" s="305" t="s">
        <v>4538</v>
      </c>
      <c r="C4991" s="305" t="s">
        <v>521</v>
      </c>
      <c r="D4991" s="575">
        <v>36.82</v>
      </c>
    </row>
    <row r="4992" spans="1:4" ht="13.5" x14ac:dyDescent="0.25">
      <c r="A4992" s="306">
        <v>87479</v>
      </c>
      <c r="B4992" s="305" t="s">
        <v>4539</v>
      </c>
      <c r="C4992" s="305" t="s">
        <v>521</v>
      </c>
      <c r="D4992" s="575">
        <v>49.21</v>
      </c>
    </row>
    <row r="4993" spans="1:4" ht="13.5" x14ac:dyDescent="0.25">
      <c r="A4993" s="306">
        <v>87480</v>
      </c>
      <c r="B4993" s="305" t="s">
        <v>4540</v>
      </c>
      <c r="C4993" s="305" t="s">
        <v>521</v>
      </c>
      <c r="D4993" s="575">
        <v>50.45</v>
      </c>
    </row>
    <row r="4994" spans="1:4" ht="13.5" x14ac:dyDescent="0.25">
      <c r="A4994" s="306">
        <v>87481</v>
      </c>
      <c r="B4994" s="305" t="s">
        <v>4541</v>
      </c>
      <c r="C4994" s="305" t="s">
        <v>521</v>
      </c>
      <c r="D4994" s="575">
        <v>59.73</v>
      </c>
    </row>
    <row r="4995" spans="1:4" ht="13.5" x14ac:dyDescent="0.25">
      <c r="A4995" s="306">
        <v>87482</v>
      </c>
      <c r="B4995" s="305" t="s">
        <v>4542</v>
      </c>
      <c r="C4995" s="305" t="s">
        <v>521</v>
      </c>
      <c r="D4995" s="575">
        <v>61.18</v>
      </c>
    </row>
    <row r="4996" spans="1:4" ht="13.5" x14ac:dyDescent="0.25">
      <c r="A4996" s="306">
        <v>87483</v>
      </c>
      <c r="B4996" s="305" t="s">
        <v>4543</v>
      </c>
      <c r="C4996" s="305" t="s">
        <v>521</v>
      </c>
      <c r="D4996" s="575">
        <v>45.85</v>
      </c>
    </row>
    <row r="4997" spans="1:4" ht="13.5" x14ac:dyDescent="0.25">
      <c r="A4997" s="306">
        <v>87484</v>
      </c>
      <c r="B4997" s="305" t="s">
        <v>4544</v>
      </c>
      <c r="C4997" s="305" t="s">
        <v>521</v>
      </c>
      <c r="D4997" s="575">
        <v>46.94</v>
      </c>
    </row>
    <row r="4998" spans="1:4" ht="13.5" x14ac:dyDescent="0.25">
      <c r="A4998" s="306">
        <v>87485</v>
      </c>
      <c r="B4998" s="305" t="s">
        <v>4545</v>
      </c>
      <c r="C4998" s="305" t="s">
        <v>521</v>
      </c>
      <c r="D4998" s="575">
        <v>59.95</v>
      </c>
    </row>
    <row r="4999" spans="1:4" ht="13.5" x14ac:dyDescent="0.25">
      <c r="A4999" s="306">
        <v>87487</v>
      </c>
      <c r="B4999" s="305" t="s">
        <v>4546</v>
      </c>
      <c r="C4999" s="305" t="s">
        <v>521</v>
      </c>
      <c r="D4999" s="575">
        <v>71</v>
      </c>
    </row>
    <row r="5000" spans="1:4" ht="13.5" x14ac:dyDescent="0.25">
      <c r="A5000" s="306">
        <v>87488</v>
      </c>
      <c r="B5000" s="305" t="s">
        <v>4547</v>
      </c>
      <c r="C5000" s="305" t="s">
        <v>521</v>
      </c>
      <c r="D5000" s="575">
        <v>72.45</v>
      </c>
    </row>
    <row r="5001" spans="1:4" ht="13.5" x14ac:dyDescent="0.25">
      <c r="A5001" s="306">
        <v>87489</v>
      </c>
      <c r="B5001" s="305" t="s">
        <v>4548</v>
      </c>
      <c r="C5001" s="305" t="s">
        <v>521</v>
      </c>
      <c r="D5001" s="575">
        <v>39.22</v>
      </c>
    </row>
    <row r="5002" spans="1:4" ht="13.5" x14ac:dyDescent="0.25">
      <c r="A5002" s="306">
        <v>87490</v>
      </c>
      <c r="B5002" s="305" t="s">
        <v>4549</v>
      </c>
      <c r="C5002" s="305" t="s">
        <v>521</v>
      </c>
      <c r="D5002" s="575">
        <v>40.31</v>
      </c>
    </row>
    <row r="5003" spans="1:4" ht="13.5" x14ac:dyDescent="0.25">
      <c r="A5003" s="306">
        <v>87491</v>
      </c>
      <c r="B5003" s="305" t="s">
        <v>4550</v>
      </c>
      <c r="C5003" s="305" t="s">
        <v>521</v>
      </c>
      <c r="D5003" s="575">
        <v>52.77</v>
      </c>
    </row>
    <row r="5004" spans="1:4" ht="13.5" x14ac:dyDescent="0.25">
      <c r="A5004" s="306">
        <v>87492</v>
      </c>
      <c r="B5004" s="305" t="s">
        <v>4551</v>
      </c>
      <c r="C5004" s="305" t="s">
        <v>521</v>
      </c>
      <c r="D5004" s="575">
        <v>54.01</v>
      </c>
    </row>
    <row r="5005" spans="1:4" ht="13.5" x14ac:dyDescent="0.25">
      <c r="A5005" s="306">
        <v>87493</v>
      </c>
      <c r="B5005" s="305" t="s">
        <v>4552</v>
      </c>
      <c r="C5005" s="305" t="s">
        <v>521</v>
      </c>
      <c r="D5005" s="575">
        <v>63.39</v>
      </c>
    </row>
    <row r="5006" spans="1:4" ht="13.5" x14ac:dyDescent="0.25">
      <c r="A5006" s="306">
        <v>87494</v>
      </c>
      <c r="B5006" s="305" t="s">
        <v>4553</v>
      </c>
      <c r="C5006" s="305" t="s">
        <v>521</v>
      </c>
      <c r="D5006" s="575">
        <v>64.84</v>
      </c>
    </row>
    <row r="5007" spans="1:4" ht="13.5" x14ac:dyDescent="0.25">
      <c r="A5007" s="306">
        <v>87495</v>
      </c>
      <c r="B5007" s="305" t="s">
        <v>4554</v>
      </c>
      <c r="C5007" s="305" t="s">
        <v>521</v>
      </c>
      <c r="D5007" s="575">
        <v>68.2</v>
      </c>
    </row>
    <row r="5008" spans="1:4" ht="13.5" x14ac:dyDescent="0.25">
      <c r="A5008" s="306">
        <v>87496</v>
      </c>
      <c r="B5008" s="305" t="s">
        <v>4555</v>
      </c>
      <c r="C5008" s="305" t="s">
        <v>521</v>
      </c>
      <c r="D5008" s="575">
        <v>69.23</v>
      </c>
    </row>
    <row r="5009" spans="1:4" ht="13.5" x14ac:dyDescent="0.25">
      <c r="A5009" s="306">
        <v>87497</v>
      </c>
      <c r="B5009" s="305" t="s">
        <v>4556</v>
      </c>
      <c r="C5009" s="305" t="s">
        <v>521</v>
      </c>
      <c r="D5009" s="575">
        <v>66.739999999999995</v>
      </c>
    </row>
    <row r="5010" spans="1:4" ht="13.5" x14ac:dyDescent="0.25">
      <c r="A5010" s="306">
        <v>87498</v>
      </c>
      <c r="B5010" s="305" t="s">
        <v>4557</v>
      </c>
      <c r="C5010" s="305" t="s">
        <v>521</v>
      </c>
      <c r="D5010" s="575">
        <v>68.06</v>
      </c>
    </row>
    <row r="5011" spans="1:4" ht="13.5" x14ac:dyDescent="0.25">
      <c r="A5011" s="306">
        <v>87499</v>
      </c>
      <c r="B5011" s="305" t="s">
        <v>4558</v>
      </c>
      <c r="C5011" s="305" t="s">
        <v>521</v>
      </c>
      <c r="D5011" s="575">
        <v>78.569999999999993</v>
      </c>
    </row>
    <row r="5012" spans="1:4" ht="13.5" x14ac:dyDescent="0.25">
      <c r="A5012" s="306">
        <v>87500</v>
      </c>
      <c r="B5012" s="305" t="s">
        <v>4559</v>
      </c>
      <c r="C5012" s="305" t="s">
        <v>521</v>
      </c>
      <c r="D5012" s="575">
        <v>79.680000000000007</v>
      </c>
    </row>
    <row r="5013" spans="1:4" ht="13.5" x14ac:dyDescent="0.25">
      <c r="A5013" s="306">
        <v>87501</v>
      </c>
      <c r="B5013" s="305" t="s">
        <v>4560</v>
      </c>
      <c r="C5013" s="305" t="s">
        <v>521</v>
      </c>
      <c r="D5013" s="575">
        <v>121.88</v>
      </c>
    </row>
    <row r="5014" spans="1:4" ht="13.5" x14ac:dyDescent="0.25">
      <c r="A5014" s="306">
        <v>87502</v>
      </c>
      <c r="B5014" s="305" t="s">
        <v>4561</v>
      </c>
      <c r="C5014" s="305" t="s">
        <v>521</v>
      </c>
      <c r="D5014" s="575">
        <v>123.3</v>
      </c>
    </row>
    <row r="5015" spans="1:4" ht="13.5" x14ac:dyDescent="0.25">
      <c r="A5015" s="306">
        <v>87503</v>
      </c>
      <c r="B5015" s="305" t="s">
        <v>4562</v>
      </c>
      <c r="C5015" s="305" t="s">
        <v>521</v>
      </c>
      <c r="D5015" s="575">
        <v>58.1</v>
      </c>
    </row>
    <row r="5016" spans="1:4" ht="13.5" x14ac:dyDescent="0.25">
      <c r="A5016" s="306">
        <v>87504</v>
      </c>
      <c r="B5016" s="305" t="s">
        <v>4563</v>
      </c>
      <c r="C5016" s="305" t="s">
        <v>521</v>
      </c>
      <c r="D5016" s="575">
        <v>59.13</v>
      </c>
    </row>
    <row r="5017" spans="1:4" ht="13.5" x14ac:dyDescent="0.25">
      <c r="A5017" s="306">
        <v>87505</v>
      </c>
      <c r="B5017" s="305" t="s">
        <v>4564</v>
      </c>
      <c r="C5017" s="305" t="s">
        <v>521</v>
      </c>
      <c r="D5017" s="575">
        <v>56.58</v>
      </c>
    </row>
    <row r="5018" spans="1:4" ht="13.5" x14ac:dyDescent="0.25">
      <c r="A5018" s="306">
        <v>87506</v>
      </c>
      <c r="B5018" s="305" t="s">
        <v>4565</v>
      </c>
      <c r="C5018" s="305" t="s">
        <v>521</v>
      </c>
      <c r="D5018" s="575">
        <v>57.9</v>
      </c>
    </row>
    <row r="5019" spans="1:4" ht="13.5" x14ac:dyDescent="0.25">
      <c r="A5019" s="306">
        <v>87507</v>
      </c>
      <c r="B5019" s="305" t="s">
        <v>4566</v>
      </c>
      <c r="C5019" s="305" t="s">
        <v>521</v>
      </c>
      <c r="D5019" s="575">
        <v>65.2</v>
      </c>
    </row>
    <row r="5020" spans="1:4" ht="13.5" x14ac:dyDescent="0.25">
      <c r="A5020" s="306">
        <v>87508</v>
      </c>
      <c r="B5020" s="305" t="s">
        <v>4567</v>
      </c>
      <c r="C5020" s="305" t="s">
        <v>521</v>
      </c>
      <c r="D5020" s="575">
        <v>66.31</v>
      </c>
    </row>
    <row r="5021" spans="1:4" ht="13.5" x14ac:dyDescent="0.25">
      <c r="A5021" s="306">
        <v>87509</v>
      </c>
      <c r="B5021" s="305" t="s">
        <v>4568</v>
      </c>
      <c r="C5021" s="305" t="s">
        <v>521</v>
      </c>
      <c r="D5021" s="575">
        <v>100.24</v>
      </c>
    </row>
    <row r="5022" spans="1:4" ht="13.5" x14ac:dyDescent="0.25">
      <c r="A5022" s="306">
        <v>87510</v>
      </c>
      <c r="B5022" s="305" t="s">
        <v>4569</v>
      </c>
      <c r="C5022" s="305" t="s">
        <v>521</v>
      </c>
      <c r="D5022" s="575">
        <v>101.66</v>
      </c>
    </row>
    <row r="5023" spans="1:4" ht="13.5" x14ac:dyDescent="0.25">
      <c r="A5023" s="306">
        <v>87511</v>
      </c>
      <c r="B5023" s="305" t="s">
        <v>4570</v>
      </c>
      <c r="C5023" s="305" t="s">
        <v>521</v>
      </c>
      <c r="D5023" s="575">
        <v>76.77</v>
      </c>
    </row>
    <row r="5024" spans="1:4" ht="13.5" x14ac:dyDescent="0.25">
      <c r="A5024" s="306">
        <v>87512</v>
      </c>
      <c r="B5024" s="305" t="s">
        <v>4571</v>
      </c>
      <c r="C5024" s="305" t="s">
        <v>521</v>
      </c>
      <c r="D5024" s="575">
        <v>77.8</v>
      </c>
    </row>
    <row r="5025" spans="1:4" ht="13.5" x14ac:dyDescent="0.25">
      <c r="A5025" s="306">
        <v>87513</v>
      </c>
      <c r="B5025" s="305" t="s">
        <v>4572</v>
      </c>
      <c r="C5025" s="305" t="s">
        <v>521</v>
      </c>
      <c r="D5025" s="575">
        <v>75.64</v>
      </c>
    </row>
    <row r="5026" spans="1:4" ht="13.5" x14ac:dyDescent="0.25">
      <c r="A5026" s="306">
        <v>87514</v>
      </c>
      <c r="B5026" s="305" t="s">
        <v>4573</v>
      </c>
      <c r="C5026" s="305" t="s">
        <v>521</v>
      </c>
      <c r="D5026" s="575">
        <v>76.959999999999994</v>
      </c>
    </row>
    <row r="5027" spans="1:4" ht="13.5" x14ac:dyDescent="0.25">
      <c r="A5027" s="306">
        <v>87515</v>
      </c>
      <c r="B5027" s="305" t="s">
        <v>4574</v>
      </c>
      <c r="C5027" s="305" t="s">
        <v>521</v>
      </c>
      <c r="D5027" s="575">
        <v>90.53</v>
      </c>
    </row>
    <row r="5028" spans="1:4" ht="13.5" x14ac:dyDescent="0.25">
      <c r="A5028" s="306">
        <v>87516</v>
      </c>
      <c r="B5028" s="305" t="s">
        <v>4575</v>
      </c>
      <c r="C5028" s="305" t="s">
        <v>521</v>
      </c>
      <c r="D5028" s="575">
        <v>91.64</v>
      </c>
    </row>
    <row r="5029" spans="1:4" ht="13.5" x14ac:dyDescent="0.25">
      <c r="A5029" s="306">
        <v>87517</v>
      </c>
      <c r="B5029" s="305" t="s">
        <v>4576</v>
      </c>
      <c r="C5029" s="305" t="s">
        <v>521</v>
      </c>
      <c r="D5029" s="575">
        <v>140.52000000000001</v>
      </c>
    </row>
    <row r="5030" spans="1:4" ht="13.5" x14ac:dyDescent="0.25">
      <c r="A5030" s="306">
        <v>87518</v>
      </c>
      <c r="B5030" s="305" t="s">
        <v>4577</v>
      </c>
      <c r="C5030" s="305" t="s">
        <v>521</v>
      </c>
      <c r="D5030" s="575">
        <v>141.94</v>
      </c>
    </row>
    <row r="5031" spans="1:4" ht="13.5" x14ac:dyDescent="0.25">
      <c r="A5031" s="306">
        <v>87519</v>
      </c>
      <c r="B5031" s="305" t="s">
        <v>4578</v>
      </c>
      <c r="C5031" s="305" t="s">
        <v>521</v>
      </c>
      <c r="D5031" s="575">
        <v>63.48</v>
      </c>
    </row>
    <row r="5032" spans="1:4" ht="13.5" x14ac:dyDescent="0.25">
      <c r="A5032" s="306">
        <v>87520</v>
      </c>
      <c r="B5032" s="305" t="s">
        <v>4579</v>
      </c>
      <c r="C5032" s="305" t="s">
        <v>521</v>
      </c>
      <c r="D5032" s="575">
        <v>64.510000000000005</v>
      </c>
    </row>
    <row r="5033" spans="1:4" ht="13.5" x14ac:dyDescent="0.25">
      <c r="A5033" s="306">
        <v>87521</v>
      </c>
      <c r="B5033" s="305" t="s">
        <v>4580</v>
      </c>
      <c r="C5033" s="305" t="s">
        <v>521</v>
      </c>
      <c r="D5033" s="575">
        <v>62.02</v>
      </c>
    </row>
    <row r="5034" spans="1:4" ht="13.5" x14ac:dyDescent="0.25">
      <c r="A5034" s="306">
        <v>87522</v>
      </c>
      <c r="B5034" s="305" t="s">
        <v>4581</v>
      </c>
      <c r="C5034" s="305" t="s">
        <v>521</v>
      </c>
      <c r="D5034" s="575">
        <v>63.34</v>
      </c>
    </row>
    <row r="5035" spans="1:4" ht="13.5" x14ac:dyDescent="0.25">
      <c r="A5035" s="306">
        <v>87523</v>
      </c>
      <c r="B5035" s="305" t="s">
        <v>4582</v>
      </c>
      <c r="C5035" s="305" t="s">
        <v>521</v>
      </c>
      <c r="D5035" s="575">
        <v>72.5</v>
      </c>
    </row>
    <row r="5036" spans="1:4" ht="13.5" x14ac:dyDescent="0.25">
      <c r="A5036" s="306">
        <v>87524</v>
      </c>
      <c r="B5036" s="305" t="s">
        <v>4583</v>
      </c>
      <c r="C5036" s="305" t="s">
        <v>521</v>
      </c>
      <c r="D5036" s="575">
        <v>73.61</v>
      </c>
    </row>
    <row r="5037" spans="1:4" ht="13.5" x14ac:dyDescent="0.25">
      <c r="A5037" s="306">
        <v>87525</v>
      </c>
      <c r="B5037" s="305" t="s">
        <v>4584</v>
      </c>
      <c r="C5037" s="305" t="s">
        <v>521</v>
      </c>
      <c r="D5037" s="575">
        <v>111.56</v>
      </c>
    </row>
    <row r="5038" spans="1:4" ht="13.5" x14ac:dyDescent="0.25">
      <c r="A5038" s="306">
        <v>87526</v>
      </c>
      <c r="B5038" s="305" t="s">
        <v>4585</v>
      </c>
      <c r="C5038" s="305" t="s">
        <v>521</v>
      </c>
      <c r="D5038" s="575">
        <v>112.98</v>
      </c>
    </row>
    <row r="5039" spans="1:4" ht="13.5" x14ac:dyDescent="0.25">
      <c r="A5039" s="306">
        <v>89043</v>
      </c>
      <c r="B5039" s="305" t="s">
        <v>4586</v>
      </c>
      <c r="C5039" s="305" t="s">
        <v>521</v>
      </c>
      <c r="D5039" s="575">
        <v>64.78</v>
      </c>
    </row>
    <row r="5040" spans="1:4" ht="13.5" x14ac:dyDescent="0.25">
      <c r="A5040" s="306">
        <v>89168</v>
      </c>
      <c r="B5040" s="305" t="s">
        <v>4587</v>
      </c>
      <c r="C5040" s="305" t="s">
        <v>521</v>
      </c>
      <c r="D5040" s="575">
        <v>66.760000000000005</v>
      </c>
    </row>
    <row r="5041" spans="1:4" ht="13.5" x14ac:dyDescent="0.25">
      <c r="A5041" s="306">
        <v>89977</v>
      </c>
      <c r="B5041" s="305" t="s">
        <v>4588</v>
      </c>
      <c r="C5041" s="305" t="s">
        <v>521</v>
      </c>
      <c r="D5041" s="575">
        <v>118.8</v>
      </c>
    </row>
    <row r="5042" spans="1:4" ht="13.5" x14ac:dyDescent="0.25">
      <c r="A5042" s="306">
        <v>90112</v>
      </c>
      <c r="B5042" s="305" t="s">
        <v>4589</v>
      </c>
      <c r="C5042" s="305" t="s">
        <v>521</v>
      </c>
      <c r="D5042" s="575">
        <v>61.19</v>
      </c>
    </row>
    <row r="5043" spans="1:4" ht="13.5" x14ac:dyDescent="0.25">
      <c r="A5043" s="306">
        <v>101159</v>
      </c>
      <c r="B5043" s="305" t="s">
        <v>12945</v>
      </c>
      <c r="C5043" s="305" t="s">
        <v>521</v>
      </c>
      <c r="D5043" s="575">
        <v>97.87</v>
      </c>
    </row>
    <row r="5044" spans="1:4" ht="13.5" x14ac:dyDescent="0.25">
      <c r="A5044" s="306">
        <v>89282</v>
      </c>
      <c r="B5044" s="305" t="s">
        <v>4590</v>
      </c>
      <c r="C5044" s="305" t="s">
        <v>521</v>
      </c>
      <c r="D5044" s="575">
        <v>50.56</v>
      </c>
    </row>
    <row r="5045" spans="1:4" ht="13.5" x14ac:dyDescent="0.25">
      <c r="A5045" s="306">
        <v>89283</v>
      </c>
      <c r="B5045" s="305" t="s">
        <v>4591</v>
      </c>
      <c r="C5045" s="305" t="s">
        <v>521</v>
      </c>
      <c r="D5045" s="575">
        <v>51.83</v>
      </c>
    </row>
    <row r="5046" spans="1:4" ht="13.5" x14ac:dyDescent="0.25">
      <c r="A5046" s="306">
        <v>89284</v>
      </c>
      <c r="B5046" s="305" t="s">
        <v>4592</v>
      </c>
      <c r="C5046" s="305" t="s">
        <v>521</v>
      </c>
      <c r="D5046" s="575">
        <v>45.8</v>
      </c>
    </row>
    <row r="5047" spans="1:4" ht="13.5" x14ac:dyDescent="0.25">
      <c r="A5047" s="306">
        <v>89285</v>
      </c>
      <c r="B5047" s="305" t="s">
        <v>4593</v>
      </c>
      <c r="C5047" s="305" t="s">
        <v>521</v>
      </c>
      <c r="D5047" s="575">
        <v>47.07</v>
      </c>
    </row>
    <row r="5048" spans="1:4" ht="13.5" x14ac:dyDescent="0.25">
      <c r="A5048" s="306">
        <v>89286</v>
      </c>
      <c r="B5048" s="305" t="s">
        <v>4594</v>
      </c>
      <c r="C5048" s="305" t="s">
        <v>521</v>
      </c>
      <c r="D5048" s="575">
        <v>54.39</v>
      </c>
    </row>
    <row r="5049" spans="1:4" ht="13.5" x14ac:dyDescent="0.25">
      <c r="A5049" s="306">
        <v>89287</v>
      </c>
      <c r="B5049" s="305" t="s">
        <v>4595</v>
      </c>
      <c r="C5049" s="305" t="s">
        <v>521</v>
      </c>
      <c r="D5049" s="575">
        <v>55.66</v>
      </c>
    </row>
    <row r="5050" spans="1:4" ht="13.5" x14ac:dyDescent="0.25">
      <c r="A5050" s="306">
        <v>89288</v>
      </c>
      <c r="B5050" s="305" t="s">
        <v>4596</v>
      </c>
      <c r="C5050" s="305" t="s">
        <v>521</v>
      </c>
      <c r="D5050" s="575">
        <v>47.87</v>
      </c>
    </row>
    <row r="5051" spans="1:4" ht="13.5" x14ac:dyDescent="0.25">
      <c r="A5051" s="306">
        <v>89289</v>
      </c>
      <c r="B5051" s="305" t="s">
        <v>4597</v>
      </c>
      <c r="C5051" s="305" t="s">
        <v>521</v>
      </c>
      <c r="D5051" s="575">
        <v>49.14</v>
      </c>
    </row>
    <row r="5052" spans="1:4" ht="13.5" x14ac:dyDescent="0.25">
      <c r="A5052" s="306">
        <v>89290</v>
      </c>
      <c r="B5052" s="305" t="s">
        <v>4598</v>
      </c>
      <c r="C5052" s="305" t="s">
        <v>521</v>
      </c>
      <c r="D5052" s="575">
        <v>59.09</v>
      </c>
    </row>
    <row r="5053" spans="1:4" ht="13.5" x14ac:dyDescent="0.25">
      <c r="A5053" s="306">
        <v>89291</v>
      </c>
      <c r="B5053" s="305" t="s">
        <v>4599</v>
      </c>
      <c r="C5053" s="305" t="s">
        <v>521</v>
      </c>
      <c r="D5053" s="575">
        <v>60.5</v>
      </c>
    </row>
    <row r="5054" spans="1:4" ht="13.5" x14ac:dyDescent="0.25">
      <c r="A5054" s="306">
        <v>89292</v>
      </c>
      <c r="B5054" s="305" t="s">
        <v>4600</v>
      </c>
      <c r="C5054" s="305" t="s">
        <v>521</v>
      </c>
      <c r="D5054" s="575">
        <v>54.31</v>
      </c>
    </row>
    <row r="5055" spans="1:4" ht="13.5" x14ac:dyDescent="0.25">
      <c r="A5055" s="306">
        <v>89293</v>
      </c>
      <c r="B5055" s="305" t="s">
        <v>4601</v>
      </c>
      <c r="C5055" s="305" t="s">
        <v>521</v>
      </c>
      <c r="D5055" s="575">
        <v>55.72</v>
      </c>
    </row>
    <row r="5056" spans="1:4" ht="13.5" x14ac:dyDescent="0.25">
      <c r="A5056" s="306">
        <v>89294</v>
      </c>
      <c r="B5056" s="305" t="s">
        <v>4602</v>
      </c>
      <c r="C5056" s="305" t="s">
        <v>521</v>
      </c>
      <c r="D5056" s="575">
        <v>64.69</v>
      </c>
    </row>
    <row r="5057" spans="1:4" ht="13.5" x14ac:dyDescent="0.25">
      <c r="A5057" s="306">
        <v>89295</v>
      </c>
      <c r="B5057" s="305" t="s">
        <v>4603</v>
      </c>
      <c r="C5057" s="305" t="s">
        <v>521</v>
      </c>
      <c r="D5057" s="575">
        <v>66.099999999999994</v>
      </c>
    </row>
    <row r="5058" spans="1:4" ht="13.5" x14ac:dyDescent="0.25">
      <c r="A5058" s="306">
        <v>89296</v>
      </c>
      <c r="B5058" s="305" t="s">
        <v>4604</v>
      </c>
      <c r="C5058" s="305" t="s">
        <v>521</v>
      </c>
      <c r="D5058" s="575">
        <v>57.33</v>
      </c>
    </row>
    <row r="5059" spans="1:4" ht="13.5" x14ac:dyDescent="0.25">
      <c r="A5059" s="306">
        <v>89297</v>
      </c>
      <c r="B5059" s="305" t="s">
        <v>4605</v>
      </c>
      <c r="C5059" s="305" t="s">
        <v>521</v>
      </c>
      <c r="D5059" s="575">
        <v>58.74</v>
      </c>
    </row>
    <row r="5060" spans="1:4" ht="13.5" x14ac:dyDescent="0.25">
      <c r="A5060" s="306">
        <v>89298</v>
      </c>
      <c r="B5060" s="305" t="s">
        <v>4606</v>
      </c>
      <c r="C5060" s="305" t="s">
        <v>521</v>
      </c>
      <c r="D5060" s="575">
        <v>61.27</v>
      </c>
    </row>
    <row r="5061" spans="1:4" ht="13.5" x14ac:dyDescent="0.25">
      <c r="A5061" s="306">
        <v>89299</v>
      </c>
      <c r="B5061" s="305" t="s">
        <v>4607</v>
      </c>
      <c r="C5061" s="305" t="s">
        <v>521</v>
      </c>
      <c r="D5061" s="575">
        <v>63.07</v>
      </c>
    </row>
    <row r="5062" spans="1:4" ht="13.5" x14ac:dyDescent="0.25">
      <c r="A5062" s="306">
        <v>89300</v>
      </c>
      <c r="B5062" s="305" t="s">
        <v>4608</v>
      </c>
      <c r="C5062" s="305" t="s">
        <v>521</v>
      </c>
      <c r="D5062" s="575">
        <v>56.52</v>
      </c>
    </row>
    <row r="5063" spans="1:4" ht="13.5" x14ac:dyDescent="0.25">
      <c r="A5063" s="306">
        <v>89301</v>
      </c>
      <c r="B5063" s="305" t="s">
        <v>4609</v>
      </c>
      <c r="C5063" s="305" t="s">
        <v>521</v>
      </c>
      <c r="D5063" s="575">
        <v>58.32</v>
      </c>
    </row>
    <row r="5064" spans="1:4" ht="13.5" x14ac:dyDescent="0.25">
      <c r="A5064" s="306">
        <v>89302</v>
      </c>
      <c r="B5064" s="305" t="s">
        <v>4610</v>
      </c>
      <c r="C5064" s="305" t="s">
        <v>521</v>
      </c>
      <c r="D5064" s="575">
        <v>68.16</v>
      </c>
    </row>
    <row r="5065" spans="1:4" ht="13.5" x14ac:dyDescent="0.25">
      <c r="A5065" s="306">
        <v>89303</v>
      </c>
      <c r="B5065" s="305" t="s">
        <v>4611</v>
      </c>
      <c r="C5065" s="305" t="s">
        <v>521</v>
      </c>
      <c r="D5065" s="575">
        <v>69.959999999999994</v>
      </c>
    </row>
    <row r="5066" spans="1:4" ht="13.5" x14ac:dyDescent="0.25">
      <c r="A5066" s="306">
        <v>89304</v>
      </c>
      <c r="B5066" s="305" t="s">
        <v>4612</v>
      </c>
      <c r="C5066" s="305" t="s">
        <v>521</v>
      </c>
      <c r="D5066" s="575">
        <v>60.49</v>
      </c>
    </row>
    <row r="5067" spans="1:4" ht="13.5" x14ac:dyDescent="0.25">
      <c r="A5067" s="306">
        <v>89305</v>
      </c>
      <c r="B5067" s="305" t="s">
        <v>4613</v>
      </c>
      <c r="C5067" s="305" t="s">
        <v>521</v>
      </c>
      <c r="D5067" s="575">
        <v>62.29</v>
      </c>
    </row>
    <row r="5068" spans="1:4" ht="13.5" x14ac:dyDescent="0.25">
      <c r="A5068" s="306">
        <v>89306</v>
      </c>
      <c r="B5068" s="305" t="s">
        <v>4614</v>
      </c>
      <c r="C5068" s="305" t="s">
        <v>521</v>
      </c>
      <c r="D5068" s="575">
        <v>70.08</v>
      </c>
    </row>
    <row r="5069" spans="1:4" ht="13.5" x14ac:dyDescent="0.25">
      <c r="A5069" s="306">
        <v>89307</v>
      </c>
      <c r="B5069" s="305" t="s">
        <v>4615</v>
      </c>
      <c r="C5069" s="305" t="s">
        <v>521</v>
      </c>
      <c r="D5069" s="575">
        <v>72.08</v>
      </c>
    </row>
    <row r="5070" spans="1:4" ht="13.5" x14ac:dyDescent="0.25">
      <c r="A5070" s="306">
        <v>89308</v>
      </c>
      <c r="B5070" s="305" t="s">
        <v>4616</v>
      </c>
      <c r="C5070" s="305" t="s">
        <v>521</v>
      </c>
      <c r="D5070" s="575">
        <v>65.3</v>
      </c>
    </row>
    <row r="5071" spans="1:4" ht="13.5" x14ac:dyDescent="0.25">
      <c r="A5071" s="306">
        <v>89309</v>
      </c>
      <c r="B5071" s="305" t="s">
        <v>4617</v>
      </c>
      <c r="C5071" s="305" t="s">
        <v>521</v>
      </c>
      <c r="D5071" s="575">
        <v>67.3</v>
      </c>
    </row>
    <row r="5072" spans="1:4" ht="13.5" x14ac:dyDescent="0.25">
      <c r="A5072" s="306">
        <v>89310</v>
      </c>
      <c r="B5072" s="305" t="s">
        <v>4618</v>
      </c>
      <c r="C5072" s="305" t="s">
        <v>521</v>
      </c>
      <c r="D5072" s="575">
        <v>80.430000000000007</v>
      </c>
    </row>
    <row r="5073" spans="1:4" ht="13.5" x14ac:dyDescent="0.25">
      <c r="A5073" s="306">
        <v>89311</v>
      </c>
      <c r="B5073" s="305" t="s">
        <v>4619</v>
      </c>
      <c r="C5073" s="305" t="s">
        <v>521</v>
      </c>
      <c r="D5073" s="575">
        <v>82.43</v>
      </c>
    </row>
    <row r="5074" spans="1:4" ht="13.5" x14ac:dyDescent="0.25">
      <c r="A5074" s="306">
        <v>89312</v>
      </c>
      <c r="B5074" s="305" t="s">
        <v>4620</v>
      </c>
      <c r="C5074" s="305" t="s">
        <v>521</v>
      </c>
      <c r="D5074" s="575">
        <v>70.22</v>
      </c>
    </row>
    <row r="5075" spans="1:4" ht="13.5" x14ac:dyDescent="0.25">
      <c r="A5075" s="306">
        <v>89313</v>
      </c>
      <c r="B5075" s="305" t="s">
        <v>4621</v>
      </c>
      <c r="C5075" s="305" t="s">
        <v>521</v>
      </c>
      <c r="D5075" s="575">
        <v>72.22</v>
      </c>
    </row>
    <row r="5076" spans="1:4" ht="13.5" x14ac:dyDescent="0.25">
      <c r="A5076" s="306">
        <v>101162</v>
      </c>
      <c r="B5076" s="305" t="s">
        <v>12946</v>
      </c>
      <c r="C5076" s="305" t="s">
        <v>521</v>
      </c>
      <c r="D5076" s="575">
        <v>109.53</v>
      </c>
    </row>
    <row r="5077" spans="1:4" ht="13.5" x14ac:dyDescent="0.25">
      <c r="A5077" s="306">
        <v>87447</v>
      </c>
      <c r="B5077" s="305" t="s">
        <v>4622</v>
      </c>
      <c r="C5077" s="305" t="s">
        <v>521</v>
      </c>
      <c r="D5077" s="575">
        <v>59.05</v>
      </c>
    </row>
    <row r="5078" spans="1:4" ht="13.5" x14ac:dyDescent="0.25">
      <c r="A5078" s="306">
        <v>87448</v>
      </c>
      <c r="B5078" s="305" t="s">
        <v>4623</v>
      </c>
      <c r="C5078" s="305" t="s">
        <v>521</v>
      </c>
      <c r="D5078" s="575">
        <v>59.53</v>
      </c>
    </row>
    <row r="5079" spans="1:4" ht="13.5" x14ac:dyDescent="0.25">
      <c r="A5079" s="306">
        <v>87449</v>
      </c>
      <c r="B5079" s="305" t="s">
        <v>4624</v>
      </c>
      <c r="C5079" s="305" t="s">
        <v>521</v>
      </c>
      <c r="D5079" s="575">
        <v>76.81</v>
      </c>
    </row>
    <row r="5080" spans="1:4" ht="13.5" x14ac:dyDescent="0.25">
      <c r="A5080" s="306">
        <v>87450</v>
      </c>
      <c r="B5080" s="305" t="s">
        <v>4625</v>
      </c>
      <c r="C5080" s="305" t="s">
        <v>521</v>
      </c>
      <c r="D5080" s="575">
        <v>77.900000000000006</v>
      </c>
    </row>
    <row r="5081" spans="1:4" ht="13.5" x14ac:dyDescent="0.25">
      <c r="A5081" s="306">
        <v>87451</v>
      </c>
      <c r="B5081" s="305" t="s">
        <v>4626</v>
      </c>
      <c r="C5081" s="305" t="s">
        <v>521</v>
      </c>
      <c r="D5081" s="575">
        <v>93.78</v>
      </c>
    </row>
    <row r="5082" spans="1:4" ht="13.5" x14ac:dyDescent="0.25">
      <c r="A5082" s="306">
        <v>87452</v>
      </c>
      <c r="B5082" s="305" t="s">
        <v>4627</v>
      </c>
      <c r="C5082" s="305" t="s">
        <v>521</v>
      </c>
      <c r="D5082" s="575">
        <v>94.34</v>
      </c>
    </row>
    <row r="5083" spans="1:4" ht="13.5" x14ac:dyDescent="0.25">
      <c r="A5083" s="306">
        <v>87453</v>
      </c>
      <c r="B5083" s="305" t="s">
        <v>4628</v>
      </c>
      <c r="C5083" s="305" t="s">
        <v>521</v>
      </c>
      <c r="D5083" s="575">
        <v>55.32</v>
      </c>
    </row>
    <row r="5084" spans="1:4" ht="13.5" x14ac:dyDescent="0.25">
      <c r="A5084" s="306">
        <v>87454</v>
      </c>
      <c r="B5084" s="305" t="s">
        <v>4629</v>
      </c>
      <c r="C5084" s="305" t="s">
        <v>521</v>
      </c>
      <c r="D5084" s="575">
        <v>56.24</v>
      </c>
    </row>
    <row r="5085" spans="1:4" ht="13.5" x14ac:dyDescent="0.25">
      <c r="A5085" s="306">
        <v>87455</v>
      </c>
      <c r="B5085" s="305" t="s">
        <v>4630</v>
      </c>
      <c r="C5085" s="305" t="s">
        <v>521</v>
      </c>
      <c r="D5085" s="575">
        <v>72.069999999999993</v>
      </c>
    </row>
    <row r="5086" spans="1:4" ht="13.5" x14ac:dyDescent="0.25">
      <c r="A5086" s="306">
        <v>87456</v>
      </c>
      <c r="B5086" s="305" t="s">
        <v>4631</v>
      </c>
      <c r="C5086" s="305" t="s">
        <v>521</v>
      </c>
      <c r="D5086" s="575">
        <v>73.61</v>
      </c>
    </row>
    <row r="5087" spans="1:4" ht="13.5" x14ac:dyDescent="0.25">
      <c r="A5087" s="306">
        <v>87457</v>
      </c>
      <c r="B5087" s="305" t="s">
        <v>4632</v>
      </c>
      <c r="C5087" s="305" t="s">
        <v>521</v>
      </c>
      <c r="D5087" s="575">
        <v>87.4</v>
      </c>
    </row>
    <row r="5088" spans="1:4" ht="13.5" x14ac:dyDescent="0.25">
      <c r="A5088" s="306">
        <v>87458</v>
      </c>
      <c r="B5088" s="305" t="s">
        <v>4633</v>
      </c>
      <c r="C5088" s="305" t="s">
        <v>521</v>
      </c>
      <c r="D5088" s="575">
        <v>88.76</v>
      </c>
    </row>
    <row r="5089" spans="1:4" ht="13.5" x14ac:dyDescent="0.25">
      <c r="A5089" s="306">
        <v>87459</v>
      </c>
      <c r="B5089" s="305" t="s">
        <v>4634</v>
      </c>
      <c r="C5089" s="305" t="s">
        <v>521</v>
      </c>
      <c r="D5089" s="575">
        <v>65.08</v>
      </c>
    </row>
    <row r="5090" spans="1:4" ht="13.5" x14ac:dyDescent="0.25">
      <c r="A5090" s="306">
        <v>87460</v>
      </c>
      <c r="B5090" s="305" t="s">
        <v>4635</v>
      </c>
      <c r="C5090" s="305" t="s">
        <v>521</v>
      </c>
      <c r="D5090" s="575">
        <v>66</v>
      </c>
    </row>
    <row r="5091" spans="1:4" ht="13.5" x14ac:dyDescent="0.25">
      <c r="A5091" s="306">
        <v>87461</v>
      </c>
      <c r="B5091" s="305" t="s">
        <v>4636</v>
      </c>
      <c r="C5091" s="305" t="s">
        <v>521</v>
      </c>
      <c r="D5091" s="575">
        <v>82.89</v>
      </c>
    </row>
    <row r="5092" spans="1:4" ht="13.5" x14ac:dyDescent="0.25">
      <c r="A5092" s="306">
        <v>87462</v>
      </c>
      <c r="B5092" s="305" t="s">
        <v>4637</v>
      </c>
      <c r="C5092" s="305" t="s">
        <v>521</v>
      </c>
      <c r="D5092" s="575">
        <v>83.98</v>
      </c>
    </row>
    <row r="5093" spans="1:4" ht="13.5" x14ac:dyDescent="0.25">
      <c r="A5093" s="306">
        <v>87463</v>
      </c>
      <c r="B5093" s="305" t="s">
        <v>4638</v>
      </c>
      <c r="C5093" s="305" t="s">
        <v>521</v>
      </c>
      <c r="D5093" s="575">
        <v>99.13</v>
      </c>
    </row>
    <row r="5094" spans="1:4" ht="13.5" x14ac:dyDescent="0.25">
      <c r="A5094" s="306">
        <v>87464</v>
      </c>
      <c r="B5094" s="305" t="s">
        <v>4639</v>
      </c>
      <c r="C5094" s="305" t="s">
        <v>521</v>
      </c>
      <c r="D5094" s="575">
        <v>100.49</v>
      </c>
    </row>
    <row r="5095" spans="1:4" ht="13.5" x14ac:dyDescent="0.25">
      <c r="A5095" s="306">
        <v>87465</v>
      </c>
      <c r="B5095" s="305" t="s">
        <v>4640</v>
      </c>
      <c r="C5095" s="305" t="s">
        <v>521</v>
      </c>
      <c r="D5095" s="575">
        <v>58.74</v>
      </c>
    </row>
    <row r="5096" spans="1:4" ht="13.5" x14ac:dyDescent="0.25">
      <c r="A5096" s="306">
        <v>87466</v>
      </c>
      <c r="B5096" s="305" t="s">
        <v>4641</v>
      </c>
      <c r="C5096" s="305" t="s">
        <v>521</v>
      </c>
      <c r="D5096" s="575">
        <v>59.66</v>
      </c>
    </row>
    <row r="5097" spans="1:4" ht="13.5" x14ac:dyDescent="0.25">
      <c r="A5097" s="306">
        <v>87467</v>
      </c>
      <c r="B5097" s="305" t="s">
        <v>4642</v>
      </c>
      <c r="C5097" s="305" t="s">
        <v>521</v>
      </c>
      <c r="D5097" s="575">
        <v>76.010000000000005</v>
      </c>
    </row>
    <row r="5098" spans="1:4" ht="13.5" x14ac:dyDescent="0.25">
      <c r="A5098" s="306">
        <v>87468</v>
      </c>
      <c r="B5098" s="305" t="s">
        <v>4643</v>
      </c>
      <c r="C5098" s="305" t="s">
        <v>521</v>
      </c>
      <c r="D5098" s="575">
        <v>77.099999999999994</v>
      </c>
    </row>
    <row r="5099" spans="1:4" ht="13.5" x14ac:dyDescent="0.25">
      <c r="A5099" s="306">
        <v>87469</v>
      </c>
      <c r="B5099" s="305" t="s">
        <v>4644</v>
      </c>
      <c r="C5099" s="305" t="s">
        <v>521</v>
      </c>
      <c r="D5099" s="575">
        <v>91.52</v>
      </c>
    </row>
    <row r="5100" spans="1:4" ht="13.5" x14ac:dyDescent="0.25">
      <c r="A5100" s="306">
        <v>87470</v>
      </c>
      <c r="B5100" s="305" t="s">
        <v>4645</v>
      </c>
      <c r="C5100" s="305" t="s">
        <v>521</v>
      </c>
      <c r="D5100" s="575">
        <v>92.88</v>
      </c>
    </row>
    <row r="5101" spans="1:4" ht="13.5" x14ac:dyDescent="0.25">
      <c r="A5101" s="306">
        <v>89044</v>
      </c>
      <c r="B5101" s="305" t="s">
        <v>4646</v>
      </c>
      <c r="C5101" s="305" t="s">
        <v>521</v>
      </c>
      <c r="D5101" s="575">
        <v>58.86</v>
      </c>
    </row>
    <row r="5102" spans="1:4" ht="13.5" x14ac:dyDescent="0.25">
      <c r="A5102" s="306">
        <v>89169</v>
      </c>
      <c r="B5102" s="305" t="s">
        <v>4647</v>
      </c>
      <c r="C5102" s="305" t="s">
        <v>521</v>
      </c>
      <c r="D5102" s="575">
        <v>59.66</v>
      </c>
    </row>
    <row r="5103" spans="1:4" ht="13.5" x14ac:dyDescent="0.25">
      <c r="A5103" s="306">
        <v>89978</v>
      </c>
      <c r="B5103" s="305" t="s">
        <v>4648</v>
      </c>
      <c r="C5103" s="305" t="s">
        <v>521</v>
      </c>
      <c r="D5103" s="575">
        <v>77.069999999999993</v>
      </c>
    </row>
    <row r="5104" spans="1:4" ht="13.5" x14ac:dyDescent="0.25">
      <c r="A5104" s="306">
        <v>89453</v>
      </c>
      <c r="B5104" s="305" t="s">
        <v>4649</v>
      </c>
      <c r="C5104" s="305" t="s">
        <v>521</v>
      </c>
      <c r="D5104" s="575">
        <v>69.58</v>
      </c>
    </row>
    <row r="5105" spans="1:4" ht="13.5" x14ac:dyDescent="0.25">
      <c r="A5105" s="306">
        <v>89454</v>
      </c>
      <c r="B5105" s="305" t="s">
        <v>4650</v>
      </c>
      <c r="C5105" s="305" t="s">
        <v>521</v>
      </c>
      <c r="D5105" s="575">
        <v>66.819999999999993</v>
      </c>
    </row>
    <row r="5106" spans="1:4" ht="13.5" x14ac:dyDescent="0.25">
      <c r="A5106" s="306">
        <v>89455</v>
      </c>
      <c r="B5106" s="305" t="s">
        <v>4651</v>
      </c>
      <c r="C5106" s="305" t="s">
        <v>521</v>
      </c>
      <c r="D5106" s="575">
        <v>86.72</v>
      </c>
    </row>
    <row r="5107" spans="1:4" ht="13.5" x14ac:dyDescent="0.25">
      <c r="A5107" s="306">
        <v>89456</v>
      </c>
      <c r="B5107" s="305" t="s">
        <v>4652</v>
      </c>
      <c r="C5107" s="305" t="s">
        <v>521</v>
      </c>
      <c r="D5107" s="575">
        <v>83.52</v>
      </c>
    </row>
    <row r="5108" spans="1:4" ht="13.5" x14ac:dyDescent="0.25">
      <c r="A5108" s="306">
        <v>89457</v>
      </c>
      <c r="B5108" s="305" t="s">
        <v>4653</v>
      </c>
      <c r="C5108" s="305" t="s">
        <v>521</v>
      </c>
      <c r="D5108" s="575">
        <v>73.52</v>
      </c>
    </row>
    <row r="5109" spans="1:4" ht="13.5" x14ac:dyDescent="0.25">
      <c r="A5109" s="306">
        <v>89458</v>
      </c>
      <c r="B5109" s="305" t="s">
        <v>4654</v>
      </c>
      <c r="C5109" s="305" t="s">
        <v>521</v>
      </c>
      <c r="D5109" s="575">
        <v>69.099999999999994</v>
      </c>
    </row>
    <row r="5110" spans="1:4" ht="13.5" x14ac:dyDescent="0.25">
      <c r="A5110" s="306">
        <v>89459</v>
      </c>
      <c r="B5110" s="305" t="s">
        <v>4655</v>
      </c>
      <c r="C5110" s="305" t="s">
        <v>521</v>
      </c>
      <c r="D5110" s="575">
        <v>91.04</v>
      </c>
    </row>
    <row r="5111" spans="1:4" ht="13.5" x14ac:dyDescent="0.25">
      <c r="A5111" s="306">
        <v>89460</v>
      </c>
      <c r="B5111" s="305" t="s">
        <v>4656</v>
      </c>
      <c r="C5111" s="305" t="s">
        <v>521</v>
      </c>
      <c r="D5111" s="575">
        <v>86.09</v>
      </c>
    </row>
    <row r="5112" spans="1:4" ht="13.5" x14ac:dyDescent="0.25">
      <c r="A5112" s="306">
        <v>89462</v>
      </c>
      <c r="B5112" s="305" t="s">
        <v>4657</v>
      </c>
      <c r="C5112" s="305" t="s">
        <v>521</v>
      </c>
      <c r="D5112" s="575">
        <v>83.51</v>
      </c>
    </row>
    <row r="5113" spans="1:4" ht="13.5" x14ac:dyDescent="0.25">
      <c r="A5113" s="306">
        <v>89463</v>
      </c>
      <c r="B5113" s="305" t="s">
        <v>4658</v>
      </c>
      <c r="C5113" s="305" t="s">
        <v>521</v>
      </c>
      <c r="D5113" s="575">
        <v>80.72</v>
      </c>
    </row>
    <row r="5114" spans="1:4" ht="13.5" x14ac:dyDescent="0.25">
      <c r="A5114" s="306">
        <v>89464</v>
      </c>
      <c r="B5114" s="305" t="s">
        <v>4659</v>
      </c>
      <c r="C5114" s="305" t="s">
        <v>521</v>
      </c>
      <c r="D5114" s="575">
        <v>100.85</v>
      </c>
    </row>
    <row r="5115" spans="1:4" ht="13.5" x14ac:dyDescent="0.25">
      <c r="A5115" s="306">
        <v>89465</v>
      </c>
      <c r="B5115" s="305" t="s">
        <v>4660</v>
      </c>
      <c r="C5115" s="305" t="s">
        <v>521</v>
      </c>
      <c r="D5115" s="575">
        <v>97.73</v>
      </c>
    </row>
    <row r="5116" spans="1:4" ht="13.5" x14ac:dyDescent="0.25">
      <c r="A5116" s="306">
        <v>89466</v>
      </c>
      <c r="B5116" s="305" t="s">
        <v>4661</v>
      </c>
      <c r="C5116" s="305" t="s">
        <v>521</v>
      </c>
      <c r="D5116" s="575">
        <v>89.06</v>
      </c>
    </row>
    <row r="5117" spans="1:4" ht="13.5" x14ac:dyDescent="0.25">
      <c r="A5117" s="306">
        <v>89467</v>
      </c>
      <c r="B5117" s="305" t="s">
        <v>4662</v>
      </c>
      <c r="C5117" s="305" t="s">
        <v>521</v>
      </c>
      <c r="D5117" s="575">
        <v>83.98</v>
      </c>
    </row>
    <row r="5118" spans="1:4" ht="13.5" x14ac:dyDescent="0.25">
      <c r="A5118" s="306">
        <v>89468</v>
      </c>
      <c r="B5118" s="305" t="s">
        <v>4663</v>
      </c>
      <c r="C5118" s="305" t="s">
        <v>521</v>
      </c>
      <c r="D5118" s="575">
        <v>106.63</v>
      </c>
    </row>
    <row r="5119" spans="1:4" ht="13.5" x14ac:dyDescent="0.25">
      <c r="A5119" s="306">
        <v>89469</v>
      </c>
      <c r="B5119" s="305" t="s">
        <v>4664</v>
      </c>
      <c r="C5119" s="305" t="s">
        <v>521</v>
      </c>
      <c r="D5119" s="575">
        <v>101.2</v>
      </c>
    </row>
    <row r="5120" spans="1:4" ht="13.5" x14ac:dyDescent="0.25">
      <c r="A5120" s="306">
        <v>89470</v>
      </c>
      <c r="B5120" s="305" t="s">
        <v>4665</v>
      </c>
      <c r="C5120" s="305" t="s">
        <v>521</v>
      </c>
      <c r="D5120" s="575">
        <v>81.93</v>
      </c>
    </row>
    <row r="5121" spans="1:4" ht="13.5" x14ac:dyDescent="0.25">
      <c r="A5121" s="306">
        <v>89471</v>
      </c>
      <c r="B5121" s="305" t="s">
        <v>4666</v>
      </c>
      <c r="C5121" s="305" t="s">
        <v>521</v>
      </c>
      <c r="D5121" s="575">
        <v>79.180000000000007</v>
      </c>
    </row>
    <row r="5122" spans="1:4" ht="13.5" x14ac:dyDescent="0.25">
      <c r="A5122" s="306">
        <v>89472</v>
      </c>
      <c r="B5122" s="305" t="s">
        <v>4667</v>
      </c>
      <c r="C5122" s="305" t="s">
        <v>521</v>
      </c>
      <c r="D5122" s="575">
        <v>99.07</v>
      </c>
    </row>
    <row r="5123" spans="1:4" ht="13.5" x14ac:dyDescent="0.25">
      <c r="A5123" s="306">
        <v>89473</v>
      </c>
      <c r="B5123" s="305" t="s">
        <v>4668</v>
      </c>
      <c r="C5123" s="305" t="s">
        <v>521</v>
      </c>
      <c r="D5123" s="575">
        <v>96.07</v>
      </c>
    </row>
    <row r="5124" spans="1:4" ht="13.5" x14ac:dyDescent="0.25">
      <c r="A5124" s="306">
        <v>89474</v>
      </c>
      <c r="B5124" s="305" t="s">
        <v>4669</v>
      </c>
      <c r="C5124" s="305" t="s">
        <v>521</v>
      </c>
      <c r="D5124" s="575">
        <v>89.27</v>
      </c>
    </row>
    <row r="5125" spans="1:4" ht="13.5" x14ac:dyDescent="0.25">
      <c r="A5125" s="306">
        <v>89475</v>
      </c>
      <c r="B5125" s="305" t="s">
        <v>4670</v>
      </c>
      <c r="C5125" s="305" t="s">
        <v>521</v>
      </c>
      <c r="D5125" s="575">
        <v>83.33</v>
      </c>
    </row>
    <row r="5126" spans="1:4" ht="13.5" x14ac:dyDescent="0.25">
      <c r="A5126" s="306">
        <v>89476</v>
      </c>
      <c r="B5126" s="305" t="s">
        <v>4671</v>
      </c>
      <c r="C5126" s="305" t="s">
        <v>521</v>
      </c>
      <c r="D5126" s="575">
        <v>107</v>
      </c>
    </row>
    <row r="5127" spans="1:4" ht="13.5" x14ac:dyDescent="0.25">
      <c r="A5127" s="306">
        <v>89477</v>
      </c>
      <c r="B5127" s="305" t="s">
        <v>4672</v>
      </c>
      <c r="C5127" s="305" t="s">
        <v>521</v>
      </c>
      <c r="D5127" s="575">
        <v>100.72</v>
      </c>
    </row>
    <row r="5128" spans="1:4" ht="13.5" x14ac:dyDescent="0.25">
      <c r="A5128" s="306">
        <v>89478</v>
      </c>
      <c r="B5128" s="305" t="s">
        <v>4673</v>
      </c>
      <c r="C5128" s="305" t="s">
        <v>521</v>
      </c>
      <c r="D5128" s="575">
        <v>96.12</v>
      </c>
    </row>
    <row r="5129" spans="1:4" ht="13.5" x14ac:dyDescent="0.25">
      <c r="A5129" s="306">
        <v>89479</v>
      </c>
      <c r="B5129" s="305" t="s">
        <v>4674</v>
      </c>
      <c r="C5129" s="305" t="s">
        <v>521</v>
      </c>
      <c r="D5129" s="575">
        <v>93.34</v>
      </c>
    </row>
    <row r="5130" spans="1:4" ht="13.5" x14ac:dyDescent="0.25">
      <c r="A5130" s="306">
        <v>89480</v>
      </c>
      <c r="B5130" s="305" t="s">
        <v>4675</v>
      </c>
      <c r="C5130" s="305" t="s">
        <v>521</v>
      </c>
      <c r="D5130" s="575">
        <v>113.48</v>
      </c>
    </row>
    <row r="5131" spans="1:4" ht="13.5" x14ac:dyDescent="0.25">
      <c r="A5131" s="306">
        <v>89483</v>
      </c>
      <c r="B5131" s="305" t="s">
        <v>4676</v>
      </c>
      <c r="C5131" s="305" t="s">
        <v>521</v>
      </c>
      <c r="D5131" s="575">
        <v>110.56</v>
      </c>
    </row>
    <row r="5132" spans="1:4" ht="13.5" x14ac:dyDescent="0.25">
      <c r="A5132" s="306">
        <v>89484</v>
      </c>
      <c r="B5132" s="305" t="s">
        <v>4677</v>
      </c>
      <c r="C5132" s="305" t="s">
        <v>521</v>
      </c>
      <c r="D5132" s="575">
        <v>105.08</v>
      </c>
    </row>
    <row r="5133" spans="1:4" ht="13.5" x14ac:dyDescent="0.25">
      <c r="A5133" s="306">
        <v>89486</v>
      </c>
      <c r="B5133" s="305" t="s">
        <v>4678</v>
      </c>
      <c r="C5133" s="305" t="s">
        <v>521</v>
      </c>
      <c r="D5133" s="575">
        <v>98.66</v>
      </c>
    </row>
    <row r="5134" spans="1:4" ht="13.5" x14ac:dyDescent="0.25">
      <c r="A5134" s="306">
        <v>89487</v>
      </c>
      <c r="B5134" s="305" t="s">
        <v>4679</v>
      </c>
      <c r="C5134" s="305" t="s">
        <v>521</v>
      </c>
      <c r="D5134" s="575">
        <v>122.85</v>
      </c>
    </row>
    <row r="5135" spans="1:4" ht="13.5" x14ac:dyDescent="0.25">
      <c r="A5135" s="306">
        <v>89488</v>
      </c>
      <c r="B5135" s="305" t="s">
        <v>4680</v>
      </c>
      <c r="C5135" s="305" t="s">
        <v>521</v>
      </c>
      <c r="D5135" s="575">
        <v>116.11</v>
      </c>
    </row>
    <row r="5136" spans="1:4" ht="13.5" x14ac:dyDescent="0.25">
      <c r="A5136" s="306">
        <v>91815</v>
      </c>
      <c r="B5136" s="305" t="s">
        <v>4681</v>
      </c>
      <c r="C5136" s="305" t="s">
        <v>521</v>
      </c>
      <c r="D5136" s="575">
        <v>69.61</v>
      </c>
    </row>
    <row r="5137" spans="1:4" ht="13.5" x14ac:dyDescent="0.25">
      <c r="A5137" s="306">
        <v>91816</v>
      </c>
      <c r="B5137" s="305" t="s">
        <v>4682</v>
      </c>
      <c r="C5137" s="305" t="s">
        <v>521</v>
      </c>
      <c r="D5137" s="575">
        <v>84.09</v>
      </c>
    </row>
    <row r="5138" spans="1:4" ht="13.5" x14ac:dyDescent="0.25">
      <c r="A5138" s="306">
        <v>101161</v>
      </c>
      <c r="B5138" s="305" t="s">
        <v>12947</v>
      </c>
      <c r="C5138" s="305" t="s">
        <v>521</v>
      </c>
      <c r="D5138" s="575">
        <v>175.84</v>
      </c>
    </row>
    <row r="5139" spans="1:4" ht="13.5" x14ac:dyDescent="0.25">
      <c r="A5139" s="306">
        <v>101163</v>
      </c>
      <c r="B5139" s="305" t="s">
        <v>12948</v>
      </c>
      <c r="C5139" s="305" t="s">
        <v>521</v>
      </c>
      <c r="D5139" s="575">
        <v>895.29</v>
      </c>
    </row>
    <row r="5140" spans="1:4" ht="13.5" x14ac:dyDescent="0.25">
      <c r="A5140" s="306">
        <v>101164</v>
      </c>
      <c r="B5140" s="305" t="s">
        <v>12949</v>
      </c>
      <c r="C5140" s="305" t="s">
        <v>521</v>
      </c>
      <c r="D5140" s="575">
        <v>646.48</v>
      </c>
    </row>
    <row r="5141" spans="1:4" ht="13.5" x14ac:dyDescent="0.25">
      <c r="A5141" s="306">
        <v>72178</v>
      </c>
      <c r="B5141" s="305" t="s">
        <v>4683</v>
      </c>
      <c r="C5141" s="305" t="s">
        <v>521</v>
      </c>
      <c r="D5141" s="575">
        <v>23.91</v>
      </c>
    </row>
    <row r="5142" spans="1:4" ht="13.5" x14ac:dyDescent="0.25">
      <c r="A5142" s="306">
        <v>72179</v>
      </c>
      <c r="B5142" s="305" t="s">
        <v>4684</v>
      </c>
      <c r="C5142" s="305" t="s">
        <v>521</v>
      </c>
      <c r="D5142" s="575">
        <v>51.07</v>
      </c>
    </row>
    <row r="5143" spans="1:4" ht="13.5" x14ac:dyDescent="0.25">
      <c r="A5143" s="306">
        <v>72180</v>
      </c>
      <c r="B5143" s="305" t="s">
        <v>4685</v>
      </c>
      <c r="C5143" s="305" t="s">
        <v>521</v>
      </c>
      <c r="D5143" s="575">
        <v>15.53</v>
      </c>
    </row>
    <row r="5144" spans="1:4" ht="13.5" x14ac:dyDescent="0.25">
      <c r="A5144" s="306">
        <v>72181</v>
      </c>
      <c r="B5144" s="305" t="s">
        <v>4686</v>
      </c>
      <c r="C5144" s="305" t="s">
        <v>521</v>
      </c>
      <c r="D5144" s="575">
        <v>31.47</v>
      </c>
    </row>
    <row r="5145" spans="1:4" ht="13.5" x14ac:dyDescent="0.25">
      <c r="A5145" s="305" t="s">
        <v>4687</v>
      </c>
      <c r="B5145" s="305" t="s">
        <v>4688</v>
      </c>
      <c r="C5145" s="305" t="s">
        <v>521</v>
      </c>
      <c r="D5145" s="575">
        <v>325.37</v>
      </c>
    </row>
    <row r="5146" spans="1:4" ht="13.5" x14ac:dyDescent="0.25">
      <c r="A5146" s="305" t="s">
        <v>4689</v>
      </c>
      <c r="B5146" s="305" t="s">
        <v>4690</v>
      </c>
      <c r="C5146" s="305" t="s">
        <v>521</v>
      </c>
      <c r="D5146" s="575">
        <v>202.27</v>
      </c>
    </row>
    <row r="5147" spans="1:4" ht="13.5" x14ac:dyDescent="0.25">
      <c r="A5147" s="305" t="s">
        <v>4691</v>
      </c>
      <c r="B5147" s="305" t="s">
        <v>4692</v>
      </c>
      <c r="C5147" s="305" t="s">
        <v>521</v>
      </c>
      <c r="D5147" s="575">
        <v>743.65</v>
      </c>
    </row>
    <row r="5148" spans="1:4" ht="13.5" x14ac:dyDescent="0.25">
      <c r="A5148" s="306">
        <v>79627</v>
      </c>
      <c r="B5148" s="305" t="s">
        <v>4693</v>
      </c>
      <c r="C5148" s="305" t="s">
        <v>521</v>
      </c>
      <c r="D5148" s="575">
        <v>652.75</v>
      </c>
    </row>
    <row r="5149" spans="1:4" ht="13.5" x14ac:dyDescent="0.25">
      <c r="A5149" s="306">
        <v>96358</v>
      </c>
      <c r="B5149" s="305" t="s">
        <v>4694</v>
      </c>
      <c r="C5149" s="305" t="s">
        <v>521</v>
      </c>
      <c r="D5149" s="575">
        <v>76.489999999999995</v>
      </c>
    </row>
    <row r="5150" spans="1:4" ht="13.5" x14ac:dyDescent="0.25">
      <c r="A5150" s="306">
        <v>96359</v>
      </c>
      <c r="B5150" s="305" t="s">
        <v>4695</v>
      </c>
      <c r="C5150" s="305" t="s">
        <v>521</v>
      </c>
      <c r="D5150" s="575">
        <v>83.68</v>
      </c>
    </row>
    <row r="5151" spans="1:4" ht="13.5" x14ac:dyDescent="0.25">
      <c r="A5151" s="306">
        <v>96360</v>
      </c>
      <c r="B5151" s="305" t="s">
        <v>4696</v>
      </c>
      <c r="C5151" s="305" t="s">
        <v>521</v>
      </c>
      <c r="D5151" s="575">
        <v>95.55</v>
      </c>
    </row>
    <row r="5152" spans="1:4" ht="13.5" x14ac:dyDescent="0.25">
      <c r="A5152" s="306">
        <v>96361</v>
      </c>
      <c r="B5152" s="305" t="s">
        <v>4697</v>
      </c>
      <c r="C5152" s="305" t="s">
        <v>521</v>
      </c>
      <c r="D5152" s="575">
        <v>109.44</v>
      </c>
    </row>
    <row r="5153" spans="1:4" ht="13.5" x14ac:dyDescent="0.25">
      <c r="A5153" s="306">
        <v>96362</v>
      </c>
      <c r="B5153" s="305" t="s">
        <v>4698</v>
      </c>
      <c r="C5153" s="305" t="s">
        <v>521</v>
      </c>
      <c r="D5153" s="575">
        <v>101.19</v>
      </c>
    </row>
    <row r="5154" spans="1:4" ht="13.5" x14ac:dyDescent="0.25">
      <c r="A5154" s="306">
        <v>96363</v>
      </c>
      <c r="B5154" s="305" t="s">
        <v>4699</v>
      </c>
      <c r="C5154" s="305" t="s">
        <v>521</v>
      </c>
      <c r="D5154" s="575">
        <v>108.72</v>
      </c>
    </row>
    <row r="5155" spans="1:4" ht="13.5" x14ac:dyDescent="0.25">
      <c r="A5155" s="306">
        <v>96364</v>
      </c>
      <c r="B5155" s="305" t="s">
        <v>4700</v>
      </c>
      <c r="C5155" s="305" t="s">
        <v>521</v>
      </c>
      <c r="D5155" s="575">
        <v>120.24</v>
      </c>
    </row>
    <row r="5156" spans="1:4" ht="13.5" x14ac:dyDescent="0.25">
      <c r="A5156" s="306">
        <v>96365</v>
      </c>
      <c r="B5156" s="305" t="s">
        <v>4701</v>
      </c>
      <c r="C5156" s="305" t="s">
        <v>521</v>
      </c>
      <c r="D5156" s="575">
        <v>134.46</v>
      </c>
    </row>
    <row r="5157" spans="1:4" ht="13.5" x14ac:dyDescent="0.25">
      <c r="A5157" s="306">
        <v>96366</v>
      </c>
      <c r="B5157" s="305" t="s">
        <v>4702</v>
      </c>
      <c r="C5157" s="305" t="s">
        <v>521</v>
      </c>
      <c r="D5157" s="575">
        <v>125.89</v>
      </c>
    </row>
    <row r="5158" spans="1:4" ht="13.5" x14ac:dyDescent="0.25">
      <c r="A5158" s="306">
        <v>96367</v>
      </c>
      <c r="B5158" s="305" t="s">
        <v>4703</v>
      </c>
      <c r="C5158" s="305" t="s">
        <v>521</v>
      </c>
      <c r="D5158" s="575">
        <v>133.72</v>
      </c>
    </row>
    <row r="5159" spans="1:4" ht="13.5" x14ac:dyDescent="0.25">
      <c r="A5159" s="306">
        <v>96368</v>
      </c>
      <c r="B5159" s="305" t="s">
        <v>4704</v>
      </c>
      <c r="C5159" s="305" t="s">
        <v>521</v>
      </c>
      <c r="D5159" s="575">
        <v>144.94</v>
      </c>
    </row>
    <row r="5160" spans="1:4" ht="13.5" x14ac:dyDescent="0.25">
      <c r="A5160" s="306">
        <v>96369</v>
      </c>
      <c r="B5160" s="305" t="s">
        <v>4705</v>
      </c>
      <c r="C5160" s="305" t="s">
        <v>521</v>
      </c>
      <c r="D5160" s="575">
        <v>159.47999999999999</v>
      </c>
    </row>
    <row r="5161" spans="1:4" ht="13.5" x14ac:dyDescent="0.25">
      <c r="A5161" s="306">
        <v>96370</v>
      </c>
      <c r="B5161" s="305" t="s">
        <v>4706</v>
      </c>
      <c r="C5161" s="305" t="s">
        <v>521</v>
      </c>
      <c r="D5161" s="575">
        <v>48.25</v>
      </c>
    </row>
    <row r="5162" spans="1:4" ht="13.5" x14ac:dyDescent="0.25">
      <c r="A5162" s="306">
        <v>96371</v>
      </c>
      <c r="B5162" s="305" t="s">
        <v>4707</v>
      </c>
      <c r="C5162" s="305" t="s">
        <v>521</v>
      </c>
      <c r="D5162" s="575">
        <v>55.27</v>
      </c>
    </row>
    <row r="5163" spans="1:4" ht="13.5" x14ac:dyDescent="0.25">
      <c r="A5163" s="306">
        <v>96372</v>
      </c>
      <c r="B5163" s="305" t="s">
        <v>4708</v>
      </c>
      <c r="C5163" s="305" t="s">
        <v>521</v>
      </c>
      <c r="D5163" s="575">
        <v>22.78</v>
      </c>
    </row>
    <row r="5164" spans="1:4" ht="13.5" x14ac:dyDescent="0.25">
      <c r="A5164" s="306">
        <v>96373</v>
      </c>
      <c r="B5164" s="305" t="s">
        <v>4709</v>
      </c>
      <c r="C5164" s="305" t="s">
        <v>282</v>
      </c>
      <c r="D5164" s="575">
        <v>6.76</v>
      </c>
    </row>
    <row r="5165" spans="1:4" ht="13.5" x14ac:dyDescent="0.25">
      <c r="A5165" s="306">
        <v>96374</v>
      </c>
      <c r="B5165" s="305" t="s">
        <v>4710</v>
      </c>
      <c r="C5165" s="305" t="s">
        <v>282</v>
      </c>
      <c r="D5165" s="575">
        <v>17.66</v>
      </c>
    </row>
    <row r="5166" spans="1:4" ht="13.5" x14ac:dyDescent="0.25">
      <c r="A5166" s="306">
        <v>101154</v>
      </c>
      <c r="B5166" s="305" t="s">
        <v>12950</v>
      </c>
      <c r="C5166" s="305" t="s">
        <v>521</v>
      </c>
      <c r="D5166" s="575">
        <v>86.42</v>
      </c>
    </row>
    <row r="5167" spans="1:4" ht="13.5" x14ac:dyDescent="0.25">
      <c r="A5167" s="306">
        <v>101155</v>
      </c>
      <c r="B5167" s="305" t="s">
        <v>12951</v>
      </c>
      <c r="C5167" s="305" t="s">
        <v>521</v>
      </c>
      <c r="D5167" s="575">
        <v>120.7</v>
      </c>
    </row>
    <row r="5168" spans="1:4" ht="13.5" x14ac:dyDescent="0.25">
      <c r="A5168" s="306">
        <v>101156</v>
      </c>
      <c r="B5168" s="305" t="s">
        <v>12952</v>
      </c>
      <c r="C5168" s="305" t="s">
        <v>521</v>
      </c>
      <c r="D5168" s="575">
        <v>176.01</v>
      </c>
    </row>
    <row r="5169" spans="1:4" ht="13.5" x14ac:dyDescent="0.25">
      <c r="A5169" s="305" t="s">
        <v>4711</v>
      </c>
      <c r="B5169" s="305" t="s">
        <v>4712</v>
      </c>
      <c r="C5169" s="305" t="s">
        <v>521</v>
      </c>
      <c r="D5169" s="575">
        <v>54.64</v>
      </c>
    </row>
    <row r="5170" spans="1:4" ht="13.5" x14ac:dyDescent="0.25">
      <c r="A5170" s="305" t="s">
        <v>4713</v>
      </c>
      <c r="B5170" s="305" t="s">
        <v>4714</v>
      </c>
      <c r="C5170" s="305" t="s">
        <v>521</v>
      </c>
      <c r="D5170" s="575">
        <v>47.64</v>
      </c>
    </row>
    <row r="5171" spans="1:4" ht="13.5" x14ac:dyDescent="0.25">
      <c r="A5171" s="306">
        <v>83694</v>
      </c>
      <c r="B5171" s="305" t="s">
        <v>4715</v>
      </c>
      <c r="C5171" s="305" t="s">
        <v>521</v>
      </c>
      <c r="D5171" s="575">
        <v>16.920000000000002</v>
      </c>
    </row>
    <row r="5172" spans="1:4" ht="13.5" x14ac:dyDescent="0.25">
      <c r="A5172" s="305" t="s">
        <v>4716</v>
      </c>
      <c r="B5172" s="305" t="s">
        <v>4717</v>
      </c>
      <c r="C5172" s="305" t="s">
        <v>521</v>
      </c>
      <c r="D5172" s="575">
        <v>24.47</v>
      </c>
    </row>
    <row r="5173" spans="1:4" ht="13.5" x14ac:dyDescent="0.25">
      <c r="A5173" s="306">
        <v>83771</v>
      </c>
      <c r="B5173" s="305" t="s">
        <v>4718</v>
      </c>
      <c r="C5173" s="305" t="s">
        <v>1456</v>
      </c>
      <c r="D5173" s="575">
        <v>6.95</v>
      </c>
    </row>
    <row r="5174" spans="1:4" ht="13.5" x14ac:dyDescent="0.25">
      <c r="A5174" s="306">
        <v>100576</v>
      </c>
      <c r="B5174" s="305" t="s">
        <v>12953</v>
      </c>
      <c r="C5174" s="305" t="s">
        <v>521</v>
      </c>
      <c r="D5174" s="575">
        <v>1.46</v>
      </c>
    </row>
    <row r="5175" spans="1:4" ht="13.5" x14ac:dyDescent="0.25">
      <c r="A5175" s="306">
        <v>100577</v>
      </c>
      <c r="B5175" s="305" t="s">
        <v>12954</v>
      </c>
      <c r="C5175" s="305" t="s">
        <v>521</v>
      </c>
      <c r="D5175" s="575">
        <v>0.67</v>
      </c>
    </row>
    <row r="5176" spans="1:4" ht="13.5" x14ac:dyDescent="0.25">
      <c r="A5176" s="306">
        <v>96388</v>
      </c>
      <c r="B5176" s="305" t="s">
        <v>12955</v>
      </c>
      <c r="C5176" s="305" t="s">
        <v>1456</v>
      </c>
      <c r="D5176" s="575">
        <v>6.74</v>
      </c>
    </row>
    <row r="5177" spans="1:4" ht="13.5" x14ac:dyDescent="0.25">
      <c r="A5177" s="306">
        <v>96389</v>
      </c>
      <c r="B5177" s="305" t="s">
        <v>12956</v>
      </c>
      <c r="C5177" s="305" t="s">
        <v>1456</v>
      </c>
      <c r="D5177" s="575">
        <v>44.28</v>
      </c>
    </row>
    <row r="5178" spans="1:4" ht="13.5" x14ac:dyDescent="0.25">
      <c r="A5178" s="306">
        <v>96390</v>
      </c>
      <c r="B5178" s="305" t="s">
        <v>12957</v>
      </c>
      <c r="C5178" s="305" t="s">
        <v>1456</v>
      </c>
      <c r="D5178" s="575">
        <v>75.05</v>
      </c>
    </row>
    <row r="5179" spans="1:4" ht="13.5" x14ac:dyDescent="0.25">
      <c r="A5179" s="306">
        <v>96391</v>
      </c>
      <c r="B5179" s="305" t="s">
        <v>12958</v>
      </c>
      <c r="C5179" s="305" t="s">
        <v>1456</v>
      </c>
      <c r="D5179" s="575">
        <v>106.57</v>
      </c>
    </row>
    <row r="5180" spans="1:4" ht="13.5" x14ac:dyDescent="0.25">
      <c r="A5180" s="306">
        <v>96392</v>
      </c>
      <c r="B5180" s="305" t="s">
        <v>12959</v>
      </c>
      <c r="C5180" s="305" t="s">
        <v>1456</v>
      </c>
      <c r="D5180" s="575">
        <v>137.13999999999999</v>
      </c>
    </row>
    <row r="5181" spans="1:4" ht="13.5" x14ac:dyDescent="0.25">
      <c r="A5181" s="306">
        <v>96396</v>
      </c>
      <c r="B5181" s="305" t="s">
        <v>12960</v>
      </c>
      <c r="C5181" s="305" t="s">
        <v>1456</v>
      </c>
      <c r="D5181" s="575">
        <v>150.72999999999999</v>
      </c>
    </row>
    <row r="5182" spans="1:4" ht="13.5" x14ac:dyDescent="0.25">
      <c r="A5182" s="306">
        <v>96397</v>
      </c>
      <c r="B5182" s="305" t="s">
        <v>12961</v>
      </c>
      <c r="C5182" s="305" t="s">
        <v>1456</v>
      </c>
      <c r="D5182" s="575">
        <v>208.64</v>
      </c>
    </row>
    <row r="5183" spans="1:4" ht="13.5" x14ac:dyDescent="0.25">
      <c r="A5183" s="306">
        <v>96398</v>
      </c>
      <c r="B5183" s="305" t="s">
        <v>12962</v>
      </c>
      <c r="C5183" s="305" t="s">
        <v>1456</v>
      </c>
      <c r="D5183" s="575">
        <v>285.87</v>
      </c>
    </row>
    <row r="5184" spans="1:4" ht="13.5" x14ac:dyDescent="0.25">
      <c r="A5184" s="306">
        <v>96399</v>
      </c>
      <c r="B5184" s="305" t="s">
        <v>12963</v>
      </c>
      <c r="C5184" s="305" t="s">
        <v>1456</v>
      </c>
      <c r="D5184" s="575">
        <v>110.05</v>
      </c>
    </row>
    <row r="5185" spans="1:4" ht="13.5" x14ac:dyDescent="0.25">
      <c r="A5185" s="306">
        <v>96400</v>
      </c>
      <c r="B5185" s="305" t="s">
        <v>12964</v>
      </c>
      <c r="C5185" s="305" t="s">
        <v>1456</v>
      </c>
      <c r="D5185" s="575">
        <v>139.02000000000001</v>
      </c>
    </row>
    <row r="5186" spans="1:4" ht="13.5" x14ac:dyDescent="0.25">
      <c r="A5186" s="306">
        <v>96401</v>
      </c>
      <c r="B5186" s="305" t="s">
        <v>12965</v>
      </c>
      <c r="C5186" s="305" t="s">
        <v>521</v>
      </c>
      <c r="D5186" s="575">
        <v>6.54</v>
      </c>
    </row>
    <row r="5187" spans="1:4" ht="13.5" x14ac:dyDescent="0.25">
      <c r="A5187" s="306">
        <v>96402</v>
      </c>
      <c r="B5187" s="305" t="s">
        <v>12966</v>
      </c>
      <c r="C5187" s="305" t="s">
        <v>521</v>
      </c>
      <c r="D5187" s="575">
        <v>1.66</v>
      </c>
    </row>
    <row r="5188" spans="1:4" ht="13.5" x14ac:dyDescent="0.25">
      <c r="A5188" s="306">
        <v>100564</v>
      </c>
      <c r="B5188" s="305" t="s">
        <v>12967</v>
      </c>
      <c r="C5188" s="305" t="s">
        <v>1456</v>
      </c>
      <c r="D5188" s="575">
        <v>85.97</v>
      </c>
    </row>
    <row r="5189" spans="1:4" ht="13.5" x14ac:dyDescent="0.25">
      <c r="A5189" s="306">
        <v>100565</v>
      </c>
      <c r="B5189" s="305" t="s">
        <v>12968</v>
      </c>
      <c r="C5189" s="305" t="s">
        <v>1456</v>
      </c>
      <c r="D5189" s="575">
        <v>73.989999999999995</v>
      </c>
    </row>
    <row r="5190" spans="1:4" ht="13.5" x14ac:dyDescent="0.25">
      <c r="A5190" s="306">
        <v>100566</v>
      </c>
      <c r="B5190" s="305" t="s">
        <v>12969</v>
      </c>
      <c r="C5190" s="305" t="s">
        <v>1456</v>
      </c>
      <c r="D5190" s="575">
        <v>149.13</v>
      </c>
    </row>
    <row r="5191" spans="1:4" ht="13.5" x14ac:dyDescent="0.25">
      <c r="A5191" s="306">
        <v>100567</v>
      </c>
      <c r="B5191" s="305" t="s">
        <v>12970</v>
      </c>
      <c r="C5191" s="305" t="s">
        <v>1456</v>
      </c>
      <c r="D5191" s="575">
        <v>178.72</v>
      </c>
    </row>
    <row r="5192" spans="1:4" ht="13.5" x14ac:dyDescent="0.25">
      <c r="A5192" s="306">
        <v>100568</v>
      </c>
      <c r="B5192" s="305" t="s">
        <v>12971</v>
      </c>
      <c r="C5192" s="305" t="s">
        <v>1456</v>
      </c>
      <c r="D5192" s="575">
        <v>207.8</v>
      </c>
    </row>
    <row r="5193" spans="1:4" ht="13.5" x14ac:dyDescent="0.25">
      <c r="A5193" s="306">
        <v>100569</v>
      </c>
      <c r="B5193" s="305" t="s">
        <v>12972</v>
      </c>
      <c r="C5193" s="305" t="s">
        <v>1456</v>
      </c>
      <c r="D5193" s="575">
        <v>137.58000000000001</v>
      </c>
    </row>
    <row r="5194" spans="1:4" ht="13.5" x14ac:dyDescent="0.25">
      <c r="A5194" s="306">
        <v>100570</v>
      </c>
      <c r="B5194" s="305" t="s">
        <v>12973</v>
      </c>
      <c r="C5194" s="305" t="s">
        <v>1456</v>
      </c>
      <c r="D5194" s="575">
        <v>168.66</v>
      </c>
    </row>
    <row r="5195" spans="1:4" ht="13.5" x14ac:dyDescent="0.25">
      <c r="A5195" s="306">
        <v>100571</v>
      </c>
      <c r="B5195" s="305" t="s">
        <v>12974</v>
      </c>
      <c r="C5195" s="305" t="s">
        <v>1456</v>
      </c>
      <c r="D5195" s="575">
        <v>196.77</v>
      </c>
    </row>
    <row r="5196" spans="1:4" ht="13.5" x14ac:dyDescent="0.25">
      <c r="A5196" s="306">
        <v>100572</v>
      </c>
      <c r="B5196" s="305" t="s">
        <v>12975</v>
      </c>
      <c r="C5196" s="305" t="s">
        <v>1456</v>
      </c>
      <c r="D5196" s="575">
        <v>89.48</v>
      </c>
    </row>
    <row r="5197" spans="1:4" ht="13.5" x14ac:dyDescent="0.25">
      <c r="A5197" s="306">
        <v>100573</v>
      </c>
      <c r="B5197" s="305" t="s">
        <v>12976</v>
      </c>
      <c r="C5197" s="305" t="s">
        <v>1456</v>
      </c>
      <c r="D5197" s="575">
        <v>77.5</v>
      </c>
    </row>
    <row r="5198" spans="1:4" ht="13.5" x14ac:dyDescent="0.25">
      <c r="A5198" s="306">
        <v>100574</v>
      </c>
      <c r="B5198" s="305" t="s">
        <v>12977</v>
      </c>
      <c r="C5198" s="305" t="s">
        <v>1456</v>
      </c>
      <c r="D5198" s="575">
        <v>0.89</v>
      </c>
    </row>
    <row r="5199" spans="1:4" ht="13.5" x14ac:dyDescent="0.25">
      <c r="A5199" s="306">
        <v>100575</v>
      </c>
      <c r="B5199" s="305" t="s">
        <v>12978</v>
      </c>
      <c r="C5199" s="305" t="s">
        <v>521</v>
      </c>
      <c r="D5199" s="575">
        <v>7.0000000000000007E-2</v>
      </c>
    </row>
    <row r="5200" spans="1:4" ht="13.5" x14ac:dyDescent="0.25">
      <c r="A5200" s="306">
        <v>92391</v>
      </c>
      <c r="B5200" s="305" t="s">
        <v>4719</v>
      </c>
      <c r="C5200" s="305" t="s">
        <v>521</v>
      </c>
      <c r="D5200" s="575">
        <v>55.74</v>
      </c>
    </row>
    <row r="5201" spans="1:4" ht="13.5" x14ac:dyDescent="0.25">
      <c r="A5201" s="306">
        <v>92392</v>
      </c>
      <c r="B5201" s="305" t="s">
        <v>4720</v>
      </c>
      <c r="C5201" s="305" t="s">
        <v>521</v>
      </c>
      <c r="D5201" s="575">
        <v>115.95</v>
      </c>
    </row>
    <row r="5202" spans="1:4" ht="13.5" x14ac:dyDescent="0.25">
      <c r="A5202" s="306">
        <v>92393</v>
      </c>
      <c r="B5202" s="305" t="s">
        <v>4721</v>
      </c>
      <c r="C5202" s="305" t="s">
        <v>521</v>
      </c>
      <c r="D5202" s="575">
        <v>55.49</v>
      </c>
    </row>
    <row r="5203" spans="1:4" ht="13.5" x14ac:dyDescent="0.25">
      <c r="A5203" s="306">
        <v>92394</v>
      </c>
      <c r="B5203" s="305" t="s">
        <v>4722</v>
      </c>
      <c r="C5203" s="305" t="s">
        <v>521</v>
      </c>
      <c r="D5203" s="575">
        <v>69.709999999999994</v>
      </c>
    </row>
    <row r="5204" spans="1:4" ht="13.5" x14ac:dyDescent="0.25">
      <c r="A5204" s="306">
        <v>92395</v>
      </c>
      <c r="B5204" s="305" t="s">
        <v>4723</v>
      </c>
      <c r="C5204" s="305" t="s">
        <v>521</v>
      </c>
      <c r="D5204" s="575">
        <v>84.88</v>
      </c>
    </row>
    <row r="5205" spans="1:4" ht="13.5" x14ac:dyDescent="0.25">
      <c r="A5205" s="306">
        <v>92396</v>
      </c>
      <c r="B5205" s="305" t="s">
        <v>4724</v>
      </c>
      <c r="C5205" s="305" t="s">
        <v>521</v>
      </c>
      <c r="D5205" s="575">
        <v>67.45</v>
      </c>
    </row>
    <row r="5206" spans="1:4" ht="13.5" x14ac:dyDescent="0.25">
      <c r="A5206" s="306">
        <v>92397</v>
      </c>
      <c r="B5206" s="305" t="s">
        <v>4725</v>
      </c>
      <c r="C5206" s="305" t="s">
        <v>521</v>
      </c>
      <c r="D5206" s="575">
        <v>55.64</v>
      </c>
    </row>
    <row r="5207" spans="1:4" ht="13.5" x14ac:dyDescent="0.25">
      <c r="A5207" s="306">
        <v>92398</v>
      </c>
      <c r="B5207" s="305" t="s">
        <v>4726</v>
      </c>
      <c r="C5207" s="305" t="s">
        <v>521</v>
      </c>
      <c r="D5207" s="575">
        <v>71.260000000000005</v>
      </c>
    </row>
    <row r="5208" spans="1:4" ht="13.5" x14ac:dyDescent="0.25">
      <c r="A5208" s="306">
        <v>92399</v>
      </c>
      <c r="B5208" s="305" t="s">
        <v>4727</v>
      </c>
      <c r="C5208" s="305" t="s">
        <v>521</v>
      </c>
      <c r="D5208" s="575">
        <v>72.63</v>
      </c>
    </row>
    <row r="5209" spans="1:4" ht="13.5" x14ac:dyDescent="0.25">
      <c r="A5209" s="306">
        <v>92400</v>
      </c>
      <c r="B5209" s="305" t="s">
        <v>4728</v>
      </c>
      <c r="C5209" s="305" t="s">
        <v>521</v>
      </c>
      <c r="D5209" s="575">
        <v>85.22</v>
      </c>
    </row>
    <row r="5210" spans="1:4" ht="13.5" x14ac:dyDescent="0.25">
      <c r="A5210" s="306">
        <v>92401</v>
      </c>
      <c r="B5210" s="305" t="s">
        <v>4729</v>
      </c>
      <c r="C5210" s="305" t="s">
        <v>521</v>
      </c>
      <c r="D5210" s="575">
        <v>86.69</v>
      </c>
    </row>
    <row r="5211" spans="1:4" ht="13.5" x14ac:dyDescent="0.25">
      <c r="A5211" s="306">
        <v>92402</v>
      </c>
      <c r="B5211" s="305" t="s">
        <v>4730</v>
      </c>
      <c r="C5211" s="305" t="s">
        <v>521</v>
      </c>
      <c r="D5211" s="575">
        <v>69.09</v>
      </c>
    </row>
    <row r="5212" spans="1:4" ht="13.5" x14ac:dyDescent="0.25">
      <c r="A5212" s="306">
        <v>92403</v>
      </c>
      <c r="B5212" s="305" t="s">
        <v>4731</v>
      </c>
      <c r="C5212" s="305" t="s">
        <v>521</v>
      </c>
      <c r="D5212" s="575">
        <v>57.16</v>
      </c>
    </row>
    <row r="5213" spans="1:4" ht="13.5" x14ac:dyDescent="0.25">
      <c r="A5213" s="306">
        <v>92404</v>
      </c>
      <c r="B5213" s="305" t="s">
        <v>4732</v>
      </c>
      <c r="C5213" s="305" t="s">
        <v>521</v>
      </c>
      <c r="D5213" s="575">
        <v>72.8</v>
      </c>
    </row>
    <row r="5214" spans="1:4" ht="13.5" x14ac:dyDescent="0.25">
      <c r="A5214" s="306">
        <v>92405</v>
      </c>
      <c r="B5214" s="305" t="s">
        <v>4733</v>
      </c>
      <c r="C5214" s="305" t="s">
        <v>521</v>
      </c>
      <c r="D5214" s="575">
        <v>74.14</v>
      </c>
    </row>
    <row r="5215" spans="1:4" ht="13.5" x14ac:dyDescent="0.25">
      <c r="A5215" s="306">
        <v>92406</v>
      </c>
      <c r="B5215" s="305" t="s">
        <v>4734</v>
      </c>
      <c r="C5215" s="305" t="s">
        <v>521</v>
      </c>
      <c r="D5215" s="575">
        <v>86.75</v>
      </c>
    </row>
    <row r="5216" spans="1:4" ht="13.5" x14ac:dyDescent="0.25">
      <c r="A5216" s="306">
        <v>92407</v>
      </c>
      <c r="B5216" s="305" t="s">
        <v>4735</v>
      </c>
      <c r="C5216" s="305" t="s">
        <v>521</v>
      </c>
      <c r="D5216" s="575">
        <v>88.2</v>
      </c>
    </row>
    <row r="5217" spans="1:4" ht="13.5" x14ac:dyDescent="0.25">
      <c r="A5217" s="306">
        <v>93679</v>
      </c>
      <c r="B5217" s="305" t="s">
        <v>4736</v>
      </c>
      <c r="C5217" s="305" t="s">
        <v>521</v>
      </c>
      <c r="D5217" s="575">
        <v>74.91</v>
      </c>
    </row>
    <row r="5218" spans="1:4" ht="13.5" x14ac:dyDescent="0.25">
      <c r="A5218" s="306">
        <v>93680</v>
      </c>
      <c r="B5218" s="305" t="s">
        <v>4737</v>
      </c>
      <c r="C5218" s="305" t="s">
        <v>521</v>
      </c>
      <c r="D5218" s="575">
        <v>62.78</v>
      </c>
    </row>
    <row r="5219" spans="1:4" ht="13.5" x14ac:dyDescent="0.25">
      <c r="A5219" s="306">
        <v>93681</v>
      </c>
      <c r="B5219" s="305" t="s">
        <v>4738</v>
      </c>
      <c r="C5219" s="305" t="s">
        <v>521</v>
      </c>
      <c r="D5219" s="575">
        <v>76.97</v>
      </c>
    </row>
    <row r="5220" spans="1:4" ht="13.5" x14ac:dyDescent="0.25">
      <c r="A5220" s="306">
        <v>93682</v>
      </c>
      <c r="B5220" s="305" t="s">
        <v>4739</v>
      </c>
      <c r="C5220" s="305" t="s">
        <v>521</v>
      </c>
      <c r="D5220" s="575">
        <v>78.39</v>
      </c>
    </row>
    <row r="5221" spans="1:4" ht="13.5" x14ac:dyDescent="0.25">
      <c r="A5221" s="306">
        <v>97114</v>
      </c>
      <c r="B5221" s="305" t="s">
        <v>4740</v>
      </c>
      <c r="C5221" s="305" t="s">
        <v>282</v>
      </c>
      <c r="D5221" s="575">
        <v>0.37</v>
      </c>
    </row>
    <row r="5222" spans="1:4" ht="13.5" x14ac:dyDescent="0.25">
      <c r="A5222" s="306">
        <v>97115</v>
      </c>
      <c r="B5222" s="305" t="s">
        <v>4741</v>
      </c>
      <c r="C5222" s="305" t="s">
        <v>506</v>
      </c>
      <c r="D5222" s="575">
        <v>30.65</v>
      </c>
    </row>
    <row r="5223" spans="1:4" ht="13.5" x14ac:dyDescent="0.25">
      <c r="A5223" s="306">
        <v>97120</v>
      </c>
      <c r="B5223" s="305" t="s">
        <v>4742</v>
      </c>
      <c r="C5223" s="305" t="s">
        <v>506</v>
      </c>
      <c r="D5223" s="575">
        <v>8.23</v>
      </c>
    </row>
    <row r="5224" spans="1:4" ht="13.5" x14ac:dyDescent="0.25">
      <c r="A5224" s="306">
        <v>97802</v>
      </c>
      <c r="B5224" s="305" t="s">
        <v>12979</v>
      </c>
      <c r="C5224" s="305" t="s">
        <v>521</v>
      </c>
      <c r="D5224" s="575">
        <v>4.62</v>
      </c>
    </row>
    <row r="5225" spans="1:4" ht="13.5" x14ac:dyDescent="0.25">
      <c r="A5225" s="306">
        <v>97803</v>
      </c>
      <c r="B5225" s="305" t="s">
        <v>12980</v>
      </c>
      <c r="C5225" s="305" t="s">
        <v>521</v>
      </c>
      <c r="D5225" s="575">
        <v>6.83</v>
      </c>
    </row>
    <row r="5226" spans="1:4" ht="13.5" x14ac:dyDescent="0.25">
      <c r="A5226" s="306">
        <v>97805</v>
      </c>
      <c r="B5226" s="305" t="s">
        <v>12981</v>
      </c>
      <c r="C5226" s="305" t="s">
        <v>521</v>
      </c>
      <c r="D5226" s="575">
        <v>11.62</v>
      </c>
    </row>
    <row r="5227" spans="1:4" ht="13.5" x14ac:dyDescent="0.25">
      <c r="A5227" s="306">
        <v>97806</v>
      </c>
      <c r="B5227" s="305" t="s">
        <v>12982</v>
      </c>
      <c r="C5227" s="305" t="s">
        <v>521</v>
      </c>
      <c r="D5227" s="575">
        <v>13.82</v>
      </c>
    </row>
    <row r="5228" spans="1:4" ht="13.5" x14ac:dyDescent="0.25">
      <c r="A5228" s="306">
        <v>97807</v>
      </c>
      <c r="B5228" s="305" t="s">
        <v>12983</v>
      </c>
      <c r="C5228" s="305" t="s">
        <v>521</v>
      </c>
      <c r="D5228" s="575">
        <v>15.69</v>
      </c>
    </row>
    <row r="5229" spans="1:4" ht="13.5" x14ac:dyDescent="0.25">
      <c r="A5229" s="306">
        <v>97809</v>
      </c>
      <c r="B5229" s="305" t="s">
        <v>12984</v>
      </c>
      <c r="C5229" s="305" t="s">
        <v>521</v>
      </c>
      <c r="D5229" s="575">
        <v>13.03</v>
      </c>
    </row>
    <row r="5230" spans="1:4" ht="13.5" x14ac:dyDescent="0.25">
      <c r="A5230" s="306">
        <v>97810</v>
      </c>
      <c r="B5230" s="305" t="s">
        <v>12985</v>
      </c>
      <c r="C5230" s="305" t="s">
        <v>521</v>
      </c>
      <c r="D5230" s="575">
        <v>14.05</v>
      </c>
    </row>
    <row r="5231" spans="1:4" ht="13.5" x14ac:dyDescent="0.25">
      <c r="A5231" s="306">
        <v>97811</v>
      </c>
      <c r="B5231" s="305" t="s">
        <v>12986</v>
      </c>
      <c r="C5231" s="305" t="s">
        <v>521</v>
      </c>
      <c r="D5231" s="575">
        <v>15.99</v>
      </c>
    </row>
    <row r="5232" spans="1:4" ht="13.5" x14ac:dyDescent="0.25">
      <c r="A5232" s="306">
        <v>101167</v>
      </c>
      <c r="B5232" s="305" t="s">
        <v>12987</v>
      </c>
      <c r="C5232" s="305" t="s">
        <v>521</v>
      </c>
      <c r="D5232" s="575">
        <v>72.12</v>
      </c>
    </row>
    <row r="5233" spans="1:4" ht="13.5" x14ac:dyDescent="0.25">
      <c r="A5233" s="306">
        <v>101168</v>
      </c>
      <c r="B5233" s="305" t="s">
        <v>12988</v>
      </c>
      <c r="C5233" s="305" t="s">
        <v>521</v>
      </c>
      <c r="D5233" s="575">
        <v>100.74</v>
      </c>
    </row>
    <row r="5234" spans="1:4" ht="13.5" x14ac:dyDescent="0.25">
      <c r="A5234" s="306">
        <v>101169</v>
      </c>
      <c r="B5234" s="305" t="s">
        <v>12989</v>
      </c>
      <c r="C5234" s="305" t="s">
        <v>521</v>
      </c>
      <c r="D5234" s="575">
        <v>83.76</v>
      </c>
    </row>
    <row r="5235" spans="1:4" ht="13.5" x14ac:dyDescent="0.25">
      <c r="A5235" s="306">
        <v>101170</v>
      </c>
      <c r="B5235" s="305" t="s">
        <v>12990</v>
      </c>
      <c r="C5235" s="305" t="s">
        <v>521</v>
      </c>
      <c r="D5235" s="575">
        <v>35.21</v>
      </c>
    </row>
    <row r="5236" spans="1:4" ht="13.5" x14ac:dyDescent="0.25">
      <c r="A5236" s="306">
        <v>101171</v>
      </c>
      <c r="B5236" s="305" t="s">
        <v>12991</v>
      </c>
      <c r="C5236" s="305" t="s">
        <v>521</v>
      </c>
      <c r="D5236" s="575">
        <v>72.239999999999995</v>
      </c>
    </row>
    <row r="5237" spans="1:4" ht="13.5" x14ac:dyDescent="0.25">
      <c r="A5237" s="306">
        <v>101172</v>
      </c>
      <c r="B5237" s="305" t="s">
        <v>12992</v>
      </c>
      <c r="C5237" s="305" t="s">
        <v>521</v>
      </c>
      <c r="D5237" s="575">
        <v>56.12</v>
      </c>
    </row>
    <row r="5238" spans="1:4" ht="13.5" x14ac:dyDescent="0.25">
      <c r="A5238" s="306">
        <v>72947</v>
      </c>
      <c r="B5238" s="305" t="s">
        <v>4743</v>
      </c>
      <c r="C5238" s="305" t="s">
        <v>521</v>
      </c>
      <c r="D5238" s="575">
        <v>14.59</v>
      </c>
    </row>
    <row r="5239" spans="1:4" ht="13.5" x14ac:dyDescent="0.25">
      <c r="A5239" s="306">
        <v>83693</v>
      </c>
      <c r="B5239" s="305" t="s">
        <v>4744</v>
      </c>
      <c r="C5239" s="305" t="s">
        <v>521</v>
      </c>
      <c r="D5239" s="575">
        <v>3.71</v>
      </c>
    </row>
    <row r="5240" spans="1:4" ht="13.5" x14ac:dyDescent="0.25">
      <c r="A5240" s="306">
        <v>95995</v>
      </c>
      <c r="B5240" s="305" t="s">
        <v>12993</v>
      </c>
      <c r="C5240" s="305" t="s">
        <v>1456</v>
      </c>
      <c r="D5240" s="575">
        <v>909.43</v>
      </c>
    </row>
    <row r="5241" spans="1:4" ht="13.5" x14ac:dyDescent="0.25">
      <c r="A5241" s="306">
        <v>95996</v>
      </c>
      <c r="B5241" s="305" t="s">
        <v>12994</v>
      </c>
      <c r="C5241" s="305" t="s">
        <v>1456</v>
      </c>
      <c r="D5241" s="575">
        <v>862.64</v>
      </c>
    </row>
    <row r="5242" spans="1:4" ht="13.5" x14ac:dyDescent="0.25">
      <c r="A5242" s="306">
        <v>96001</v>
      </c>
      <c r="B5242" s="305" t="s">
        <v>12995</v>
      </c>
      <c r="C5242" s="305" t="s">
        <v>521</v>
      </c>
      <c r="D5242" s="575">
        <v>5.0599999999999996</v>
      </c>
    </row>
    <row r="5243" spans="1:4" ht="13.5" x14ac:dyDescent="0.25">
      <c r="A5243" s="306">
        <v>96393</v>
      </c>
      <c r="B5243" s="305" t="s">
        <v>12996</v>
      </c>
      <c r="C5243" s="305" t="s">
        <v>1456</v>
      </c>
      <c r="D5243" s="575">
        <v>143.22999999999999</v>
      </c>
    </row>
    <row r="5244" spans="1:4" ht="13.5" x14ac:dyDescent="0.25">
      <c r="A5244" s="306">
        <v>96394</v>
      </c>
      <c r="B5244" s="305" t="s">
        <v>12997</v>
      </c>
      <c r="C5244" s="305" t="s">
        <v>1456</v>
      </c>
      <c r="D5244" s="575">
        <v>200.11</v>
      </c>
    </row>
    <row r="5245" spans="1:4" ht="13.5" x14ac:dyDescent="0.25">
      <c r="A5245" s="306">
        <v>96395</v>
      </c>
      <c r="B5245" s="305" t="s">
        <v>12998</v>
      </c>
      <c r="C5245" s="305" t="s">
        <v>1456</v>
      </c>
      <c r="D5245" s="575">
        <v>278.37</v>
      </c>
    </row>
    <row r="5246" spans="1:4" ht="13.5" x14ac:dyDescent="0.25">
      <c r="A5246" s="306">
        <v>100624</v>
      </c>
      <c r="B5246" s="305" t="s">
        <v>12999</v>
      </c>
      <c r="C5246" s="305" t="s">
        <v>1456</v>
      </c>
      <c r="D5246" s="575">
        <v>863.58</v>
      </c>
    </row>
    <row r="5247" spans="1:4" ht="13.5" x14ac:dyDescent="0.25">
      <c r="A5247" s="306">
        <v>100625</v>
      </c>
      <c r="B5247" s="305" t="s">
        <v>13000</v>
      </c>
      <c r="C5247" s="305" t="s">
        <v>1456</v>
      </c>
      <c r="D5247" s="575">
        <v>763.85</v>
      </c>
    </row>
    <row r="5248" spans="1:4" ht="13.5" x14ac:dyDescent="0.25">
      <c r="A5248" s="306">
        <v>101020</v>
      </c>
      <c r="B5248" s="305" t="s">
        <v>13001</v>
      </c>
      <c r="C5248" s="305" t="s">
        <v>4492</v>
      </c>
      <c r="D5248" s="575">
        <v>303.55</v>
      </c>
    </row>
    <row r="5249" spans="1:4" ht="13.5" x14ac:dyDescent="0.25">
      <c r="A5249" s="306">
        <v>101021</v>
      </c>
      <c r="B5249" s="305" t="s">
        <v>13002</v>
      </c>
      <c r="C5249" s="305" t="s">
        <v>4492</v>
      </c>
      <c r="D5249" s="575">
        <v>308.95999999999998</v>
      </c>
    </row>
    <row r="5250" spans="1:4" ht="13.5" x14ac:dyDescent="0.25">
      <c r="A5250" s="306">
        <v>101022</v>
      </c>
      <c r="B5250" s="305" t="s">
        <v>13003</v>
      </c>
      <c r="C5250" s="305" t="s">
        <v>4492</v>
      </c>
      <c r="D5250" s="575">
        <v>268.85000000000002</v>
      </c>
    </row>
    <row r="5251" spans="1:4" ht="13.5" x14ac:dyDescent="0.25">
      <c r="A5251" s="306">
        <v>101023</v>
      </c>
      <c r="B5251" s="305" t="s">
        <v>13004</v>
      </c>
      <c r="C5251" s="305" t="s">
        <v>4492</v>
      </c>
      <c r="D5251" s="575">
        <v>275.67</v>
      </c>
    </row>
    <row r="5252" spans="1:4" ht="13.5" x14ac:dyDescent="0.25">
      <c r="A5252" s="306">
        <v>101024</v>
      </c>
      <c r="B5252" s="305" t="s">
        <v>13005</v>
      </c>
      <c r="C5252" s="305" t="s">
        <v>4492</v>
      </c>
      <c r="D5252" s="575">
        <v>272.8</v>
      </c>
    </row>
    <row r="5253" spans="1:4" ht="13.5" x14ac:dyDescent="0.25">
      <c r="A5253" s="306">
        <v>101025</v>
      </c>
      <c r="B5253" s="305" t="s">
        <v>13006</v>
      </c>
      <c r="C5253" s="305" t="s">
        <v>4492</v>
      </c>
      <c r="D5253" s="575">
        <v>278.20999999999998</v>
      </c>
    </row>
    <row r="5254" spans="1:4" ht="13.5" x14ac:dyDescent="0.25">
      <c r="A5254" s="306">
        <v>101026</v>
      </c>
      <c r="B5254" s="305" t="s">
        <v>13007</v>
      </c>
      <c r="C5254" s="305" t="s">
        <v>4492</v>
      </c>
      <c r="D5254" s="575">
        <v>298.18</v>
      </c>
    </row>
    <row r="5255" spans="1:4" ht="13.5" x14ac:dyDescent="0.25">
      <c r="A5255" s="306">
        <v>101027</v>
      </c>
      <c r="B5255" s="305" t="s">
        <v>13008</v>
      </c>
      <c r="C5255" s="305" t="s">
        <v>4492</v>
      </c>
      <c r="D5255" s="575">
        <v>333.77</v>
      </c>
    </row>
    <row r="5256" spans="1:4" ht="13.5" x14ac:dyDescent="0.25">
      <c r="A5256" s="306">
        <v>88411</v>
      </c>
      <c r="B5256" s="305" t="s">
        <v>4745</v>
      </c>
      <c r="C5256" s="305" t="s">
        <v>521</v>
      </c>
      <c r="D5256" s="575">
        <v>2.02</v>
      </c>
    </row>
    <row r="5257" spans="1:4" ht="13.5" x14ac:dyDescent="0.25">
      <c r="A5257" s="306">
        <v>88412</v>
      </c>
      <c r="B5257" s="305" t="s">
        <v>4746</v>
      </c>
      <c r="C5257" s="305" t="s">
        <v>521</v>
      </c>
      <c r="D5257" s="575">
        <v>1.45</v>
      </c>
    </row>
    <row r="5258" spans="1:4" ht="13.5" x14ac:dyDescent="0.25">
      <c r="A5258" s="306">
        <v>88413</v>
      </c>
      <c r="B5258" s="305" t="s">
        <v>4747</v>
      </c>
      <c r="C5258" s="305" t="s">
        <v>521</v>
      </c>
      <c r="D5258" s="575">
        <v>3.15</v>
      </c>
    </row>
    <row r="5259" spans="1:4" ht="13.5" x14ac:dyDescent="0.25">
      <c r="A5259" s="306">
        <v>88414</v>
      </c>
      <c r="B5259" s="305" t="s">
        <v>4748</v>
      </c>
      <c r="C5259" s="305" t="s">
        <v>521</v>
      </c>
      <c r="D5259" s="575">
        <v>3.52</v>
      </c>
    </row>
    <row r="5260" spans="1:4" ht="13.5" x14ac:dyDescent="0.25">
      <c r="A5260" s="306">
        <v>88415</v>
      </c>
      <c r="B5260" s="305" t="s">
        <v>4749</v>
      </c>
      <c r="C5260" s="305" t="s">
        <v>521</v>
      </c>
      <c r="D5260" s="575">
        <v>2.2000000000000002</v>
      </c>
    </row>
    <row r="5261" spans="1:4" ht="13.5" x14ac:dyDescent="0.25">
      <c r="A5261" s="306">
        <v>88416</v>
      </c>
      <c r="B5261" s="305" t="s">
        <v>4750</v>
      </c>
      <c r="C5261" s="305" t="s">
        <v>521</v>
      </c>
      <c r="D5261" s="575">
        <v>18.11</v>
      </c>
    </row>
    <row r="5262" spans="1:4" ht="13.5" x14ac:dyDescent="0.25">
      <c r="A5262" s="306">
        <v>88417</v>
      </c>
      <c r="B5262" s="305" t="s">
        <v>4751</v>
      </c>
      <c r="C5262" s="305" t="s">
        <v>521</v>
      </c>
      <c r="D5262" s="575">
        <v>16.100000000000001</v>
      </c>
    </row>
    <row r="5263" spans="1:4" ht="13.5" x14ac:dyDescent="0.25">
      <c r="A5263" s="306">
        <v>88420</v>
      </c>
      <c r="B5263" s="305" t="s">
        <v>4752</v>
      </c>
      <c r="C5263" s="305" t="s">
        <v>521</v>
      </c>
      <c r="D5263" s="575">
        <v>22.18</v>
      </c>
    </row>
    <row r="5264" spans="1:4" ht="13.5" x14ac:dyDescent="0.25">
      <c r="A5264" s="306">
        <v>88421</v>
      </c>
      <c r="B5264" s="305" t="s">
        <v>4753</v>
      </c>
      <c r="C5264" s="305" t="s">
        <v>521</v>
      </c>
      <c r="D5264" s="575">
        <v>23.46</v>
      </c>
    </row>
    <row r="5265" spans="1:4" ht="13.5" x14ac:dyDescent="0.25">
      <c r="A5265" s="306">
        <v>88423</v>
      </c>
      <c r="B5265" s="305" t="s">
        <v>4754</v>
      </c>
      <c r="C5265" s="305" t="s">
        <v>521</v>
      </c>
      <c r="D5265" s="575">
        <v>18.739999999999998</v>
      </c>
    </row>
    <row r="5266" spans="1:4" ht="13.5" x14ac:dyDescent="0.25">
      <c r="A5266" s="306">
        <v>88424</v>
      </c>
      <c r="B5266" s="305" t="s">
        <v>4755</v>
      </c>
      <c r="C5266" s="305" t="s">
        <v>521</v>
      </c>
      <c r="D5266" s="575">
        <v>20.88</v>
      </c>
    </row>
    <row r="5267" spans="1:4" ht="13.5" x14ac:dyDescent="0.25">
      <c r="A5267" s="306">
        <v>88426</v>
      </c>
      <c r="B5267" s="305" t="s">
        <v>4756</v>
      </c>
      <c r="C5267" s="305" t="s">
        <v>521</v>
      </c>
      <c r="D5267" s="575">
        <v>17.399999999999999</v>
      </c>
    </row>
    <row r="5268" spans="1:4" ht="13.5" x14ac:dyDescent="0.25">
      <c r="A5268" s="306">
        <v>88428</v>
      </c>
      <c r="B5268" s="305" t="s">
        <v>4757</v>
      </c>
      <c r="C5268" s="305" t="s">
        <v>521</v>
      </c>
      <c r="D5268" s="575">
        <v>27.86</v>
      </c>
    </row>
    <row r="5269" spans="1:4" ht="13.5" x14ac:dyDescent="0.25">
      <c r="A5269" s="306">
        <v>88429</v>
      </c>
      <c r="B5269" s="305" t="s">
        <v>4758</v>
      </c>
      <c r="C5269" s="305" t="s">
        <v>521</v>
      </c>
      <c r="D5269" s="575">
        <v>30.1</v>
      </c>
    </row>
    <row r="5270" spans="1:4" ht="13.5" x14ac:dyDescent="0.25">
      <c r="A5270" s="306">
        <v>88431</v>
      </c>
      <c r="B5270" s="305" t="s">
        <v>4759</v>
      </c>
      <c r="C5270" s="305" t="s">
        <v>521</v>
      </c>
      <c r="D5270" s="575">
        <v>21.97</v>
      </c>
    </row>
    <row r="5271" spans="1:4" ht="13.5" x14ac:dyDescent="0.25">
      <c r="A5271" s="306">
        <v>88432</v>
      </c>
      <c r="B5271" s="305" t="s">
        <v>4760</v>
      </c>
      <c r="C5271" s="305" t="s">
        <v>521</v>
      </c>
      <c r="D5271" s="575">
        <v>15.24</v>
      </c>
    </row>
    <row r="5272" spans="1:4" ht="13.5" x14ac:dyDescent="0.25">
      <c r="A5272" s="306">
        <v>88482</v>
      </c>
      <c r="B5272" s="305" t="s">
        <v>4761</v>
      </c>
      <c r="C5272" s="305" t="s">
        <v>521</v>
      </c>
      <c r="D5272" s="575">
        <v>2.5499999999999998</v>
      </c>
    </row>
    <row r="5273" spans="1:4" ht="13.5" x14ac:dyDescent="0.25">
      <c r="A5273" s="306">
        <v>88483</v>
      </c>
      <c r="B5273" s="305" t="s">
        <v>4762</v>
      </c>
      <c r="C5273" s="305" t="s">
        <v>521</v>
      </c>
      <c r="D5273" s="575">
        <v>2.2999999999999998</v>
      </c>
    </row>
    <row r="5274" spans="1:4" ht="13.5" x14ac:dyDescent="0.25">
      <c r="A5274" s="306">
        <v>88484</v>
      </c>
      <c r="B5274" s="305" t="s">
        <v>4763</v>
      </c>
      <c r="C5274" s="305" t="s">
        <v>521</v>
      </c>
      <c r="D5274" s="575">
        <v>2.2200000000000002</v>
      </c>
    </row>
    <row r="5275" spans="1:4" ht="13.5" x14ac:dyDescent="0.25">
      <c r="A5275" s="306">
        <v>88485</v>
      </c>
      <c r="B5275" s="305" t="s">
        <v>4764</v>
      </c>
      <c r="C5275" s="305" t="s">
        <v>521</v>
      </c>
      <c r="D5275" s="575">
        <v>1.88</v>
      </c>
    </row>
    <row r="5276" spans="1:4" ht="13.5" x14ac:dyDescent="0.25">
      <c r="A5276" s="306">
        <v>88486</v>
      </c>
      <c r="B5276" s="305" t="s">
        <v>4765</v>
      </c>
      <c r="C5276" s="305" t="s">
        <v>521</v>
      </c>
      <c r="D5276" s="575">
        <v>11.46</v>
      </c>
    </row>
    <row r="5277" spans="1:4" ht="13.5" x14ac:dyDescent="0.25">
      <c r="A5277" s="306">
        <v>88487</v>
      </c>
      <c r="B5277" s="305" t="s">
        <v>4766</v>
      </c>
      <c r="C5277" s="305" t="s">
        <v>521</v>
      </c>
      <c r="D5277" s="575">
        <v>10.38</v>
      </c>
    </row>
    <row r="5278" spans="1:4" ht="13.5" x14ac:dyDescent="0.25">
      <c r="A5278" s="306">
        <v>88488</v>
      </c>
      <c r="B5278" s="305" t="s">
        <v>4767</v>
      </c>
      <c r="C5278" s="305" t="s">
        <v>521</v>
      </c>
      <c r="D5278" s="575">
        <v>14.56</v>
      </c>
    </row>
    <row r="5279" spans="1:4" ht="13.5" x14ac:dyDescent="0.25">
      <c r="A5279" s="306">
        <v>88489</v>
      </c>
      <c r="B5279" s="305" t="s">
        <v>4768</v>
      </c>
      <c r="C5279" s="305" t="s">
        <v>521</v>
      </c>
      <c r="D5279" s="575">
        <v>13.01</v>
      </c>
    </row>
    <row r="5280" spans="1:4" ht="13.5" x14ac:dyDescent="0.25">
      <c r="A5280" s="306">
        <v>88490</v>
      </c>
      <c r="B5280" s="305" t="s">
        <v>4769</v>
      </c>
      <c r="C5280" s="305" t="s">
        <v>521</v>
      </c>
      <c r="D5280" s="575">
        <v>8.77</v>
      </c>
    </row>
    <row r="5281" spans="1:4" ht="13.5" x14ac:dyDescent="0.25">
      <c r="A5281" s="306">
        <v>88491</v>
      </c>
      <c r="B5281" s="305" t="s">
        <v>4770</v>
      </c>
      <c r="C5281" s="305" t="s">
        <v>521</v>
      </c>
      <c r="D5281" s="575">
        <v>8.51</v>
      </c>
    </row>
    <row r="5282" spans="1:4" ht="13.5" x14ac:dyDescent="0.25">
      <c r="A5282" s="306">
        <v>88492</v>
      </c>
      <c r="B5282" s="305" t="s">
        <v>4771</v>
      </c>
      <c r="C5282" s="305" t="s">
        <v>521</v>
      </c>
      <c r="D5282" s="575">
        <v>10.48</v>
      </c>
    </row>
    <row r="5283" spans="1:4" ht="13.5" x14ac:dyDescent="0.25">
      <c r="A5283" s="306">
        <v>88493</v>
      </c>
      <c r="B5283" s="305" t="s">
        <v>4772</v>
      </c>
      <c r="C5283" s="305" t="s">
        <v>521</v>
      </c>
      <c r="D5283" s="575">
        <v>10.09</v>
      </c>
    </row>
    <row r="5284" spans="1:4" ht="13.5" x14ac:dyDescent="0.25">
      <c r="A5284" s="306">
        <v>88494</v>
      </c>
      <c r="B5284" s="305" t="s">
        <v>4773</v>
      </c>
      <c r="C5284" s="305" t="s">
        <v>521</v>
      </c>
      <c r="D5284" s="575">
        <v>16.12</v>
      </c>
    </row>
    <row r="5285" spans="1:4" ht="13.5" x14ac:dyDescent="0.25">
      <c r="A5285" s="306">
        <v>88495</v>
      </c>
      <c r="B5285" s="305" t="s">
        <v>4774</v>
      </c>
      <c r="C5285" s="305" t="s">
        <v>521</v>
      </c>
      <c r="D5285" s="575">
        <v>8.73</v>
      </c>
    </row>
    <row r="5286" spans="1:4" ht="13.5" x14ac:dyDescent="0.25">
      <c r="A5286" s="306">
        <v>88496</v>
      </c>
      <c r="B5286" s="305" t="s">
        <v>4775</v>
      </c>
      <c r="C5286" s="305" t="s">
        <v>521</v>
      </c>
      <c r="D5286" s="575">
        <v>21.89</v>
      </c>
    </row>
    <row r="5287" spans="1:4" ht="13.5" x14ac:dyDescent="0.25">
      <c r="A5287" s="306">
        <v>88497</v>
      </c>
      <c r="B5287" s="305" t="s">
        <v>4776</v>
      </c>
      <c r="C5287" s="305" t="s">
        <v>521</v>
      </c>
      <c r="D5287" s="575">
        <v>12.02</v>
      </c>
    </row>
    <row r="5288" spans="1:4" ht="13.5" x14ac:dyDescent="0.25">
      <c r="A5288" s="306">
        <v>95305</v>
      </c>
      <c r="B5288" s="305" t="s">
        <v>4777</v>
      </c>
      <c r="C5288" s="305" t="s">
        <v>521</v>
      </c>
      <c r="D5288" s="575">
        <v>13.53</v>
      </c>
    </row>
    <row r="5289" spans="1:4" ht="13.5" x14ac:dyDescent="0.25">
      <c r="A5289" s="306">
        <v>95306</v>
      </c>
      <c r="B5289" s="305" t="s">
        <v>4778</v>
      </c>
      <c r="C5289" s="305" t="s">
        <v>521</v>
      </c>
      <c r="D5289" s="575">
        <v>15.5</v>
      </c>
    </row>
    <row r="5290" spans="1:4" ht="13.5" x14ac:dyDescent="0.25">
      <c r="A5290" s="306">
        <v>95622</v>
      </c>
      <c r="B5290" s="305" t="s">
        <v>4779</v>
      </c>
      <c r="C5290" s="305" t="s">
        <v>521</v>
      </c>
      <c r="D5290" s="575">
        <v>12.62</v>
      </c>
    </row>
    <row r="5291" spans="1:4" ht="13.5" x14ac:dyDescent="0.25">
      <c r="A5291" s="306">
        <v>95623</v>
      </c>
      <c r="B5291" s="305" t="s">
        <v>4780</v>
      </c>
      <c r="C5291" s="305" t="s">
        <v>521</v>
      </c>
      <c r="D5291" s="575">
        <v>9.8699999999999992</v>
      </c>
    </row>
    <row r="5292" spans="1:4" ht="13.5" x14ac:dyDescent="0.25">
      <c r="A5292" s="306">
        <v>95624</v>
      </c>
      <c r="B5292" s="305" t="s">
        <v>4781</v>
      </c>
      <c r="C5292" s="305" t="s">
        <v>521</v>
      </c>
      <c r="D5292" s="575">
        <v>18.2</v>
      </c>
    </row>
    <row r="5293" spans="1:4" ht="13.5" x14ac:dyDescent="0.25">
      <c r="A5293" s="306">
        <v>95625</v>
      </c>
      <c r="B5293" s="305" t="s">
        <v>4782</v>
      </c>
      <c r="C5293" s="305" t="s">
        <v>521</v>
      </c>
      <c r="D5293" s="575">
        <v>19.97</v>
      </c>
    </row>
    <row r="5294" spans="1:4" ht="13.5" x14ac:dyDescent="0.25">
      <c r="A5294" s="306">
        <v>95626</v>
      </c>
      <c r="B5294" s="305" t="s">
        <v>4783</v>
      </c>
      <c r="C5294" s="305" t="s">
        <v>521</v>
      </c>
      <c r="D5294" s="575">
        <v>13.51</v>
      </c>
    </row>
    <row r="5295" spans="1:4" ht="13.5" x14ac:dyDescent="0.25">
      <c r="A5295" s="306">
        <v>96126</v>
      </c>
      <c r="B5295" s="305" t="s">
        <v>4784</v>
      </c>
      <c r="C5295" s="305" t="s">
        <v>521</v>
      </c>
      <c r="D5295" s="575">
        <v>14.45</v>
      </c>
    </row>
    <row r="5296" spans="1:4" ht="13.5" x14ac:dyDescent="0.25">
      <c r="A5296" s="306">
        <v>96127</v>
      </c>
      <c r="B5296" s="305" t="s">
        <v>4785</v>
      </c>
      <c r="C5296" s="305" t="s">
        <v>521</v>
      </c>
      <c r="D5296" s="575">
        <v>11.01</v>
      </c>
    </row>
    <row r="5297" spans="1:4" ht="13.5" x14ac:dyDescent="0.25">
      <c r="A5297" s="306">
        <v>96128</v>
      </c>
      <c r="B5297" s="305" t="s">
        <v>4786</v>
      </c>
      <c r="C5297" s="305" t="s">
        <v>521</v>
      </c>
      <c r="D5297" s="575">
        <v>21.4</v>
      </c>
    </row>
    <row r="5298" spans="1:4" ht="13.5" x14ac:dyDescent="0.25">
      <c r="A5298" s="306">
        <v>96129</v>
      </c>
      <c r="B5298" s="305" t="s">
        <v>4787</v>
      </c>
      <c r="C5298" s="305" t="s">
        <v>521</v>
      </c>
      <c r="D5298" s="575">
        <v>23.61</v>
      </c>
    </row>
    <row r="5299" spans="1:4" ht="13.5" x14ac:dyDescent="0.25">
      <c r="A5299" s="306">
        <v>96130</v>
      </c>
      <c r="B5299" s="305" t="s">
        <v>4788</v>
      </c>
      <c r="C5299" s="305" t="s">
        <v>521</v>
      </c>
      <c r="D5299" s="575">
        <v>15.53</v>
      </c>
    </row>
    <row r="5300" spans="1:4" ht="13.5" x14ac:dyDescent="0.25">
      <c r="A5300" s="306">
        <v>96131</v>
      </c>
      <c r="B5300" s="305" t="s">
        <v>4789</v>
      </c>
      <c r="C5300" s="305" t="s">
        <v>521</v>
      </c>
      <c r="D5300" s="575">
        <v>19.96</v>
      </c>
    </row>
    <row r="5301" spans="1:4" ht="13.5" x14ac:dyDescent="0.25">
      <c r="A5301" s="306">
        <v>96132</v>
      </c>
      <c r="B5301" s="305" t="s">
        <v>4790</v>
      </c>
      <c r="C5301" s="305" t="s">
        <v>521</v>
      </c>
      <c r="D5301" s="575">
        <v>15.39</v>
      </c>
    </row>
    <row r="5302" spans="1:4" ht="13.5" x14ac:dyDescent="0.25">
      <c r="A5302" s="306">
        <v>96133</v>
      </c>
      <c r="B5302" s="305" t="s">
        <v>4791</v>
      </c>
      <c r="C5302" s="305" t="s">
        <v>521</v>
      </c>
      <c r="D5302" s="575">
        <v>29.2</v>
      </c>
    </row>
    <row r="5303" spans="1:4" ht="13.5" x14ac:dyDescent="0.25">
      <c r="A5303" s="306">
        <v>96134</v>
      </c>
      <c r="B5303" s="305" t="s">
        <v>4792</v>
      </c>
      <c r="C5303" s="305" t="s">
        <v>521</v>
      </c>
      <c r="D5303" s="575">
        <v>32.159999999999997</v>
      </c>
    </row>
    <row r="5304" spans="1:4" ht="13.5" x14ac:dyDescent="0.25">
      <c r="A5304" s="306">
        <v>96135</v>
      </c>
      <c r="B5304" s="305" t="s">
        <v>4793</v>
      </c>
      <c r="C5304" s="305" t="s">
        <v>521</v>
      </c>
      <c r="D5304" s="575">
        <v>21.42</v>
      </c>
    </row>
    <row r="5305" spans="1:4" ht="13.5" x14ac:dyDescent="0.25">
      <c r="A5305" s="306">
        <v>6082</v>
      </c>
      <c r="B5305" s="305" t="s">
        <v>4794</v>
      </c>
      <c r="C5305" s="305" t="s">
        <v>521</v>
      </c>
      <c r="D5305" s="575">
        <v>16.72</v>
      </c>
    </row>
    <row r="5306" spans="1:4" ht="13.5" x14ac:dyDescent="0.25">
      <c r="A5306" s="306">
        <v>40905</v>
      </c>
      <c r="B5306" s="305" t="s">
        <v>4795</v>
      </c>
      <c r="C5306" s="305" t="s">
        <v>521</v>
      </c>
      <c r="D5306" s="575">
        <v>21.18</v>
      </c>
    </row>
    <row r="5307" spans="1:4" ht="13.5" x14ac:dyDescent="0.25">
      <c r="A5307" s="305" t="s">
        <v>4796</v>
      </c>
      <c r="B5307" s="305" t="s">
        <v>4797</v>
      </c>
      <c r="C5307" s="305" t="s">
        <v>521</v>
      </c>
      <c r="D5307" s="575">
        <v>16.329999999999998</v>
      </c>
    </row>
    <row r="5308" spans="1:4" ht="13.5" x14ac:dyDescent="0.25">
      <c r="A5308" s="305" t="s">
        <v>4798</v>
      </c>
      <c r="B5308" s="305" t="s">
        <v>4799</v>
      </c>
      <c r="C5308" s="305" t="s">
        <v>521</v>
      </c>
      <c r="D5308" s="575">
        <v>23.13</v>
      </c>
    </row>
    <row r="5309" spans="1:4" ht="13.5" x14ac:dyDescent="0.25">
      <c r="A5309" s="305" t="s">
        <v>4800</v>
      </c>
      <c r="B5309" s="305" t="s">
        <v>4801</v>
      </c>
      <c r="C5309" s="305" t="s">
        <v>521</v>
      </c>
      <c r="D5309" s="575">
        <v>22.75</v>
      </c>
    </row>
    <row r="5310" spans="1:4" ht="13.5" x14ac:dyDescent="0.25">
      <c r="A5310" s="305" t="s">
        <v>4802</v>
      </c>
      <c r="B5310" s="305" t="s">
        <v>4803</v>
      </c>
      <c r="C5310" s="305" t="s">
        <v>521</v>
      </c>
      <c r="D5310" s="575">
        <v>22.64</v>
      </c>
    </row>
    <row r="5311" spans="1:4" ht="13.5" x14ac:dyDescent="0.25">
      <c r="A5311" s="306">
        <v>79463</v>
      </c>
      <c r="B5311" s="305" t="s">
        <v>4804</v>
      </c>
      <c r="C5311" s="305" t="s">
        <v>521</v>
      </c>
      <c r="D5311" s="575">
        <v>14.01</v>
      </c>
    </row>
    <row r="5312" spans="1:4" ht="13.5" x14ac:dyDescent="0.25">
      <c r="A5312" s="306">
        <v>79464</v>
      </c>
      <c r="B5312" s="305" t="s">
        <v>4805</v>
      </c>
      <c r="C5312" s="305" t="s">
        <v>521</v>
      </c>
      <c r="D5312" s="575">
        <v>18.64</v>
      </c>
    </row>
    <row r="5313" spans="1:4" ht="13.5" x14ac:dyDescent="0.25">
      <c r="A5313" s="306">
        <v>79466</v>
      </c>
      <c r="B5313" s="305" t="s">
        <v>4806</v>
      </c>
      <c r="C5313" s="305" t="s">
        <v>521</v>
      </c>
      <c r="D5313" s="575">
        <v>18.260000000000002</v>
      </c>
    </row>
    <row r="5314" spans="1:4" ht="13.5" x14ac:dyDescent="0.25">
      <c r="A5314" s="305" t="s">
        <v>4807</v>
      </c>
      <c r="B5314" s="305" t="s">
        <v>4808</v>
      </c>
      <c r="C5314" s="305" t="s">
        <v>521</v>
      </c>
      <c r="D5314" s="575">
        <v>23.06</v>
      </c>
    </row>
    <row r="5315" spans="1:4" ht="13.5" x14ac:dyDescent="0.25">
      <c r="A5315" s="306">
        <v>84645</v>
      </c>
      <c r="B5315" s="305" t="s">
        <v>4809</v>
      </c>
      <c r="C5315" s="305" t="s">
        <v>521</v>
      </c>
      <c r="D5315" s="575">
        <v>18.010000000000002</v>
      </c>
    </row>
    <row r="5316" spans="1:4" ht="13.5" x14ac:dyDescent="0.25">
      <c r="A5316" s="306">
        <v>84657</v>
      </c>
      <c r="B5316" s="305" t="s">
        <v>4810</v>
      </c>
      <c r="C5316" s="305" t="s">
        <v>521</v>
      </c>
      <c r="D5316" s="575">
        <v>9.3000000000000007</v>
      </c>
    </row>
    <row r="5317" spans="1:4" ht="13.5" x14ac:dyDescent="0.25">
      <c r="A5317" s="306">
        <v>84659</v>
      </c>
      <c r="B5317" s="305" t="s">
        <v>4811</v>
      </c>
      <c r="C5317" s="305" t="s">
        <v>521</v>
      </c>
      <c r="D5317" s="575">
        <v>15.21</v>
      </c>
    </row>
    <row r="5318" spans="1:4" ht="13.5" x14ac:dyDescent="0.25">
      <c r="A5318" s="306">
        <v>84679</v>
      </c>
      <c r="B5318" s="305" t="s">
        <v>4812</v>
      </c>
      <c r="C5318" s="305" t="s">
        <v>521</v>
      </c>
      <c r="D5318" s="575">
        <v>18.399999999999999</v>
      </c>
    </row>
    <row r="5319" spans="1:4" ht="13.5" x14ac:dyDescent="0.25">
      <c r="A5319" s="306">
        <v>95464</v>
      </c>
      <c r="B5319" s="305" t="s">
        <v>4813</v>
      </c>
      <c r="C5319" s="305" t="s">
        <v>521</v>
      </c>
      <c r="D5319" s="575">
        <v>21.27</v>
      </c>
    </row>
    <row r="5320" spans="1:4" ht="13.5" x14ac:dyDescent="0.25">
      <c r="A5320" s="306">
        <v>100716</v>
      </c>
      <c r="B5320" s="305" t="s">
        <v>13009</v>
      </c>
      <c r="C5320" s="305" t="s">
        <v>521</v>
      </c>
      <c r="D5320" s="575">
        <v>21.68</v>
      </c>
    </row>
    <row r="5321" spans="1:4" ht="13.5" x14ac:dyDescent="0.25">
      <c r="A5321" s="306">
        <v>100717</v>
      </c>
      <c r="B5321" s="305" t="s">
        <v>13010</v>
      </c>
      <c r="C5321" s="305" t="s">
        <v>521</v>
      </c>
      <c r="D5321" s="575">
        <v>7.09</v>
      </c>
    </row>
    <row r="5322" spans="1:4" ht="13.5" x14ac:dyDescent="0.25">
      <c r="A5322" s="306">
        <v>100718</v>
      </c>
      <c r="B5322" s="305" t="s">
        <v>13011</v>
      </c>
      <c r="C5322" s="305" t="s">
        <v>282</v>
      </c>
      <c r="D5322" s="575">
        <v>1.02</v>
      </c>
    </row>
    <row r="5323" spans="1:4" ht="13.5" x14ac:dyDescent="0.25">
      <c r="A5323" s="306">
        <v>100719</v>
      </c>
      <c r="B5323" s="305" t="s">
        <v>13012</v>
      </c>
      <c r="C5323" s="305" t="s">
        <v>521</v>
      </c>
      <c r="D5323" s="575">
        <v>7.39</v>
      </c>
    </row>
    <row r="5324" spans="1:4" ht="13.5" x14ac:dyDescent="0.25">
      <c r="A5324" s="306">
        <v>100720</v>
      </c>
      <c r="B5324" s="305" t="s">
        <v>13013</v>
      </c>
      <c r="C5324" s="305" t="s">
        <v>521</v>
      </c>
      <c r="D5324" s="575">
        <v>7.63</v>
      </c>
    </row>
    <row r="5325" spans="1:4" ht="13.5" x14ac:dyDescent="0.25">
      <c r="A5325" s="306">
        <v>100721</v>
      </c>
      <c r="B5325" s="305" t="s">
        <v>13014</v>
      </c>
      <c r="C5325" s="305" t="s">
        <v>521</v>
      </c>
      <c r="D5325" s="575">
        <v>17.920000000000002</v>
      </c>
    </row>
    <row r="5326" spans="1:4" ht="13.5" x14ac:dyDescent="0.25">
      <c r="A5326" s="306">
        <v>100722</v>
      </c>
      <c r="B5326" s="305" t="s">
        <v>13015</v>
      </c>
      <c r="C5326" s="305" t="s">
        <v>521</v>
      </c>
      <c r="D5326" s="575">
        <v>17.54</v>
      </c>
    </row>
    <row r="5327" spans="1:4" ht="13.5" x14ac:dyDescent="0.25">
      <c r="A5327" s="306">
        <v>100723</v>
      </c>
      <c r="B5327" s="305" t="s">
        <v>13016</v>
      </c>
      <c r="C5327" s="305" t="s">
        <v>521</v>
      </c>
      <c r="D5327" s="575">
        <v>7.04</v>
      </c>
    </row>
    <row r="5328" spans="1:4" ht="13.5" x14ac:dyDescent="0.25">
      <c r="A5328" s="306">
        <v>100724</v>
      </c>
      <c r="B5328" s="305" t="s">
        <v>13017</v>
      </c>
      <c r="C5328" s="305" t="s">
        <v>521</v>
      </c>
      <c r="D5328" s="575">
        <v>9.0299999999999994</v>
      </c>
    </row>
    <row r="5329" spans="1:4" ht="13.5" x14ac:dyDescent="0.25">
      <c r="A5329" s="306">
        <v>100725</v>
      </c>
      <c r="B5329" s="305" t="s">
        <v>13018</v>
      </c>
      <c r="C5329" s="305" t="s">
        <v>521</v>
      </c>
      <c r="D5329" s="575">
        <v>17.2</v>
      </c>
    </row>
    <row r="5330" spans="1:4" ht="13.5" x14ac:dyDescent="0.25">
      <c r="A5330" s="306">
        <v>100726</v>
      </c>
      <c r="B5330" s="305" t="s">
        <v>13019</v>
      </c>
      <c r="C5330" s="305" t="s">
        <v>521</v>
      </c>
      <c r="D5330" s="575">
        <v>18.87</v>
      </c>
    </row>
    <row r="5331" spans="1:4" ht="13.5" x14ac:dyDescent="0.25">
      <c r="A5331" s="306">
        <v>100727</v>
      </c>
      <c r="B5331" s="305" t="s">
        <v>13020</v>
      </c>
      <c r="C5331" s="305" t="s">
        <v>521</v>
      </c>
      <c r="D5331" s="575">
        <v>12.21</v>
      </c>
    </row>
    <row r="5332" spans="1:4" ht="13.5" x14ac:dyDescent="0.25">
      <c r="A5332" s="306">
        <v>100728</v>
      </c>
      <c r="B5332" s="305" t="s">
        <v>13021</v>
      </c>
      <c r="C5332" s="305" t="s">
        <v>521</v>
      </c>
      <c r="D5332" s="575">
        <v>12.5</v>
      </c>
    </row>
    <row r="5333" spans="1:4" ht="13.5" x14ac:dyDescent="0.25">
      <c r="A5333" s="306">
        <v>100729</v>
      </c>
      <c r="B5333" s="305" t="s">
        <v>13022</v>
      </c>
      <c r="C5333" s="305" t="s">
        <v>521</v>
      </c>
      <c r="D5333" s="575">
        <v>14.18</v>
      </c>
    </row>
    <row r="5334" spans="1:4" ht="13.5" x14ac:dyDescent="0.25">
      <c r="A5334" s="306">
        <v>100730</v>
      </c>
      <c r="B5334" s="305" t="s">
        <v>13023</v>
      </c>
      <c r="C5334" s="305" t="s">
        <v>521</v>
      </c>
      <c r="D5334" s="575">
        <v>16.829999999999998</v>
      </c>
    </row>
    <row r="5335" spans="1:4" ht="13.5" x14ac:dyDescent="0.25">
      <c r="A5335" s="306">
        <v>100733</v>
      </c>
      <c r="B5335" s="305" t="s">
        <v>13024</v>
      </c>
      <c r="C5335" s="305" t="s">
        <v>521</v>
      </c>
      <c r="D5335" s="575">
        <v>8.36</v>
      </c>
    </row>
    <row r="5336" spans="1:4" ht="13.5" x14ac:dyDescent="0.25">
      <c r="A5336" s="306">
        <v>100734</v>
      </c>
      <c r="B5336" s="305" t="s">
        <v>13025</v>
      </c>
      <c r="C5336" s="305" t="s">
        <v>521</v>
      </c>
      <c r="D5336" s="575">
        <v>10.96</v>
      </c>
    </row>
    <row r="5337" spans="1:4" ht="13.5" x14ac:dyDescent="0.25">
      <c r="A5337" s="306">
        <v>100735</v>
      </c>
      <c r="B5337" s="305" t="s">
        <v>13026</v>
      </c>
      <c r="C5337" s="305" t="s">
        <v>521</v>
      </c>
      <c r="D5337" s="575">
        <v>7.93</v>
      </c>
    </row>
    <row r="5338" spans="1:4" ht="13.5" x14ac:dyDescent="0.25">
      <c r="A5338" s="306">
        <v>100736</v>
      </c>
      <c r="B5338" s="305" t="s">
        <v>13027</v>
      </c>
      <c r="C5338" s="305" t="s">
        <v>521</v>
      </c>
      <c r="D5338" s="575">
        <v>10.56</v>
      </c>
    </row>
    <row r="5339" spans="1:4" ht="13.5" x14ac:dyDescent="0.25">
      <c r="A5339" s="306">
        <v>100739</v>
      </c>
      <c r="B5339" s="305" t="s">
        <v>13028</v>
      </c>
      <c r="C5339" s="305" t="s">
        <v>521</v>
      </c>
      <c r="D5339" s="575">
        <v>6.65</v>
      </c>
    </row>
    <row r="5340" spans="1:4" ht="13.5" x14ac:dyDescent="0.25">
      <c r="A5340" s="306">
        <v>100740</v>
      </c>
      <c r="B5340" s="305" t="s">
        <v>13029</v>
      </c>
      <c r="C5340" s="305" t="s">
        <v>521</v>
      </c>
      <c r="D5340" s="575">
        <v>7.6</v>
      </c>
    </row>
    <row r="5341" spans="1:4" ht="13.5" x14ac:dyDescent="0.25">
      <c r="A5341" s="306">
        <v>100741</v>
      </c>
      <c r="B5341" s="305" t="s">
        <v>13030</v>
      </c>
      <c r="C5341" s="305" t="s">
        <v>521</v>
      </c>
      <c r="D5341" s="575">
        <v>16.989999999999998</v>
      </c>
    </row>
    <row r="5342" spans="1:4" ht="13.5" x14ac:dyDescent="0.25">
      <c r="A5342" s="306">
        <v>100742</v>
      </c>
      <c r="B5342" s="305" t="s">
        <v>13031</v>
      </c>
      <c r="C5342" s="305" t="s">
        <v>521</v>
      </c>
      <c r="D5342" s="575">
        <v>17.48</v>
      </c>
    </row>
    <row r="5343" spans="1:4" ht="13.5" x14ac:dyDescent="0.25">
      <c r="A5343" s="306">
        <v>100743</v>
      </c>
      <c r="B5343" s="305" t="s">
        <v>13032</v>
      </c>
      <c r="C5343" s="305" t="s">
        <v>521</v>
      </c>
      <c r="D5343" s="575">
        <v>6.52</v>
      </c>
    </row>
    <row r="5344" spans="1:4" ht="13.5" x14ac:dyDescent="0.25">
      <c r="A5344" s="306">
        <v>100744</v>
      </c>
      <c r="B5344" s="305" t="s">
        <v>13033</v>
      </c>
      <c r="C5344" s="305" t="s">
        <v>521</v>
      </c>
      <c r="D5344" s="575">
        <v>7.51</v>
      </c>
    </row>
    <row r="5345" spans="1:4" ht="13.5" x14ac:dyDescent="0.25">
      <c r="A5345" s="306">
        <v>100745</v>
      </c>
      <c r="B5345" s="305" t="s">
        <v>13034</v>
      </c>
      <c r="C5345" s="305" t="s">
        <v>521</v>
      </c>
      <c r="D5345" s="575">
        <v>16.850000000000001</v>
      </c>
    </row>
    <row r="5346" spans="1:4" ht="13.5" x14ac:dyDescent="0.25">
      <c r="A5346" s="306">
        <v>100746</v>
      </c>
      <c r="B5346" s="305" t="s">
        <v>13035</v>
      </c>
      <c r="C5346" s="305" t="s">
        <v>521</v>
      </c>
      <c r="D5346" s="575">
        <v>17.399999999999999</v>
      </c>
    </row>
    <row r="5347" spans="1:4" ht="13.5" x14ac:dyDescent="0.25">
      <c r="A5347" s="306">
        <v>100747</v>
      </c>
      <c r="B5347" s="305" t="s">
        <v>13036</v>
      </c>
      <c r="C5347" s="305" t="s">
        <v>521</v>
      </c>
      <c r="D5347" s="575">
        <v>7.11</v>
      </c>
    </row>
    <row r="5348" spans="1:4" ht="13.5" x14ac:dyDescent="0.25">
      <c r="A5348" s="306">
        <v>100748</v>
      </c>
      <c r="B5348" s="305" t="s">
        <v>13037</v>
      </c>
      <c r="C5348" s="305" t="s">
        <v>521</v>
      </c>
      <c r="D5348" s="575">
        <v>7.89</v>
      </c>
    </row>
    <row r="5349" spans="1:4" ht="13.5" x14ac:dyDescent="0.25">
      <c r="A5349" s="306">
        <v>100749</v>
      </c>
      <c r="B5349" s="305" t="s">
        <v>13038</v>
      </c>
      <c r="C5349" s="305" t="s">
        <v>521</v>
      </c>
      <c r="D5349" s="575">
        <v>17.48</v>
      </c>
    </row>
    <row r="5350" spans="1:4" ht="13.5" x14ac:dyDescent="0.25">
      <c r="A5350" s="306">
        <v>100750</v>
      </c>
      <c r="B5350" s="305" t="s">
        <v>13039</v>
      </c>
      <c r="C5350" s="305" t="s">
        <v>521</v>
      </c>
      <c r="D5350" s="575">
        <v>17.78</v>
      </c>
    </row>
    <row r="5351" spans="1:4" ht="13.5" x14ac:dyDescent="0.25">
      <c r="A5351" s="306">
        <v>100751</v>
      </c>
      <c r="B5351" s="305" t="s">
        <v>13040</v>
      </c>
      <c r="C5351" s="305" t="s">
        <v>521</v>
      </c>
      <c r="D5351" s="575">
        <v>28.38</v>
      </c>
    </row>
    <row r="5352" spans="1:4" ht="13.5" x14ac:dyDescent="0.25">
      <c r="A5352" s="306">
        <v>100752</v>
      </c>
      <c r="B5352" s="305" t="s">
        <v>13041</v>
      </c>
      <c r="C5352" s="305" t="s">
        <v>521</v>
      </c>
      <c r="D5352" s="575">
        <v>33.67</v>
      </c>
    </row>
    <row r="5353" spans="1:4" ht="13.5" x14ac:dyDescent="0.25">
      <c r="A5353" s="306">
        <v>100753</v>
      </c>
      <c r="B5353" s="305" t="s">
        <v>13042</v>
      </c>
      <c r="C5353" s="305" t="s">
        <v>521</v>
      </c>
      <c r="D5353" s="575">
        <v>15.87</v>
      </c>
    </row>
    <row r="5354" spans="1:4" ht="13.5" x14ac:dyDescent="0.25">
      <c r="A5354" s="306">
        <v>100754</v>
      </c>
      <c r="B5354" s="305" t="s">
        <v>13043</v>
      </c>
      <c r="C5354" s="305" t="s">
        <v>521</v>
      </c>
      <c r="D5354" s="575">
        <v>21.14</v>
      </c>
    </row>
    <row r="5355" spans="1:4" ht="13.5" x14ac:dyDescent="0.25">
      <c r="A5355" s="306">
        <v>100757</v>
      </c>
      <c r="B5355" s="305" t="s">
        <v>13044</v>
      </c>
      <c r="C5355" s="305" t="s">
        <v>521</v>
      </c>
      <c r="D5355" s="575">
        <v>34.020000000000003</v>
      </c>
    </row>
    <row r="5356" spans="1:4" ht="13.5" x14ac:dyDescent="0.25">
      <c r="A5356" s="306">
        <v>100758</v>
      </c>
      <c r="B5356" s="305" t="s">
        <v>13045</v>
      </c>
      <c r="C5356" s="305" t="s">
        <v>521</v>
      </c>
      <c r="D5356" s="575">
        <v>34.979999999999997</v>
      </c>
    </row>
    <row r="5357" spans="1:4" ht="13.5" x14ac:dyDescent="0.25">
      <c r="A5357" s="306">
        <v>100759</v>
      </c>
      <c r="B5357" s="305" t="s">
        <v>13046</v>
      </c>
      <c r="C5357" s="305" t="s">
        <v>521</v>
      </c>
      <c r="D5357" s="575">
        <v>33.74</v>
      </c>
    </row>
    <row r="5358" spans="1:4" ht="13.5" x14ac:dyDescent="0.25">
      <c r="A5358" s="306">
        <v>100760</v>
      </c>
      <c r="B5358" s="305" t="s">
        <v>13047</v>
      </c>
      <c r="C5358" s="305" t="s">
        <v>521</v>
      </c>
      <c r="D5358" s="575">
        <v>34.81</v>
      </c>
    </row>
    <row r="5359" spans="1:4" ht="13.5" x14ac:dyDescent="0.25">
      <c r="A5359" s="306">
        <v>100761</v>
      </c>
      <c r="B5359" s="305" t="s">
        <v>13048</v>
      </c>
      <c r="C5359" s="305" t="s">
        <v>521</v>
      </c>
      <c r="D5359" s="575">
        <v>35</v>
      </c>
    </row>
    <row r="5360" spans="1:4" ht="13.5" x14ac:dyDescent="0.25">
      <c r="A5360" s="306">
        <v>100762</v>
      </c>
      <c r="B5360" s="305" t="s">
        <v>13049</v>
      </c>
      <c r="C5360" s="305" t="s">
        <v>521</v>
      </c>
      <c r="D5360" s="575">
        <v>35.590000000000003</v>
      </c>
    </row>
    <row r="5361" spans="1:4" ht="13.5" x14ac:dyDescent="0.25">
      <c r="A5361" s="306">
        <v>41595</v>
      </c>
      <c r="B5361" s="305" t="s">
        <v>4814</v>
      </c>
      <c r="C5361" s="305" t="s">
        <v>282</v>
      </c>
      <c r="D5361" s="575">
        <v>11.2</v>
      </c>
    </row>
    <row r="5362" spans="1:4" ht="13.5" x14ac:dyDescent="0.25">
      <c r="A5362" s="305" t="s">
        <v>4815</v>
      </c>
      <c r="B5362" s="305" t="s">
        <v>4816</v>
      </c>
      <c r="C5362" s="305" t="s">
        <v>521</v>
      </c>
      <c r="D5362" s="575">
        <v>17.66</v>
      </c>
    </row>
    <row r="5363" spans="1:4" ht="13.5" x14ac:dyDescent="0.25">
      <c r="A5363" s="305" t="s">
        <v>4817</v>
      </c>
      <c r="B5363" s="305" t="s">
        <v>4818</v>
      </c>
      <c r="C5363" s="305" t="s">
        <v>521</v>
      </c>
      <c r="D5363" s="575">
        <v>14.34</v>
      </c>
    </row>
    <row r="5364" spans="1:4" ht="13.5" x14ac:dyDescent="0.25">
      <c r="A5364" s="306">
        <v>79467</v>
      </c>
      <c r="B5364" s="305" t="s">
        <v>4819</v>
      </c>
      <c r="C5364" s="305" t="s">
        <v>4820</v>
      </c>
      <c r="D5364" s="575">
        <v>13.41</v>
      </c>
    </row>
    <row r="5365" spans="1:4" ht="13.5" x14ac:dyDescent="0.25">
      <c r="A5365" s="305" t="s">
        <v>4821</v>
      </c>
      <c r="B5365" s="305" t="s">
        <v>4822</v>
      </c>
      <c r="C5365" s="305" t="s">
        <v>521</v>
      </c>
      <c r="D5365" s="575">
        <v>20.11</v>
      </c>
    </row>
    <row r="5366" spans="1:4" ht="13.5" x14ac:dyDescent="0.25">
      <c r="A5366" s="306">
        <v>84663</v>
      </c>
      <c r="B5366" s="305" t="s">
        <v>4823</v>
      </c>
      <c r="C5366" s="305" t="s">
        <v>521</v>
      </c>
      <c r="D5366" s="575">
        <v>21.49</v>
      </c>
    </row>
    <row r="5367" spans="1:4" ht="13.5" x14ac:dyDescent="0.25">
      <c r="A5367" s="306">
        <v>84665</v>
      </c>
      <c r="B5367" s="305" t="s">
        <v>4824</v>
      </c>
      <c r="C5367" s="305" t="s">
        <v>521</v>
      </c>
      <c r="D5367" s="575">
        <v>19.489999999999998</v>
      </c>
    </row>
    <row r="5368" spans="1:4" ht="13.5" x14ac:dyDescent="0.25">
      <c r="A5368" s="306">
        <v>84666</v>
      </c>
      <c r="B5368" s="305" t="s">
        <v>4825</v>
      </c>
      <c r="C5368" s="305" t="s">
        <v>521</v>
      </c>
      <c r="D5368" s="575">
        <v>21.18</v>
      </c>
    </row>
    <row r="5369" spans="1:4" ht="13.5" x14ac:dyDescent="0.25">
      <c r="A5369" s="306">
        <v>72191</v>
      </c>
      <c r="B5369" s="305" t="s">
        <v>4826</v>
      </c>
      <c r="C5369" s="305" t="s">
        <v>521</v>
      </c>
      <c r="D5369" s="575">
        <v>83.26</v>
      </c>
    </row>
    <row r="5370" spans="1:4" ht="13.5" x14ac:dyDescent="0.25">
      <c r="A5370" s="305" t="s">
        <v>4827</v>
      </c>
      <c r="B5370" s="305" t="s">
        <v>4828</v>
      </c>
      <c r="C5370" s="305" t="s">
        <v>521</v>
      </c>
      <c r="D5370" s="575">
        <v>100.68</v>
      </c>
    </row>
    <row r="5371" spans="1:4" ht="13.5" x14ac:dyDescent="0.25">
      <c r="A5371" s="306">
        <v>84181</v>
      </c>
      <c r="B5371" s="305" t="s">
        <v>4829</v>
      </c>
      <c r="C5371" s="305" t="s">
        <v>521</v>
      </c>
      <c r="D5371" s="575">
        <v>68.06</v>
      </c>
    </row>
    <row r="5372" spans="1:4" ht="13.5" x14ac:dyDescent="0.25">
      <c r="A5372" s="306">
        <v>87246</v>
      </c>
      <c r="B5372" s="305" t="s">
        <v>4830</v>
      </c>
      <c r="C5372" s="305" t="s">
        <v>521</v>
      </c>
      <c r="D5372" s="575">
        <v>48.02</v>
      </c>
    </row>
    <row r="5373" spans="1:4" ht="13.5" x14ac:dyDescent="0.25">
      <c r="A5373" s="306">
        <v>87247</v>
      </c>
      <c r="B5373" s="305" t="s">
        <v>4831</v>
      </c>
      <c r="C5373" s="305" t="s">
        <v>521</v>
      </c>
      <c r="D5373" s="575">
        <v>41.94</v>
      </c>
    </row>
    <row r="5374" spans="1:4" ht="13.5" x14ac:dyDescent="0.25">
      <c r="A5374" s="306">
        <v>87248</v>
      </c>
      <c r="B5374" s="305" t="s">
        <v>4832</v>
      </c>
      <c r="C5374" s="305" t="s">
        <v>521</v>
      </c>
      <c r="D5374" s="575">
        <v>36.96</v>
      </c>
    </row>
    <row r="5375" spans="1:4" ht="13.5" x14ac:dyDescent="0.25">
      <c r="A5375" s="306">
        <v>87249</v>
      </c>
      <c r="B5375" s="305" t="s">
        <v>4833</v>
      </c>
      <c r="C5375" s="305" t="s">
        <v>521</v>
      </c>
      <c r="D5375" s="575">
        <v>53.86</v>
      </c>
    </row>
    <row r="5376" spans="1:4" ht="13.5" x14ac:dyDescent="0.25">
      <c r="A5376" s="306">
        <v>87250</v>
      </c>
      <c r="B5376" s="305" t="s">
        <v>4834</v>
      </c>
      <c r="C5376" s="305" t="s">
        <v>521</v>
      </c>
      <c r="D5376" s="575">
        <v>44.25</v>
      </c>
    </row>
    <row r="5377" spans="1:4" ht="13.5" x14ac:dyDescent="0.25">
      <c r="A5377" s="306">
        <v>87251</v>
      </c>
      <c r="B5377" s="305" t="s">
        <v>4835</v>
      </c>
      <c r="C5377" s="305" t="s">
        <v>521</v>
      </c>
      <c r="D5377" s="575">
        <v>37.979999999999997</v>
      </c>
    </row>
    <row r="5378" spans="1:4" ht="13.5" x14ac:dyDescent="0.25">
      <c r="A5378" s="306">
        <v>87255</v>
      </c>
      <c r="B5378" s="305" t="s">
        <v>4836</v>
      </c>
      <c r="C5378" s="305" t="s">
        <v>521</v>
      </c>
      <c r="D5378" s="575">
        <v>86.47</v>
      </c>
    </row>
    <row r="5379" spans="1:4" ht="13.5" x14ac:dyDescent="0.25">
      <c r="A5379" s="306">
        <v>87256</v>
      </c>
      <c r="B5379" s="305" t="s">
        <v>4837</v>
      </c>
      <c r="C5379" s="305" t="s">
        <v>521</v>
      </c>
      <c r="D5379" s="575">
        <v>74.97</v>
      </c>
    </row>
    <row r="5380" spans="1:4" ht="13.5" x14ac:dyDescent="0.25">
      <c r="A5380" s="306">
        <v>87257</v>
      </c>
      <c r="B5380" s="305" t="s">
        <v>4838</v>
      </c>
      <c r="C5380" s="305" t="s">
        <v>521</v>
      </c>
      <c r="D5380" s="575">
        <v>67.62</v>
      </c>
    </row>
    <row r="5381" spans="1:4" ht="13.5" x14ac:dyDescent="0.25">
      <c r="A5381" s="306">
        <v>87258</v>
      </c>
      <c r="B5381" s="305" t="s">
        <v>4839</v>
      </c>
      <c r="C5381" s="305" t="s">
        <v>521</v>
      </c>
      <c r="D5381" s="575">
        <v>114.88</v>
      </c>
    </row>
    <row r="5382" spans="1:4" ht="13.5" x14ac:dyDescent="0.25">
      <c r="A5382" s="306">
        <v>87259</v>
      </c>
      <c r="B5382" s="305" t="s">
        <v>4840</v>
      </c>
      <c r="C5382" s="305" t="s">
        <v>521</v>
      </c>
      <c r="D5382" s="575">
        <v>103.98</v>
      </c>
    </row>
    <row r="5383" spans="1:4" ht="13.5" x14ac:dyDescent="0.25">
      <c r="A5383" s="306">
        <v>87260</v>
      </c>
      <c r="B5383" s="305" t="s">
        <v>4841</v>
      </c>
      <c r="C5383" s="305" t="s">
        <v>521</v>
      </c>
      <c r="D5383" s="575">
        <v>97.52</v>
      </c>
    </row>
    <row r="5384" spans="1:4" ht="13.5" x14ac:dyDescent="0.25">
      <c r="A5384" s="306">
        <v>87261</v>
      </c>
      <c r="B5384" s="305" t="s">
        <v>4842</v>
      </c>
      <c r="C5384" s="305" t="s">
        <v>521</v>
      </c>
      <c r="D5384" s="575">
        <v>131.96</v>
      </c>
    </row>
    <row r="5385" spans="1:4" ht="13.5" x14ac:dyDescent="0.25">
      <c r="A5385" s="306">
        <v>87262</v>
      </c>
      <c r="B5385" s="305" t="s">
        <v>4843</v>
      </c>
      <c r="C5385" s="305" t="s">
        <v>521</v>
      </c>
      <c r="D5385" s="575">
        <v>119.35</v>
      </c>
    </row>
    <row r="5386" spans="1:4" ht="13.5" x14ac:dyDescent="0.25">
      <c r="A5386" s="306">
        <v>87263</v>
      </c>
      <c r="B5386" s="305" t="s">
        <v>4844</v>
      </c>
      <c r="C5386" s="305" t="s">
        <v>521</v>
      </c>
      <c r="D5386" s="575">
        <v>111.72</v>
      </c>
    </row>
    <row r="5387" spans="1:4" ht="13.5" x14ac:dyDescent="0.25">
      <c r="A5387" s="306">
        <v>89046</v>
      </c>
      <c r="B5387" s="305" t="s">
        <v>4845</v>
      </c>
      <c r="C5387" s="305" t="s">
        <v>521</v>
      </c>
      <c r="D5387" s="575">
        <v>41.66</v>
      </c>
    </row>
    <row r="5388" spans="1:4" ht="13.5" x14ac:dyDescent="0.25">
      <c r="A5388" s="306">
        <v>89171</v>
      </c>
      <c r="B5388" s="305" t="s">
        <v>4846</v>
      </c>
      <c r="C5388" s="305" t="s">
        <v>521</v>
      </c>
      <c r="D5388" s="575">
        <v>39.229999999999997</v>
      </c>
    </row>
    <row r="5389" spans="1:4" ht="13.5" x14ac:dyDescent="0.25">
      <c r="A5389" s="306">
        <v>93389</v>
      </c>
      <c r="B5389" s="305" t="s">
        <v>4847</v>
      </c>
      <c r="C5389" s="305" t="s">
        <v>521</v>
      </c>
      <c r="D5389" s="575">
        <v>43.59</v>
      </c>
    </row>
    <row r="5390" spans="1:4" ht="13.5" x14ac:dyDescent="0.25">
      <c r="A5390" s="306">
        <v>93390</v>
      </c>
      <c r="B5390" s="305" t="s">
        <v>4848</v>
      </c>
      <c r="C5390" s="305" t="s">
        <v>521</v>
      </c>
      <c r="D5390" s="575">
        <v>37.590000000000003</v>
      </c>
    </row>
    <row r="5391" spans="1:4" ht="13.5" x14ac:dyDescent="0.25">
      <c r="A5391" s="306">
        <v>93391</v>
      </c>
      <c r="B5391" s="305" t="s">
        <v>4849</v>
      </c>
      <c r="C5391" s="305" t="s">
        <v>521</v>
      </c>
      <c r="D5391" s="575">
        <v>32.61</v>
      </c>
    </row>
    <row r="5392" spans="1:4" ht="13.5" x14ac:dyDescent="0.25">
      <c r="A5392" s="305" t="s">
        <v>4850</v>
      </c>
      <c r="B5392" s="305" t="s">
        <v>4851</v>
      </c>
      <c r="C5392" s="305" t="s">
        <v>521</v>
      </c>
      <c r="D5392" s="575">
        <v>193.31</v>
      </c>
    </row>
    <row r="5393" spans="1:4" ht="13.5" x14ac:dyDescent="0.25">
      <c r="A5393" s="305" t="s">
        <v>4852</v>
      </c>
      <c r="B5393" s="305" t="s">
        <v>4853</v>
      </c>
      <c r="C5393" s="305" t="s">
        <v>521</v>
      </c>
      <c r="D5393" s="575">
        <v>40.35</v>
      </c>
    </row>
    <row r="5394" spans="1:4" ht="13.5" x14ac:dyDescent="0.25">
      <c r="A5394" s="306">
        <v>84183</v>
      </c>
      <c r="B5394" s="305" t="s">
        <v>4854</v>
      </c>
      <c r="C5394" s="305" t="s">
        <v>521</v>
      </c>
      <c r="D5394" s="575">
        <v>137.07</v>
      </c>
    </row>
    <row r="5395" spans="1:4" ht="13.5" x14ac:dyDescent="0.25">
      <c r="A5395" s="306">
        <v>98670</v>
      </c>
      <c r="B5395" s="305" t="s">
        <v>4855</v>
      </c>
      <c r="C5395" s="305" t="s">
        <v>521</v>
      </c>
      <c r="D5395" s="575">
        <v>136.03</v>
      </c>
    </row>
    <row r="5396" spans="1:4" ht="13.5" x14ac:dyDescent="0.25">
      <c r="A5396" s="306">
        <v>98671</v>
      </c>
      <c r="B5396" s="305" t="s">
        <v>4856</v>
      </c>
      <c r="C5396" s="305" t="s">
        <v>521</v>
      </c>
      <c r="D5396" s="575">
        <v>315.60000000000002</v>
      </c>
    </row>
    <row r="5397" spans="1:4" ht="13.5" x14ac:dyDescent="0.25">
      <c r="A5397" s="306">
        <v>98672</v>
      </c>
      <c r="B5397" s="305" t="s">
        <v>4857</v>
      </c>
      <c r="C5397" s="305" t="s">
        <v>521</v>
      </c>
      <c r="D5397" s="575">
        <v>504.08</v>
      </c>
    </row>
    <row r="5398" spans="1:4" ht="13.5" x14ac:dyDescent="0.25">
      <c r="A5398" s="306">
        <v>98673</v>
      </c>
      <c r="B5398" s="305" t="s">
        <v>4858</v>
      </c>
      <c r="C5398" s="305" t="s">
        <v>521</v>
      </c>
      <c r="D5398" s="575">
        <v>142.49</v>
      </c>
    </row>
    <row r="5399" spans="1:4" ht="13.5" x14ac:dyDescent="0.25">
      <c r="A5399" s="306">
        <v>98679</v>
      </c>
      <c r="B5399" s="305" t="s">
        <v>4859</v>
      </c>
      <c r="C5399" s="305" t="s">
        <v>521</v>
      </c>
      <c r="D5399" s="575">
        <v>29.73</v>
      </c>
    </row>
    <row r="5400" spans="1:4" ht="13.5" x14ac:dyDescent="0.25">
      <c r="A5400" s="306">
        <v>98680</v>
      </c>
      <c r="B5400" s="305" t="s">
        <v>4860</v>
      </c>
      <c r="C5400" s="305" t="s">
        <v>521</v>
      </c>
      <c r="D5400" s="575">
        <v>37.659999999999997</v>
      </c>
    </row>
    <row r="5401" spans="1:4" ht="13.5" x14ac:dyDescent="0.25">
      <c r="A5401" s="306">
        <v>98681</v>
      </c>
      <c r="B5401" s="305" t="s">
        <v>4861</v>
      </c>
      <c r="C5401" s="305" t="s">
        <v>521</v>
      </c>
      <c r="D5401" s="575">
        <v>27.76</v>
      </c>
    </row>
    <row r="5402" spans="1:4" ht="13.5" x14ac:dyDescent="0.25">
      <c r="A5402" s="306">
        <v>98682</v>
      </c>
      <c r="B5402" s="305" t="s">
        <v>4862</v>
      </c>
      <c r="C5402" s="305" t="s">
        <v>521</v>
      </c>
      <c r="D5402" s="575">
        <v>35.69</v>
      </c>
    </row>
    <row r="5403" spans="1:4" ht="13.5" x14ac:dyDescent="0.25">
      <c r="A5403" s="306">
        <v>98685</v>
      </c>
      <c r="B5403" s="305" t="s">
        <v>4863</v>
      </c>
      <c r="C5403" s="305" t="s">
        <v>282</v>
      </c>
      <c r="D5403" s="575">
        <v>57.65</v>
      </c>
    </row>
    <row r="5404" spans="1:4" ht="13.5" x14ac:dyDescent="0.25">
      <c r="A5404" s="306">
        <v>98686</v>
      </c>
      <c r="B5404" s="305" t="s">
        <v>4864</v>
      </c>
      <c r="C5404" s="305" t="s">
        <v>282</v>
      </c>
      <c r="D5404" s="575">
        <v>32.78</v>
      </c>
    </row>
    <row r="5405" spans="1:4" ht="13.5" x14ac:dyDescent="0.25">
      <c r="A5405" s="306">
        <v>98688</v>
      </c>
      <c r="B5405" s="305" t="s">
        <v>4865</v>
      </c>
      <c r="C5405" s="305" t="s">
        <v>282</v>
      </c>
      <c r="D5405" s="575">
        <v>35.78</v>
      </c>
    </row>
    <row r="5406" spans="1:4" ht="13.5" x14ac:dyDescent="0.25">
      <c r="A5406" s="306">
        <v>98689</v>
      </c>
      <c r="B5406" s="305" t="s">
        <v>4866</v>
      </c>
      <c r="C5406" s="305" t="s">
        <v>282</v>
      </c>
      <c r="D5406" s="575">
        <v>82.42</v>
      </c>
    </row>
    <row r="5407" spans="1:4" ht="13.5" x14ac:dyDescent="0.25">
      <c r="A5407" s="306">
        <v>101090</v>
      </c>
      <c r="B5407" s="305" t="s">
        <v>13050</v>
      </c>
      <c r="C5407" s="305" t="s">
        <v>521</v>
      </c>
      <c r="D5407" s="575">
        <v>146.97999999999999</v>
      </c>
    </row>
    <row r="5408" spans="1:4" ht="13.5" x14ac:dyDescent="0.25">
      <c r="A5408" s="306">
        <v>101091</v>
      </c>
      <c r="B5408" s="305" t="s">
        <v>13051</v>
      </c>
      <c r="C5408" s="305" t="s">
        <v>521</v>
      </c>
      <c r="D5408" s="575">
        <v>102.88</v>
      </c>
    </row>
    <row r="5409" spans="1:4" ht="13.5" x14ac:dyDescent="0.25">
      <c r="A5409" s="306">
        <v>72187</v>
      </c>
      <c r="B5409" s="305" t="s">
        <v>4867</v>
      </c>
      <c r="C5409" s="305" t="s">
        <v>521</v>
      </c>
      <c r="D5409" s="575">
        <v>186.88</v>
      </c>
    </row>
    <row r="5410" spans="1:4" ht="13.5" x14ac:dyDescent="0.25">
      <c r="A5410" s="306">
        <v>72188</v>
      </c>
      <c r="B5410" s="305" t="s">
        <v>4868</v>
      </c>
      <c r="C5410" s="305" t="s">
        <v>521</v>
      </c>
      <c r="D5410" s="575">
        <v>186.88</v>
      </c>
    </row>
    <row r="5411" spans="1:4" ht="13.5" x14ac:dyDescent="0.25">
      <c r="A5411" s="305" t="s">
        <v>4869</v>
      </c>
      <c r="B5411" s="305" t="s">
        <v>4870</v>
      </c>
      <c r="C5411" s="305" t="s">
        <v>521</v>
      </c>
      <c r="D5411" s="575">
        <v>167.81</v>
      </c>
    </row>
    <row r="5412" spans="1:4" ht="13.5" x14ac:dyDescent="0.25">
      <c r="A5412" s="306">
        <v>84186</v>
      </c>
      <c r="B5412" s="305" t="s">
        <v>4871</v>
      </c>
      <c r="C5412" s="305" t="s">
        <v>521</v>
      </c>
      <c r="D5412" s="575">
        <v>71.95</v>
      </c>
    </row>
    <row r="5413" spans="1:4" ht="13.5" x14ac:dyDescent="0.25">
      <c r="A5413" s="306">
        <v>84187</v>
      </c>
      <c r="B5413" s="305" t="s">
        <v>4872</v>
      </c>
      <c r="C5413" s="305" t="s">
        <v>521</v>
      </c>
      <c r="D5413" s="575">
        <v>13.02</v>
      </c>
    </row>
    <row r="5414" spans="1:4" ht="13.5" x14ac:dyDescent="0.25">
      <c r="A5414" s="306">
        <v>101094</v>
      </c>
      <c r="B5414" s="305" t="s">
        <v>13052</v>
      </c>
      <c r="C5414" s="305" t="s">
        <v>282</v>
      </c>
      <c r="D5414" s="575">
        <v>120.65</v>
      </c>
    </row>
    <row r="5415" spans="1:4" ht="13.5" x14ac:dyDescent="0.25">
      <c r="A5415" s="306">
        <v>72815</v>
      </c>
      <c r="B5415" s="305" t="s">
        <v>4873</v>
      </c>
      <c r="C5415" s="305" t="s">
        <v>521</v>
      </c>
      <c r="D5415" s="575">
        <v>47.11</v>
      </c>
    </row>
    <row r="5416" spans="1:4" ht="13.5" x14ac:dyDescent="0.25">
      <c r="A5416" s="306">
        <v>84191</v>
      </c>
      <c r="B5416" s="305" t="s">
        <v>4874</v>
      </c>
      <c r="C5416" s="305" t="s">
        <v>521</v>
      </c>
      <c r="D5416" s="575">
        <v>101.28</v>
      </c>
    </row>
    <row r="5417" spans="1:4" ht="13.5" x14ac:dyDescent="0.25">
      <c r="A5417" s="306">
        <v>101092</v>
      </c>
      <c r="B5417" s="305" t="s">
        <v>13053</v>
      </c>
      <c r="C5417" s="305" t="s">
        <v>521</v>
      </c>
      <c r="D5417" s="575">
        <v>324.45999999999998</v>
      </c>
    </row>
    <row r="5418" spans="1:4" ht="13.5" x14ac:dyDescent="0.25">
      <c r="A5418" s="306">
        <v>101093</v>
      </c>
      <c r="B5418" s="305" t="s">
        <v>13054</v>
      </c>
      <c r="C5418" s="305" t="s">
        <v>521</v>
      </c>
      <c r="D5418" s="575">
        <v>512.94000000000005</v>
      </c>
    </row>
    <row r="5419" spans="1:4" ht="13.5" x14ac:dyDescent="0.25">
      <c r="A5419" s="305" t="s">
        <v>4875</v>
      </c>
      <c r="B5419" s="305" t="s">
        <v>4876</v>
      </c>
      <c r="C5419" s="305" t="s">
        <v>282</v>
      </c>
      <c r="D5419" s="575">
        <v>42.67</v>
      </c>
    </row>
    <row r="5420" spans="1:4" ht="13.5" x14ac:dyDescent="0.25">
      <c r="A5420" s="306">
        <v>98695</v>
      </c>
      <c r="B5420" s="305" t="s">
        <v>4877</v>
      </c>
      <c r="C5420" s="305" t="s">
        <v>282</v>
      </c>
      <c r="D5420" s="575">
        <v>88.32</v>
      </c>
    </row>
    <row r="5421" spans="1:4" ht="13.5" x14ac:dyDescent="0.25">
      <c r="A5421" s="306">
        <v>98697</v>
      </c>
      <c r="B5421" s="305" t="s">
        <v>4878</v>
      </c>
      <c r="C5421" s="305" t="s">
        <v>282</v>
      </c>
      <c r="D5421" s="575">
        <v>58.76</v>
      </c>
    </row>
    <row r="5422" spans="1:4" ht="13.5" x14ac:dyDescent="0.25">
      <c r="A5422" s="305" t="s">
        <v>4879</v>
      </c>
      <c r="B5422" s="305" t="s">
        <v>4880</v>
      </c>
      <c r="C5422" s="305" t="s">
        <v>282</v>
      </c>
      <c r="D5422" s="575">
        <v>10.64</v>
      </c>
    </row>
    <row r="5423" spans="1:4" ht="13.5" x14ac:dyDescent="0.25">
      <c r="A5423" s="306">
        <v>84162</v>
      </c>
      <c r="B5423" s="305" t="s">
        <v>4881</v>
      </c>
      <c r="C5423" s="305" t="s">
        <v>282</v>
      </c>
      <c r="D5423" s="575">
        <v>11.53</v>
      </c>
    </row>
    <row r="5424" spans="1:4" ht="13.5" x14ac:dyDescent="0.25">
      <c r="A5424" s="306">
        <v>88648</v>
      </c>
      <c r="B5424" s="305" t="s">
        <v>4882</v>
      </c>
      <c r="C5424" s="305" t="s">
        <v>282</v>
      </c>
      <c r="D5424" s="575">
        <v>5.64</v>
      </c>
    </row>
    <row r="5425" spans="1:4" ht="13.5" x14ac:dyDescent="0.25">
      <c r="A5425" s="306">
        <v>88649</v>
      </c>
      <c r="B5425" s="305" t="s">
        <v>4883</v>
      </c>
      <c r="C5425" s="305" t="s">
        <v>282</v>
      </c>
      <c r="D5425" s="575">
        <v>6.38</v>
      </c>
    </row>
    <row r="5426" spans="1:4" ht="13.5" x14ac:dyDescent="0.25">
      <c r="A5426" s="306">
        <v>88650</v>
      </c>
      <c r="B5426" s="305" t="s">
        <v>4884</v>
      </c>
      <c r="C5426" s="305" t="s">
        <v>282</v>
      </c>
      <c r="D5426" s="575">
        <v>12.21</v>
      </c>
    </row>
    <row r="5427" spans="1:4" ht="13.5" x14ac:dyDescent="0.25">
      <c r="A5427" s="306">
        <v>96467</v>
      </c>
      <c r="B5427" s="305" t="s">
        <v>4885</v>
      </c>
      <c r="C5427" s="305" t="s">
        <v>282</v>
      </c>
      <c r="D5427" s="575">
        <v>5.13</v>
      </c>
    </row>
    <row r="5428" spans="1:4" ht="13.5" x14ac:dyDescent="0.25">
      <c r="A5428" s="305" t="s">
        <v>4886</v>
      </c>
      <c r="B5428" s="305" t="s">
        <v>4887</v>
      </c>
      <c r="C5428" s="305" t="s">
        <v>282</v>
      </c>
      <c r="D5428" s="575">
        <v>26.63</v>
      </c>
    </row>
    <row r="5429" spans="1:4" ht="13.5" x14ac:dyDescent="0.25">
      <c r="A5429" s="306">
        <v>84168</v>
      </c>
      <c r="B5429" s="305" t="s">
        <v>4888</v>
      </c>
      <c r="C5429" s="305" t="s">
        <v>282</v>
      </c>
      <c r="D5429" s="575">
        <v>18.579999999999998</v>
      </c>
    </row>
    <row r="5430" spans="1:4" ht="13.5" x14ac:dyDescent="0.25">
      <c r="A5430" s="306">
        <v>68325</v>
      </c>
      <c r="B5430" s="305" t="s">
        <v>4889</v>
      </c>
      <c r="C5430" s="305" t="s">
        <v>521</v>
      </c>
      <c r="D5430" s="575">
        <v>50.53</v>
      </c>
    </row>
    <row r="5431" spans="1:4" ht="13.5" x14ac:dyDescent="0.25">
      <c r="A5431" s="306">
        <v>68333</v>
      </c>
      <c r="B5431" s="305" t="s">
        <v>4890</v>
      </c>
      <c r="C5431" s="305" t="s">
        <v>521</v>
      </c>
      <c r="D5431" s="575">
        <v>51.87</v>
      </c>
    </row>
    <row r="5432" spans="1:4" ht="13.5" x14ac:dyDescent="0.25">
      <c r="A5432" s="306">
        <v>72183</v>
      </c>
      <c r="B5432" s="305" t="s">
        <v>4891</v>
      </c>
      <c r="C5432" s="305" t="s">
        <v>521</v>
      </c>
      <c r="D5432" s="575">
        <v>88.99</v>
      </c>
    </row>
    <row r="5433" spans="1:4" ht="13.5" x14ac:dyDescent="0.25">
      <c r="A5433" s="306">
        <v>94990</v>
      </c>
      <c r="B5433" s="305" t="s">
        <v>4892</v>
      </c>
      <c r="C5433" s="305" t="s">
        <v>1456</v>
      </c>
      <c r="D5433" s="575">
        <v>663.39</v>
      </c>
    </row>
    <row r="5434" spans="1:4" ht="13.5" x14ac:dyDescent="0.25">
      <c r="A5434" s="306">
        <v>94991</v>
      </c>
      <c r="B5434" s="305" t="s">
        <v>4893</v>
      </c>
      <c r="C5434" s="305" t="s">
        <v>1456</v>
      </c>
      <c r="D5434" s="575">
        <v>600.42999999999995</v>
      </c>
    </row>
    <row r="5435" spans="1:4" ht="13.5" x14ac:dyDescent="0.25">
      <c r="A5435" s="306">
        <v>94992</v>
      </c>
      <c r="B5435" s="305" t="s">
        <v>4894</v>
      </c>
      <c r="C5435" s="305" t="s">
        <v>521</v>
      </c>
      <c r="D5435" s="575">
        <v>69.069999999999993</v>
      </c>
    </row>
    <row r="5436" spans="1:4" ht="13.5" x14ac:dyDescent="0.25">
      <c r="A5436" s="306">
        <v>94993</v>
      </c>
      <c r="B5436" s="305" t="s">
        <v>4895</v>
      </c>
      <c r="C5436" s="305" t="s">
        <v>521</v>
      </c>
      <c r="D5436" s="575">
        <v>65.3</v>
      </c>
    </row>
    <row r="5437" spans="1:4" ht="13.5" x14ac:dyDescent="0.25">
      <c r="A5437" s="306">
        <v>94994</v>
      </c>
      <c r="B5437" s="305" t="s">
        <v>4896</v>
      </c>
      <c r="C5437" s="305" t="s">
        <v>521</v>
      </c>
      <c r="D5437" s="575">
        <v>83.71</v>
      </c>
    </row>
    <row r="5438" spans="1:4" ht="13.5" x14ac:dyDescent="0.25">
      <c r="A5438" s="306">
        <v>94995</v>
      </c>
      <c r="B5438" s="305" t="s">
        <v>4897</v>
      </c>
      <c r="C5438" s="305" t="s">
        <v>521</v>
      </c>
      <c r="D5438" s="575">
        <v>78.66</v>
      </c>
    </row>
    <row r="5439" spans="1:4" ht="13.5" x14ac:dyDescent="0.25">
      <c r="A5439" s="306">
        <v>94996</v>
      </c>
      <c r="B5439" s="305" t="s">
        <v>4898</v>
      </c>
      <c r="C5439" s="305" t="s">
        <v>521</v>
      </c>
      <c r="D5439" s="575">
        <v>97.25</v>
      </c>
    </row>
    <row r="5440" spans="1:4" ht="13.5" x14ac:dyDescent="0.25">
      <c r="A5440" s="306">
        <v>94997</v>
      </c>
      <c r="B5440" s="305" t="s">
        <v>4899</v>
      </c>
      <c r="C5440" s="305" t="s">
        <v>521</v>
      </c>
      <c r="D5440" s="575">
        <v>90.95</v>
      </c>
    </row>
    <row r="5441" spans="1:4" ht="13.5" x14ac:dyDescent="0.25">
      <c r="A5441" s="306">
        <v>94998</v>
      </c>
      <c r="B5441" s="305" t="s">
        <v>4900</v>
      </c>
      <c r="C5441" s="305" t="s">
        <v>521</v>
      </c>
      <c r="D5441" s="575">
        <v>110.5</v>
      </c>
    </row>
    <row r="5442" spans="1:4" ht="13.5" x14ac:dyDescent="0.25">
      <c r="A5442" s="306">
        <v>94999</v>
      </c>
      <c r="B5442" s="305" t="s">
        <v>4901</v>
      </c>
      <c r="C5442" s="305" t="s">
        <v>521</v>
      </c>
      <c r="D5442" s="575">
        <v>102.95</v>
      </c>
    </row>
    <row r="5443" spans="1:4" ht="13.5" x14ac:dyDescent="0.25">
      <c r="A5443" s="306">
        <v>87620</v>
      </c>
      <c r="B5443" s="305" t="s">
        <v>4902</v>
      </c>
      <c r="C5443" s="305" t="s">
        <v>521</v>
      </c>
      <c r="D5443" s="575">
        <v>28.25</v>
      </c>
    </row>
    <row r="5444" spans="1:4" ht="13.5" x14ac:dyDescent="0.25">
      <c r="A5444" s="306">
        <v>87622</v>
      </c>
      <c r="B5444" s="305" t="s">
        <v>4903</v>
      </c>
      <c r="C5444" s="305" t="s">
        <v>521</v>
      </c>
      <c r="D5444" s="575">
        <v>31.35</v>
      </c>
    </row>
    <row r="5445" spans="1:4" ht="13.5" x14ac:dyDescent="0.25">
      <c r="A5445" s="306">
        <v>87623</v>
      </c>
      <c r="B5445" s="305" t="s">
        <v>4904</v>
      </c>
      <c r="C5445" s="305" t="s">
        <v>521</v>
      </c>
      <c r="D5445" s="575">
        <v>58.59</v>
      </c>
    </row>
    <row r="5446" spans="1:4" ht="13.5" x14ac:dyDescent="0.25">
      <c r="A5446" s="306">
        <v>87624</v>
      </c>
      <c r="B5446" s="305" t="s">
        <v>4905</v>
      </c>
      <c r="C5446" s="305" t="s">
        <v>521</v>
      </c>
      <c r="D5446" s="575">
        <v>64.13</v>
      </c>
    </row>
    <row r="5447" spans="1:4" ht="13.5" x14ac:dyDescent="0.25">
      <c r="A5447" s="306">
        <v>87630</v>
      </c>
      <c r="B5447" s="305" t="s">
        <v>4906</v>
      </c>
      <c r="C5447" s="305" t="s">
        <v>521</v>
      </c>
      <c r="D5447" s="575">
        <v>35.5</v>
      </c>
    </row>
    <row r="5448" spans="1:4" ht="13.5" x14ac:dyDescent="0.25">
      <c r="A5448" s="306">
        <v>87632</v>
      </c>
      <c r="B5448" s="305" t="s">
        <v>4907</v>
      </c>
      <c r="C5448" s="305" t="s">
        <v>521</v>
      </c>
      <c r="D5448" s="575">
        <v>39.81</v>
      </c>
    </row>
    <row r="5449" spans="1:4" ht="13.5" x14ac:dyDescent="0.25">
      <c r="A5449" s="306">
        <v>87633</v>
      </c>
      <c r="B5449" s="305" t="s">
        <v>4908</v>
      </c>
      <c r="C5449" s="305" t="s">
        <v>521</v>
      </c>
      <c r="D5449" s="575">
        <v>77.69</v>
      </c>
    </row>
    <row r="5450" spans="1:4" ht="13.5" x14ac:dyDescent="0.25">
      <c r="A5450" s="306">
        <v>87634</v>
      </c>
      <c r="B5450" s="305" t="s">
        <v>4909</v>
      </c>
      <c r="C5450" s="305" t="s">
        <v>521</v>
      </c>
      <c r="D5450" s="575">
        <v>85.39</v>
      </c>
    </row>
    <row r="5451" spans="1:4" ht="13.5" x14ac:dyDescent="0.25">
      <c r="A5451" s="306">
        <v>87640</v>
      </c>
      <c r="B5451" s="305" t="s">
        <v>4910</v>
      </c>
      <c r="C5451" s="305" t="s">
        <v>521</v>
      </c>
      <c r="D5451" s="575">
        <v>41.35</v>
      </c>
    </row>
    <row r="5452" spans="1:4" ht="13.5" x14ac:dyDescent="0.25">
      <c r="A5452" s="306">
        <v>87642</v>
      </c>
      <c r="B5452" s="305" t="s">
        <v>4911</v>
      </c>
      <c r="C5452" s="305" t="s">
        <v>521</v>
      </c>
      <c r="D5452" s="575">
        <v>46.65</v>
      </c>
    </row>
    <row r="5453" spans="1:4" ht="13.5" x14ac:dyDescent="0.25">
      <c r="A5453" s="306">
        <v>87643</v>
      </c>
      <c r="B5453" s="305" t="s">
        <v>4912</v>
      </c>
      <c r="C5453" s="305" t="s">
        <v>521</v>
      </c>
      <c r="D5453" s="575">
        <v>93.23</v>
      </c>
    </row>
    <row r="5454" spans="1:4" ht="13.5" x14ac:dyDescent="0.25">
      <c r="A5454" s="306">
        <v>87644</v>
      </c>
      <c r="B5454" s="305" t="s">
        <v>4913</v>
      </c>
      <c r="C5454" s="305" t="s">
        <v>521</v>
      </c>
      <c r="D5454" s="575">
        <v>102.7</v>
      </c>
    </row>
    <row r="5455" spans="1:4" ht="13.5" x14ac:dyDescent="0.25">
      <c r="A5455" s="306">
        <v>87680</v>
      </c>
      <c r="B5455" s="305" t="s">
        <v>4914</v>
      </c>
      <c r="C5455" s="305" t="s">
        <v>521</v>
      </c>
      <c r="D5455" s="575">
        <v>35.07</v>
      </c>
    </row>
    <row r="5456" spans="1:4" ht="13.5" x14ac:dyDescent="0.25">
      <c r="A5456" s="306">
        <v>87682</v>
      </c>
      <c r="B5456" s="305" t="s">
        <v>4915</v>
      </c>
      <c r="C5456" s="305" t="s">
        <v>521</v>
      </c>
      <c r="D5456" s="575">
        <v>40.369999999999997</v>
      </c>
    </row>
    <row r="5457" spans="1:4" ht="13.5" x14ac:dyDescent="0.25">
      <c r="A5457" s="306">
        <v>87683</v>
      </c>
      <c r="B5457" s="305" t="s">
        <v>4916</v>
      </c>
      <c r="C5457" s="305" t="s">
        <v>521</v>
      </c>
      <c r="D5457" s="575">
        <v>86.95</v>
      </c>
    </row>
    <row r="5458" spans="1:4" ht="13.5" x14ac:dyDescent="0.25">
      <c r="A5458" s="306">
        <v>87684</v>
      </c>
      <c r="B5458" s="305" t="s">
        <v>4917</v>
      </c>
      <c r="C5458" s="305" t="s">
        <v>521</v>
      </c>
      <c r="D5458" s="575">
        <v>96.42</v>
      </c>
    </row>
    <row r="5459" spans="1:4" ht="13.5" x14ac:dyDescent="0.25">
      <c r="A5459" s="306">
        <v>87690</v>
      </c>
      <c r="B5459" s="305" t="s">
        <v>4918</v>
      </c>
      <c r="C5459" s="305" t="s">
        <v>521</v>
      </c>
      <c r="D5459" s="575">
        <v>40.69</v>
      </c>
    </row>
    <row r="5460" spans="1:4" ht="13.5" x14ac:dyDescent="0.25">
      <c r="A5460" s="306">
        <v>87692</v>
      </c>
      <c r="B5460" s="305" t="s">
        <v>4919</v>
      </c>
      <c r="C5460" s="305" t="s">
        <v>521</v>
      </c>
      <c r="D5460" s="575">
        <v>46.76</v>
      </c>
    </row>
    <row r="5461" spans="1:4" ht="13.5" x14ac:dyDescent="0.25">
      <c r="A5461" s="306">
        <v>87693</v>
      </c>
      <c r="B5461" s="305" t="s">
        <v>4920</v>
      </c>
      <c r="C5461" s="305" t="s">
        <v>521</v>
      </c>
      <c r="D5461" s="575">
        <v>100.11</v>
      </c>
    </row>
    <row r="5462" spans="1:4" ht="13.5" x14ac:dyDescent="0.25">
      <c r="A5462" s="306">
        <v>87694</v>
      </c>
      <c r="B5462" s="305" t="s">
        <v>4921</v>
      </c>
      <c r="C5462" s="305" t="s">
        <v>521</v>
      </c>
      <c r="D5462" s="575">
        <v>110.95</v>
      </c>
    </row>
    <row r="5463" spans="1:4" ht="13.5" x14ac:dyDescent="0.25">
      <c r="A5463" s="306">
        <v>87700</v>
      </c>
      <c r="B5463" s="305" t="s">
        <v>4922</v>
      </c>
      <c r="C5463" s="305" t="s">
        <v>521</v>
      </c>
      <c r="D5463" s="575">
        <v>43.99</v>
      </c>
    </row>
    <row r="5464" spans="1:4" ht="13.5" x14ac:dyDescent="0.25">
      <c r="A5464" s="306">
        <v>87702</v>
      </c>
      <c r="B5464" s="305" t="s">
        <v>4923</v>
      </c>
      <c r="C5464" s="305" t="s">
        <v>521</v>
      </c>
      <c r="D5464" s="575">
        <v>50.59</v>
      </c>
    </row>
    <row r="5465" spans="1:4" ht="13.5" x14ac:dyDescent="0.25">
      <c r="A5465" s="306">
        <v>87703</v>
      </c>
      <c r="B5465" s="305" t="s">
        <v>4924</v>
      </c>
      <c r="C5465" s="305" t="s">
        <v>521</v>
      </c>
      <c r="D5465" s="575">
        <v>108.69</v>
      </c>
    </row>
    <row r="5466" spans="1:4" ht="13.5" x14ac:dyDescent="0.25">
      <c r="A5466" s="306">
        <v>87704</v>
      </c>
      <c r="B5466" s="305" t="s">
        <v>4925</v>
      </c>
      <c r="C5466" s="305" t="s">
        <v>521</v>
      </c>
      <c r="D5466" s="575">
        <v>120.49</v>
      </c>
    </row>
    <row r="5467" spans="1:4" ht="13.5" x14ac:dyDescent="0.25">
      <c r="A5467" s="306">
        <v>87735</v>
      </c>
      <c r="B5467" s="305" t="s">
        <v>4926</v>
      </c>
      <c r="C5467" s="305" t="s">
        <v>521</v>
      </c>
      <c r="D5467" s="575">
        <v>36.92</v>
      </c>
    </row>
    <row r="5468" spans="1:4" ht="13.5" x14ac:dyDescent="0.25">
      <c r="A5468" s="306">
        <v>87737</v>
      </c>
      <c r="B5468" s="305" t="s">
        <v>4927</v>
      </c>
      <c r="C5468" s="305" t="s">
        <v>521</v>
      </c>
      <c r="D5468" s="575">
        <v>40.020000000000003</v>
      </c>
    </row>
    <row r="5469" spans="1:4" ht="13.5" x14ac:dyDescent="0.25">
      <c r="A5469" s="306">
        <v>87738</v>
      </c>
      <c r="B5469" s="305" t="s">
        <v>4928</v>
      </c>
      <c r="C5469" s="305" t="s">
        <v>521</v>
      </c>
      <c r="D5469" s="575">
        <v>67.260000000000005</v>
      </c>
    </row>
    <row r="5470" spans="1:4" ht="13.5" x14ac:dyDescent="0.25">
      <c r="A5470" s="306">
        <v>87739</v>
      </c>
      <c r="B5470" s="305" t="s">
        <v>4929</v>
      </c>
      <c r="C5470" s="305" t="s">
        <v>521</v>
      </c>
      <c r="D5470" s="575">
        <v>72.8</v>
      </c>
    </row>
    <row r="5471" spans="1:4" ht="13.5" x14ac:dyDescent="0.25">
      <c r="A5471" s="306">
        <v>87745</v>
      </c>
      <c r="B5471" s="305" t="s">
        <v>4930</v>
      </c>
      <c r="C5471" s="305" t="s">
        <v>521</v>
      </c>
      <c r="D5471" s="575">
        <v>44.17</v>
      </c>
    </row>
    <row r="5472" spans="1:4" ht="13.5" x14ac:dyDescent="0.25">
      <c r="A5472" s="306">
        <v>87747</v>
      </c>
      <c r="B5472" s="305" t="s">
        <v>4931</v>
      </c>
      <c r="C5472" s="305" t="s">
        <v>521</v>
      </c>
      <c r="D5472" s="575">
        <v>48.48</v>
      </c>
    </row>
    <row r="5473" spans="1:4" ht="13.5" x14ac:dyDescent="0.25">
      <c r="A5473" s="306">
        <v>87748</v>
      </c>
      <c r="B5473" s="305" t="s">
        <v>4932</v>
      </c>
      <c r="C5473" s="305" t="s">
        <v>521</v>
      </c>
      <c r="D5473" s="575">
        <v>86.36</v>
      </c>
    </row>
    <row r="5474" spans="1:4" ht="13.5" x14ac:dyDescent="0.25">
      <c r="A5474" s="306">
        <v>87749</v>
      </c>
      <c r="B5474" s="305" t="s">
        <v>4933</v>
      </c>
      <c r="C5474" s="305" t="s">
        <v>521</v>
      </c>
      <c r="D5474" s="575">
        <v>94.06</v>
      </c>
    </row>
    <row r="5475" spans="1:4" ht="13.5" x14ac:dyDescent="0.25">
      <c r="A5475" s="306">
        <v>87755</v>
      </c>
      <c r="B5475" s="305" t="s">
        <v>4934</v>
      </c>
      <c r="C5475" s="305" t="s">
        <v>521</v>
      </c>
      <c r="D5475" s="575">
        <v>41.13</v>
      </c>
    </row>
    <row r="5476" spans="1:4" ht="13.5" x14ac:dyDescent="0.25">
      <c r="A5476" s="306">
        <v>87757</v>
      </c>
      <c r="B5476" s="305" t="s">
        <v>4935</v>
      </c>
      <c r="C5476" s="305" t="s">
        <v>521</v>
      </c>
      <c r="D5476" s="575">
        <v>45.44</v>
      </c>
    </row>
    <row r="5477" spans="1:4" ht="13.5" x14ac:dyDescent="0.25">
      <c r="A5477" s="306">
        <v>87758</v>
      </c>
      <c r="B5477" s="305" t="s">
        <v>4936</v>
      </c>
      <c r="C5477" s="305" t="s">
        <v>521</v>
      </c>
      <c r="D5477" s="575">
        <v>83.32</v>
      </c>
    </row>
    <row r="5478" spans="1:4" ht="13.5" x14ac:dyDescent="0.25">
      <c r="A5478" s="306">
        <v>87759</v>
      </c>
      <c r="B5478" s="305" t="s">
        <v>4937</v>
      </c>
      <c r="C5478" s="305" t="s">
        <v>521</v>
      </c>
      <c r="D5478" s="575">
        <v>91.02</v>
      </c>
    </row>
    <row r="5479" spans="1:4" ht="13.5" x14ac:dyDescent="0.25">
      <c r="A5479" s="306">
        <v>87765</v>
      </c>
      <c r="B5479" s="305" t="s">
        <v>4938</v>
      </c>
      <c r="C5479" s="305" t="s">
        <v>521</v>
      </c>
      <c r="D5479" s="575">
        <v>46.98</v>
      </c>
    </row>
    <row r="5480" spans="1:4" ht="13.5" x14ac:dyDescent="0.25">
      <c r="A5480" s="306">
        <v>87767</v>
      </c>
      <c r="B5480" s="305" t="s">
        <v>4939</v>
      </c>
      <c r="C5480" s="305" t="s">
        <v>521</v>
      </c>
      <c r="D5480" s="575">
        <v>52.28</v>
      </c>
    </row>
    <row r="5481" spans="1:4" ht="13.5" x14ac:dyDescent="0.25">
      <c r="A5481" s="306">
        <v>87768</v>
      </c>
      <c r="B5481" s="305" t="s">
        <v>4940</v>
      </c>
      <c r="C5481" s="305" t="s">
        <v>521</v>
      </c>
      <c r="D5481" s="575">
        <v>98.86</v>
      </c>
    </row>
    <row r="5482" spans="1:4" ht="13.5" x14ac:dyDescent="0.25">
      <c r="A5482" s="306">
        <v>87769</v>
      </c>
      <c r="B5482" s="305" t="s">
        <v>4941</v>
      </c>
      <c r="C5482" s="305" t="s">
        <v>521</v>
      </c>
      <c r="D5482" s="575">
        <v>108.33</v>
      </c>
    </row>
    <row r="5483" spans="1:4" ht="13.5" x14ac:dyDescent="0.25">
      <c r="A5483" s="306">
        <v>88470</v>
      </c>
      <c r="B5483" s="305" t="s">
        <v>4942</v>
      </c>
      <c r="C5483" s="305" t="s">
        <v>521</v>
      </c>
      <c r="D5483" s="575">
        <v>23.14</v>
      </c>
    </row>
    <row r="5484" spans="1:4" ht="13.5" x14ac:dyDescent="0.25">
      <c r="A5484" s="306">
        <v>88471</v>
      </c>
      <c r="B5484" s="305" t="s">
        <v>4943</v>
      </c>
      <c r="C5484" s="305" t="s">
        <v>521</v>
      </c>
      <c r="D5484" s="575">
        <v>28.58</v>
      </c>
    </row>
    <row r="5485" spans="1:4" ht="13.5" x14ac:dyDescent="0.25">
      <c r="A5485" s="306">
        <v>88472</v>
      </c>
      <c r="B5485" s="305" t="s">
        <v>4944</v>
      </c>
      <c r="C5485" s="305" t="s">
        <v>521</v>
      </c>
      <c r="D5485" s="575">
        <v>32.869999999999997</v>
      </c>
    </row>
    <row r="5486" spans="1:4" ht="13.5" x14ac:dyDescent="0.25">
      <c r="A5486" s="306">
        <v>88476</v>
      </c>
      <c r="B5486" s="305" t="s">
        <v>4945</v>
      </c>
      <c r="C5486" s="305" t="s">
        <v>521</v>
      </c>
      <c r="D5486" s="575">
        <v>18.5</v>
      </c>
    </row>
    <row r="5487" spans="1:4" ht="13.5" x14ac:dyDescent="0.25">
      <c r="A5487" s="306">
        <v>88477</v>
      </c>
      <c r="B5487" s="305" t="s">
        <v>4946</v>
      </c>
      <c r="C5487" s="305" t="s">
        <v>521</v>
      </c>
      <c r="D5487" s="575">
        <v>25.5</v>
      </c>
    </row>
    <row r="5488" spans="1:4" ht="13.5" x14ac:dyDescent="0.25">
      <c r="A5488" s="306">
        <v>88478</v>
      </c>
      <c r="B5488" s="305" t="s">
        <v>4947</v>
      </c>
      <c r="C5488" s="305" t="s">
        <v>521</v>
      </c>
      <c r="D5488" s="575">
        <v>31.16</v>
      </c>
    </row>
    <row r="5489" spans="1:4" ht="13.5" x14ac:dyDescent="0.25">
      <c r="A5489" s="306">
        <v>90900</v>
      </c>
      <c r="B5489" s="305" t="s">
        <v>4948</v>
      </c>
      <c r="C5489" s="305" t="s">
        <v>521</v>
      </c>
      <c r="D5489" s="575">
        <v>63.44</v>
      </c>
    </row>
    <row r="5490" spans="1:4" ht="13.5" x14ac:dyDescent="0.25">
      <c r="A5490" s="306">
        <v>90902</v>
      </c>
      <c r="B5490" s="305" t="s">
        <v>4949</v>
      </c>
      <c r="C5490" s="305" t="s">
        <v>521</v>
      </c>
      <c r="D5490" s="575">
        <v>69.510000000000005</v>
      </c>
    </row>
    <row r="5491" spans="1:4" ht="13.5" x14ac:dyDescent="0.25">
      <c r="A5491" s="306">
        <v>90903</v>
      </c>
      <c r="B5491" s="305" t="s">
        <v>4950</v>
      </c>
      <c r="C5491" s="305" t="s">
        <v>521</v>
      </c>
      <c r="D5491" s="575">
        <v>122.86</v>
      </c>
    </row>
    <row r="5492" spans="1:4" ht="13.5" x14ac:dyDescent="0.25">
      <c r="A5492" s="306">
        <v>90904</v>
      </c>
      <c r="B5492" s="305" t="s">
        <v>4951</v>
      </c>
      <c r="C5492" s="305" t="s">
        <v>521</v>
      </c>
      <c r="D5492" s="575">
        <v>133.69999999999999</v>
      </c>
    </row>
    <row r="5493" spans="1:4" ht="13.5" x14ac:dyDescent="0.25">
      <c r="A5493" s="306">
        <v>90910</v>
      </c>
      <c r="B5493" s="305" t="s">
        <v>4952</v>
      </c>
      <c r="C5493" s="305" t="s">
        <v>521</v>
      </c>
      <c r="D5493" s="575">
        <v>67.52</v>
      </c>
    </row>
    <row r="5494" spans="1:4" ht="13.5" x14ac:dyDescent="0.25">
      <c r="A5494" s="306">
        <v>90912</v>
      </c>
      <c r="B5494" s="305" t="s">
        <v>4953</v>
      </c>
      <c r="C5494" s="305" t="s">
        <v>521</v>
      </c>
      <c r="D5494" s="575">
        <v>74.12</v>
      </c>
    </row>
    <row r="5495" spans="1:4" ht="13.5" x14ac:dyDescent="0.25">
      <c r="A5495" s="306">
        <v>90913</v>
      </c>
      <c r="B5495" s="305" t="s">
        <v>4954</v>
      </c>
      <c r="C5495" s="305" t="s">
        <v>521</v>
      </c>
      <c r="D5495" s="575">
        <v>132.22</v>
      </c>
    </row>
    <row r="5496" spans="1:4" ht="13.5" x14ac:dyDescent="0.25">
      <c r="A5496" s="306">
        <v>90914</v>
      </c>
      <c r="B5496" s="305" t="s">
        <v>4955</v>
      </c>
      <c r="C5496" s="305" t="s">
        <v>521</v>
      </c>
      <c r="D5496" s="575">
        <v>144.02000000000001</v>
      </c>
    </row>
    <row r="5497" spans="1:4" ht="13.5" x14ac:dyDescent="0.25">
      <c r="A5497" s="306">
        <v>90920</v>
      </c>
      <c r="B5497" s="305" t="s">
        <v>4956</v>
      </c>
      <c r="C5497" s="305" t="s">
        <v>521</v>
      </c>
      <c r="D5497" s="575">
        <v>75.05</v>
      </c>
    </row>
    <row r="5498" spans="1:4" ht="13.5" x14ac:dyDescent="0.25">
      <c r="A5498" s="306">
        <v>90922</v>
      </c>
      <c r="B5498" s="305" t="s">
        <v>4957</v>
      </c>
      <c r="C5498" s="305" t="s">
        <v>521</v>
      </c>
      <c r="D5498" s="575">
        <v>82.65</v>
      </c>
    </row>
    <row r="5499" spans="1:4" ht="13.5" x14ac:dyDescent="0.25">
      <c r="A5499" s="306">
        <v>90923</v>
      </c>
      <c r="B5499" s="305" t="s">
        <v>4958</v>
      </c>
      <c r="C5499" s="305" t="s">
        <v>521</v>
      </c>
      <c r="D5499" s="575">
        <v>149.44999999999999</v>
      </c>
    </row>
    <row r="5500" spans="1:4" ht="13.5" x14ac:dyDescent="0.25">
      <c r="A5500" s="306">
        <v>90924</v>
      </c>
      <c r="B5500" s="305" t="s">
        <v>4959</v>
      </c>
      <c r="C5500" s="305" t="s">
        <v>521</v>
      </c>
      <c r="D5500" s="575">
        <v>163.02000000000001</v>
      </c>
    </row>
    <row r="5501" spans="1:4" ht="13.5" x14ac:dyDescent="0.25">
      <c r="A5501" s="306">
        <v>90930</v>
      </c>
      <c r="B5501" s="305" t="s">
        <v>4960</v>
      </c>
      <c r="C5501" s="305" t="s">
        <v>521</v>
      </c>
      <c r="D5501" s="575">
        <v>57.99</v>
      </c>
    </row>
    <row r="5502" spans="1:4" ht="13.5" x14ac:dyDescent="0.25">
      <c r="A5502" s="306">
        <v>90932</v>
      </c>
      <c r="B5502" s="305" t="s">
        <v>4961</v>
      </c>
      <c r="C5502" s="305" t="s">
        <v>521</v>
      </c>
      <c r="D5502" s="575">
        <v>64.06</v>
      </c>
    </row>
    <row r="5503" spans="1:4" ht="13.5" x14ac:dyDescent="0.25">
      <c r="A5503" s="306">
        <v>90933</v>
      </c>
      <c r="B5503" s="305" t="s">
        <v>4962</v>
      </c>
      <c r="C5503" s="305" t="s">
        <v>521</v>
      </c>
      <c r="D5503" s="575">
        <v>117.41</v>
      </c>
    </row>
    <row r="5504" spans="1:4" ht="13.5" x14ac:dyDescent="0.25">
      <c r="A5504" s="306">
        <v>90934</v>
      </c>
      <c r="B5504" s="305" t="s">
        <v>4963</v>
      </c>
      <c r="C5504" s="305" t="s">
        <v>521</v>
      </c>
      <c r="D5504" s="575">
        <v>128.25</v>
      </c>
    </row>
    <row r="5505" spans="1:4" ht="13.5" x14ac:dyDescent="0.25">
      <c r="A5505" s="306">
        <v>90940</v>
      </c>
      <c r="B5505" s="305" t="s">
        <v>4964</v>
      </c>
      <c r="C5505" s="305" t="s">
        <v>521</v>
      </c>
      <c r="D5505" s="575">
        <v>62.11</v>
      </c>
    </row>
    <row r="5506" spans="1:4" ht="13.5" x14ac:dyDescent="0.25">
      <c r="A5506" s="306">
        <v>90942</v>
      </c>
      <c r="B5506" s="305" t="s">
        <v>4965</v>
      </c>
      <c r="C5506" s="305" t="s">
        <v>521</v>
      </c>
      <c r="D5506" s="575">
        <v>68.709999999999994</v>
      </c>
    </row>
    <row r="5507" spans="1:4" ht="13.5" x14ac:dyDescent="0.25">
      <c r="A5507" s="306">
        <v>90943</v>
      </c>
      <c r="B5507" s="305" t="s">
        <v>4966</v>
      </c>
      <c r="C5507" s="305" t="s">
        <v>521</v>
      </c>
      <c r="D5507" s="575">
        <v>126.81</v>
      </c>
    </row>
    <row r="5508" spans="1:4" ht="13.5" x14ac:dyDescent="0.25">
      <c r="A5508" s="306">
        <v>90944</v>
      </c>
      <c r="B5508" s="305" t="s">
        <v>4967</v>
      </c>
      <c r="C5508" s="305" t="s">
        <v>521</v>
      </c>
      <c r="D5508" s="575">
        <v>138.61000000000001</v>
      </c>
    </row>
    <row r="5509" spans="1:4" ht="13.5" x14ac:dyDescent="0.25">
      <c r="A5509" s="306">
        <v>90950</v>
      </c>
      <c r="B5509" s="305" t="s">
        <v>4968</v>
      </c>
      <c r="C5509" s="305" t="s">
        <v>521</v>
      </c>
      <c r="D5509" s="575">
        <v>69.599999999999994</v>
      </c>
    </row>
    <row r="5510" spans="1:4" ht="13.5" x14ac:dyDescent="0.25">
      <c r="A5510" s="306">
        <v>90952</v>
      </c>
      <c r="B5510" s="305" t="s">
        <v>4969</v>
      </c>
      <c r="C5510" s="305" t="s">
        <v>521</v>
      </c>
      <c r="D5510" s="575">
        <v>77.2</v>
      </c>
    </row>
    <row r="5511" spans="1:4" ht="13.5" x14ac:dyDescent="0.25">
      <c r="A5511" s="306">
        <v>90953</v>
      </c>
      <c r="B5511" s="305" t="s">
        <v>4970</v>
      </c>
      <c r="C5511" s="305" t="s">
        <v>521</v>
      </c>
      <c r="D5511" s="575">
        <v>144</v>
      </c>
    </row>
    <row r="5512" spans="1:4" ht="13.5" x14ac:dyDescent="0.25">
      <c r="A5512" s="306">
        <v>90954</v>
      </c>
      <c r="B5512" s="305" t="s">
        <v>4971</v>
      </c>
      <c r="C5512" s="305" t="s">
        <v>521</v>
      </c>
      <c r="D5512" s="575">
        <v>157.57</v>
      </c>
    </row>
    <row r="5513" spans="1:4" ht="13.5" x14ac:dyDescent="0.25">
      <c r="A5513" s="306">
        <v>94438</v>
      </c>
      <c r="B5513" s="305" t="s">
        <v>4972</v>
      </c>
      <c r="C5513" s="305" t="s">
        <v>521</v>
      </c>
      <c r="D5513" s="575">
        <v>38.130000000000003</v>
      </c>
    </row>
    <row r="5514" spans="1:4" ht="13.5" x14ac:dyDescent="0.25">
      <c r="A5514" s="306">
        <v>94439</v>
      </c>
      <c r="B5514" s="305" t="s">
        <v>4973</v>
      </c>
      <c r="C5514" s="305" t="s">
        <v>521</v>
      </c>
      <c r="D5514" s="575">
        <v>42.81</v>
      </c>
    </row>
    <row r="5515" spans="1:4" ht="13.5" x14ac:dyDescent="0.25">
      <c r="A5515" s="306">
        <v>94779</v>
      </c>
      <c r="B5515" s="305" t="s">
        <v>4974</v>
      </c>
      <c r="C5515" s="305" t="s">
        <v>521</v>
      </c>
      <c r="D5515" s="575">
        <v>37.1</v>
      </c>
    </row>
    <row r="5516" spans="1:4" ht="13.5" x14ac:dyDescent="0.25">
      <c r="A5516" s="306">
        <v>94782</v>
      </c>
      <c r="B5516" s="305" t="s">
        <v>4975</v>
      </c>
      <c r="C5516" s="305" t="s">
        <v>521</v>
      </c>
      <c r="D5516" s="575">
        <v>42.3</v>
      </c>
    </row>
    <row r="5517" spans="1:4" ht="13.5" x14ac:dyDescent="0.25">
      <c r="A5517" s="306">
        <v>72190</v>
      </c>
      <c r="B5517" s="305" t="s">
        <v>4976</v>
      </c>
      <c r="C5517" s="305" t="s">
        <v>282</v>
      </c>
      <c r="D5517" s="575">
        <v>31.91</v>
      </c>
    </row>
    <row r="5518" spans="1:4" ht="13.5" x14ac:dyDescent="0.25">
      <c r="A5518" s="306">
        <v>87871</v>
      </c>
      <c r="B5518" s="305" t="s">
        <v>4977</v>
      </c>
      <c r="C5518" s="305" t="s">
        <v>521</v>
      </c>
      <c r="D5518" s="575">
        <v>11.75</v>
      </c>
    </row>
    <row r="5519" spans="1:4" ht="13.5" x14ac:dyDescent="0.25">
      <c r="A5519" s="306">
        <v>87872</v>
      </c>
      <c r="B5519" s="305" t="s">
        <v>4978</v>
      </c>
      <c r="C5519" s="305" t="s">
        <v>521</v>
      </c>
      <c r="D5519" s="575">
        <v>11.11</v>
      </c>
    </row>
    <row r="5520" spans="1:4" ht="13.5" x14ac:dyDescent="0.25">
      <c r="A5520" s="306">
        <v>87873</v>
      </c>
      <c r="B5520" s="305" t="s">
        <v>4979</v>
      </c>
      <c r="C5520" s="305" t="s">
        <v>521</v>
      </c>
      <c r="D5520" s="575">
        <v>4.0999999999999996</v>
      </c>
    </row>
    <row r="5521" spans="1:4" ht="13.5" x14ac:dyDescent="0.25">
      <c r="A5521" s="306">
        <v>87874</v>
      </c>
      <c r="B5521" s="305" t="s">
        <v>4980</v>
      </c>
      <c r="C5521" s="305" t="s">
        <v>521</v>
      </c>
      <c r="D5521" s="575">
        <v>3.96</v>
      </c>
    </row>
    <row r="5522" spans="1:4" ht="13.5" x14ac:dyDescent="0.25">
      <c r="A5522" s="306">
        <v>87876</v>
      </c>
      <c r="B5522" s="305" t="s">
        <v>4981</v>
      </c>
      <c r="C5522" s="305" t="s">
        <v>521</v>
      </c>
      <c r="D5522" s="575">
        <v>7.21</v>
      </c>
    </row>
    <row r="5523" spans="1:4" ht="13.5" x14ac:dyDescent="0.25">
      <c r="A5523" s="306">
        <v>87877</v>
      </c>
      <c r="B5523" s="305" t="s">
        <v>4982</v>
      </c>
      <c r="C5523" s="305" t="s">
        <v>521</v>
      </c>
      <c r="D5523" s="575">
        <v>6.9</v>
      </c>
    </row>
    <row r="5524" spans="1:4" ht="13.5" x14ac:dyDescent="0.25">
      <c r="A5524" s="306">
        <v>87878</v>
      </c>
      <c r="B5524" s="305" t="s">
        <v>4983</v>
      </c>
      <c r="C5524" s="305" t="s">
        <v>521</v>
      </c>
      <c r="D5524" s="575">
        <v>3.88</v>
      </c>
    </row>
    <row r="5525" spans="1:4" ht="13.5" x14ac:dyDescent="0.25">
      <c r="A5525" s="306">
        <v>87879</v>
      </c>
      <c r="B5525" s="305" t="s">
        <v>4984</v>
      </c>
      <c r="C5525" s="305" t="s">
        <v>521</v>
      </c>
      <c r="D5525" s="575">
        <v>3.41</v>
      </c>
    </row>
    <row r="5526" spans="1:4" ht="13.5" x14ac:dyDescent="0.25">
      <c r="A5526" s="306">
        <v>87881</v>
      </c>
      <c r="B5526" s="305" t="s">
        <v>4985</v>
      </c>
      <c r="C5526" s="305" t="s">
        <v>521</v>
      </c>
      <c r="D5526" s="575">
        <v>4.01</v>
      </c>
    </row>
    <row r="5527" spans="1:4" ht="13.5" x14ac:dyDescent="0.25">
      <c r="A5527" s="306">
        <v>87882</v>
      </c>
      <c r="B5527" s="305" t="s">
        <v>4986</v>
      </c>
      <c r="C5527" s="305" t="s">
        <v>521</v>
      </c>
      <c r="D5527" s="575">
        <v>3.87</v>
      </c>
    </row>
    <row r="5528" spans="1:4" ht="13.5" x14ac:dyDescent="0.25">
      <c r="A5528" s="306">
        <v>87884</v>
      </c>
      <c r="B5528" s="305" t="s">
        <v>4987</v>
      </c>
      <c r="C5528" s="305" t="s">
        <v>521</v>
      </c>
      <c r="D5528" s="575">
        <v>7.12</v>
      </c>
    </row>
    <row r="5529" spans="1:4" ht="13.5" x14ac:dyDescent="0.25">
      <c r="A5529" s="306">
        <v>87885</v>
      </c>
      <c r="B5529" s="305" t="s">
        <v>4988</v>
      </c>
      <c r="C5529" s="305" t="s">
        <v>521</v>
      </c>
      <c r="D5529" s="575">
        <v>6.81</v>
      </c>
    </row>
    <row r="5530" spans="1:4" ht="13.5" x14ac:dyDescent="0.25">
      <c r="A5530" s="306">
        <v>87886</v>
      </c>
      <c r="B5530" s="305" t="s">
        <v>4989</v>
      </c>
      <c r="C5530" s="305" t="s">
        <v>521</v>
      </c>
      <c r="D5530" s="575">
        <v>17.13</v>
      </c>
    </row>
    <row r="5531" spans="1:4" ht="13.5" x14ac:dyDescent="0.25">
      <c r="A5531" s="306">
        <v>87887</v>
      </c>
      <c r="B5531" s="305" t="s">
        <v>4990</v>
      </c>
      <c r="C5531" s="305" t="s">
        <v>521</v>
      </c>
      <c r="D5531" s="575">
        <v>16.489999999999998</v>
      </c>
    </row>
    <row r="5532" spans="1:4" ht="13.5" x14ac:dyDescent="0.25">
      <c r="A5532" s="306">
        <v>87888</v>
      </c>
      <c r="B5532" s="305" t="s">
        <v>4991</v>
      </c>
      <c r="C5532" s="305" t="s">
        <v>521</v>
      </c>
      <c r="D5532" s="575">
        <v>5.27</v>
      </c>
    </row>
    <row r="5533" spans="1:4" ht="13.5" x14ac:dyDescent="0.25">
      <c r="A5533" s="306">
        <v>87889</v>
      </c>
      <c r="B5533" s="305" t="s">
        <v>4992</v>
      </c>
      <c r="C5533" s="305" t="s">
        <v>521</v>
      </c>
      <c r="D5533" s="575">
        <v>5.13</v>
      </c>
    </row>
    <row r="5534" spans="1:4" ht="13.5" x14ac:dyDescent="0.25">
      <c r="A5534" s="306">
        <v>87891</v>
      </c>
      <c r="B5534" s="305" t="s">
        <v>4993</v>
      </c>
      <c r="C5534" s="305" t="s">
        <v>521</v>
      </c>
      <c r="D5534" s="575">
        <v>8.3800000000000008</v>
      </c>
    </row>
    <row r="5535" spans="1:4" ht="13.5" x14ac:dyDescent="0.25">
      <c r="A5535" s="306">
        <v>87892</v>
      </c>
      <c r="B5535" s="305" t="s">
        <v>4994</v>
      </c>
      <c r="C5535" s="305" t="s">
        <v>521</v>
      </c>
      <c r="D5535" s="575">
        <v>8.07</v>
      </c>
    </row>
    <row r="5536" spans="1:4" ht="13.5" x14ac:dyDescent="0.25">
      <c r="A5536" s="306">
        <v>87893</v>
      </c>
      <c r="B5536" s="305" t="s">
        <v>4995</v>
      </c>
      <c r="C5536" s="305" t="s">
        <v>521</v>
      </c>
      <c r="D5536" s="575">
        <v>5.92</v>
      </c>
    </row>
    <row r="5537" spans="1:4" ht="13.5" x14ac:dyDescent="0.25">
      <c r="A5537" s="306">
        <v>87894</v>
      </c>
      <c r="B5537" s="305" t="s">
        <v>4996</v>
      </c>
      <c r="C5537" s="305" t="s">
        <v>521</v>
      </c>
      <c r="D5537" s="575">
        <v>5.45</v>
      </c>
    </row>
    <row r="5538" spans="1:4" ht="13.5" x14ac:dyDescent="0.25">
      <c r="A5538" s="306">
        <v>87896</v>
      </c>
      <c r="B5538" s="305" t="s">
        <v>4997</v>
      </c>
      <c r="C5538" s="305" t="s">
        <v>521</v>
      </c>
      <c r="D5538" s="575">
        <v>5.39</v>
      </c>
    </row>
    <row r="5539" spans="1:4" ht="13.5" x14ac:dyDescent="0.25">
      <c r="A5539" s="306">
        <v>87897</v>
      </c>
      <c r="B5539" s="305" t="s">
        <v>4998</v>
      </c>
      <c r="C5539" s="305" t="s">
        <v>521</v>
      </c>
      <c r="D5539" s="575">
        <v>4.92</v>
      </c>
    </row>
    <row r="5540" spans="1:4" ht="13.5" x14ac:dyDescent="0.25">
      <c r="A5540" s="306">
        <v>87899</v>
      </c>
      <c r="B5540" s="305" t="s">
        <v>4999</v>
      </c>
      <c r="C5540" s="305" t="s">
        <v>521</v>
      </c>
      <c r="D5540" s="575">
        <v>6.29</v>
      </c>
    </row>
    <row r="5541" spans="1:4" ht="13.5" x14ac:dyDescent="0.25">
      <c r="A5541" s="306">
        <v>87900</v>
      </c>
      <c r="B5541" s="305" t="s">
        <v>5000</v>
      </c>
      <c r="C5541" s="305" t="s">
        <v>521</v>
      </c>
      <c r="D5541" s="575">
        <v>6.15</v>
      </c>
    </row>
    <row r="5542" spans="1:4" ht="13.5" x14ac:dyDescent="0.25">
      <c r="A5542" s="306">
        <v>87902</v>
      </c>
      <c r="B5542" s="305" t="s">
        <v>5001</v>
      </c>
      <c r="C5542" s="305" t="s">
        <v>521</v>
      </c>
      <c r="D5542" s="575">
        <v>9.4</v>
      </c>
    </row>
    <row r="5543" spans="1:4" ht="13.5" x14ac:dyDescent="0.25">
      <c r="A5543" s="306">
        <v>87903</v>
      </c>
      <c r="B5543" s="305" t="s">
        <v>5002</v>
      </c>
      <c r="C5543" s="305" t="s">
        <v>521</v>
      </c>
      <c r="D5543" s="575">
        <v>9.09</v>
      </c>
    </row>
    <row r="5544" spans="1:4" ht="13.5" x14ac:dyDescent="0.25">
      <c r="A5544" s="306">
        <v>87904</v>
      </c>
      <c r="B5544" s="305" t="s">
        <v>5003</v>
      </c>
      <c r="C5544" s="305" t="s">
        <v>521</v>
      </c>
      <c r="D5544" s="575">
        <v>7.61</v>
      </c>
    </row>
    <row r="5545" spans="1:4" ht="13.5" x14ac:dyDescent="0.25">
      <c r="A5545" s="306">
        <v>87905</v>
      </c>
      <c r="B5545" s="305" t="s">
        <v>5004</v>
      </c>
      <c r="C5545" s="305" t="s">
        <v>521</v>
      </c>
      <c r="D5545" s="575">
        <v>7.14</v>
      </c>
    </row>
    <row r="5546" spans="1:4" ht="13.5" x14ac:dyDescent="0.25">
      <c r="A5546" s="306">
        <v>87907</v>
      </c>
      <c r="B5546" s="305" t="s">
        <v>5005</v>
      </c>
      <c r="C5546" s="305" t="s">
        <v>521</v>
      </c>
      <c r="D5546" s="575">
        <v>6.86</v>
      </c>
    </row>
    <row r="5547" spans="1:4" ht="13.5" x14ac:dyDescent="0.25">
      <c r="A5547" s="306">
        <v>87908</v>
      </c>
      <c r="B5547" s="305" t="s">
        <v>5006</v>
      </c>
      <c r="C5547" s="305" t="s">
        <v>521</v>
      </c>
      <c r="D5547" s="575">
        <v>6.39</v>
      </c>
    </row>
    <row r="5548" spans="1:4" ht="13.5" x14ac:dyDescent="0.25">
      <c r="A5548" s="306">
        <v>87910</v>
      </c>
      <c r="B5548" s="305" t="s">
        <v>5007</v>
      </c>
      <c r="C5548" s="305" t="s">
        <v>521</v>
      </c>
      <c r="D5548" s="575">
        <v>17.07</v>
      </c>
    </row>
    <row r="5549" spans="1:4" ht="13.5" x14ac:dyDescent="0.25">
      <c r="A5549" s="306">
        <v>87911</v>
      </c>
      <c r="B5549" s="305" t="s">
        <v>5008</v>
      </c>
      <c r="C5549" s="305" t="s">
        <v>521</v>
      </c>
      <c r="D5549" s="575">
        <v>16.43</v>
      </c>
    </row>
    <row r="5550" spans="1:4" ht="13.5" x14ac:dyDescent="0.25">
      <c r="A5550" s="306">
        <v>87411</v>
      </c>
      <c r="B5550" s="305" t="s">
        <v>5009</v>
      </c>
      <c r="C5550" s="305" t="s">
        <v>521</v>
      </c>
      <c r="D5550" s="575">
        <v>12.52</v>
      </c>
    </row>
    <row r="5551" spans="1:4" ht="13.5" x14ac:dyDescent="0.25">
      <c r="A5551" s="306">
        <v>87412</v>
      </c>
      <c r="B5551" s="305" t="s">
        <v>5010</v>
      </c>
      <c r="C5551" s="305" t="s">
        <v>521</v>
      </c>
      <c r="D5551" s="575">
        <v>17.920000000000002</v>
      </c>
    </row>
    <row r="5552" spans="1:4" ht="13.5" x14ac:dyDescent="0.25">
      <c r="A5552" s="306">
        <v>87413</v>
      </c>
      <c r="B5552" s="305" t="s">
        <v>5011</v>
      </c>
      <c r="C5552" s="305" t="s">
        <v>521</v>
      </c>
      <c r="D5552" s="575">
        <v>21</v>
      </c>
    </row>
    <row r="5553" spans="1:4" ht="13.5" x14ac:dyDescent="0.25">
      <c r="A5553" s="306">
        <v>87414</v>
      </c>
      <c r="B5553" s="305" t="s">
        <v>5012</v>
      </c>
      <c r="C5553" s="305" t="s">
        <v>521</v>
      </c>
      <c r="D5553" s="575">
        <v>18.59</v>
      </c>
    </row>
    <row r="5554" spans="1:4" ht="13.5" x14ac:dyDescent="0.25">
      <c r="A5554" s="306">
        <v>87415</v>
      </c>
      <c r="B5554" s="305" t="s">
        <v>5013</v>
      </c>
      <c r="C5554" s="305" t="s">
        <v>521</v>
      </c>
      <c r="D5554" s="575">
        <v>23.81</v>
      </c>
    </row>
    <row r="5555" spans="1:4" ht="13.5" x14ac:dyDescent="0.25">
      <c r="A5555" s="306">
        <v>87416</v>
      </c>
      <c r="B5555" s="305" t="s">
        <v>5014</v>
      </c>
      <c r="C5555" s="305" t="s">
        <v>521</v>
      </c>
      <c r="D5555" s="575">
        <v>27.09</v>
      </c>
    </row>
    <row r="5556" spans="1:4" ht="13.5" x14ac:dyDescent="0.25">
      <c r="A5556" s="306">
        <v>87417</v>
      </c>
      <c r="B5556" s="305" t="s">
        <v>5015</v>
      </c>
      <c r="C5556" s="305" t="s">
        <v>521</v>
      </c>
      <c r="D5556" s="575">
        <v>13.29</v>
      </c>
    </row>
    <row r="5557" spans="1:4" ht="13.5" x14ac:dyDescent="0.25">
      <c r="A5557" s="306">
        <v>87418</v>
      </c>
      <c r="B5557" s="305" t="s">
        <v>5016</v>
      </c>
      <c r="C5557" s="305" t="s">
        <v>521</v>
      </c>
      <c r="D5557" s="575">
        <v>13.68</v>
      </c>
    </row>
    <row r="5558" spans="1:4" ht="13.5" x14ac:dyDescent="0.25">
      <c r="A5558" s="306">
        <v>87419</v>
      </c>
      <c r="B5558" s="305" t="s">
        <v>5017</v>
      </c>
      <c r="C5558" s="305" t="s">
        <v>521</v>
      </c>
      <c r="D5558" s="575">
        <v>14.84</v>
      </c>
    </row>
    <row r="5559" spans="1:4" ht="13.5" x14ac:dyDescent="0.25">
      <c r="A5559" s="306">
        <v>87420</v>
      </c>
      <c r="B5559" s="305" t="s">
        <v>5018</v>
      </c>
      <c r="C5559" s="305" t="s">
        <v>521</v>
      </c>
      <c r="D5559" s="575">
        <v>19.940000000000001</v>
      </c>
    </row>
    <row r="5560" spans="1:4" ht="13.5" x14ac:dyDescent="0.25">
      <c r="A5560" s="306">
        <v>87421</v>
      </c>
      <c r="B5560" s="305" t="s">
        <v>5019</v>
      </c>
      <c r="C5560" s="305" t="s">
        <v>521</v>
      </c>
      <c r="D5560" s="575">
        <v>20.34</v>
      </c>
    </row>
    <row r="5561" spans="1:4" ht="13.5" x14ac:dyDescent="0.25">
      <c r="A5561" s="306">
        <v>87422</v>
      </c>
      <c r="B5561" s="305" t="s">
        <v>5020</v>
      </c>
      <c r="C5561" s="305" t="s">
        <v>521</v>
      </c>
      <c r="D5561" s="575">
        <v>21.5</v>
      </c>
    </row>
    <row r="5562" spans="1:4" ht="13.5" x14ac:dyDescent="0.25">
      <c r="A5562" s="306">
        <v>87423</v>
      </c>
      <c r="B5562" s="305" t="s">
        <v>5021</v>
      </c>
      <c r="C5562" s="305" t="s">
        <v>521</v>
      </c>
      <c r="D5562" s="575">
        <v>26.49</v>
      </c>
    </row>
    <row r="5563" spans="1:4" ht="13.5" x14ac:dyDescent="0.25">
      <c r="A5563" s="306">
        <v>87424</v>
      </c>
      <c r="B5563" s="305" t="s">
        <v>5022</v>
      </c>
      <c r="C5563" s="305" t="s">
        <v>521</v>
      </c>
      <c r="D5563" s="575">
        <v>27.09</v>
      </c>
    </row>
    <row r="5564" spans="1:4" ht="13.5" x14ac:dyDescent="0.25">
      <c r="A5564" s="306">
        <v>87425</v>
      </c>
      <c r="B5564" s="305" t="s">
        <v>5023</v>
      </c>
      <c r="C5564" s="305" t="s">
        <v>521</v>
      </c>
      <c r="D5564" s="575">
        <v>28.05</v>
      </c>
    </row>
    <row r="5565" spans="1:4" ht="13.5" x14ac:dyDescent="0.25">
      <c r="A5565" s="306">
        <v>87426</v>
      </c>
      <c r="B5565" s="305" t="s">
        <v>5024</v>
      </c>
      <c r="C5565" s="305" t="s">
        <v>521</v>
      </c>
      <c r="D5565" s="575">
        <v>31.12</v>
      </c>
    </row>
    <row r="5566" spans="1:4" ht="13.5" x14ac:dyDescent="0.25">
      <c r="A5566" s="306">
        <v>87427</v>
      </c>
      <c r="B5566" s="305" t="s">
        <v>5025</v>
      </c>
      <c r="C5566" s="305" t="s">
        <v>521</v>
      </c>
      <c r="D5566" s="575">
        <v>31.71</v>
      </c>
    </row>
    <row r="5567" spans="1:4" ht="13.5" x14ac:dyDescent="0.25">
      <c r="A5567" s="306">
        <v>87428</v>
      </c>
      <c r="B5567" s="305" t="s">
        <v>5026</v>
      </c>
      <c r="C5567" s="305" t="s">
        <v>521</v>
      </c>
      <c r="D5567" s="575">
        <v>32.659999999999997</v>
      </c>
    </row>
    <row r="5568" spans="1:4" ht="13.5" x14ac:dyDescent="0.25">
      <c r="A5568" s="306">
        <v>87429</v>
      </c>
      <c r="B5568" s="305" t="s">
        <v>5027</v>
      </c>
      <c r="C5568" s="305" t="s">
        <v>521</v>
      </c>
      <c r="D5568" s="575">
        <v>14.97</v>
      </c>
    </row>
    <row r="5569" spans="1:4" ht="13.5" x14ac:dyDescent="0.25">
      <c r="A5569" s="306">
        <v>87430</v>
      </c>
      <c r="B5569" s="305" t="s">
        <v>5028</v>
      </c>
      <c r="C5569" s="305" t="s">
        <v>521</v>
      </c>
      <c r="D5569" s="575">
        <v>15.36</v>
      </c>
    </row>
    <row r="5570" spans="1:4" ht="13.5" x14ac:dyDescent="0.25">
      <c r="A5570" s="306">
        <v>87431</v>
      </c>
      <c r="B5570" s="305" t="s">
        <v>5029</v>
      </c>
      <c r="C5570" s="305" t="s">
        <v>521</v>
      </c>
      <c r="D5570" s="575">
        <v>15.56</v>
      </c>
    </row>
    <row r="5571" spans="1:4" ht="13.5" x14ac:dyDescent="0.25">
      <c r="A5571" s="306">
        <v>87432</v>
      </c>
      <c r="B5571" s="305" t="s">
        <v>5030</v>
      </c>
      <c r="C5571" s="305" t="s">
        <v>521</v>
      </c>
      <c r="D5571" s="575">
        <v>21.55</v>
      </c>
    </row>
    <row r="5572" spans="1:4" ht="13.5" x14ac:dyDescent="0.25">
      <c r="A5572" s="306">
        <v>87433</v>
      </c>
      <c r="B5572" s="305" t="s">
        <v>5031</v>
      </c>
      <c r="C5572" s="305" t="s">
        <v>521</v>
      </c>
      <c r="D5572" s="575">
        <v>22.34</v>
      </c>
    </row>
    <row r="5573" spans="1:4" ht="13.5" x14ac:dyDescent="0.25">
      <c r="A5573" s="306">
        <v>87434</v>
      </c>
      <c r="B5573" s="305" t="s">
        <v>5032</v>
      </c>
      <c r="C5573" s="305" t="s">
        <v>521</v>
      </c>
      <c r="D5573" s="575">
        <v>22.9</v>
      </c>
    </row>
    <row r="5574" spans="1:4" ht="13.5" x14ac:dyDescent="0.25">
      <c r="A5574" s="306">
        <v>87435</v>
      </c>
      <c r="B5574" s="305" t="s">
        <v>5033</v>
      </c>
      <c r="C5574" s="305" t="s">
        <v>521</v>
      </c>
      <c r="D5574" s="575">
        <v>24.06</v>
      </c>
    </row>
    <row r="5575" spans="1:4" ht="13.5" x14ac:dyDescent="0.25">
      <c r="A5575" s="306">
        <v>87436</v>
      </c>
      <c r="B5575" s="305" t="s">
        <v>5034</v>
      </c>
      <c r="C5575" s="305" t="s">
        <v>521</v>
      </c>
      <c r="D5575" s="575">
        <v>25.42</v>
      </c>
    </row>
    <row r="5576" spans="1:4" ht="13.5" x14ac:dyDescent="0.25">
      <c r="A5576" s="306">
        <v>87437</v>
      </c>
      <c r="B5576" s="305" t="s">
        <v>5035</v>
      </c>
      <c r="C5576" s="305" t="s">
        <v>521</v>
      </c>
      <c r="D5576" s="575">
        <v>26.38</v>
      </c>
    </row>
    <row r="5577" spans="1:4" ht="13.5" x14ac:dyDescent="0.25">
      <c r="A5577" s="306">
        <v>87438</v>
      </c>
      <c r="B5577" s="305" t="s">
        <v>5036</v>
      </c>
      <c r="C5577" s="305" t="s">
        <v>521</v>
      </c>
      <c r="D5577" s="575">
        <v>29.66</v>
      </c>
    </row>
    <row r="5578" spans="1:4" ht="13.5" x14ac:dyDescent="0.25">
      <c r="A5578" s="306">
        <v>87439</v>
      </c>
      <c r="B5578" s="305" t="s">
        <v>5037</v>
      </c>
      <c r="C5578" s="305" t="s">
        <v>521</v>
      </c>
      <c r="D5578" s="575">
        <v>31.39</v>
      </c>
    </row>
    <row r="5579" spans="1:4" ht="13.5" x14ac:dyDescent="0.25">
      <c r="A5579" s="306">
        <v>87440</v>
      </c>
      <c r="B5579" s="305" t="s">
        <v>5038</v>
      </c>
      <c r="C5579" s="305" t="s">
        <v>521</v>
      </c>
      <c r="D5579" s="575">
        <v>32.18</v>
      </c>
    </row>
    <row r="5580" spans="1:4" ht="13.5" x14ac:dyDescent="0.25">
      <c r="A5580" s="306">
        <v>87527</v>
      </c>
      <c r="B5580" s="305" t="s">
        <v>5039</v>
      </c>
      <c r="C5580" s="305" t="s">
        <v>521</v>
      </c>
      <c r="D5580" s="575">
        <v>32.119999999999997</v>
      </c>
    </row>
    <row r="5581" spans="1:4" ht="13.5" x14ac:dyDescent="0.25">
      <c r="A5581" s="306">
        <v>87528</v>
      </c>
      <c r="B5581" s="305" t="s">
        <v>5040</v>
      </c>
      <c r="C5581" s="305" t="s">
        <v>521</v>
      </c>
      <c r="D5581" s="575">
        <v>36.08</v>
      </c>
    </row>
    <row r="5582" spans="1:4" ht="13.5" x14ac:dyDescent="0.25">
      <c r="A5582" s="306">
        <v>87529</v>
      </c>
      <c r="B5582" s="305" t="s">
        <v>5041</v>
      </c>
      <c r="C5582" s="305" t="s">
        <v>521</v>
      </c>
      <c r="D5582" s="575">
        <v>29.2</v>
      </c>
    </row>
    <row r="5583" spans="1:4" ht="13.5" x14ac:dyDescent="0.25">
      <c r="A5583" s="306">
        <v>87530</v>
      </c>
      <c r="B5583" s="305" t="s">
        <v>5042</v>
      </c>
      <c r="C5583" s="305" t="s">
        <v>521</v>
      </c>
      <c r="D5583" s="575">
        <v>33.159999999999997</v>
      </c>
    </row>
    <row r="5584" spans="1:4" ht="13.5" x14ac:dyDescent="0.25">
      <c r="A5584" s="306">
        <v>87531</v>
      </c>
      <c r="B5584" s="305" t="s">
        <v>5043</v>
      </c>
      <c r="C5584" s="305" t="s">
        <v>521</v>
      </c>
      <c r="D5584" s="575">
        <v>28.16</v>
      </c>
    </row>
    <row r="5585" spans="1:4" ht="13.5" x14ac:dyDescent="0.25">
      <c r="A5585" s="306">
        <v>87532</v>
      </c>
      <c r="B5585" s="305" t="s">
        <v>5044</v>
      </c>
      <c r="C5585" s="305" t="s">
        <v>521</v>
      </c>
      <c r="D5585" s="575">
        <v>32.119999999999997</v>
      </c>
    </row>
    <row r="5586" spans="1:4" ht="13.5" x14ac:dyDescent="0.25">
      <c r="A5586" s="306">
        <v>87535</v>
      </c>
      <c r="B5586" s="305" t="s">
        <v>5045</v>
      </c>
      <c r="C5586" s="305" t="s">
        <v>521</v>
      </c>
      <c r="D5586" s="575">
        <v>25.23</v>
      </c>
    </row>
    <row r="5587" spans="1:4" ht="13.5" x14ac:dyDescent="0.25">
      <c r="A5587" s="306">
        <v>87536</v>
      </c>
      <c r="B5587" s="305" t="s">
        <v>5046</v>
      </c>
      <c r="C5587" s="305" t="s">
        <v>521</v>
      </c>
      <c r="D5587" s="575">
        <v>29.19</v>
      </c>
    </row>
    <row r="5588" spans="1:4" ht="13.5" x14ac:dyDescent="0.25">
      <c r="A5588" s="306">
        <v>87537</v>
      </c>
      <c r="B5588" s="305" t="s">
        <v>5047</v>
      </c>
      <c r="C5588" s="305" t="s">
        <v>521</v>
      </c>
      <c r="D5588" s="575">
        <v>60.99</v>
      </c>
    </row>
    <row r="5589" spans="1:4" ht="13.5" x14ac:dyDescent="0.25">
      <c r="A5589" s="306">
        <v>87538</v>
      </c>
      <c r="B5589" s="305" t="s">
        <v>5048</v>
      </c>
      <c r="C5589" s="305" t="s">
        <v>521</v>
      </c>
      <c r="D5589" s="575">
        <v>58.5</v>
      </c>
    </row>
    <row r="5590" spans="1:4" ht="13.5" x14ac:dyDescent="0.25">
      <c r="A5590" s="306">
        <v>87539</v>
      </c>
      <c r="B5590" s="305" t="s">
        <v>5049</v>
      </c>
      <c r="C5590" s="305" t="s">
        <v>521</v>
      </c>
      <c r="D5590" s="575">
        <v>57.62</v>
      </c>
    </row>
    <row r="5591" spans="1:4" ht="13.5" x14ac:dyDescent="0.25">
      <c r="A5591" s="306">
        <v>87541</v>
      </c>
      <c r="B5591" s="305" t="s">
        <v>5050</v>
      </c>
      <c r="C5591" s="305" t="s">
        <v>521</v>
      </c>
      <c r="D5591" s="575">
        <v>55.14</v>
      </c>
    </row>
    <row r="5592" spans="1:4" ht="13.5" x14ac:dyDescent="0.25">
      <c r="A5592" s="306">
        <v>87543</v>
      </c>
      <c r="B5592" s="305" t="s">
        <v>5051</v>
      </c>
      <c r="C5592" s="305" t="s">
        <v>521</v>
      </c>
      <c r="D5592" s="575">
        <v>19.170000000000002</v>
      </c>
    </row>
    <row r="5593" spans="1:4" ht="13.5" x14ac:dyDescent="0.25">
      <c r="A5593" s="306">
        <v>87545</v>
      </c>
      <c r="B5593" s="305" t="s">
        <v>5052</v>
      </c>
      <c r="C5593" s="305" t="s">
        <v>521</v>
      </c>
      <c r="D5593" s="575">
        <v>21.67</v>
      </c>
    </row>
    <row r="5594" spans="1:4" ht="13.5" x14ac:dyDescent="0.25">
      <c r="A5594" s="306">
        <v>87546</v>
      </c>
      <c r="B5594" s="305" t="s">
        <v>5053</v>
      </c>
      <c r="C5594" s="305" t="s">
        <v>521</v>
      </c>
      <c r="D5594" s="575">
        <v>23.92</v>
      </c>
    </row>
    <row r="5595" spans="1:4" ht="13.5" x14ac:dyDescent="0.25">
      <c r="A5595" s="306">
        <v>87547</v>
      </c>
      <c r="B5595" s="305" t="s">
        <v>5054</v>
      </c>
      <c r="C5595" s="305" t="s">
        <v>521</v>
      </c>
      <c r="D5595" s="575">
        <v>18.77</v>
      </c>
    </row>
    <row r="5596" spans="1:4" ht="13.5" x14ac:dyDescent="0.25">
      <c r="A5596" s="306">
        <v>87548</v>
      </c>
      <c r="B5596" s="305" t="s">
        <v>5055</v>
      </c>
      <c r="C5596" s="305" t="s">
        <v>521</v>
      </c>
      <c r="D5596" s="575">
        <v>21.02</v>
      </c>
    </row>
    <row r="5597" spans="1:4" ht="13.5" x14ac:dyDescent="0.25">
      <c r="A5597" s="306">
        <v>87549</v>
      </c>
      <c r="B5597" s="305" t="s">
        <v>5056</v>
      </c>
      <c r="C5597" s="305" t="s">
        <v>521</v>
      </c>
      <c r="D5597" s="575">
        <v>17.72</v>
      </c>
    </row>
    <row r="5598" spans="1:4" ht="13.5" x14ac:dyDescent="0.25">
      <c r="A5598" s="306">
        <v>87550</v>
      </c>
      <c r="B5598" s="305" t="s">
        <v>5057</v>
      </c>
      <c r="C5598" s="305" t="s">
        <v>521</v>
      </c>
      <c r="D5598" s="575">
        <v>19.97</v>
      </c>
    </row>
    <row r="5599" spans="1:4" ht="13.5" x14ac:dyDescent="0.25">
      <c r="A5599" s="306">
        <v>87553</v>
      </c>
      <c r="B5599" s="305" t="s">
        <v>5058</v>
      </c>
      <c r="C5599" s="305" t="s">
        <v>521</v>
      </c>
      <c r="D5599" s="575">
        <v>14.79</v>
      </c>
    </row>
    <row r="5600" spans="1:4" ht="13.5" x14ac:dyDescent="0.25">
      <c r="A5600" s="306">
        <v>87554</v>
      </c>
      <c r="B5600" s="305" t="s">
        <v>5059</v>
      </c>
      <c r="C5600" s="305" t="s">
        <v>521</v>
      </c>
      <c r="D5600" s="575">
        <v>17.04</v>
      </c>
    </row>
    <row r="5601" spans="1:4" ht="13.5" x14ac:dyDescent="0.25">
      <c r="A5601" s="306">
        <v>87555</v>
      </c>
      <c r="B5601" s="305" t="s">
        <v>5060</v>
      </c>
      <c r="C5601" s="305" t="s">
        <v>521</v>
      </c>
      <c r="D5601" s="575">
        <v>37.119999999999997</v>
      </c>
    </row>
    <row r="5602" spans="1:4" ht="13.5" x14ac:dyDescent="0.25">
      <c r="A5602" s="306">
        <v>87556</v>
      </c>
      <c r="B5602" s="305" t="s">
        <v>5061</v>
      </c>
      <c r="C5602" s="305" t="s">
        <v>521</v>
      </c>
      <c r="D5602" s="575">
        <v>34.65</v>
      </c>
    </row>
    <row r="5603" spans="1:4" ht="13.5" x14ac:dyDescent="0.25">
      <c r="A5603" s="306">
        <v>87557</v>
      </c>
      <c r="B5603" s="305" t="s">
        <v>5062</v>
      </c>
      <c r="C5603" s="305" t="s">
        <v>521</v>
      </c>
      <c r="D5603" s="575">
        <v>33.74</v>
      </c>
    </row>
    <row r="5604" spans="1:4" ht="13.5" x14ac:dyDescent="0.25">
      <c r="A5604" s="306">
        <v>87559</v>
      </c>
      <c r="B5604" s="305" t="s">
        <v>5063</v>
      </c>
      <c r="C5604" s="305" t="s">
        <v>521</v>
      </c>
      <c r="D5604" s="575">
        <v>31.25</v>
      </c>
    </row>
    <row r="5605" spans="1:4" ht="13.5" x14ac:dyDescent="0.25">
      <c r="A5605" s="306">
        <v>87561</v>
      </c>
      <c r="B5605" s="305" t="s">
        <v>5064</v>
      </c>
      <c r="C5605" s="305" t="s">
        <v>521</v>
      </c>
      <c r="D5605" s="575">
        <v>33.97</v>
      </c>
    </row>
    <row r="5606" spans="1:4" ht="13.5" x14ac:dyDescent="0.25">
      <c r="A5606" s="306">
        <v>87775</v>
      </c>
      <c r="B5606" s="305" t="s">
        <v>5065</v>
      </c>
      <c r="C5606" s="305" t="s">
        <v>521</v>
      </c>
      <c r="D5606" s="575">
        <v>45.03</v>
      </c>
    </row>
    <row r="5607" spans="1:4" ht="13.5" x14ac:dyDescent="0.25">
      <c r="A5607" s="306">
        <v>87777</v>
      </c>
      <c r="B5607" s="305" t="s">
        <v>5066</v>
      </c>
      <c r="C5607" s="305" t="s">
        <v>521</v>
      </c>
      <c r="D5607" s="575">
        <v>48.34</v>
      </c>
    </row>
    <row r="5608" spans="1:4" ht="13.5" x14ac:dyDescent="0.25">
      <c r="A5608" s="306">
        <v>87778</v>
      </c>
      <c r="B5608" s="305" t="s">
        <v>5067</v>
      </c>
      <c r="C5608" s="305" t="s">
        <v>521</v>
      </c>
      <c r="D5608" s="575">
        <v>67</v>
      </c>
    </row>
    <row r="5609" spans="1:4" ht="13.5" x14ac:dyDescent="0.25">
      <c r="A5609" s="306">
        <v>87779</v>
      </c>
      <c r="B5609" s="305" t="s">
        <v>5068</v>
      </c>
      <c r="C5609" s="305" t="s">
        <v>521</v>
      </c>
      <c r="D5609" s="575">
        <v>52.77</v>
      </c>
    </row>
    <row r="5610" spans="1:4" ht="13.5" x14ac:dyDescent="0.25">
      <c r="A5610" s="306">
        <v>87781</v>
      </c>
      <c r="B5610" s="305" t="s">
        <v>5069</v>
      </c>
      <c r="C5610" s="305" t="s">
        <v>521</v>
      </c>
      <c r="D5610" s="575">
        <v>57.21</v>
      </c>
    </row>
    <row r="5611" spans="1:4" ht="13.5" x14ac:dyDescent="0.25">
      <c r="A5611" s="306">
        <v>87783</v>
      </c>
      <c r="B5611" s="305" t="s">
        <v>5070</v>
      </c>
      <c r="C5611" s="305" t="s">
        <v>521</v>
      </c>
      <c r="D5611" s="575">
        <v>83.88</v>
      </c>
    </row>
    <row r="5612" spans="1:4" ht="13.5" x14ac:dyDescent="0.25">
      <c r="A5612" s="306">
        <v>87784</v>
      </c>
      <c r="B5612" s="305" t="s">
        <v>5071</v>
      </c>
      <c r="C5612" s="305" t="s">
        <v>521</v>
      </c>
      <c r="D5612" s="575">
        <v>60.53</v>
      </c>
    </row>
    <row r="5613" spans="1:4" ht="13.5" x14ac:dyDescent="0.25">
      <c r="A5613" s="306">
        <v>87786</v>
      </c>
      <c r="B5613" s="305" t="s">
        <v>5072</v>
      </c>
      <c r="C5613" s="305" t="s">
        <v>521</v>
      </c>
      <c r="D5613" s="575">
        <v>66.09</v>
      </c>
    </row>
    <row r="5614" spans="1:4" ht="13.5" x14ac:dyDescent="0.25">
      <c r="A5614" s="306">
        <v>87787</v>
      </c>
      <c r="B5614" s="305" t="s">
        <v>5073</v>
      </c>
      <c r="C5614" s="305" t="s">
        <v>521</v>
      </c>
      <c r="D5614" s="575">
        <v>100.77</v>
      </c>
    </row>
    <row r="5615" spans="1:4" ht="13.5" x14ac:dyDescent="0.25">
      <c r="A5615" s="306">
        <v>87788</v>
      </c>
      <c r="B5615" s="305" t="s">
        <v>5074</v>
      </c>
      <c r="C5615" s="305" t="s">
        <v>521</v>
      </c>
      <c r="D5615" s="575">
        <v>77.459999999999994</v>
      </c>
    </row>
    <row r="5616" spans="1:4" ht="13.5" x14ac:dyDescent="0.25">
      <c r="A5616" s="306">
        <v>87790</v>
      </c>
      <c r="B5616" s="305" t="s">
        <v>5075</v>
      </c>
      <c r="C5616" s="305" t="s">
        <v>521</v>
      </c>
      <c r="D5616" s="575">
        <v>83.59</v>
      </c>
    </row>
    <row r="5617" spans="1:4" ht="13.5" x14ac:dyDescent="0.25">
      <c r="A5617" s="306">
        <v>87791</v>
      </c>
      <c r="B5617" s="305" t="s">
        <v>5076</v>
      </c>
      <c r="C5617" s="305" t="s">
        <v>521</v>
      </c>
      <c r="D5617" s="575">
        <v>118.87</v>
      </c>
    </row>
    <row r="5618" spans="1:4" ht="13.5" x14ac:dyDescent="0.25">
      <c r="A5618" s="306">
        <v>87792</v>
      </c>
      <c r="B5618" s="305" t="s">
        <v>5077</v>
      </c>
      <c r="C5618" s="305" t="s">
        <v>521</v>
      </c>
      <c r="D5618" s="575">
        <v>30.17</v>
      </c>
    </row>
    <row r="5619" spans="1:4" ht="13.5" x14ac:dyDescent="0.25">
      <c r="A5619" s="306">
        <v>87794</v>
      </c>
      <c r="B5619" s="305" t="s">
        <v>5078</v>
      </c>
      <c r="C5619" s="305" t="s">
        <v>521</v>
      </c>
      <c r="D5619" s="575">
        <v>33.26</v>
      </c>
    </row>
    <row r="5620" spans="1:4" ht="13.5" x14ac:dyDescent="0.25">
      <c r="A5620" s="306">
        <v>87795</v>
      </c>
      <c r="B5620" s="305" t="s">
        <v>5079</v>
      </c>
      <c r="C5620" s="305" t="s">
        <v>521</v>
      </c>
      <c r="D5620" s="575">
        <v>50.34</v>
      </c>
    </row>
    <row r="5621" spans="1:4" ht="13.5" x14ac:dyDescent="0.25">
      <c r="A5621" s="306">
        <v>87797</v>
      </c>
      <c r="B5621" s="305" t="s">
        <v>5080</v>
      </c>
      <c r="C5621" s="305" t="s">
        <v>521</v>
      </c>
      <c r="D5621" s="575">
        <v>37.61</v>
      </c>
    </row>
    <row r="5622" spans="1:4" ht="13.5" x14ac:dyDescent="0.25">
      <c r="A5622" s="306">
        <v>87799</v>
      </c>
      <c r="B5622" s="305" t="s">
        <v>5081</v>
      </c>
      <c r="C5622" s="305" t="s">
        <v>521</v>
      </c>
      <c r="D5622" s="575">
        <v>41.75</v>
      </c>
    </row>
    <row r="5623" spans="1:4" ht="13.5" x14ac:dyDescent="0.25">
      <c r="A5623" s="306">
        <v>87800</v>
      </c>
      <c r="B5623" s="305" t="s">
        <v>5082</v>
      </c>
      <c r="C5623" s="305" t="s">
        <v>521</v>
      </c>
      <c r="D5623" s="575">
        <v>66.319999999999993</v>
      </c>
    </row>
    <row r="5624" spans="1:4" ht="13.5" x14ac:dyDescent="0.25">
      <c r="A5624" s="306">
        <v>87801</v>
      </c>
      <c r="B5624" s="305" t="s">
        <v>5083</v>
      </c>
      <c r="C5624" s="305" t="s">
        <v>521</v>
      </c>
      <c r="D5624" s="575">
        <v>45.04</v>
      </c>
    </row>
    <row r="5625" spans="1:4" ht="13.5" x14ac:dyDescent="0.25">
      <c r="A5625" s="306">
        <v>87803</v>
      </c>
      <c r="B5625" s="305" t="s">
        <v>5084</v>
      </c>
      <c r="C5625" s="305" t="s">
        <v>521</v>
      </c>
      <c r="D5625" s="575">
        <v>50.24</v>
      </c>
    </row>
    <row r="5626" spans="1:4" ht="13.5" x14ac:dyDescent="0.25">
      <c r="A5626" s="306">
        <v>87804</v>
      </c>
      <c r="B5626" s="305" t="s">
        <v>5085</v>
      </c>
      <c r="C5626" s="305" t="s">
        <v>521</v>
      </c>
      <c r="D5626" s="575">
        <v>82.3</v>
      </c>
    </row>
    <row r="5627" spans="1:4" ht="13.5" x14ac:dyDescent="0.25">
      <c r="A5627" s="306">
        <v>87805</v>
      </c>
      <c r="B5627" s="305" t="s">
        <v>5086</v>
      </c>
      <c r="C5627" s="305" t="s">
        <v>521</v>
      </c>
      <c r="D5627" s="575">
        <v>51.74</v>
      </c>
    </row>
    <row r="5628" spans="1:4" ht="13.5" x14ac:dyDescent="0.25">
      <c r="A5628" s="306">
        <v>87807</v>
      </c>
      <c r="B5628" s="305" t="s">
        <v>5087</v>
      </c>
      <c r="C5628" s="305" t="s">
        <v>521</v>
      </c>
      <c r="D5628" s="575">
        <v>57.47</v>
      </c>
    </row>
    <row r="5629" spans="1:4" ht="13.5" x14ac:dyDescent="0.25">
      <c r="A5629" s="306">
        <v>87808</v>
      </c>
      <c r="B5629" s="305" t="s">
        <v>5088</v>
      </c>
      <c r="C5629" s="305" t="s">
        <v>521</v>
      </c>
      <c r="D5629" s="575">
        <v>89.91</v>
      </c>
    </row>
    <row r="5630" spans="1:4" ht="13.5" x14ac:dyDescent="0.25">
      <c r="A5630" s="306">
        <v>87809</v>
      </c>
      <c r="B5630" s="305" t="s">
        <v>5089</v>
      </c>
      <c r="C5630" s="305" t="s">
        <v>521</v>
      </c>
      <c r="D5630" s="575">
        <v>70.930000000000007</v>
      </c>
    </row>
    <row r="5631" spans="1:4" ht="13.5" x14ac:dyDescent="0.25">
      <c r="A5631" s="306">
        <v>87811</v>
      </c>
      <c r="B5631" s="305" t="s">
        <v>5090</v>
      </c>
      <c r="C5631" s="305" t="s">
        <v>521</v>
      </c>
      <c r="D5631" s="575">
        <v>74.02</v>
      </c>
    </row>
    <row r="5632" spans="1:4" ht="13.5" x14ac:dyDescent="0.25">
      <c r="A5632" s="306">
        <v>87812</v>
      </c>
      <c r="B5632" s="305" t="s">
        <v>5091</v>
      </c>
      <c r="C5632" s="305" t="s">
        <v>521</v>
      </c>
      <c r="D5632" s="575">
        <v>90.73</v>
      </c>
    </row>
    <row r="5633" spans="1:4" ht="13.5" x14ac:dyDescent="0.25">
      <c r="A5633" s="306">
        <v>87813</v>
      </c>
      <c r="B5633" s="305" t="s">
        <v>5092</v>
      </c>
      <c r="C5633" s="305" t="s">
        <v>521</v>
      </c>
      <c r="D5633" s="575">
        <v>78.38</v>
      </c>
    </row>
    <row r="5634" spans="1:4" ht="13.5" x14ac:dyDescent="0.25">
      <c r="A5634" s="306">
        <v>87815</v>
      </c>
      <c r="B5634" s="305" t="s">
        <v>5093</v>
      </c>
      <c r="C5634" s="305" t="s">
        <v>521</v>
      </c>
      <c r="D5634" s="575">
        <v>82.52</v>
      </c>
    </row>
    <row r="5635" spans="1:4" ht="13.5" x14ac:dyDescent="0.25">
      <c r="A5635" s="306">
        <v>87816</v>
      </c>
      <c r="B5635" s="305" t="s">
        <v>5094</v>
      </c>
      <c r="C5635" s="305" t="s">
        <v>521</v>
      </c>
      <c r="D5635" s="575">
        <v>106.72</v>
      </c>
    </row>
    <row r="5636" spans="1:4" ht="13.5" x14ac:dyDescent="0.25">
      <c r="A5636" s="306">
        <v>87817</v>
      </c>
      <c r="B5636" s="305" t="s">
        <v>5095</v>
      </c>
      <c r="C5636" s="305" t="s">
        <v>521</v>
      </c>
      <c r="D5636" s="575">
        <v>85.43</v>
      </c>
    </row>
    <row r="5637" spans="1:4" ht="13.5" x14ac:dyDescent="0.25">
      <c r="A5637" s="306">
        <v>87819</v>
      </c>
      <c r="B5637" s="305" t="s">
        <v>5096</v>
      </c>
      <c r="C5637" s="305" t="s">
        <v>521</v>
      </c>
      <c r="D5637" s="575">
        <v>90.63</v>
      </c>
    </row>
    <row r="5638" spans="1:4" ht="13.5" x14ac:dyDescent="0.25">
      <c r="A5638" s="306">
        <v>87820</v>
      </c>
      <c r="B5638" s="305" t="s">
        <v>5097</v>
      </c>
      <c r="C5638" s="305" t="s">
        <v>521</v>
      </c>
      <c r="D5638" s="575">
        <v>122.69</v>
      </c>
    </row>
    <row r="5639" spans="1:4" ht="13.5" x14ac:dyDescent="0.25">
      <c r="A5639" s="306">
        <v>87821</v>
      </c>
      <c r="B5639" s="305" t="s">
        <v>5098</v>
      </c>
      <c r="C5639" s="305" t="s">
        <v>521</v>
      </c>
      <c r="D5639" s="575">
        <v>122.41</v>
      </c>
    </row>
    <row r="5640" spans="1:4" ht="13.5" x14ac:dyDescent="0.25">
      <c r="A5640" s="306">
        <v>87823</v>
      </c>
      <c r="B5640" s="305" t="s">
        <v>5099</v>
      </c>
      <c r="C5640" s="305" t="s">
        <v>521</v>
      </c>
      <c r="D5640" s="575">
        <v>128.13999999999999</v>
      </c>
    </row>
    <row r="5641" spans="1:4" ht="13.5" x14ac:dyDescent="0.25">
      <c r="A5641" s="306">
        <v>87824</v>
      </c>
      <c r="B5641" s="305" t="s">
        <v>5100</v>
      </c>
      <c r="C5641" s="305" t="s">
        <v>521</v>
      </c>
      <c r="D5641" s="575">
        <v>160.19999999999999</v>
      </c>
    </row>
    <row r="5642" spans="1:4" ht="13.5" x14ac:dyDescent="0.25">
      <c r="A5642" s="306">
        <v>87825</v>
      </c>
      <c r="B5642" s="305" t="s">
        <v>5101</v>
      </c>
      <c r="C5642" s="305" t="s">
        <v>521</v>
      </c>
      <c r="D5642" s="575">
        <v>56.67</v>
      </c>
    </row>
    <row r="5643" spans="1:4" ht="13.5" x14ac:dyDescent="0.25">
      <c r="A5643" s="306">
        <v>87827</v>
      </c>
      <c r="B5643" s="305" t="s">
        <v>5102</v>
      </c>
      <c r="C5643" s="305" t="s">
        <v>521</v>
      </c>
      <c r="D5643" s="575">
        <v>60.46</v>
      </c>
    </row>
    <row r="5644" spans="1:4" ht="13.5" x14ac:dyDescent="0.25">
      <c r="A5644" s="306">
        <v>87828</v>
      </c>
      <c r="B5644" s="305" t="s">
        <v>5103</v>
      </c>
      <c r="C5644" s="305" t="s">
        <v>521</v>
      </c>
      <c r="D5644" s="575">
        <v>82.49</v>
      </c>
    </row>
    <row r="5645" spans="1:4" ht="13.5" x14ac:dyDescent="0.25">
      <c r="A5645" s="306">
        <v>87829</v>
      </c>
      <c r="B5645" s="305" t="s">
        <v>5104</v>
      </c>
      <c r="C5645" s="305" t="s">
        <v>521</v>
      </c>
      <c r="D5645" s="575">
        <v>65.09</v>
      </c>
    </row>
    <row r="5646" spans="1:4" ht="13.5" x14ac:dyDescent="0.25">
      <c r="A5646" s="306">
        <v>87831</v>
      </c>
      <c r="B5646" s="305" t="s">
        <v>5105</v>
      </c>
      <c r="C5646" s="305" t="s">
        <v>521</v>
      </c>
      <c r="D5646" s="575">
        <v>70.16</v>
      </c>
    </row>
    <row r="5647" spans="1:4" ht="13.5" x14ac:dyDescent="0.25">
      <c r="A5647" s="306">
        <v>87832</v>
      </c>
      <c r="B5647" s="305" t="s">
        <v>5106</v>
      </c>
      <c r="C5647" s="305" t="s">
        <v>521</v>
      </c>
      <c r="D5647" s="575">
        <v>101.32</v>
      </c>
    </row>
    <row r="5648" spans="1:4" ht="13.5" x14ac:dyDescent="0.25">
      <c r="A5648" s="306">
        <v>87834</v>
      </c>
      <c r="B5648" s="305" t="s">
        <v>5107</v>
      </c>
      <c r="C5648" s="305" t="s">
        <v>521</v>
      </c>
      <c r="D5648" s="575">
        <v>148.88999999999999</v>
      </c>
    </row>
    <row r="5649" spans="1:4" ht="13.5" x14ac:dyDescent="0.25">
      <c r="A5649" s="306">
        <v>87835</v>
      </c>
      <c r="B5649" s="305" t="s">
        <v>5108</v>
      </c>
      <c r="C5649" s="305" t="s">
        <v>521</v>
      </c>
      <c r="D5649" s="575">
        <v>102.03</v>
      </c>
    </row>
    <row r="5650" spans="1:4" ht="13.5" x14ac:dyDescent="0.25">
      <c r="A5650" s="306">
        <v>87836</v>
      </c>
      <c r="B5650" s="305" t="s">
        <v>5109</v>
      </c>
      <c r="C5650" s="305" t="s">
        <v>521</v>
      </c>
      <c r="D5650" s="575">
        <v>142.25</v>
      </c>
    </row>
    <row r="5651" spans="1:4" ht="13.5" x14ac:dyDescent="0.25">
      <c r="A5651" s="306">
        <v>87837</v>
      </c>
      <c r="B5651" s="305" t="s">
        <v>5110</v>
      </c>
      <c r="C5651" s="305" t="s">
        <v>521</v>
      </c>
      <c r="D5651" s="575">
        <v>96.2</v>
      </c>
    </row>
    <row r="5652" spans="1:4" ht="13.5" x14ac:dyDescent="0.25">
      <c r="A5652" s="306">
        <v>87838</v>
      </c>
      <c r="B5652" s="305" t="s">
        <v>5111</v>
      </c>
      <c r="C5652" s="305" t="s">
        <v>521</v>
      </c>
      <c r="D5652" s="575">
        <v>155.66999999999999</v>
      </c>
    </row>
    <row r="5653" spans="1:4" ht="13.5" x14ac:dyDescent="0.25">
      <c r="A5653" s="306">
        <v>87839</v>
      </c>
      <c r="B5653" s="305" t="s">
        <v>5112</v>
      </c>
      <c r="C5653" s="305" t="s">
        <v>521</v>
      </c>
      <c r="D5653" s="575">
        <v>106.72</v>
      </c>
    </row>
    <row r="5654" spans="1:4" ht="13.5" x14ac:dyDescent="0.25">
      <c r="A5654" s="306">
        <v>87840</v>
      </c>
      <c r="B5654" s="305" t="s">
        <v>5113</v>
      </c>
      <c r="C5654" s="305" t="s">
        <v>521</v>
      </c>
      <c r="D5654" s="575">
        <v>147.49</v>
      </c>
    </row>
    <row r="5655" spans="1:4" ht="13.5" x14ac:dyDescent="0.25">
      <c r="A5655" s="306">
        <v>87841</v>
      </c>
      <c r="B5655" s="305" t="s">
        <v>5114</v>
      </c>
      <c r="C5655" s="305" t="s">
        <v>521</v>
      </c>
      <c r="D5655" s="575">
        <v>99.31</v>
      </c>
    </row>
    <row r="5656" spans="1:4" ht="13.5" x14ac:dyDescent="0.25">
      <c r="A5656" s="306">
        <v>87842</v>
      </c>
      <c r="B5656" s="305" t="s">
        <v>5115</v>
      </c>
      <c r="C5656" s="305" t="s">
        <v>521</v>
      </c>
      <c r="D5656" s="575">
        <v>154.25</v>
      </c>
    </row>
    <row r="5657" spans="1:4" ht="13.5" x14ac:dyDescent="0.25">
      <c r="A5657" s="306">
        <v>87843</v>
      </c>
      <c r="B5657" s="305" t="s">
        <v>5116</v>
      </c>
      <c r="C5657" s="305" t="s">
        <v>521</v>
      </c>
      <c r="D5657" s="575">
        <v>114.15</v>
      </c>
    </row>
    <row r="5658" spans="1:4" ht="13.5" x14ac:dyDescent="0.25">
      <c r="A5658" s="306">
        <v>87844</v>
      </c>
      <c r="B5658" s="305" t="s">
        <v>5117</v>
      </c>
      <c r="C5658" s="305" t="s">
        <v>521</v>
      </c>
      <c r="D5658" s="575">
        <v>141.94999999999999</v>
      </c>
    </row>
    <row r="5659" spans="1:4" ht="13.5" x14ac:dyDescent="0.25">
      <c r="A5659" s="306">
        <v>87845</v>
      </c>
      <c r="B5659" s="305" t="s">
        <v>5118</v>
      </c>
      <c r="C5659" s="305" t="s">
        <v>521</v>
      </c>
      <c r="D5659" s="575">
        <v>102.66</v>
      </c>
    </row>
    <row r="5660" spans="1:4" ht="13.5" x14ac:dyDescent="0.25">
      <c r="A5660" s="306">
        <v>87846</v>
      </c>
      <c r="B5660" s="305" t="s">
        <v>5119</v>
      </c>
      <c r="C5660" s="305" t="s">
        <v>521</v>
      </c>
      <c r="D5660" s="575">
        <v>161.33000000000001</v>
      </c>
    </row>
    <row r="5661" spans="1:4" ht="13.5" x14ac:dyDescent="0.25">
      <c r="A5661" s="306">
        <v>87847</v>
      </c>
      <c r="B5661" s="305" t="s">
        <v>5120</v>
      </c>
      <c r="C5661" s="305" t="s">
        <v>521</v>
      </c>
      <c r="D5661" s="575">
        <v>114.48</v>
      </c>
    </row>
    <row r="5662" spans="1:4" ht="13.5" x14ac:dyDescent="0.25">
      <c r="A5662" s="306">
        <v>87848</v>
      </c>
      <c r="B5662" s="305" t="s">
        <v>5121</v>
      </c>
      <c r="C5662" s="305" t="s">
        <v>521</v>
      </c>
      <c r="D5662" s="575">
        <v>153.52000000000001</v>
      </c>
    </row>
    <row r="5663" spans="1:4" ht="13.5" x14ac:dyDescent="0.25">
      <c r="A5663" s="306">
        <v>87849</v>
      </c>
      <c r="B5663" s="305" t="s">
        <v>5122</v>
      </c>
      <c r="C5663" s="305" t="s">
        <v>521</v>
      </c>
      <c r="D5663" s="575">
        <v>107.47</v>
      </c>
    </row>
    <row r="5664" spans="1:4" ht="13.5" x14ac:dyDescent="0.25">
      <c r="A5664" s="306">
        <v>87850</v>
      </c>
      <c r="B5664" s="305" t="s">
        <v>5123</v>
      </c>
      <c r="C5664" s="305" t="s">
        <v>521</v>
      </c>
      <c r="D5664" s="575">
        <v>168.13</v>
      </c>
    </row>
    <row r="5665" spans="1:4" ht="13.5" x14ac:dyDescent="0.25">
      <c r="A5665" s="306">
        <v>87851</v>
      </c>
      <c r="B5665" s="305" t="s">
        <v>5124</v>
      </c>
      <c r="C5665" s="305" t="s">
        <v>521</v>
      </c>
      <c r="D5665" s="575">
        <v>119.18</v>
      </c>
    </row>
    <row r="5666" spans="1:4" ht="13.5" x14ac:dyDescent="0.25">
      <c r="A5666" s="306">
        <v>87852</v>
      </c>
      <c r="B5666" s="305" t="s">
        <v>5125</v>
      </c>
      <c r="C5666" s="305" t="s">
        <v>521</v>
      </c>
      <c r="D5666" s="575">
        <v>158.74</v>
      </c>
    </row>
    <row r="5667" spans="1:4" ht="13.5" x14ac:dyDescent="0.25">
      <c r="A5667" s="306">
        <v>87853</v>
      </c>
      <c r="B5667" s="305" t="s">
        <v>5126</v>
      </c>
      <c r="C5667" s="305" t="s">
        <v>521</v>
      </c>
      <c r="D5667" s="575">
        <v>110.56</v>
      </c>
    </row>
    <row r="5668" spans="1:4" ht="13.5" x14ac:dyDescent="0.25">
      <c r="A5668" s="306">
        <v>87854</v>
      </c>
      <c r="B5668" s="305" t="s">
        <v>5127</v>
      </c>
      <c r="C5668" s="305" t="s">
        <v>521</v>
      </c>
      <c r="D5668" s="575">
        <v>166.69</v>
      </c>
    </row>
    <row r="5669" spans="1:4" ht="13.5" x14ac:dyDescent="0.25">
      <c r="A5669" s="306">
        <v>87855</v>
      </c>
      <c r="B5669" s="305" t="s">
        <v>5128</v>
      </c>
      <c r="C5669" s="305" t="s">
        <v>521</v>
      </c>
      <c r="D5669" s="575">
        <v>126.61</v>
      </c>
    </row>
    <row r="5670" spans="1:4" ht="13.5" x14ac:dyDescent="0.25">
      <c r="A5670" s="306">
        <v>87856</v>
      </c>
      <c r="B5670" s="305" t="s">
        <v>5129</v>
      </c>
      <c r="C5670" s="305" t="s">
        <v>521</v>
      </c>
      <c r="D5670" s="575">
        <v>153.22</v>
      </c>
    </row>
    <row r="5671" spans="1:4" ht="13.5" x14ac:dyDescent="0.25">
      <c r="A5671" s="306">
        <v>87857</v>
      </c>
      <c r="B5671" s="305" t="s">
        <v>5130</v>
      </c>
      <c r="C5671" s="305" t="s">
        <v>521</v>
      </c>
      <c r="D5671" s="575">
        <v>113.91</v>
      </c>
    </row>
    <row r="5672" spans="1:4" ht="13.5" x14ac:dyDescent="0.25">
      <c r="A5672" s="306">
        <v>87858</v>
      </c>
      <c r="B5672" s="305" t="s">
        <v>5131</v>
      </c>
      <c r="C5672" s="305" t="s">
        <v>521</v>
      </c>
      <c r="D5672" s="575">
        <v>110.02</v>
      </c>
    </row>
    <row r="5673" spans="1:4" ht="13.5" x14ac:dyDescent="0.25">
      <c r="A5673" s="306">
        <v>87859</v>
      </c>
      <c r="B5673" s="305" t="s">
        <v>5132</v>
      </c>
      <c r="C5673" s="305" t="s">
        <v>521</v>
      </c>
      <c r="D5673" s="575">
        <v>127.32</v>
      </c>
    </row>
    <row r="5674" spans="1:4" ht="13.5" x14ac:dyDescent="0.25">
      <c r="A5674" s="306">
        <v>89048</v>
      </c>
      <c r="B5674" s="305" t="s">
        <v>5133</v>
      </c>
      <c r="C5674" s="305" t="s">
        <v>521</v>
      </c>
      <c r="D5674" s="575">
        <v>29.82</v>
      </c>
    </row>
    <row r="5675" spans="1:4" ht="13.5" x14ac:dyDescent="0.25">
      <c r="A5675" s="306">
        <v>89049</v>
      </c>
      <c r="B5675" s="305" t="s">
        <v>5134</v>
      </c>
      <c r="C5675" s="305" t="s">
        <v>521</v>
      </c>
      <c r="D5675" s="575">
        <v>17.46</v>
      </c>
    </row>
    <row r="5676" spans="1:4" ht="13.5" x14ac:dyDescent="0.25">
      <c r="A5676" s="306">
        <v>89173</v>
      </c>
      <c r="B5676" s="305" t="s">
        <v>5135</v>
      </c>
      <c r="C5676" s="305" t="s">
        <v>521</v>
      </c>
      <c r="D5676" s="575">
        <v>29.35</v>
      </c>
    </row>
    <row r="5677" spans="1:4" ht="13.5" x14ac:dyDescent="0.25">
      <c r="A5677" s="306">
        <v>90406</v>
      </c>
      <c r="B5677" s="305" t="s">
        <v>5136</v>
      </c>
      <c r="C5677" s="305" t="s">
        <v>521</v>
      </c>
      <c r="D5677" s="575">
        <v>37.729999999999997</v>
      </c>
    </row>
    <row r="5678" spans="1:4" ht="13.5" x14ac:dyDescent="0.25">
      <c r="A5678" s="306">
        <v>90407</v>
      </c>
      <c r="B5678" s="305" t="s">
        <v>5137</v>
      </c>
      <c r="C5678" s="305" t="s">
        <v>521</v>
      </c>
      <c r="D5678" s="575">
        <v>41.69</v>
      </c>
    </row>
    <row r="5679" spans="1:4" ht="13.5" x14ac:dyDescent="0.25">
      <c r="A5679" s="306">
        <v>90408</v>
      </c>
      <c r="B5679" s="305" t="s">
        <v>5138</v>
      </c>
      <c r="C5679" s="305" t="s">
        <v>521</v>
      </c>
      <c r="D5679" s="575">
        <v>27.05</v>
      </c>
    </row>
    <row r="5680" spans="1:4" ht="13.5" x14ac:dyDescent="0.25">
      <c r="A5680" s="306">
        <v>90409</v>
      </c>
      <c r="B5680" s="305" t="s">
        <v>5139</v>
      </c>
      <c r="C5680" s="305" t="s">
        <v>521</v>
      </c>
      <c r="D5680" s="575">
        <v>29.3</v>
      </c>
    </row>
    <row r="5681" spans="1:4" ht="13.5" x14ac:dyDescent="0.25">
      <c r="A5681" s="306">
        <v>87242</v>
      </c>
      <c r="B5681" s="305" t="s">
        <v>5140</v>
      </c>
      <c r="C5681" s="305" t="s">
        <v>521</v>
      </c>
      <c r="D5681" s="575">
        <v>267.70999999999998</v>
      </c>
    </row>
    <row r="5682" spans="1:4" ht="13.5" x14ac:dyDescent="0.25">
      <c r="A5682" s="306">
        <v>87243</v>
      </c>
      <c r="B5682" s="305" t="s">
        <v>5141</v>
      </c>
      <c r="C5682" s="305" t="s">
        <v>521</v>
      </c>
      <c r="D5682" s="575">
        <v>246.84</v>
      </c>
    </row>
    <row r="5683" spans="1:4" ht="13.5" x14ac:dyDescent="0.25">
      <c r="A5683" s="306">
        <v>87244</v>
      </c>
      <c r="B5683" s="305" t="s">
        <v>5142</v>
      </c>
      <c r="C5683" s="305" t="s">
        <v>521</v>
      </c>
      <c r="D5683" s="575">
        <v>257.52</v>
      </c>
    </row>
    <row r="5684" spans="1:4" ht="13.5" x14ac:dyDescent="0.25">
      <c r="A5684" s="306">
        <v>87245</v>
      </c>
      <c r="B5684" s="305" t="s">
        <v>5143</v>
      </c>
      <c r="C5684" s="305" t="s">
        <v>521</v>
      </c>
      <c r="D5684" s="575">
        <v>311.14999999999998</v>
      </c>
    </row>
    <row r="5685" spans="1:4" ht="13.5" x14ac:dyDescent="0.25">
      <c r="A5685" s="306">
        <v>87264</v>
      </c>
      <c r="B5685" s="305" t="s">
        <v>5144</v>
      </c>
      <c r="C5685" s="305" t="s">
        <v>521</v>
      </c>
      <c r="D5685" s="575">
        <v>52.28</v>
      </c>
    </row>
    <row r="5686" spans="1:4" ht="13.5" x14ac:dyDescent="0.25">
      <c r="A5686" s="306">
        <v>87265</v>
      </c>
      <c r="B5686" s="305" t="s">
        <v>5145</v>
      </c>
      <c r="C5686" s="305" t="s">
        <v>521</v>
      </c>
      <c r="D5686" s="575">
        <v>45.51</v>
      </c>
    </row>
    <row r="5687" spans="1:4" ht="13.5" x14ac:dyDescent="0.25">
      <c r="A5687" s="306">
        <v>87266</v>
      </c>
      <c r="B5687" s="305" t="s">
        <v>5146</v>
      </c>
      <c r="C5687" s="305" t="s">
        <v>521</v>
      </c>
      <c r="D5687" s="575">
        <v>54.71</v>
      </c>
    </row>
    <row r="5688" spans="1:4" ht="13.5" x14ac:dyDescent="0.25">
      <c r="A5688" s="306">
        <v>87267</v>
      </c>
      <c r="B5688" s="305" t="s">
        <v>5147</v>
      </c>
      <c r="C5688" s="305" t="s">
        <v>521</v>
      </c>
      <c r="D5688" s="575">
        <v>51.68</v>
      </c>
    </row>
    <row r="5689" spans="1:4" ht="13.5" x14ac:dyDescent="0.25">
      <c r="A5689" s="306">
        <v>87268</v>
      </c>
      <c r="B5689" s="305" t="s">
        <v>5148</v>
      </c>
      <c r="C5689" s="305" t="s">
        <v>521</v>
      </c>
      <c r="D5689" s="575">
        <v>56.39</v>
      </c>
    </row>
    <row r="5690" spans="1:4" ht="13.5" x14ac:dyDescent="0.25">
      <c r="A5690" s="306">
        <v>87269</v>
      </c>
      <c r="B5690" s="305" t="s">
        <v>5149</v>
      </c>
      <c r="C5690" s="305" t="s">
        <v>521</v>
      </c>
      <c r="D5690" s="575">
        <v>49</v>
      </c>
    </row>
    <row r="5691" spans="1:4" ht="13.5" x14ac:dyDescent="0.25">
      <c r="A5691" s="306">
        <v>87270</v>
      </c>
      <c r="B5691" s="305" t="s">
        <v>5150</v>
      </c>
      <c r="C5691" s="305" t="s">
        <v>521</v>
      </c>
      <c r="D5691" s="575">
        <v>58.43</v>
      </c>
    </row>
    <row r="5692" spans="1:4" ht="13.5" x14ac:dyDescent="0.25">
      <c r="A5692" s="306">
        <v>87271</v>
      </c>
      <c r="B5692" s="305" t="s">
        <v>5151</v>
      </c>
      <c r="C5692" s="305" t="s">
        <v>521</v>
      </c>
      <c r="D5692" s="575">
        <v>54.94</v>
      </c>
    </row>
    <row r="5693" spans="1:4" ht="13.5" x14ac:dyDescent="0.25">
      <c r="A5693" s="306">
        <v>87272</v>
      </c>
      <c r="B5693" s="305" t="s">
        <v>5152</v>
      </c>
      <c r="C5693" s="305" t="s">
        <v>521</v>
      </c>
      <c r="D5693" s="575">
        <v>60.23</v>
      </c>
    </row>
    <row r="5694" spans="1:4" ht="13.5" x14ac:dyDescent="0.25">
      <c r="A5694" s="306">
        <v>87273</v>
      </c>
      <c r="B5694" s="305" t="s">
        <v>5153</v>
      </c>
      <c r="C5694" s="305" t="s">
        <v>521</v>
      </c>
      <c r="D5694" s="575">
        <v>51.19</v>
      </c>
    </row>
    <row r="5695" spans="1:4" ht="13.5" x14ac:dyDescent="0.25">
      <c r="A5695" s="306">
        <v>87274</v>
      </c>
      <c r="B5695" s="305" t="s">
        <v>5154</v>
      </c>
      <c r="C5695" s="305" t="s">
        <v>521</v>
      </c>
      <c r="D5695" s="575">
        <v>61.66</v>
      </c>
    </row>
    <row r="5696" spans="1:4" ht="13.5" x14ac:dyDescent="0.25">
      <c r="A5696" s="306">
        <v>87275</v>
      </c>
      <c r="B5696" s="305" t="s">
        <v>5155</v>
      </c>
      <c r="C5696" s="305" t="s">
        <v>521</v>
      </c>
      <c r="D5696" s="575">
        <v>58.58</v>
      </c>
    </row>
    <row r="5697" spans="1:4" ht="13.5" x14ac:dyDescent="0.25">
      <c r="A5697" s="306">
        <v>88786</v>
      </c>
      <c r="B5697" s="305" t="s">
        <v>5156</v>
      </c>
      <c r="C5697" s="305" t="s">
        <v>521</v>
      </c>
      <c r="D5697" s="575">
        <v>297.52999999999997</v>
      </c>
    </row>
    <row r="5698" spans="1:4" ht="13.5" x14ac:dyDescent="0.25">
      <c r="A5698" s="306">
        <v>88787</v>
      </c>
      <c r="B5698" s="305" t="s">
        <v>5157</v>
      </c>
      <c r="C5698" s="305" t="s">
        <v>521</v>
      </c>
      <c r="D5698" s="575">
        <v>275.14</v>
      </c>
    </row>
    <row r="5699" spans="1:4" ht="13.5" x14ac:dyDescent="0.25">
      <c r="A5699" s="306">
        <v>88788</v>
      </c>
      <c r="B5699" s="305" t="s">
        <v>5158</v>
      </c>
      <c r="C5699" s="305" t="s">
        <v>521</v>
      </c>
      <c r="D5699" s="575">
        <v>285.82</v>
      </c>
    </row>
    <row r="5700" spans="1:4" ht="13.5" x14ac:dyDescent="0.25">
      <c r="A5700" s="306">
        <v>88789</v>
      </c>
      <c r="B5700" s="305" t="s">
        <v>5159</v>
      </c>
      <c r="C5700" s="305" t="s">
        <v>521</v>
      </c>
      <c r="D5700" s="575">
        <v>344.68</v>
      </c>
    </row>
    <row r="5701" spans="1:4" ht="13.5" x14ac:dyDescent="0.25">
      <c r="A5701" s="306">
        <v>89045</v>
      </c>
      <c r="B5701" s="305" t="s">
        <v>5160</v>
      </c>
      <c r="C5701" s="305" t="s">
        <v>521</v>
      </c>
      <c r="D5701" s="575">
        <v>52.11</v>
      </c>
    </row>
    <row r="5702" spans="1:4" ht="13.5" x14ac:dyDescent="0.25">
      <c r="A5702" s="306">
        <v>89170</v>
      </c>
      <c r="B5702" s="305" t="s">
        <v>5161</v>
      </c>
      <c r="C5702" s="305" t="s">
        <v>521</v>
      </c>
      <c r="D5702" s="575">
        <v>50.41</v>
      </c>
    </row>
    <row r="5703" spans="1:4" ht="13.5" x14ac:dyDescent="0.25">
      <c r="A5703" s="306">
        <v>93392</v>
      </c>
      <c r="B5703" s="305" t="s">
        <v>5162</v>
      </c>
      <c r="C5703" s="305" t="s">
        <v>521</v>
      </c>
      <c r="D5703" s="575">
        <v>41.72</v>
      </c>
    </row>
    <row r="5704" spans="1:4" ht="13.5" x14ac:dyDescent="0.25">
      <c r="A5704" s="306">
        <v>93393</v>
      </c>
      <c r="B5704" s="305" t="s">
        <v>5163</v>
      </c>
      <c r="C5704" s="305" t="s">
        <v>521</v>
      </c>
      <c r="D5704" s="575">
        <v>35.04</v>
      </c>
    </row>
    <row r="5705" spans="1:4" ht="13.5" x14ac:dyDescent="0.25">
      <c r="A5705" s="306">
        <v>93394</v>
      </c>
      <c r="B5705" s="305" t="s">
        <v>5164</v>
      </c>
      <c r="C5705" s="305" t="s">
        <v>521</v>
      </c>
      <c r="D5705" s="575">
        <v>44.15</v>
      </c>
    </row>
    <row r="5706" spans="1:4" ht="13.5" x14ac:dyDescent="0.25">
      <c r="A5706" s="306">
        <v>93395</v>
      </c>
      <c r="B5706" s="305" t="s">
        <v>5165</v>
      </c>
      <c r="C5706" s="305" t="s">
        <v>521</v>
      </c>
      <c r="D5706" s="575">
        <v>41.12</v>
      </c>
    </row>
    <row r="5707" spans="1:4" ht="13.5" x14ac:dyDescent="0.25">
      <c r="A5707" s="306">
        <v>99194</v>
      </c>
      <c r="B5707" s="305" t="s">
        <v>5166</v>
      </c>
      <c r="C5707" s="305" t="s">
        <v>521</v>
      </c>
      <c r="D5707" s="575">
        <v>47.75</v>
      </c>
    </row>
    <row r="5708" spans="1:4" ht="13.5" x14ac:dyDescent="0.25">
      <c r="A5708" s="306">
        <v>99195</v>
      </c>
      <c r="B5708" s="305" t="s">
        <v>5167</v>
      </c>
      <c r="C5708" s="305" t="s">
        <v>521</v>
      </c>
      <c r="D5708" s="575">
        <v>41.07</v>
      </c>
    </row>
    <row r="5709" spans="1:4" ht="13.5" x14ac:dyDescent="0.25">
      <c r="A5709" s="306">
        <v>99196</v>
      </c>
      <c r="B5709" s="305" t="s">
        <v>5168</v>
      </c>
      <c r="C5709" s="305" t="s">
        <v>521</v>
      </c>
      <c r="D5709" s="575">
        <v>50.18</v>
      </c>
    </row>
    <row r="5710" spans="1:4" ht="13.5" x14ac:dyDescent="0.25">
      <c r="A5710" s="306">
        <v>99198</v>
      </c>
      <c r="B5710" s="305" t="s">
        <v>5169</v>
      </c>
      <c r="C5710" s="305" t="s">
        <v>521</v>
      </c>
      <c r="D5710" s="575">
        <v>47.15</v>
      </c>
    </row>
    <row r="5711" spans="1:4" ht="13.5" x14ac:dyDescent="0.25">
      <c r="A5711" s="306">
        <v>84088</v>
      </c>
      <c r="B5711" s="305" t="s">
        <v>5170</v>
      </c>
      <c r="C5711" s="305" t="s">
        <v>282</v>
      </c>
      <c r="D5711" s="575">
        <v>115.95</v>
      </c>
    </row>
    <row r="5712" spans="1:4" ht="13.5" x14ac:dyDescent="0.25">
      <c r="A5712" s="306">
        <v>84089</v>
      </c>
      <c r="B5712" s="305" t="s">
        <v>5171</v>
      </c>
      <c r="C5712" s="305" t="s">
        <v>282</v>
      </c>
      <c r="D5712" s="575">
        <v>163.35</v>
      </c>
    </row>
    <row r="5713" spans="1:4" ht="13.5" x14ac:dyDescent="0.25">
      <c r="A5713" s="306">
        <v>40675</v>
      </c>
      <c r="B5713" s="305" t="s">
        <v>5172</v>
      </c>
      <c r="C5713" s="305" t="s">
        <v>282</v>
      </c>
      <c r="D5713" s="575">
        <v>4.3899999999999997</v>
      </c>
    </row>
    <row r="5714" spans="1:4" ht="13.5" x14ac:dyDescent="0.25">
      <c r="A5714" s="306">
        <v>96112</v>
      </c>
      <c r="B5714" s="305" t="s">
        <v>5173</v>
      </c>
      <c r="C5714" s="305" t="s">
        <v>521</v>
      </c>
      <c r="D5714" s="575">
        <v>85.93</v>
      </c>
    </row>
    <row r="5715" spans="1:4" ht="13.5" x14ac:dyDescent="0.25">
      <c r="A5715" s="306">
        <v>96117</v>
      </c>
      <c r="B5715" s="305" t="s">
        <v>5174</v>
      </c>
      <c r="C5715" s="305" t="s">
        <v>521</v>
      </c>
      <c r="D5715" s="575">
        <v>96.83</v>
      </c>
    </row>
    <row r="5716" spans="1:4" ht="13.5" x14ac:dyDescent="0.25">
      <c r="A5716" s="306">
        <v>96122</v>
      </c>
      <c r="B5716" s="305" t="s">
        <v>5175</v>
      </c>
      <c r="C5716" s="305" t="s">
        <v>282</v>
      </c>
      <c r="D5716" s="575">
        <v>22.53</v>
      </c>
    </row>
    <row r="5717" spans="1:4" ht="13.5" x14ac:dyDescent="0.25">
      <c r="A5717" s="306">
        <v>96109</v>
      </c>
      <c r="B5717" s="305" t="s">
        <v>5176</v>
      </c>
      <c r="C5717" s="305" t="s">
        <v>521</v>
      </c>
      <c r="D5717" s="575">
        <v>37.6</v>
      </c>
    </row>
    <row r="5718" spans="1:4" ht="13.5" x14ac:dyDescent="0.25">
      <c r="A5718" s="306">
        <v>96110</v>
      </c>
      <c r="B5718" s="305" t="s">
        <v>5177</v>
      </c>
      <c r="C5718" s="305" t="s">
        <v>521</v>
      </c>
      <c r="D5718" s="575">
        <v>55.96</v>
      </c>
    </row>
    <row r="5719" spans="1:4" ht="13.5" x14ac:dyDescent="0.25">
      <c r="A5719" s="306">
        <v>96113</v>
      </c>
      <c r="B5719" s="305" t="s">
        <v>5178</v>
      </c>
      <c r="C5719" s="305" t="s">
        <v>521</v>
      </c>
      <c r="D5719" s="575">
        <v>33.49</v>
      </c>
    </row>
    <row r="5720" spans="1:4" ht="13.5" x14ac:dyDescent="0.25">
      <c r="A5720" s="306">
        <v>96114</v>
      </c>
      <c r="B5720" s="305" t="s">
        <v>5179</v>
      </c>
      <c r="C5720" s="305" t="s">
        <v>521</v>
      </c>
      <c r="D5720" s="575">
        <v>56.25</v>
      </c>
    </row>
    <row r="5721" spans="1:4" ht="13.5" x14ac:dyDescent="0.25">
      <c r="A5721" s="306">
        <v>96120</v>
      </c>
      <c r="B5721" s="305" t="s">
        <v>5180</v>
      </c>
      <c r="C5721" s="305" t="s">
        <v>282</v>
      </c>
      <c r="D5721" s="575">
        <v>2.58</v>
      </c>
    </row>
    <row r="5722" spans="1:4" ht="13.5" x14ac:dyDescent="0.25">
      <c r="A5722" s="306">
        <v>96123</v>
      </c>
      <c r="B5722" s="305" t="s">
        <v>5181</v>
      </c>
      <c r="C5722" s="305" t="s">
        <v>282</v>
      </c>
      <c r="D5722" s="575">
        <v>22.75</v>
      </c>
    </row>
    <row r="5723" spans="1:4" ht="13.5" x14ac:dyDescent="0.25">
      <c r="A5723" s="306">
        <v>99054</v>
      </c>
      <c r="B5723" s="305" t="s">
        <v>5182</v>
      </c>
      <c r="C5723" s="305" t="s">
        <v>521</v>
      </c>
      <c r="D5723" s="575">
        <v>46.03</v>
      </c>
    </row>
    <row r="5724" spans="1:4" ht="13.5" x14ac:dyDescent="0.25">
      <c r="A5724" s="305" t="s">
        <v>5183</v>
      </c>
      <c r="B5724" s="305" t="s">
        <v>5184</v>
      </c>
      <c r="C5724" s="305" t="s">
        <v>282</v>
      </c>
      <c r="D5724" s="575">
        <v>103.76</v>
      </c>
    </row>
    <row r="5725" spans="1:4" ht="13.5" x14ac:dyDescent="0.25">
      <c r="A5725" s="306">
        <v>96111</v>
      </c>
      <c r="B5725" s="305" t="s">
        <v>5185</v>
      </c>
      <c r="C5725" s="305" t="s">
        <v>521</v>
      </c>
      <c r="D5725" s="575">
        <v>38.33</v>
      </c>
    </row>
    <row r="5726" spans="1:4" ht="13.5" x14ac:dyDescent="0.25">
      <c r="A5726" s="306">
        <v>96116</v>
      </c>
      <c r="B5726" s="305" t="s">
        <v>5186</v>
      </c>
      <c r="C5726" s="305" t="s">
        <v>521</v>
      </c>
      <c r="D5726" s="575">
        <v>41.03</v>
      </c>
    </row>
    <row r="5727" spans="1:4" ht="13.5" x14ac:dyDescent="0.25">
      <c r="A5727" s="306">
        <v>96121</v>
      </c>
      <c r="B5727" s="305" t="s">
        <v>5187</v>
      </c>
      <c r="C5727" s="305" t="s">
        <v>282</v>
      </c>
      <c r="D5727" s="575">
        <v>7.89</v>
      </c>
    </row>
    <row r="5728" spans="1:4" ht="13.5" x14ac:dyDescent="0.25">
      <c r="A5728" s="306">
        <v>96485</v>
      </c>
      <c r="B5728" s="305" t="s">
        <v>5188</v>
      </c>
      <c r="C5728" s="305" t="s">
        <v>521</v>
      </c>
      <c r="D5728" s="575">
        <v>44.26</v>
      </c>
    </row>
    <row r="5729" spans="1:4" ht="13.5" x14ac:dyDescent="0.25">
      <c r="A5729" s="306">
        <v>96486</v>
      </c>
      <c r="B5729" s="305" t="s">
        <v>5189</v>
      </c>
      <c r="C5729" s="305" t="s">
        <v>521</v>
      </c>
      <c r="D5729" s="575">
        <v>47.32</v>
      </c>
    </row>
    <row r="5730" spans="1:4" ht="13.5" x14ac:dyDescent="0.25">
      <c r="A5730" s="306">
        <v>91514</v>
      </c>
      <c r="B5730" s="305" t="s">
        <v>5190</v>
      </c>
      <c r="C5730" s="305" t="s">
        <v>521</v>
      </c>
      <c r="D5730" s="575">
        <v>5.4</v>
      </c>
    </row>
    <row r="5731" spans="1:4" ht="13.5" x14ac:dyDescent="0.25">
      <c r="A5731" s="306">
        <v>91515</v>
      </c>
      <c r="B5731" s="305" t="s">
        <v>5191</v>
      </c>
      <c r="C5731" s="305" t="s">
        <v>521</v>
      </c>
      <c r="D5731" s="575">
        <v>7.14</v>
      </c>
    </row>
    <row r="5732" spans="1:4" ht="13.5" x14ac:dyDescent="0.25">
      <c r="A5732" s="306">
        <v>91516</v>
      </c>
      <c r="B5732" s="305" t="s">
        <v>5192</v>
      </c>
      <c r="C5732" s="305" t="s">
        <v>521</v>
      </c>
      <c r="D5732" s="575">
        <v>10.42</v>
      </c>
    </row>
    <row r="5733" spans="1:4" ht="13.5" x14ac:dyDescent="0.25">
      <c r="A5733" s="306">
        <v>91517</v>
      </c>
      <c r="B5733" s="305" t="s">
        <v>5193</v>
      </c>
      <c r="C5733" s="305" t="s">
        <v>521</v>
      </c>
      <c r="D5733" s="575">
        <v>11.61</v>
      </c>
    </row>
    <row r="5734" spans="1:4" ht="13.5" x14ac:dyDescent="0.25">
      <c r="A5734" s="306">
        <v>91519</v>
      </c>
      <c r="B5734" s="305" t="s">
        <v>5194</v>
      </c>
      <c r="C5734" s="305" t="s">
        <v>521</v>
      </c>
      <c r="D5734" s="575">
        <v>13.33</v>
      </c>
    </row>
    <row r="5735" spans="1:4" ht="13.5" x14ac:dyDescent="0.25">
      <c r="A5735" s="306">
        <v>91520</v>
      </c>
      <c r="B5735" s="305" t="s">
        <v>5195</v>
      </c>
      <c r="C5735" s="305" t="s">
        <v>521</v>
      </c>
      <c r="D5735" s="575">
        <v>1.95</v>
      </c>
    </row>
    <row r="5736" spans="1:4" ht="13.5" x14ac:dyDescent="0.25">
      <c r="A5736" s="306">
        <v>91522</v>
      </c>
      <c r="B5736" s="305" t="s">
        <v>5196</v>
      </c>
      <c r="C5736" s="305" t="s">
        <v>521</v>
      </c>
      <c r="D5736" s="575">
        <v>2.34</v>
      </c>
    </row>
    <row r="5737" spans="1:4" ht="13.5" x14ac:dyDescent="0.25">
      <c r="A5737" s="306">
        <v>91525</v>
      </c>
      <c r="B5737" s="305" t="s">
        <v>5197</v>
      </c>
      <c r="C5737" s="305" t="s">
        <v>521</v>
      </c>
      <c r="D5737" s="575">
        <v>4.3</v>
      </c>
    </row>
    <row r="5738" spans="1:4" ht="13.5" x14ac:dyDescent="0.25">
      <c r="A5738" s="306">
        <v>87280</v>
      </c>
      <c r="B5738" s="305" t="s">
        <v>11397</v>
      </c>
      <c r="C5738" s="305" t="s">
        <v>1456</v>
      </c>
      <c r="D5738" s="575">
        <v>348.54</v>
      </c>
    </row>
    <row r="5739" spans="1:4" ht="13.5" x14ac:dyDescent="0.25">
      <c r="A5739" s="306">
        <v>87281</v>
      </c>
      <c r="B5739" s="305" t="s">
        <v>11398</v>
      </c>
      <c r="C5739" s="305" t="s">
        <v>1456</v>
      </c>
      <c r="D5739" s="575">
        <v>343.77</v>
      </c>
    </row>
    <row r="5740" spans="1:4" ht="13.5" x14ac:dyDescent="0.25">
      <c r="A5740" s="306">
        <v>87283</v>
      </c>
      <c r="B5740" s="305" t="s">
        <v>11399</v>
      </c>
      <c r="C5740" s="305" t="s">
        <v>1456</v>
      </c>
      <c r="D5740" s="575">
        <v>365.29</v>
      </c>
    </row>
    <row r="5741" spans="1:4" ht="13.5" x14ac:dyDescent="0.25">
      <c r="A5741" s="306">
        <v>87284</v>
      </c>
      <c r="B5741" s="305" t="s">
        <v>11400</v>
      </c>
      <c r="C5741" s="305" t="s">
        <v>1456</v>
      </c>
      <c r="D5741" s="575">
        <v>359.77</v>
      </c>
    </row>
    <row r="5742" spans="1:4" ht="13.5" x14ac:dyDescent="0.25">
      <c r="A5742" s="306">
        <v>87286</v>
      </c>
      <c r="B5742" s="305" t="s">
        <v>11401</v>
      </c>
      <c r="C5742" s="305" t="s">
        <v>1456</v>
      </c>
      <c r="D5742" s="575">
        <v>456.28</v>
      </c>
    </row>
    <row r="5743" spans="1:4" ht="13.5" x14ac:dyDescent="0.25">
      <c r="A5743" s="306">
        <v>87287</v>
      </c>
      <c r="B5743" s="305" t="s">
        <v>11402</v>
      </c>
      <c r="C5743" s="305" t="s">
        <v>1456</v>
      </c>
      <c r="D5743" s="575">
        <v>443.23</v>
      </c>
    </row>
    <row r="5744" spans="1:4" ht="13.5" x14ac:dyDescent="0.25">
      <c r="A5744" s="306">
        <v>87289</v>
      </c>
      <c r="B5744" s="305" t="s">
        <v>11403</v>
      </c>
      <c r="C5744" s="305" t="s">
        <v>1456</v>
      </c>
      <c r="D5744" s="575">
        <v>435.33</v>
      </c>
    </row>
    <row r="5745" spans="1:4" ht="13.5" x14ac:dyDescent="0.25">
      <c r="A5745" s="306">
        <v>87290</v>
      </c>
      <c r="B5745" s="305" t="s">
        <v>11404</v>
      </c>
      <c r="C5745" s="305" t="s">
        <v>1456</v>
      </c>
      <c r="D5745" s="575">
        <v>428.29</v>
      </c>
    </row>
    <row r="5746" spans="1:4" ht="13.5" x14ac:dyDescent="0.25">
      <c r="A5746" s="306">
        <v>87292</v>
      </c>
      <c r="B5746" s="305" t="s">
        <v>11405</v>
      </c>
      <c r="C5746" s="305" t="s">
        <v>1456</v>
      </c>
      <c r="D5746" s="575">
        <v>444.55</v>
      </c>
    </row>
    <row r="5747" spans="1:4" ht="13.5" x14ac:dyDescent="0.25">
      <c r="A5747" s="306">
        <v>87294</v>
      </c>
      <c r="B5747" s="305" t="s">
        <v>11406</v>
      </c>
      <c r="C5747" s="305" t="s">
        <v>1456</v>
      </c>
      <c r="D5747" s="575">
        <v>421.56</v>
      </c>
    </row>
    <row r="5748" spans="1:4" ht="13.5" x14ac:dyDescent="0.25">
      <c r="A5748" s="306">
        <v>87295</v>
      </c>
      <c r="B5748" s="305" t="s">
        <v>11407</v>
      </c>
      <c r="C5748" s="305" t="s">
        <v>1456</v>
      </c>
      <c r="D5748" s="575">
        <v>426.19</v>
      </c>
    </row>
    <row r="5749" spans="1:4" ht="13.5" x14ac:dyDescent="0.25">
      <c r="A5749" s="306">
        <v>87296</v>
      </c>
      <c r="B5749" s="305" t="s">
        <v>11408</v>
      </c>
      <c r="C5749" s="305" t="s">
        <v>1456</v>
      </c>
      <c r="D5749" s="575">
        <v>405.39</v>
      </c>
    </row>
    <row r="5750" spans="1:4" ht="13.5" x14ac:dyDescent="0.25">
      <c r="A5750" s="306">
        <v>87298</v>
      </c>
      <c r="B5750" s="305" t="s">
        <v>11409</v>
      </c>
      <c r="C5750" s="305" t="s">
        <v>1456</v>
      </c>
      <c r="D5750" s="575">
        <v>571.11</v>
      </c>
    </row>
    <row r="5751" spans="1:4" ht="13.5" x14ac:dyDescent="0.25">
      <c r="A5751" s="306">
        <v>87299</v>
      </c>
      <c r="B5751" s="305" t="s">
        <v>11410</v>
      </c>
      <c r="C5751" s="305" t="s">
        <v>1456</v>
      </c>
      <c r="D5751" s="575">
        <v>356.1</v>
      </c>
    </row>
    <row r="5752" spans="1:4" ht="13.5" x14ac:dyDescent="0.25">
      <c r="A5752" s="306">
        <v>87301</v>
      </c>
      <c r="B5752" s="305" t="s">
        <v>11411</v>
      </c>
      <c r="C5752" s="305" t="s">
        <v>1456</v>
      </c>
      <c r="D5752" s="575">
        <v>503.94</v>
      </c>
    </row>
    <row r="5753" spans="1:4" ht="13.5" x14ac:dyDescent="0.25">
      <c r="A5753" s="306">
        <v>87302</v>
      </c>
      <c r="B5753" s="305" t="s">
        <v>11412</v>
      </c>
      <c r="C5753" s="305" t="s">
        <v>1456</v>
      </c>
      <c r="D5753" s="575">
        <v>496.95</v>
      </c>
    </row>
    <row r="5754" spans="1:4" ht="13.5" x14ac:dyDescent="0.25">
      <c r="A5754" s="306">
        <v>87304</v>
      </c>
      <c r="B5754" s="305" t="s">
        <v>11413</v>
      </c>
      <c r="C5754" s="305" t="s">
        <v>1456</v>
      </c>
      <c r="D5754" s="575">
        <v>449.63</v>
      </c>
    </row>
    <row r="5755" spans="1:4" ht="13.5" x14ac:dyDescent="0.25">
      <c r="A5755" s="306">
        <v>87305</v>
      </c>
      <c r="B5755" s="305" t="s">
        <v>11414</v>
      </c>
      <c r="C5755" s="305" t="s">
        <v>1456</v>
      </c>
      <c r="D5755" s="575">
        <v>451.27</v>
      </c>
    </row>
    <row r="5756" spans="1:4" ht="13.5" x14ac:dyDescent="0.25">
      <c r="A5756" s="306">
        <v>87307</v>
      </c>
      <c r="B5756" s="305" t="s">
        <v>11415</v>
      </c>
      <c r="C5756" s="305" t="s">
        <v>1456</v>
      </c>
      <c r="D5756" s="575">
        <v>421.84</v>
      </c>
    </row>
    <row r="5757" spans="1:4" ht="13.5" x14ac:dyDescent="0.25">
      <c r="A5757" s="306">
        <v>87308</v>
      </c>
      <c r="B5757" s="305" t="s">
        <v>11416</v>
      </c>
      <c r="C5757" s="305" t="s">
        <v>1456</v>
      </c>
      <c r="D5757" s="575">
        <v>414.23</v>
      </c>
    </row>
    <row r="5758" spans="1:4" ht="13.5" x14ac:dyDescent="0.25">
      <c r="A5758" s="306">
        <v>87310</v>
      </c>
      <c r="B5758" s="305" t="s">
        <v>11417</v>
      </c>
      <c r="C5758" s="305" t="s">
        <v>1456</v>
      </c>
      <c r="D5758" s="575">
        <v>358.58</v>
      </c>
    </row>
    <row r="5759" spans="1:4" ht="13.5" x14ac:dyDescent="0.25">
      <c r="A5759" s="306">
        <v>87311</v>
      </c>
      <c r="B5759" s="305" t="s">
        <v>11418</v>
      </c>
      <c r="C5759" s="305" t="s">
        <v>1456</v>
      </c>
      <c r="D5759" s="575">
        <v>350.83</v>
      </c>
    </row>
    <row r="5760" spans="1:4" ht="13.5" x14ac:dyDescent="0.25">
      <c r="A5760" s="306">
        <v>87313</v>
      </c>
      <c r="B5760" s="305" t="s">
        <v>11419</v>
      </c>
      <c r="C5760" s="305" t="s">
        <v>1456</v>
      </c>
      <c r="D5760" s="575">
        <v>447.31</v>
      </c>
    </row>
    <row r="5761" spans="1:4" ht="13.5" x14ac:dyDescent="0.25">
      <c r="A5761" s="306">
        <v>87314</v>
      </c>
      <c r="B5761" s="305" t="s">
        <v>11420</v>
      </c>
      <c r="C5761" s="305" t="s">
        <v>1456</v>
      </c>
      <c r="D5761" s="575">
        <v>441.29</v>
      </c>
    </row>
    <row r="5762" spans="1:4" ht="13.5" x14ac:dyDescent="0.25">
      <c r="A5762" s="306">
        <v>87316</v>
      </c>
      <c r="B5762" s="305" t="s">
        <v>11421</v>
      </c>
      <c r="C5762" s="305" t="s">
        <v>1456</v>
      </c>
      <c r="D5762" s="575">
        <v>399.07</v>
      </c>
    </row>
    <row r="5763" spans="1:4" ht="13.5" x14ac:dyDescent="0.25">
      <c r="A5763" s="306">
        <v>87317</v>
      </c>
      <c r="B5763" s="305" t="s">
        <v>11422</v>
      </c>
      <c r="C5763" s="305" t="s">
        <v>1456</v>
      </c>
      <c r="D5763" s="575">
        <v>387.84</v>
      </c>
    </row>
    <row r="5764" spans="1:4" ht="13.5" x14ac:dyDescent="0.25">
      <c r="A5764" s="306">
        <v>87319</v>
      </c>
      <c r="B5764" s="305" t="s">
        <v>11423</v>
      </c>
      <c r="C5764" s="305" t="s">
        <v>1456</v>
      </c>
      <c r="D5764" s="576">
        <v>2001.79</v>
      </c>
    </row>
    <row r="5765" spans="1:4" ht="13.5" x14ac:dyDescent="0.25">
      <c r="A5765" s="306">
        <v>87320</v>
      </c>
      <c r="B5765" s="305" t="s">
        <v>11424</v>
      </c>
      <c r="C5765" s="305" t="s">
        <v>1456</v>
      </c>
      <c r="D5765" s="576">
        <v>2003.33</v>
      </c>
    </row>
    <row r="5766" spans="1:4" ht="13.5" x14ac:dyDescent="0.25">
      <c r="A5766" s="306">
        <v>87322</v>
      </c>
      <c r="B5766" s="305" t="s">
        <v>11425</v>
      </c>
      <c r="C5766" s="305" t="s">
        <v>1456</v>
      </c>
      <c r="D5766" s="576">
        <v>2093.0300000000002</v>
      </c>
    </row>
    <row r="5767" spans="1:4" ht="13.5" x14ac:dyDescent="0.25">
      <c r="A5767" s="306">
        <v>87323</v>
      </c>
      <c r="B5767" s="305" t="s">
        <v>11426</v>
      </c>
      <c r="C5767" s="305" t="s">
        <v>1456</v>
      </c>
      <c r="D5767" s="576">
        <v>2089.27</v>
      </c>
    </row>
    <row r="5768" spans="1:4" ht="13.5" x14ac:dyDescent="0.25">
      <c r="A5768" s="306">
        <v>87325</v>
      </c>
      <c r="B5768" s="305" t="s">
        <v>11427</v>
      </c>
      <c r="C5768" s="305" t="s">
        <v>1456</v>
      </c>
      <c r="D5768" s="576">
        <v>2030.35</v>
      </c>
    </row>
    <row r="5769" spans="1:4" ht="13.5" x14ac:dyDescent="0.25">
      <c r="A5769" s="306">
        <v>87326</v>
      </c>
      <c r="B5769" s="305" t="s">
        <v>11428</v>
      </c>
      <c r="C5769" s="305" t="s">
        <v>1456</v>
      </c>
      <c r="D5769" s="576">
        <v>2030.8</v>
      </c>
    </row>
    <row r="5770" spans="1:4" ht="13.5" x14ac:dyDescent="0.25">
      <c r="A5770" s="306">
        <v>87327</v>
      </c>
      <c r="B5770" s="305" t="s">
        <v>11429</v>
      </c>
      <c r="C5770" s="305" t="s">
        <v>1456</v>
      </c>
      <c r="D5770" s="575">
        <v>365.07</v>
      </c>
    </row>
    <row r="5771" spans="1:4" ht="13.5" x14ac:dyDescent="0.25">
      <c r="A5771" s="306">
        <v>87328</v>
      </c>
      <c r="B5771" s="305" t="s">
        <v>11430</v>
      </c>
      <c r="C5771" s="305" t="s">
        <v>1456</v>
      </c>
      <c r="D5771" s="575">
        <v>322.14</v>
      </c>
    </row>
    <row r="5772" spans="1:4" ht="13.5" x14ac:dyDescent="0.25">
      <c r="A5772" s="306">
        <v>87329</v>
      </c>
      <c r="B5772" s="305" t="s">
        <v>11431</v>
      </c>
      <c r="C5772" s="305" t="s">
        <v>1456</v>
      </c>
      <c r="D5772" s="575">
        <v>395.29</v>
      </c>
    </row>
    <row r="5773" spans="1:4" ht="13.5" x14ac:dyDescent="0.25">
      <c r="A5773" s="306">
        <v>87330</v>
      </c>
      <c r="B5773" s="305" t="s">
        <v>11432</v>
      </c>
      <c r="C5773" s="305" t="s">
        <v>1456</v>
      </c>
      <c r="D5773" s="575">
        <v>346.5</v>
      </c>
    </row>
    <row r="5774" spans="1:4" ht="13.5" x14ac:dyDescent="0.25">
      <c r="A5774" s="306">
        <v>87331</v>
      </c>
      <c r="B5774" s="305" t="s">
        <v>11433</v>
      </c>
      <c r="C5774" s="305" t="s">
        <v>1456</v>
      </c>
      <c r="D5774" s="575">
        <v>471.72</v>
      </c>
    </row>
    <row r="5775" spans="1:4" ht="13.5" x14ac:dyDescent="0.25">
      <c r="A5775" s="306">
        <v>87332</v>
      </c>
      <c r="B5775" s="305" t="s">
        <v>11434</v>
      </c>
      <c r="C5775" s="305" t="s">
        <v>1456</v>
      </c>
      <c r="D5775" s="575">
        <v>427.27</v>
      </c>
    </row>
    <row r="5776" spans="1:4" ht="13.5" x14ac:dyDescent="0.25">
      <c r="A5776" s="306">
        <v>87333</v>
      </c>
      <c r="B5776" s="305" t="s">
        <v>11435</v>
      </c>
      <c r="C5776" s="305" t="s">
        <v>1456</v>
      </c>
      <c r="D5776" s="575">
        <v>437.76</v>
      </c>
    </row>
    <row r="5777" spans="1:4" ht="13.5" x14ac:dyDescent="0.25">
      <c r="A5777" s="306">
        <v>87334</v>
      </c>
      <c r="B5777" s="305" t="s">
        <v>11436</v>
      </c>
      <c r="C5777" s="305" t="s">
        <v>1456</v>
      </c>
      <c r="D5777" s="575">
        <v>410.8</v>
      </c>
    </row>
    <row r="5778" spans="1:4" ht="13.5" x14ac:dyDescent="0.25">
      <c r="A5778" s="306">
        <v>87335</v>
      </c>
      <c r="B5778" s="305" t="s">
        <v>11437</v>
      </c>
      <c r="C5778" s="305" t="s">
        <v>1456</v>
      </c>
      <c r="D5778" s="575">
        <v>432.45</v>
      </c>
    </row>
    <row r="5779" spans="1:4" ht="13.5" x14ac:dyDescent="0.25">
      <c r="A5779" s="306">
        <v>87336</v>
      </c>
      <c r="B5779" s="305" t="s">
        <v>11438</v>
      </c>
      <c r="C5779" s="305" t="s">
        <v>1456</v>
      </c>
      <c r="D5779" s="575">
        <v>423.51</v>
      </c>
    </row>
    <row r="5780" spans="1:4" ht="13.5" x14ac:dyDescent="0.25">
      <c r="A5780" s="306">
        <v>87337</v>
      </c>
      <c r="B5780" s="305" t="s">
        <v>11439</v>
      </c>
      <c r="C5780" s="305" t="s">
        <v>1456</v>
      </c>
      <c r="D5780" s="575">
        <v>422.86</v>
      </c>
    </row>
    <row r="5781" spans="1:4" ht="13.5" x14ac:dyDescent="0.25">
      <c r="A5781" s="306">
        <v>87338</v>
      </c>
      <c r="B5781" s="305" t="s">
        <v>11440</v>
      </c>
      <c r="C5781" s="305" t="s">
        <v>1456</v>
      </c>
      <c r="D5781" s="575">
        <v>404.01</v>
      </c>
    </row>
    <row r="5782" spans="1:4" ht="13.5" x14ac:dyDescent="0.25">
      <c r="A5782" s="306">
        <v>87339</v>
      </c>
      <c r="B5782" s="305" t="s">
        <v>11441</v>
      </c>
      <c r="C5782" s="305" t="s">
        <v>1456</v>
      </c>
      <c r="D5782" s="575">
        <v>658.36</v>
      </c>
    </row>
    <row r="5783" spans="1:4" ht="13.5" x14ac:dyDescent="0.25">
      <c r="A5783" s="306">
        <v>87340</v>
      </c>
      <c r="B5783" s="305" t="s">
        <v>11442</v>
      </c>
      <c r="C5783" s="305" t="s">
        <v>1456</v>
      </c>
      <c r="D5783" s="575">
        <v>567.27</v>
      </c>
    </row>
    <row r="5784" spans="1:4" ht="13.5" x14ac:dyDescent="0.25">
      <c r="A5784" s="306">
        <v>87341</v>
      </c>
      <c r="B5784" s="305" t="s">
        <v>11443</v>
      </c>
      <c r="C5784" s="305" t="s">
        <v>1456</v>
      </c>
      <c r="D5784" s="575">
        <v>545.15</v>
      </c>
    </row>
    <row r="5785" spans="1:4" ht="13.5" x14ac:dyDescent="0.25">
      <c r="A5785" s="306">
        <v>87342</v>
      </c>
      <c r="B5785" s="305" t="s">
        <v>11444</v>
      </c>
      <c r="C5785" s="305" t="s">
        <v>1456</v>
      </c>
      <c r="D5785" s="575">
        <v>554.58000000000004</v>
      </c>
    </row>
    <row r="5786" spans="1:4" ht="13.5" x14ac:dyDescent="0.25">
      <c r="A5786" s="306">
        <v>87343</v>
      </c>
      <c r="B5786" s="305" t="s">
        <v>11445</v>
      </c>
      <c r="C5786" s="305" t="s">
        <v>1456</v>
      </c>
      <c r="D5786" s="575">
        <v>503.06</v>
      </c>
    </row>
    <row r="5787" spans="1:4" ht="13.5" x14ac:dyDescent="0.25">
      <c r="A5787" s="306">
        <v>87344</v>
      </c>
      <c r="B5787" s="305" t="s">
        <v>11446</v>
      </c>
      <c r="C5787" s="305" t="s">
        <v>1456</v>
      </c>
      <c r="D5787" s="575">
        <v>475.46</v>
      </c>
    </row>
    <row r="5788" spans="1:4" ht="13.5" x14ac:dyDescent="0.25">
      <c r="A5788" s="306">
        <v>87345</v>
      </c>
      <c r="B5788" s="305" t="s">
        <v>11447</v>
      </c>
      <c r="C5788" s="305" t="s">
        <v>1456</v>
      </c>
      <c r="D5788" s="575">
        <v>492.11</v>
      </c>
    </row>
    <row r="5789" spans="1:4" ht="13.5" x14ac:dyDescent="0.25">
      <c r="A5789" s="306">
        <v>87346</v>
      </c>
      <c r="B5789" s="305" t="s">
        <v>11448</v>
      </c>
      <c r="C5789" s="305" t="s">
        <v>1456</v>
      </c>
      <c r="D5789" s="575">
        <v>449.71</v>
      </c>
    </row>
    <row r="5790" spans="1:4" ht="13.5" x14ac:dyDescent="0.25">
      <c r="A5790" s="306">
        <v>87347</v>
      </c>
      <c r="B5790" s="305" t="s">
        <v>11449</v>
      </c>
      <c r="C5790" s="305" t="s">
        <v>1456</v>
      </c>
      <c r="D5790" s="575">
        <v>427.57</v>
      </c>
    </row>
    <row r="5791" spans="1:4" ht="13.5" x14ac:dyDescent="0.25">
      <c r="A5791" s="306">
        <v>87348</v>
      </c>
      <c r="B5791" s="305" t="s">
        <v>11450</v>
      </c>
      <c r="C5791" s="305" t="s">
        <v>1456</v>
      </c>
      <c r="D5791" s="575">
        <v>445.65</v>
      </c>
    </row>
    <row r="5792" spans="1:4" ht="13.5" x14ac:dyDescent="0.25">
      <c r="A5792" s="306">
        <v>87349</v>
      </c>
      <c r="B5792" s="305" t="s">
        <v>11451</v>
      </c>
      <c r="C5792" s="305" t="s">
        <v>1456</v>
      </c>
      <c r="D5792" s="575">
        <v>390.73</v>
      </c>
    </row>
    <row r="5793" spans="1:4" ht="13.5" x14ac:dyDescent="0.25">
      <c r="A5793" s="306">
        <v>87350</v>
      </c>
      <c r="B5793" s="305" t="s">
        <v>11452</v>
      </c>
      <c r="C5793" s="305" t="s">
        <v>1456</v>
      </c>
      <c r="D5793" s="575">
        <v>391.31</v>
      </c>
    </row>
    <row r="5794" spans="1:4" ht="13.5" x14ac:dyDescent="0.25">
      <c r="A5794" s="306">
        <v>87351</v>
      </c>
      <c r="B5794" s="305" t="s">
        <v>11453</v>
      </c>
      <c r="C5794" s="305" t="s">
        <v>1456</v>
      </c>
      <c r="D5794" s="575">
        <v>338.74</v>
      </c>
    </row>
    <row r="5795" spans="1:4" ht="13.5" x14ac:dyDescent="0.25">
      <c r="A5795" s="306">
        <v>87352</v>
      </c>
      <c r="B5795" s="305" t="s">
        <v>11454</v>
      </c>
      <c r="C5795" s="305" t="s">
        <v>1456</v>
      </c>
      <c r="D5795" s="575">
        <v>505.49</v>
      </c>
    </row>
    <row r="5796" spans="1:4" ht="13.5" x14ac:dyDescent="0.25">
      <c r="A5796" s="306">
        <v>87353</v>
      </c>
      <c r="B5796" s="305" t="s">
        <v>11455</v>
      </c>
      <c r="C5796" s="305" t="s">
        <v>1456</v>
      </c>
      <c r="D5796" s="575">
        <v>449</v>
      </c>
    </row>
    <row r="5797" spans="1:4" ht="13.5" x14ac:dyDescent="0.25">
      <c r="A5797" s="306">
        <v>87354</v>
      </c>
      <c r="B5797" s="305" t="s">
        <v>11456</v>
      </c>
      <c r="C5797" s="305" t="s">
        <v>1456</v>
      </c>
      <c r="D5797" s="575">
        <v>424.67</v>
      </c>
    </row>
    <row r="5798" spans="1:4" ht="13.5" x14ac:dyDescent="0.25">
      <c r="A5798" s="306">
        <v>87355</v>
      </c>
      <c r="B5798" s="305" t="s">
        <v>11457</v>
      </c>
      <c r="C5798" s="305" t="s">
        <v>1456</v>
      </c>
      <c r="D5798" s="575">
        <v>425.87</v>
      </c>
    </row>
    <row r="5799" spans="1:4" ht="13.5" x14ac:dyDescent="0.25">
      <c r="A5799" s="306">
        <v>87356</v>
      </c>
      <c r="B5799" s="305" t="s">
        <v>11458</v>
      </c>
      <c r="C5799" s="305" t="s">
        <v>1456</v>
      </c>
      <c r="D5799" s="575">
        <v>387.96</v>
      </c>
    </row>
    <row r="5800" spans="1:4" ht="13.5" x14ac:dyDescent="0.25">
      <c r="A5800" s="306">
        <v>87357</v>
      </c>
      <c r="B5800" s="305" t="s">
        <v>11459</v>
      </c>
      <c r="C5800" s="305" t="s">
        <v>1456</v>
      </c>
      <c r="D5800" s="575">
        <v>370.14</v>
      </c>
    </row>
    <row r="5801" spans="1:4" ht="13.5" x14ac:dyDescent="0.25">
      <c r="A5801" s="306">
        <v>87358</v>
      </c>
      <c r="B5801" s="305" t="s">
        <v>11460</v>
      </c>
      <c r="C5801" s="305" t="s">
        <v>1456</v>
      </c>
      <c r="D5801" s="576">
        <v>1985.37</v>
      </c>
    </row>
    <row r="5802" spans="1:4" ht="13.5" x14ac:dyDescent="0.25">
      <c r="A5802" s="306">
        <v>87359</v>
      </c>
      <c r="B5802" s="305" t="s">
        <v>11461</v>
      </c>
      <c r="C5802" s="305" t="s">
        <v>1456</v>
      </c>
      <c r="D5802" s="576">
        <v>1962.46</v>
      </c>
    </row>
    <row r="5803" spans="1:4" ht="13.5" x14ac:dyDescent="0.25">
      <c r="A5803" s="306">
        <v>87360</v>
      </c>
      <c r="B5803" s="305" t="s">
        <v>11462</v>
      </c>
      <c r="C5803" s="305" t="s">
        <v>1456</v>
      </c>
      <c r="D5803" s="576">
        <v>2078.5500000000002</v>
      </c>
    </row>
    <row r="5804" spans="1:4" ht="13.5" x14ac:dyDescent="0.25">
      <c r="A5804" s="306">
        <v>87361</v>
      </c>
      <c r="B5804" s="305" t="s">
        <v>11463</v>
      </c>
      <c r="C5804" s="305" t="s">
        <v>1456</v>
      </c>
      <c r="D5804" s="576">
        <v>2042.96</v>
      </c>
    </row>
    <row r="5805" spans="1:4" ht="13.5" x14ac:dyDescent="0.25">
      <c r="A5805" s="306">
        <v>87362</v>
      </c>
      <c r="B5805" s="305" t="s">
        <v>11464</v>
      </c>
      <c r="C5805" s="305" t="s">
        <v>1456</v>
      </c>
      <c r="D5805" s="576">
        <v>2038.47</v>
      </c>
    </row>
    <row r="5806" spans="1:4" ht="13.5" x14ac:dyDescent="0.25">
      <c r="A5806" s="306">
        <v>87363</v>
      </c>
      <c r="B5806" s="305" t="s">
        <v>11465</v>
      </c>
      <c r="C5806" s="305" t="s">
        <v>1456</v>
      </c>
      <c r="D5806" s="576">
        <v>2019.6</v>
      </c>
    </row>
    <row r="5807" spans="1:4" ht="13.5" x14ac:dyDescent="0.25">
      <c r="A5807" s="306">
        <v>87364</v>
      </c>
      <c r="B5807" s="305" t="s">
        <v>11466</v>
      </c>
      <c r="C5807" s="305" t="s">
        <v>1456</v>
      </c>
      <c r="D5807" s="576">
        <v>1993.28</v>
      </c>
    </row>
    <row r="5808" spans="1:4" ht="13.5" x14ac:dyDescent="0.25">
      <c r="A5808" s="306">
        <v>87365</v>
      </c>
      <c r="B5808" s="305" t="s">
        <v>11467</v>
      </c>
      <c r="C5808" s="305" t="s">
        <v>1456</v>
      </c>
      <c r="D5808" s="575">
        <v>447.89</v>
      </c>
    </row>
    <row r="5809" spans="1:4" ht="13.5" x14ac:dyDescent="0.25">
      <c r="A5809" s="306">
        <v>87366</v>
      </c>
      <c r="B5809" s="305" t="s">
        <v>11468</v>
      </c>
      <c r="C5809" s="305" t="s">
        <v>1456</v>
      </c>
      <c r="D5809" s="575">
        <v>476.01</v>
      </c>
    </row>
    <row r="5810" spans="1:4" ht="13.5" x14ac:dyDescent="0.25">
      <c r="A5810" s="306">
        <v>87367</v>
      </c>
      <c r="B5810" s="305" t="s">
        <v>11469</v>
      </c>
      <c r="C5810" s="305" t="s">
        <v>1456</v>
      </c>
      <c r="D5810" s="575">
        <v>556.30999999999995</v>
      </c>
    </row>
    <row r="5811" spans="1:4" ht="13.5" x14ac:dyDescent="0.25">
      <c r="A5811" s="306">
        <v>87368</v>
      </c>
      <c r="B5811" s="305" t="s">
        <v>11470</v>
      </c>
      <c r="C5811" s="305" t="s">
        <v>1456</v>
      </c>
      <c r="D5811" s="575">
        <v>538.5</v>
      </c>
    </row>
    <row r="5812" spans="1:4" ht="13.5" x14ac:dyDescent="0.25">
      <c r="A5812" s="306">
        <v>87369</v>
      </c>
      <c r="B5812" s="305" t="s">
        <v>11471</v>
      </c>
      <c r="C5812" s="305" t="s">
        <v>1456</v>
      </c>
      <c r="D5812" s="575">
        <v>549.97</v>
      </c>
    </row>
    <row r="5813" spans="1:4" ht="13.5" x14ac:dyDescent="0.25">
      <c r="A5813" s="306">
        <v>87370</v>
      </c>
      <c r="B5813" s="305" t="s">
        <v>11472</v>
      </c>
      <c r="C5813" s="305" t="s">
        <v>1456</v>
      </c>
      <c r="D5813" s="575">
        <v>528.08000000000004</v>
      </c>
    </row>
    <row r="5814" spans="1:4" ht="13.5" x14ac:dyDescent="0.25">
      <c r="A5814" s="306">
        <v>87371</v>
      </c>
      <c r="B5814" s="305" t="s">
        <v>11473</v>
      </c>
      <c r="C5814" s="305" t="s">
        <v>1456</v>
      </c>
      <c r="D5814" s="575">
        <v>513.57000000000005</v>
      </c>
    </row>
    <row r="5815" spans="1:4" ht="13.5" x14ac:dyDescent="0.25">
      <c r="A5815" s="306">
        <v>87372</v>
      </c>
      <c r="B5815" s="305" t="s">
        <v>11474</v>
      </c>
      <c r="C5815" s="305" t="s">
        <v>1456</v>
      </c>
      <c r="D5815" s="575">
        <v>684.99</v>
      </c>
    </row>
    <row r="5816" spans="1:4" ht="13.5" x14ac:dyDescent="0.25">
      <c r="A5816" s="306">
        <v>87373</v>
      </c>
      <c r="B5816" s="305" t="s">
        <v>11475</v>
      </c>
      <c r="C5816" s="305" t="s">
        <v>1456</v>
      </c>
      <c r="D5816" s="575">
        <v>603.91999999999996</v>
      </c>
    </row>
    <row r="5817" spans="1:4" ht="13.5" x14ac:dyDescent="0.25">
      <c r="A5817" s="306">
        <v>87374</v>
      </c>
      <c r="B5817" s="305" t="s">
        <v>11476</v>
      </c>
      <c r="C5817" s="305" t="s">
        <v>1456</v>
      </c>
      <c r="D5817" s="575">
        <v>557.16</v>
      </c>
    </row>
    <row r="5818" spans="1:4" ht="13.5" x14ac:dyDescent="0.25">
      <c r="A5818" s="306">
        <v>87375</v>
      </c>
      <c r="B5818" s="305" t="s">
        <v>11477</v>
      </c>
      <c r="C5818" s="305" t="s">
        <v>1456</v>
      </c>
      <c r="D5818" s="575">
        <v>526.51</v>
      </c>
    </row>
    <row r="5819" spans="1:4" ht="13.5" x14ac:dyDescent="0.25">
      <c r="A5819" s="306">
        <v>87376</v>
      </c>
      <c r="B5819" s="305" t="s">
        <v>11478</v>
      </c>
      <c r="C5819" s="305" t="s">
        <v>1456</v>
      </c>
      <c r="D5819" s="575">
        <v>464.77</v>
      </c>
    </row>
    <row r="5820" spans="1:4" ht="13.5" x14ac:dyDescent="0.25">
      <c r="A5820" s="306">
        <v>87377</v>
      </c>
      <c r="B5820" s="305" t="s">
        <v>11479</v>
      </c>
      <c r="C5820" s="305" t="s">
        <v>1456</v>
      </c>
      <c r="D5820" s="575">
        <v>557.23</v>
      </c>
    </row>
    <row r="5821" spans="1:4" ht="13.5" x14ac:dyDescent="0.25">
      <c r="A5821" s="306">
        <v>87378</v>
      </c>
      <c r="B5821" s="305" t="s">
        <v>11480</v>
      </c>
      <c r="C5821" s="305" t="s">
        <v>1456</v>
      </c>
      <c r="D5821" s="575">
        <v>498.02</v>
      </c>
    </row>
    <row r="5822" spans="1:4" ht="13.5" x14ac:dyDescent="0.25">
      <c r="A5822" s="306">
        <v>87379</v>
      </c>
      <c r="B5822" s="305" t="s">
        <v>11481</v>
      </c>
      <c r="C5822" s="305" t="s">
        <v>1456</v>
      </c>
      <c r="D5822" s="576">
        <v>2096.56</v>
      </c>
    </row>
    <row r="5823" spans="1:4" ht="13.5" x14ac:dyDescent="0.25">
      <c r="A5823" s="306">
        <v>87380</v>
      </c>
      <c r="B5823" s="305" t="s">
        <v>11482</v>
      </c>
      <c r="C5823" s="305" t="s">
        <v>1456</v>
      </c>
      <c r="D5823" s="576">
        <v>2178.9499999999998</v>
      </c>
    </row>
    <row r="5824" spans="1:4" ht="13.5" x14ac:dyDescent="0.25">
      <c r="A5824" s="306">
        <v>87381</v>
      </c>
      <c r="B5824" s="305" t="s">
        <v>11483</v>
      </c>
      <c r="C5824" s="305" t="s">
        <v>1456</v>
      </c>
      <c r="D5824" s="576">
        <v>2125.5700000000002</v>
      </c>
    </row>
    <row r="5825" spans="1:4" ht="13.5" x14ac:dyDescent="0.25">
      <c r="A5825" s="306">
        <v>87382</v>
      </c>
      <c r="B5825" s="305" t="s">
        <v>11484</v>
      </c>
      <c r="C5825" s="305" t="s">
        <v>1456</v>
      </c>
      <c r="D5825" s="576">
        <v>1274.04</v>
      </c>
    </row>
    <row r="5826" spans="1:4" ht="13.5" x14ac:dyDescent="0.25">
      <c r="A5826" s="306">
        <v>87383</v>
      </c>
      <c r="B5826" s="305" t="s">
        <v>11485</v>
      </c>
      <c r="C5826" s="305" t="s">
        <v>1456</v>
      </c>
      <c r="D5826" s="576">
        <v>1270.3</v>
      </c>
    </row>
    <row r="5827" spans="1:4" ht="13.5" x14ac:dyDescent="0.25">
      <c r="A5827" s="306">
        <v>87384</v>
      </c>
      <c r="B5827" s="305" t="s">
        <v>11486</v>
      </c>
      <c r="C5827" s="305" t="s">
        <v>1456</v>
      </c>
      <c r="D5827" s="576">
        <v>1264.23</v>
      </c>
    </row>
    <row r="5828" spans="1:4" ht="13.5" x14ac:dyDescent="0.25">
      <c r="A5828" s="306">
        <v>87385</v>
      </c>
      <c r="B5828" s="305" t="s">
        <v>11487</v>
      </c>
      <c r="C5828" s="305" t="s">
        <v>1456</v>
      </c>
      <c r="D5828" s="576">
        <v>1490.35</v>
      </c>
    </row>
    <row r="5829" spans="1:4" ht="13.5" x14ac:dyDescent="0.25">
      <c r="A5829" s="306">
        <v>87386</v>
      </c>
      <c r="B5829" s="305" t="s">
        <v>11488</v>
      </c>
      <c r="C5829" s="305" t="s">
        <v>1456</v>
      </c>
      <c r="D5829" s="576">
        <v>1482.79</v>
      </c>
    </row>
    <row r="5830" spans="1:4" ht="13.5" x14ac:dyDescent="0.25">
      <c r="A5830" s="306">
        <v>87387</v>
      </c>
      <c r="B5830" s="305" t="s">
        <v>11489</v>
      </c>
      <c r="C5830" s="305" t="s">
        <v>1456</v>
      </c>
      <c r="D5830" s="576">
        <v>1478.38</v>
      </c>
    </row>
    <row r="5831" spans="1:4" ht="13.5" x14ac:dyDescent="0.25">
      <c r="A5831" s="306">
        <v>87388</v>
      </c>
      <c r="B5831" s="305" t="s">
        <v>11490</v>
      </c>
      <c r="C5831" s="305" t="s">
        <v>1456</v>
      </c>
      <c r="D5831" s="576">
        <v>3553.69</v>
      </c>
    </row>
    <row r="5832" spans="1:4" ht="13.5" x14ac:dyDescent="0.25">
      <c r="A5832" s="306">
        <v>87389</v>
      </c>
      <c r="B5832" s="305" t="s">
        <v>11491</v>
      </c>
      <c r="C5832" s="305" t="s">
        <v>1456</v>
      </c>
      <c r="D5832" s="576">
        <v>3566.1</v>
      </c>
    </row>
    <row r="5833" spans="1:4" ht="13.5" x14ac:dyDescent="0.25">
      <c r="A5833" s="306">
        <v>87390</v>
      </c>
      <c r="B5833" s="305" t="s">
        <v>11492</v>
      </c>
      <c r="C5833" s="305" t="s">
        <v>1456</v>
      </c>
      <c r="D5833" s="576">
        <v>3583.6</v>
      </c>
    </row>
    <row r="5834" spans="1:4" ht="13.5" x14ac:dyDescent="0.25">
      <c r="A5834" s="306">
        <v>87391</v>
      </c>
      <c r="B5834" s="305" t="s">
        <v>11493</v>
      </c>
      <c r="C5834" s="305" t="s">
        <v>1456</v>
      </c>
      <c r="D5834" s="576">
        <v>3953.44</v>
      </c>
    </row>
    <row r="5835" spans="1:4" ht="13.5" x14ac:dyDescent="0.25">
      <c r="A5835" s="306">
        <v>87393</v>
      </c>
      <c r="B5835" s="305" t="s">
        <v>11494</v>
      </c>
      <c r="C5835" s="305" t="s">
        <v>1456</v>
      </c>
      <c r="D5835" s="576">
        <v>3987.16</v>
      </c>
    </row>
    <row r="5836" spans="1:4" ht="13.5" x14ac:dyDescent="0.25">
      <c r="A5836" s="306">
        <v>87394</v>
      </c>
      <c r="B5836" s="305" t="s">
        <v>11495</v>
      </c>
      <c r="C5836" s="305" t="s">
        <v>1456</v>
      </c>
      <c r="D5836" s="576">
        <v>4021.62</v>
      </c>
    </row>
    <row r="5837" spans="1:4" ht="13.5" x14ac:dyDescent="0.25">
      <c r="A5837" s="306">
        <v>87395</v>
      </c>
      <c r="B5837" s="305" t="s">
        <v>11496</v>
      </c>
      <c r="C5837" s="305" t="s">
        <v>1456</v>
      </c>
      <c r="D5837" s="576">
        <v>2487.21</v>
      </c>
    </row>
    <row r="5838" spans="1:4" ht="13.5" x14ac:dyDescent="0.25">
      <c r="A5838" s="306">
        <v>87396</v>
      </c>
      <c r="B5838" s="305" t="s">
        <v>11497</v>
      </c>
      <c r="C5838" s="305" t="s">
        <v>1456</v>
      </c>
      <c r="D5838" s="576">
        <v>2501.2399999999998</v>
      </c>
    </row>
    <row r="5839" spans="1:4" ht="13.5" x14ac:dyDescent="0.25">
      <c r="A5839" s="306">
        <v>87397</v>
      </c>
      <c r="B5839" s="305" t="s">
        <v>11498</v>
      </c>
      <c r="C5839" s="305" t="s">
        <v>1456</v>
      </c>
      <c r="D5839" s="576">
        <v>2516.88</v>
      </c>
    </row>
    <row r="5840" spans="1:4" ht="13.5" x14ac:dyDescent="0.25">
      <c r="A5840" s="306">
        <v>87398</v>
      </c>
      <c r="B5840" s="305" t="s">
        <v>11499</v>
      </c>
      <c r="C5840" s="305" t="s">
        <v>1456</v>
      </c>
      <c r="D5840" s="576">
        <v>1441.77</v>
      </c>
    </row>
    <row r="5841" spans="1:4" ht="13.5" x14ac:dyDescent="0.25">
      <c r="A5841" s="306">
        <v>87399</v>
      </c>
      <c r="B5841" s="305" t="s">
        <v>11500</v>
      </c>
      <c r="C5841" s="305" t="s">
        <v>1456</v>
      </c>
      <c r="D5841" s="576">
        <v>1661.39</v>
      </c>
    </row>
    <row r="5842" spans="1:4" ht="13.5" x14ac:dyDescent="0.25">
      <c r="A5842" s="306">
        <v>87401</v>
      </c>
      <c r="B5842" s="305" t="s">
        <v>11501</v>
      </c>
      <c r="C5842" s="305" t="s">
        <v>1456</v>
      </c>
      <c r="D5842" s="576">
        <v>4197.46</v>
      </c>
    </row>
    <row r="5843" spans="1:4" ht="13.5" x14ac:dyDescent="0.25">
      <c r="A5843" s="306">
        <v>87402</v>
      </c>
      <c r="B5843" s="305" t="s">
        <v>11502</v>
      </c>
      <c r="C5843" s="305" t="s">
        <v>1456</v>
      </c>
      <c r="D5843" s="576">
        <v>2701.21</v>
      </c>
    </row>
    <row r="5844" spans="1:4" ht="13.5" x14ac:dyDescent="0.25">
      <c r="A5844" s="306">
        <v>87404</v>
      </c>
      <c r="B5844" s="305" t="s">
        <v>11503</v>
      </c>
      <c r="C5844" s="305" t="s">
        <v>1456</v>
      </c>
      <c r="D5844" s="576">
        <v>3693.33</v>
      </c>
    </row>
    <row r="5845" spans="1:4" ht="13.5" x14ac:dyDescent="0.25">
      <c r="A5845" s="306">
        <v>87405</v>
      </c>
      <c r="B5845" s="305" t="s">
        <v>5198</v>
      </c>
      <c r="C5845" s="305" t="s">
        <v>1456</v>
      </c>
      <c r="D5845" s="576">
        <v>3699.41</v>
      </c>
    </row>
    <row r="5846" spans="1:4" ht="13.5" x14ac:dyDescent="0.25">
      <c r="A5846" s="306">
        <v>87407</v>
      </c>
      <c r="B5846" s="305" t="s">
        <v>11504</v>
      </c>
      <c r="C5846" s="305" t="s">
        <v>1456</v>
      </c>
      <c r="D5846" s="576">
        <v>1298.8</v>
      </c>
    </row>
    <row r="5847" spans="1:4" ht="13.5" x14ac:dyDescent="0.25">
      <c r="A5847" s="306">
        <v>87408</v>
      </c>
      <c r="B5847" s="305" t="s">
        <v>5199</v>
      </c>
      <c r="C5847" s="305" t="s">
        <v>1456</v>
      </c>
      <c r="D5847" s="576">
        <v>1288.23</v>
      </c>
    </row>
    <row r="5848" spans="1:4" ht="13.5" x14ac:dyDescent="0.25">
      <c r="A5848" s="306">
        <v>87410</v>
      </c>
      <c r="B5848" s="305" t="s">
        <v>11505</v>
      </c>
      <c r="C5848" s="305" t="s">
        <v>1456</v>
      </c>
      <c r="D5848" s="575">
        <v>749.74</v>
      </c>
    </row>
    <row r="5849" spans="1:4" ht="13.5" x14ac:dyDescent="0.25">
      <c r="A5849" s="306">
        <v>88626</v>
      </c>
      <c r="B5849" s="305" t="s">
        <v>11506</v>
      </c>
      <c r="C5849" s="305" t="s">
        <v>1456</v>
      </c>
      <c r="D5849" s="575">
        <v>450.14</v>
      </c>
    </row>
    <row r="5850" spans="1:4" ht="13.5" x14ac:dyDescent="0.25">
      <c r="A5850" s="306">
        <v>88627</v>
      </c>
      <c r="B5850" s="305" t="s">
        <v>11507</v>
      </c>
      <c r="C5850" s="305" t="s">
        <v>1456</v>
      </c>
      <c r="D5850" s="575">
        <v>533.1</v>
      </c>
    </row>
    <row r="5851" spans="1:4" ht="13.5" x14ac:dyDescent="0.25">
      <c r="A5851" s="306">
        <v>88628</v>
      </c>
      <c r="B5851" s="305" t="s">
        <v>11508</v>
      </c>
      <c r="C5851" s="305" t="s">
        <v>1456</v>
      </c>
      <c r="D5851" s="575">
        <v>476.32</v>
      </c>
    </row>
    <row r="5852" spans="1:4" ht="13.5" x14ac:dyDescent="0.25">
      <c r="A5852" s="306">
        <v>88629</v>
      </c>
      <c r="B5852" s="305" t="s">
        <v>11509</v>
      </c>
      <c r="C5852" s="305" t="s">
        <v>1456</v>
      </c>
      <c r="D5852" s="575">
        <v>562.97</v>
      </c>
    </row>
    <row r="5853" spans="1:4" ht="13.5" x14ac:dyDescent="0.25">
      <c r="A5853" s="306">
        <v>88630</v>
      </c>
      <c r="B5853" s="305" t="s">
        <v>5200</v>
      </c>
      <c r="C5853" s="305" t="s">
        <v>1456</v>
      </c>
      <c r="D5853" s="575">
        <v>395.14</v>
      </c>
    </row>
    <row r="5854" spans="1:4" ht="13.5" x14ac:dyDescent="0.25">
      <c r="A5854" s="306">
        <v>88631</v>
      </c>
      <c r="B5854" s="305" t="s">
        <v>11510</v>
      </c>
      <c r="C5854" s="305" t="s">
        <v>1456</v>
      </c>
      <c r="D5854" s="575">
        <v>497.5</v>
      </c>
    </row>
    <row r="5855" spans="1:4" ht="13.5" x14ac:dyDescent="0.25">
      <c r="A5855" s="306">
        <v>88715</v>
      </c>
      <c r="B5855" s="305" t="s">
        <v>11511</v>
      </c>
      <c r="C5855" s="305" t="s">
        <v>1456</v>
      </c>
      <c r="D5855" s="575">
        <v>417.59</v>
      </c>
    </row>
    <row r="5856" spans="1:4" ht="13.5" x14ac:dyDescent="0.25">
      <c r="A5856" s="306">
        <v>95563</v>
      </c>
      <c r="B5856" s="305" t="s">
        <v>13055</v>
      </c>
      <c r="C5856" s="305" t="s">
        <v>1456</v>
      </c>
      <c r="D5856" s="575">
        <v>703.49</v>
      </c>
    </row>
    <row r="5857" spans="1:4" ht="13.5" x14ac:dyDescent="0.25">
      <c r="A5857" s="306">
        <v>100464</v>
      </c>
      <c r="B5857" s="305" t="s">
        <v>11512</v>
      </c>
      <c r="C5857" s="305" t="s">
        <v>1456</v>
      </c>
      <c r="D5857" s="575">
        <v>467.74</v>
      </c>
    </row>
    <row r="5858" spans="1:4" ht="13.5" x14ac:dyDescent="0.25">
      <c r="A5858" s="306">
        <v>100465</v>
      </c>
      <c r="B5858" s="305" t="s">
        <v>11513</v>
      </c>
      <c r="C5858" s="305" t="s">
        <v>1456</v>
      </c>
      <c r="D5858" s="575">
        <v>439.76</v>
      </c>
    </row>
    <row r="5859" spans="1:4" ht="13.5" x14ac:dyDescent="0.25">
      <c r="A5859" s="306">
        <v>100466</v>
      </c>
      <c r="B5859" s="305" t="s">
        <v>11514</v>
      </c>
      <c r="C5859" s="305" t="s">
        <v>1456</v>
      </c>
      <c r="D5859" s="575">
        <v>426.41</v>
      </c>
    </row>
    <row r="5860" spans="1:4" ht="13.5" x14ac:dyDescent="0.25">
      <c r="A5860" s="306">
        <v>100468</v>
      </c>
      <c r="B5860" s="305" t="s">
        <v>11515</v>
      </c>
      <c r="C5860" s="305" t="s">
        <v>1456</v>
      </c>
      <c r="D5860" s="575">
        <v>553.37</v>
      </c>
    </row>
    <row r="5861" spans="1:4" ht="13.5" x14ac:dyDescent="0.25">
      <c r="A5861" s="306">
        <v>100469</v>
      </c>
      <c r="B5861" s="305" t="s">
        <v>11516</v>
      </c>
      <c r="C5861" s="305" t="s">
        <v>1456</v>
      </c>
      <c r="D5861" s="575">
        <v>467.62</v>
      </c>
    </row>
    <row r="5862" spans="1:4" ht="13.5" x14ac:dyDescent="0.25">
      <c r="A5862" s="306">
        <v>100470</v>
      </c>
      <c r="B5862" s="305" t="s">
        <v>11517</v>
      </c>
      <c r="C5862" s="305" t="s">
        <v>1456</v>
      </c>
      <c r="D5862" s="575">
        <v>411.82</v>
      </c>
    </row>
    <row r="5863" spans="1:4" ht="13.5" x14ac:dyDescent="0.25">
      <c r="A5863" s="306">
        <v>100472</v>
      </c>
      <c r="B5863" s="305" t="s">
        <v>11518</v>
      </c>
      <c r="C5863" s="305" t="s">
        <v>1456</v>
      </c>
      <c r="D5863" s="575">
        <v>448.22</v>
      </c>
    </row>
    <row r="5864" spans="1:4" ht="13.5" x14ac:dyDescent="0.25">
      <c r="A5864" s="306">
        <v>100473</v>
      </c>
      <c r="B5864" s="305" t="s">
        <v>11519</v>
      </c>
      <c r="C5864" s="305" t="s">
        <v>1456</v>
      </c>
      <c r="D5864" s="575">
        <v>412.39</v>
      </c>
    </row>
    <row r="5865" spans="1:4" ht="13.5" x14ac:dyDescent="0.25">
      <c r="A5865" s="306">
        <v>100474</v>
      </c>
      <c r="B5865" s="305" t="s">
        <v>11520</v>
      </c>
      <c r="C5865" s="305" t="s">
        <v>1456</v>
      </c>
      <c r="D5865" s="575">
        <v>397.62</v>
      </c>
    </row>
    <row r="5866" spans="1:4" ht="13.5" x14ac:dyDescent="0.25">
      <c r="A5866" s="306">
        <v>100475</v>
      </c>
      <c r="B5866" s="305" t="s">
        <v>11521</v>
      </c>
      <c r="C5866" s="305" t="s">
        <v>1456</v>
      </c>
      <c r="D5866" s="575">
        <v>591.92999999999995</v>
      </c>
    </row>
    <row r="5867" spans="1:4" ht="13.5" x14ac:dyDescent="0.25">
      <c r="A5867" s="306">
        <v>100477</v>
      </c>
      <c r="B5867" s="305" t="s">
        <v>11522</v>
      </c>
      <c r="C5867" s="305" t="s">
        <v>1456</v>
      </c>
      <c r="D5867" s="575">
        <v>635.45000000000005</v>
      </c>
    </row>
    <row r="5868" spans="1:4" ht="13.5" x14ac:dyDescent="0.25">
      <c r="A5868" s="306">
        <v>100478</v>
      </c>
      <c r="B5868" s="305" t="s">
        <v>11523</v>
      </c>
      <c r="C5868" s="305" t="s">
        <v>1456</v>
      </c>
      <c r="D5868" s="575">
        <v>580.35</v>
      </c>
    </row>
    <row r="5869" spans="1:4" ht="13.5" x14ac:dyDescent="0.25">
      <c r="A5869" s="306">
        <v>100479</v>
      </c>
      <c r="B5869" s="305" t="s">
        <v>11524</v>
      </c>
      <c r="C5869" s="305" t="s">
        <v>1456</v>
      </c>
      <c r="D5869" s="575">
        <v>569.58000000000004</v>
      </c>
    </row>
    <row r="5870" spans="1:4" ht="13.5" x14ac:dyDescent="0.25">
      <c r="A5870" s="306">
        <v>100480</v>
      </c>
      <c r="B5870" s="305" t="s">
        <v>11525</v>
      </c>
      <c r="C5870" s="305" t="s">
        <v>1456</v>
      </c>
      <c r="D5870" s="575">
        <v>677.89</v>
      </c>
    </row>
    <row r="5871" spans="1:4" ht="13.5" x14ac:dyDescent="0.25">
      <c r="A5871" s="306">
        <v>100481</v>
      </c>
      <c r="B5871" s="305" t="s">
        <v>11526</v>
      </c>
      <c r="C5871" s="305" t="s">
        <v>1456</v>
      </c>
      <c r="D5871" s="575">
        <v>504.5</v>
      </c>
    </row>
    <row r="5872" spans="1:4" ht="13.5" x14ac:dyDescent="0.25">
      <c r="A5872" s="306">
        <v>100483</v>
      </c>
      <c r="B5872" s="305" t="s">
        <v>11527</v>
      </c>
      <c r="C5872" s="305" t="s">
        <v>1456</v>
      </c>
      <c r="D5872" s="575">
        <v>537.25</v>
      </c>
    </row>
    <row r="5873" spans="1:4" ht="13.5" x14ac:dyDescent="0.25">
      <c r="A5873" s="306">
        <v>100484</v>
      </c>
      <c r="B5873" s="305" t="s">
        <v>11528</v>
      </c>
      <c r="C5873" s="305" t="s">
        <v>1456</v>
      </c>
      <c r="D5873" s="575">
        <v>502.29</v>
      </c>
    </row>
    <row r="5874" spans="1:4" ht="13.5" x14ac:dyDescent="0.25">
      <c r="A5874" s="306">
        <v>100485</v>
      </c>
      <c r="B5874" s="305" t="s">
        <v>11529</v>
      </c>
      <c r="C5874" s="305" t="s">
        <v>1456</v>
      </c>
      <c r="D5874" s="575">
        <v>489.24</v>
      </c>
    </row>
    <row r="5875" spans="1:4" ht="13.5" x14ac:dyDescent="0.25">
      <c r="A5875" s="306">
        <v>100486</v>
      </c>
      <c r="B5875" s="305" t="s">
        <v>11530</v>
      </c>
      <c r="C5875" s="305" t="s">
        <v>1456</v>
      </c>
      <c r="D5875" s="575">
        <v>594.47</v>
      </c>
    </row>
    <row r="5876" spans="1:4" ht="13.5" x14ac:dyDescent="0.25">
      <c r="A5876" s="306">
        <v>100487</v>
      </c>
      <c r="B5876" s="305" t="s">
        <v>11531</v>
      </c>
      <c r="C5876" s="305" t="s">
        <v>1456</v>
      </c>
      <c r="D5876" s="575">
        <v>398.73</v>
      </c>
    </row>
    <row r="5877" spans="1:4" ht="13.5" x14ac:dyDescent="0.25">
      <c r="A5877" s="306">
        <v>100488</v>
      </c>
      <c r="B5877" s="305" t="s">
        <v>11532</v>
      </c>
      <c r="C5877" s="305" t="s">
        <v>1456</v>
      </c>
      <c r="D5877" s="575">
        <v>444.1</v>
      </c>
    </row>
    <row r="5878" spans="1:4" ht="13.5" x14ac:dyDescent="0.25">
      <c r="A5878" s="306">
        <v>100489</v>
      </c>
      <c r="B5878" s="305" t="s">
        <v>11533</v>
      </c>
      <c r="C5878" s="305" t="s">
        <v>1456</v>
      </c>
      <c r="D5878" s="575">
        <v>475.18</v>
      </c>
    </row>
    <row r="5879" spans="1:4" ht="13.5" x14ac:dyDescent="0.25">
      <c r="A5879" s="306">
        <v>100490</v>
      </c>
      <c r="B5879" s="305" t="s">
        <v>11534</v>
      </c>
      <c r="C5879" s="305" t="s">
        <v>1456</v>
      </c>
      <c r="D5879" s="575">
        <v>411.83</v>
      </c>
    </row>
    <row r="5880" spans="1:4" ht="13.5" x14ac:dyDescent="0.25">
      <c r="A5880" s="306">
        <v>100491</v>
      </c>
      <c r="B5880" s="305" t="s">
        <v>11535</v>
      </c>
      <c r="C5880" s="305" t="s">
        <v>1456</v>
      </c>
      <c r="D5880" s="575">
        <v>591.70000000000005</v>
      </c>
    </row>
    <row r="5881" spans="1:4" ht="13.5" x14ac:dyDescent="0.25">
      <c r="A5881" s="306">
        <v>100492</v>
      </c>
      <c r="B5881" s="305" t="s">
        <v>11536</v>
      </c>
      <c r="C5881" s="305" t="s">
        <v>1456</v>
      </c>
      <c r="D5881" s="575">
        <v>504.82</v>
      </c>
    </row>
    <row r="5882" spans="1:4" ht="13.5" x14ac:dyDescent="0.25">
      <c r="A5882" s="306">
        <v>92121</v>
      </c>
      <c r="B5882" s="305" t="s">
        <v>5202</v>
      </c>
      <c r="C5882" s="305" t="s">
        <v>1456</v>
      </c>
      <c r="D5882" s="575">
        <v>23.9</v>
      </c>
    </row>
    <row r="5883" spans="1:4" ht="13.5" x14ac:dyDescent="0.25">
      <c r="A5883" s="306">
        <v>92122</v>
      </c>
      <c r="B5883" s="305" t="s">
        <v>5203</v>
      </c>
      <c r="C5883" s="305" t="s">
        <v>1456</v>
      </c>
      <c r="D5883" s="575">
        <v>40.619999999999997</v>
      </c>
    </row>
    <row r="5884" spans="1:4" ht="13.5" x14ac:dyDescent="0.25">
      <c r="A5884" s="306">
        <v>92123</v>
      </c>
      <c r="B5884" s="305" t="s">
        <v>5204</v>
      </c>
      <c r="C5884" s="305" t="s">
        <v>1456</v>
      </c>
      <c r="D5884" s="575">
        <v>40.1</v>
      </c>
    </row>
    <row r="5885" spans="1:4" ht="13.5" x14ac:dyDescent="0.25">
      <c r="A5885" s="306">
        <v>100195</v>
      </c>
      <c r="B5885" s="305" t="s">
        <v>11537</v>
      </c>
      <c r="C5885" s="305" t="s">
        <v>11538</v>
      </c>
      <c r="D5885" s="575">
        <v>0.62</v>
      </c>
    </row>
    <row r="5886" spans="1:4" ht="13.5" x14ac:dyDescent="0.25">
      <c r="A5886" s="306">
        <v>100196</v>
      </c>
      <c r="B5886" s="305" t="s">
        <v>11539</v>
      </c>
      <c r="C5886" s="305" t="s">
        <v>11538</v>
      </c>
      <c r="D5886" s="575">
        <v>1.03</v>
      </c>
    </row>
    <row r="5887" spans="1:4" ht="13.5" x14ac:dyDescent="0.25">
      <c r="A5887" s="306">
        <v>100197</v>
      </c>
      <c r="B5887" s="305" t="s">
        <v>11540</v>
      </c>
      <c r="C5887" s="305" t="s">
        <v>11538</v>
      </c>
      <c r="D5887" s="575">
        <v>1.55</v>
      </c>
    </row>
    <row r="5888" spans="1:4" ht="13.5" x14ac:dyDescent="0.25">
      <c r="A5888" s="306">
        <v>100198</v>
      </c>
      <c r="B5888" s="305" t="s">
        <v>11541</v>
      </c>
      <c r="C5888" s="305" t="s">
        <v>11538</v>
      </c>
      <c r="D5888" s="575">
        <v>0.21</v>
      </c>
    </row>
    <row r="5889" spans="1:4" ht="13.5" x14ac:dyDescent="0.25">
      <c r="A5889" s="306">
        <v>100199</v>
      </c>
      <c r="B5889" s="305" t="s">
        <v>11542</v>
      </c>
      <c r="C5889" s="305" t="s">
        <v>11538</v>
      </c>
      <c r="D5889" s="575">
        <v>0.26</v>
      </c>
    </row>
    <row r="5890" spans="1:4" ht="13.5" x14ac:dyDescent="0.25">
      <c r="A5890" s="306">
        <v>100200</v>
      </c>
      <c r="B5890" s="305" t="s">
        <v>11543</v>
      </c>
      <c r="C5890" s="305" t="s">
        <v>11538</v>
      </c>
      <c r="D5890" s="575">
        <v>0.31</v>
      </c>
    </row>
    <row r="5891" spans="1:4" ht="13.5" x14ac:dyDescent="0.25">
      <c r="A5891" s="306">
        <v>100201</v>
      </c>
      <c r="B5891" s="305" t="s">
        <v>11544</v>
      </c>
      <c r="C5891" s="305" t="s">
        <v>11538</v>
      </c>
      <c r="D5891" s="575">
        <v>0.63</v>
      </c>
    </row>
    <row r="5892" spans="1:4" ht="13.5" x14ac:dyDescent="0.25">
      <c r="A5892" s="306">
        <v>100202</v>
      </c>
      <c r="B5892" s="305" t="s">
        <v>11545</v>
      </c>
      <c r="C5892" s="305" t="s">
        <v>11538</v>
      </c>
      <c r="D5892" s="575">
        <v>0.73</v>
      </c>
    </row>
    <row r="5893" spans="1:4" ht="13.5" x14ac:dyDescent="0.25">
      <c r="A5893" s="306">
        <v>100203</v>
      </c>
      <c r="B5893" s="305" t="s">
        <v>11546</v>
      </c>
      <c r="C5893" s="305" t="s">
        <v>11538</v>
      </c>
      <c r="D5893" s="575">
        <v>0.87</v>
      </c>
    </row>
    <row r="5894" spans="1:4" ht="13.5" x14ac:dyDescent="0.25">
      <c r="A5894" s="306">
        <v>100204</v>
      </c>
      <c r="B5894" s="305" t="s">
        <v>11547</v>
      </c>
      <c r="C5894" s="305" t="s">
        <v>11538</v>
      </c>
      <c r="D5894" s="575">
        <v>0.08</v>
      </c>
    </row>
    <row r="5895" spans="1:4" ht="13.5" x14ac:dyDescent="0.25">
      <c r="A5895" s="306">
        <v>100205</v>
      </c>
      <c r="B5895" s="305" t="s">
        <v>11548</v>
      </c>
      <c r="C5895" s="305" t="s">
        <v>4498</v>
      </c>
      <c r="D5895" s="576">
        <v>1157.1099999999999</v>
      </c>
    </row>
    <row r="5896" spans="1:4" ht="13.5" x14ac:dyDescent="0.25">
      <c r="A5896" s="306">
        <v>100206</v>
      </c>
      <c r="B5896" s="305" t="s">
        <v>11549</v>
      </c>
      <c r="C5896" s="305" t="s">
        <v>4498</v>
      </c>
      <c r="D5896" s="575">
        <v>836.39</v>
      </c>
    </row>
    <row r="5897" spans="1:4" ht="13.5" x14ac:dyDescent="0.25">
      <c r="A5897" s="306">
        <v>100207</v>
      </c>
      <c r="B5897" s="305" t="s">
        <v>11550</v>
      </c>
      <c r="C5897" s="305" t="s">
        <v>4498</v>
      </c>
      <c r="D5897" s="575">
        <v>315.39999999999998</v>
      </c>
    </row>
    <row r="5898" spans="1:4" ht="13.5" x14ac:dyDescent="0.25">
      <c r="A5898" s="306">
        <v>100208</v>
      </c>
      <c r="B5898" s="305" t="s">
        <v>11551</v>
      </c>
      <c r="C5898" s="305" t="s">
        <v>11552</v>
      </c>
      <c r="D5898" s="575">
        <v>15.3</v>
      </c>
    </row>
    <row r="5899" spans="1:4" ht="13.5" x14ac:dyDescent="0.25">
      <c r="A5899" s="306">
        <v>100209</v>
      </c>
      <c r="B5899" s="305" t="s">
        <v>11553</v>
      </c>
      <c r="C5899" s="305" t="s">
        <v>11552</v>
      </c>
      <c r="D5899" s="575">
        <v>7.65</v>
      </c>
    </row>
    <row r="5900" spans="1:4" ht="13.5" x14ac:dyDescent="0.25">
      <c r="A5900" s="306">
        <v>100210</v>
      </c>
      <c r="B5900" s="305" t="s">
        <v>11554</v>
      </c>
      <c r="C5900" s="305" t="s">
        <v>11552</v>
      </c>
      <c r="D5900" s="575">
        <v>14.1</v>
      </c>
    </row>
    <row r="5901" spans="1:4" ht="13.5" x14ac:dyDescent="0.25">
      <c r="A5901" s="306">
        <v>100211</v>
      </c>
      <c r="B5901" s="305" t="s">
        <v>11555</v>
      </c>
      <c r="C5901" s="305" t="s">
        <v>11552</v>
      </c>
      <c r="D5901" s="575">
        <v>5.44</v>
      </c>
    </row>
    <row r="5902" spans="1:4" ht="13.5" x14ac:dyDescent="0.25">
      <c r="A5902" s="306">
        <v>100212</v>
      </c>
      <c r="B5902" s="305" t="s">
        <v>11556</v>
      </c>
      <c r="C5902" s="305" t="s">
        <v>11552</v>
      </c>
      <c r="D5902" s="575">
        <v>6.01</v>
      </c>
    </row>
    <row r="5903" spans="1:4" ht="13.5" x14ac:dyDescent="0.25">
      <c r="A5903" s="306">
        <v>100213</v>
      </c>
      <c r="B5903" s="305" t="s">
        <v>11557</v>
      </c>
      <c r="C5903" s="305" t="s">
        <v>11552</v>
      </c>
      <c r="D5903" s="575">
        <v>2.15</v>
      </c>
    </row>
    <row r="5904" spans="1:4" ht="13.5" x14ac:dyDescent="0.25">
      <c r="A5904" s="306">
        <v>100214</v>
      </c>
      <c r="B5904" s="305" t="s">
        <v>11558</v>
      </c>
      <c r="C5904" s="305" t="s">
        <v>11552</v>
      </c>
      <c r="D5904" s="575">
        <v>3.31</v>
      </c>
    </row>
    <row r="5905" spans="1:4" ht="13.5" x14ac:dyDescent="0.25">
      <c r="A5905" s="306">
        <v>100215</v>
      </c>
      <c r="B5905" s="305" t="s">
        <v>11559</v>
      </c>
      <c r="C5905" s="305" t="s">
        <v>11552</v>
      </c>
      <c r="D5905" s="575">
        <v>2.84</v>
      </c>
    </row>
    <row r="5906" spans="1:4" ht="13.5" x14ac:dyDescent="0.25">
      <c r="A5906" s="306">
        <v>100216</v>
      </c>
      <c r="B5906" s="305" t="s">
        <v>11560</v>
      </c>
      <c r="C5906" s="305" t="s">
        <v>11552</v>
      </c>
      <c r="D5906" s="575">
        <v>0.76</v>
      </c>
    </row>
    <row r="5907" spans="1:4" ht="13.5" x14ac:dyDescent="0.25">
      <c r="A5907" s="306">
        <v>100217</v>
      </c>
      <c r="B5907" s="305" t="s">
        <v>11561</v>
      </c>
      <c r="C5907" s="305" t="s">
        <v>11552</v>
      </c>
      <c r="D5907" s="575">
        <v>2.14</v>
      </c>
    </row>
    <row r="5908" spans="1:4" ht="13.5" x14ac:dyDescent="0.25">
      <c r="A5908" s="306">
        <v>100218</v>
      </c>
      <c r="B5908" s="305" t="s">
        <v>11562</v>
      </c>
      <c r="C5908" s="305" t="s">
        <v>11552</v>
      </c>
      <c r="D5908" s="575">
        <v>1.47</v>
      </c>
    </row>
    <row r="5909" spans="1:4" ht="13.5" x14ac:dyDescent="0.25">
      <c r="A5909" s="306">
        <v>100219</v>
      </c>
      <c r="B5909" s="305" t="s">
        <v>11563</v>
      </c>
      <c r="C5909" s="305" t="s">
        <v>11552</v>
      </c>
      <c r="D5909" s="575">
        <v>0.31</v>
      </c>
    </row>
    <row r="5910" spans="1:4" ht="13.5" x14ac:dyDescent="0.25">
      <c r="A5910" s="306">
        <v>100220</v>
      </c>
      <c r="B5910" s="305" t="s">
        <v>11564</v>
      </c>
      <c r="C5910" s="305" t="s">
        <v>11565</v>
      </c>
      <c r="D5910" s="575">
        <v>21.99</v>
      </c>
    </row>
    <row r="5911" spans="1:4" ht="13.5" x14ac:dyDescent="0.25">
      <c r="A5911" s="306">
        <v>100221</v>
      </c>
      <c r="B5911" s="305" t="s">
        <v>11566</v>
      </c>
      <c r="C5911" s="305" t="s">
        <v>11565</v>
      </c>
      <c r="D5911" s="575">
        <v>24.92</v>
      </c>
    </row>
    <row r="5912" spans="1:4" ht="13.5" x14ac:dyDescent="0.25">
      <c r="A5912" s="306">
        <v>100222</v>
      </c>
      <c r="B5912" s="305" t="s">
        <v>11567</v>
      </c>
      <c r="C5912" s="305" t="s">
        <v>11565</v>
      </c>
      <c r="D5912" s="575">
        <v>9.44</v>
      </c>
    </row>
    <row r="5913" spans="1:4" ht="13.5" x14ac:dyDescent="0.25">
      <c r="A5913" s="306">
        <v>100223</v>
      </c>
      <c r="B5913" s="305" t="s">
        <v>11568</v>
      </c>
      <c r="C5913" s="305" t="s">
        <v>11565</v>
      </c>
      <c r="D5913" s="575">
        <v>4.41</v>
      </c>
    </row>
    <row r="5914" spans="1:4" ht="13.5" x14ac:dyDescent="0.25">
      <c r="A5914" s="306">
        <v>100224</v>
      </c>
      <c r="B5914" s="305" t="s">
        <v>11569</v>
      </c>
      <c r="C5914" s="305" t="s">
        <v>11565</v>
      </c>
      <c r="D5914" s="575">
        <v>2.14</v>
      </c>
    </row>
    <row r="5915" spans="1:4" ht="13.5" x14ac:dyDescent="0.25">
      <c r="A5915" s="306">
        <v>100225</v>
      </c>
      <c r="B5915" s="305" t="s">
        <v>11570</v>
      </c>
      <c r="C5915" s="305" t="s">
        <v>11571</v>
      </c>
      <c r="D5915" s="575">
        <v>1.72</v>
      </c>
    </row>
    <row r="5916" spans="1:4" ht="13.5" x14ac:dyDescent="0.25">
      <c r="A5916" s="306">
        <v>100226</v>
      </c>
      <c r="B5916" s="305" t="s">
        <v>11572</v>
      </c>
      <c r="C5916" s="305" t="s">
        <v>11571</v>
      </c>
      <c r="D5916" s="575">
        <v>0.54</v>
      </c>
    </row>
    <row r="5917" spans="1:4" ht="13.5" x14ac:dyDescent="0.25">
      <c r="A5917" s="306">
        <v>100227</v>
      </c>
      <c r="B5917" s="305" t="s">
        <v>11573</v>
      </c>
      <c r="C5917" s="305" t="s">
        <v>11571</v>
      </c>
      <c r="D5917" s="575">
        <v>0.8</v>
      </c>
    </row>
    <row r="5918" spans="1:4" ht="13.5" x14ac:dyDescent="0.25">
      <c r="A5918" s="306">
        <v>100228</v>
      </c>
      <c r="B5918" s="305" t="s">
        <v>11574</v>
      </c>
      <c r="C5918" s="305" t="s">
        <v>11571</v>
      </c>
      <c r="D5918" s="575">
        <v>0.2</v>
      </c>
    </row>
    <row r="5919" spans="1:4" ht="13.5" x14ac:dyDescent="0.25">
      <c r="A5919" s="306">
        <v>100229</v>
      </c>
      <c r="B5919" s="305" t="s">
        <v>11575</v>
      </c>
      <c r="C5919" s="305" t="s">
        <v>506</v>
      </c>
      <c r="D5919" s="575">
        <v>0.01</v>
      </c>
    </row>
    <row r="5920" spans="1:4" ht="13.5" x14ac:dyDescent="0.25">
      <c r="A5920" s="306">
        <v>100230</v>
      </c>
      <c r="B5920" s="305" t="s">
        <v>11576</v>
      </c>
      <c r="C5920" s="305" t="s">
        <v>506</v>
      </c>
      <c r="D5920" s="575">
        <v>0.02</v>
      </c>
    </row>
    <row r="5921" spans="1:4" ht="13.5" x14ac:dyDescent="0.25">
      <c r="A5921" s="306">
        <v>100231</v>
      </c>
      <c r="B5921" s="305" t="s">
        <v>11577</v>
      </c>
      <c r="C5921" s="305" t="s">
        <v>506</v>
      </c>
      <c r="D5921" s="575">
        <v>0.03</v>
      </c>
    </row>
    <row r="5922" spans="1:4" ht="13.5" x14ac:dyDescent="0.25">
      <c r="A5922" s="306">
        <v>100232</v>
      </c>
      <c r="B5922" s="305" t="s">
        <v>11578</v>
      </c>
      <c r="C5922" s="305" t="s">
        <v>363</v>
      </c>
      <c r="D5922" s="575">
        <v>0.28999999999999998</v>
      </c>
    </row>
    <row r="5923" spans="1:4" ht="13.5" x14ac:dyDescent="0.25">
      <c r="A5923" s="306">
        <v>100233</v>
      </c>
      <c r="B5923" s="305" t="s">
        <v>11579</v>
      </c>
      <c r="C5923" s="305" t="s">
        <v>363</v>
      </c>
      <c r="D5923" s="575">
        <v>0.14000000000000001</v>
      </c>
    </row>
    <row r="5924" spans="1:4" ht="13.5" x14ac:dyDescent="0.25">
      <c r="A5924" s="306">
        <v>100234</v>
      </c>
      <c r="B5924" s="305" t="s">
        <v>11580</v>
      </c>
      <c r="C5924" s="305" t="s">
        <v>521</v>
      </c>
      <c r="D5924" s="575">
        <v>0.43</v>
      </c>
    </row>
    <row r="5925" spans="1:4" ht="13.5" x14ac:dyDescent="0.25">
      <c r="A5925" s="306">
        <v>100235</v>
      </c>
      <c r="B5925" s="305" t="s">
        <v>11581</v>
      </c>
      <c r="C5925" s="305" t="s">
        <v>5201</v>
      </c>
      <c r="D5925" s="575">
        <v>0.03</v>
      </c>
    </row>
    <row r="5926" spans="1:4" ht="13.5" x14ac:dyDescent="0.25">
      <c r="A5926" s="306">
        <v>100236</v>
      </c>
      <c r="B5926" s="305" t="s">
        <v>11582</v>
      </c>
      <c r="C5926" s="305" t="s">
        <v>11583</v>
      </c>
      <c r="D5926" s="575">
        <v>2.19</v>
      </c>
    </row>
    <row r="5927" spans="1:4" ht="13.5" x14ac:dyDescent="0.25">
      <c r="A5927" s="306">
        <v>100237</v>
      </c>
      <c r="B5927" s="305" t="s">
        <v>11584</v>
      </c>
      <c r="C5927" s="305" t="s">
        <v>11583</v>
      </c>
      <c r="D5927" s="575">
        <v>2.63</v>
      </c>
    </row>
    <row r="5928" spans="1:4" ht="13.5" x14ac:dyDescent="0.25">
      <c r="A5928" s="306">
        <v>100238</v>
      </c>
      <c r="B5928" s="305" t="s">
        <v>11585</v>
      </c>
      <c r="C5928" s="305" t="s">
        <v>11583</v>
      </c>
      <c r="D5928" s="575">
        <v>4.2</v>
      </c>
    </row>
    <row r="5929" spans="1:4" ht="13.5" x14ac:dyDescent="0.25">
      <c r="A5929" s="306">
        <v>100239</v>
      </c>
      <c r="B5929" s="305" t="s">
        <v>11586</v>
      </c>
      <c r="C5929" s="305" t="s">
        <v>11583</v>
      </c>
      <c r="D5929" s="575">
        <v>5.26</v>
      </c>
    </row>
    <row r="5930" spans="1:4" ht="13.5" x14ac:dyDescent="0.25">
      <c r="A5930" s="306">
        <v>100240</v>
      </c>
      <c r="B5930" s="305" t="s">
        <v>11587</v>
      </c>
      <c r="C5930" s="305" t="s">
        <v>11583</v>
      </c>
      <c r="D5930" s="575">
        <v>3.15</v>
      </c>
    </row>
    <row r="5931" spans="1:4" ht="13.5" x14ac:dyDescent="0.25">
      <c r="A5931" s="306">
        <v>100241</v>
      </c>
      <c r="B5931" s="305" t="s">
        <v>11588</v>
      </c>
      <c r="C5931" s="305" t="s">
        <v>11583</v>
      </c>
      <c r="D5931" s="575">
        <v>5.26</v>
      </c>
    </row>
    <row r="5932" spans="1:4" ht="13.5" x14ac:dyDescent="0.25">
      <c r="A5932" s="306">
        <v>100242</v>
      </c>
      <c r="B5932" s="305" t="s">
        <v>11589</v>
      </c>
      <c r="C5932" s="305" t="s">
        <v>11583</v>
      </c>
      <c r="D5932" s="575">
        <v>15.54</v>
      </c>
    </row>
    <row r="5933" spans="1:4" ht="13.5" x14ac:dyDescent="0.25">
      <c r="A5933" s="306">
        <v>100243</v>
      </c>
      <c r="B5933" s="305" t="s">
        <v>11590</v>
      </c>
      <c r="C5933" s="305" t="s">
        <v>11583</v>
      </c>
      <c r="D5933" s="575">
        <v>2.52</v>
      </c>
    </row>
    <row r="5934" spans="1:4" ht="13.5" x14ac:dyDescent="0.25">
      <c r="A5934" s="306">
        <v>100244</v>
      </c>
      <c r="B5934" s="305" t="s">
        <v>11591</v>
      </c>
      <c r="C5934" s="305" t="s">
        <v>11583</v>
      </c>
      <c r="D5934" s="575">
        <v>3.15</v>
      </c>
    </row>
    <row r="5935" spans="1:4" ht="13.5" x14ac:dyDescent="0.25">
      <c r="A5935" s="306">
        <v>100245</v>
      </c>
      <c r="B5935" s="305" t="s">
        <v>11592</v>
      </c>
      <c r="C5935" s="305" t="s">
        <v>11583</v>
      </c>
      <c r="D5935" s="575">
        <v>6.31</v>
      </c>
    </row>
    <row r="5936" spans="1:4" ht="13.5" x14ac:dyDescent="0.25">
      <c r="A5936" s="306">
        <v>100246</v>
      </c>
      <c r="B5936" s="305" t="s">
        <v>11593</v>
      </c>
      <c r="C5936" s="305" t="s">
        <v>11583</v>
      </c>
      <c r="D5936" s="575">
        <v>2.1</v>
      </c>
    </row>
    <row r="5937" spans="1:4" ht="13.5" x14ac:dyDescent="0.25">
      <c r="A5937" s="306">
        <v>100247</v>
      </c>
      <c r="B5937" s="305" t="s">
        <v>11594</v>
      </c>
      <c r="C5937" s="305" t="s">
        <v>11583</v>
      </c>
      <c r="D5937" s="575">
        <v>2.63</v>
      </c>
    </row>
    <row r="5938" spans="1:4" ht="13.5" x14ac:dyDescent="0.25">
      <c r="A5938" s="306">
        <v>100248</v>
      </c>
      <c r="B5938" s="305" t="s">
        <v>11595</v>
      </c>
      <c r="C5938" s="305" t="s">
        <v>11583</v>
      </c>
      <c r="D5938" s="575">
        <v>10.36</v>
      </c>
    </row>
    <row r="5939" spans="1:4" ht="13.5" x14ac:dyDescent="0.25">
      <c r="A5939" s="306">
        <v>100249</v>
      </c>
      <c r="B5939" s="305" t="s">
        <v>11596</v>
      </c>
      <c r="C5939" s="305" t="s">
        <v>11583</v>
      </c>
      <c r="D5939" s="575">
        <v>2.1</v>
      </c>
    </row>
    <row r="5940" spans="1:4" ht="13.5" x14ac:dyDescent="0.25">
      <c r="A5940" s="306">
        <v>100250</v>
      </c>
      <c r="B5940" s="305" t="s">
        <v>11597</v>
      </c>
      <c r="C5940" s="305" t="s">
        <v>11583</v>
      </c>
      <c r="D5940" s="575">
        <v>3.5</v>
      </c>
    </row>
    <row r="5941" spans="1:4" ht="13.5" x14ac:dyDescent="0.25">
      <c r="A5941" s="306">
        <v>100251</v>
      </c>
      <c r="B5941" s="305" t="s">
        <v>11598</v>
      </c>
      <c r="C5941" s="305" t="s">
        <v>11583</v>
      </c>
      <c r="D5941" s="575">
        <v>10.36</v>
      </c>
    </row>
    <row r="5942" spans="1:4" ht="13.5" x14ac:dyDescent="0.25">
      <c r="A5942" s="306">
        <v>100252</v>
      </c>
      <c r="B5942" s="305" t="s">
        <v>11599</v>
      </c>
      <c r="C5942" s="305" t="s">
        <v>11583</v>
      </c>
      <c r="D5942" s="575">
        <v>15.54</v>
      </c>
    </row>
    <row r="5943" spans="1:4" ht="13.5" x14ac:dyDescent="0.25">
      <c r="A5943" s="306">
        <v>100253</v>
      </c>
      <c r="B5943" s="305" t="s">
        <v>11600</v>
      </c>
      <c r="C5943" s="305" t="s">
        <v>11583</v>
      </c>
      <c r="D5943" s="575">
        <v>20.72</v>
      </c>
    </row>
    <row r="5944" spans="1:4" ht="13.5" x14ac:dyDescent="0.25">
      <c r="A5944" s="306">
        <v>100254</v>
      </c>
      <c r="B5944" s="305" t="s">
        <v>11601</v>
      </c>
      <c r="C5944" s="305" t="s">
        <v>11583</v>
      </c>
      <c r="D5944" s="575">
        <v>31.09</v>
      </c>
    </row>
    <row r="5945" spans="1:4" ht="13.5" x14ac:dyDescent="0.25">
      <c r="A5945" s="306">
        <v>100255</v>
      </c>
      <c r="B5945" s="305" t="s">
        <v>11602</v>
      </c>
      <c r="C5945" s="305" t="s">
        <v>11583</v>
      </c>
      <c r="D5945" s="575">
        <v>10.52</v>
      </c>
    </row>
    <row r="5946" spans="1:4" ht="13.5" x14ac:dyDescent="0.25">
      <c r="A5946" s="306">
        <v>100256</v>
      </c>
      <c r="B5946" s="305" t="s">
        <v>11603</v>
      </c>
      <c r="C5946" s="305" t="s">
        <v>11583</v>
      </c>
      <c r="D5946" s="575">
        <v>7.01</v>
      </c>
    </row>
    <row r="5947" spans="1:4" ht="13.5" x14ac:dyDescent="0.25">
      <c r="A5947" s="306">
        <v>100257</v>
      </c>
      <c r="B5947" s="305" t="s">
        <v>11604</v>
      </c>
      <c r="C5947" s="305" t="s">
        <v>11583</v>
      </c>
      <c r="D5947" s="575">
        <v>4.2</v>
      </c>
    </row>
    <row r="5948" spans="1:4" ht="13.5" x14ac:dyDescent="0.25">
      <c r="A5948" s="306">
        <v>100258</v>
      </c>
      <c r="B5948" s="305" t="s">
        <v>11605</v>
      </c>
      <c r="C5948" s="305" t="s">
        <v>11583</v>
      </c>
      <c r="D5948" s="575">
        <v>10.52</v>
      </c>
    </row>
    <row r="5949" spans="1:4" ht="13.5" x14ac:dyDescent="0.25">
      <c r="A5949" s="306">
        <v>100259</v>
      </c>
      <c r="B5949" s="305" t="s">
        <v>11606</v>
      </c>
      <c r="C5949" s="305" t="s">
        <v>11583</v>
      </c>
      <c r="D5949" s="575">
        <v>20.72</v>
      </c>
    </row>
    <row r="5950" spans="1:4" ht="13.5" x14ac:dyDescent="0.25">
      <c r="A5950" s="306">
        <v>100260</v>
      </c>
      <c r="B5950" s="305" t="s">
        <v>11607</v>
      </c>
      <c r="C5950" s="305" t="s">
        <v>11538</v>
      </c>
      <c r="D5950" s="575">
        <v>6.83</v>
      </c>
    </row>
    <row r="5951" spans="1:4" ht="13.5" x14ac:dyDescent="0.25">
      <c r="A5951" s="306">
        <v>100261</v>
      </c>
      <c r="B5951" s="305" t="s">
        <v>11608</v>
      </c>
      <c r="C5951" s="305" t="s">
        <v>11538</v>
      </c>
      <c r="D5951" s="575">
        <v>4.29</v>
      </c>
    </row>
    <row r="5952" spans="1:4" ht="13.5" x14ac:dyDescent="0.25">
      <c r="A5952" s="306">
        <v>100262</v>
      </c>
      <c r="B5952" s="305" t="s">
        <v>11609</v>
      </c>
      <c r="C5952" s="305" t="s">
        <v>11538</v>
      </c>
      <c r="D5952" s="575">
        <v>2.66</v>
      </c>
    </row>
    <row r="5953" spans="1:4" ht="13.5" x14ac:dyDescent="0.25">
      <c r="A5953" s="306">
        <v>100263</v>
      </c>
      <c r="B5953" s="305" t="s">
        <v>11610</v>
      </c>
      <c r="C5953" s="305" t="s">
        <v>11538</v>
      </c>
      <c r="D5953" s="575">
        <v>1.7</v>
      </c>
    </row>
    <row r="5954" spans="1:4" ht="13.5" x14ac:dyDescent="0.25">
      <c r="A5954" s="306">
        <v>100264</v>
      </c>
      <c r="B5954" s="305" t="s">
        <v>11611</v>
      </c>
      <c r="C5954" s="305" t="s">
        <v>11565</v>
      </c>
      <c r="D5954" s="575">
        <v>31.04</v>
      </c>
    </row>
    <row r="5955" spans="1:4" ht="13.5" x14ac:dyDescent="0.25">
      <c r="A5955" s="306">
        <v>100265</v>
      </c>
      <c r="B5955" s="305" t="s">
        <v>11612</v>
      </c>
      <c r="C5955" s="305" t="s">
        <v>521</v>
      </c>
      <c r="D5955" s="575">
        <v>0.65</v>
      </c>
    </row>
    <row r="5956" spans="1:4" ht="13.5" x14ac:dyDescent="0.25">
      <c r="A5956" s="306">
        <v>100266</v>
      </c>
      <c r="B5956" s="305" t="s">
        <v>11613</v>
      </c>
      <c r="C5956" s="305" t="s">
        <v>11552</v>
      </c>
      <c r="D5956" s="575">
        <v>65.97</v>
      </c>
    </row>
    <row r="5957" spans="1:4" ht="13.5" x14ac:dyDescent="0.25">
      <c r="A5957" s="306">
        <v>100267</v>
      </c>
      <c r="B5957" s="305" t="s">
        <v>11614</v>
      </c>
      <c r="C5957" s="305" t="s">
        <v>363</v>
      </c>
      <c r="D5957" s="575">
        <v>1.3</v>
      </c>
    </row>
    <row r="5958" spans="1:4" ht="13.5" x14ac:dyDescent="0.25">
      <c r="A5958" s="306">
        <v>100268</v>
      </c>
      <c r="B5958" s="305" t="s">
        <v>11615</v>
      </c>
      <c r="C5958" s="305" t="s">
        <v>11552</v>
      </c>
      <c r="D5958" s="575">
        <v>65.97</v>
      </c>
    </row>
    <row r="5959" spans="1:4" ht="13.5" x14ac:dyDescent="0.25">
      <c r="A5959" s="306">
        <v>100269</v>
      </c>
      <c r="B5959" s="305" t="s">
        <v>11616</v>
      </c>
      <c r="C5959" s="305" t="s">
        <v>363</v>
      </c>
      <c r="D5959" s="575">
        <v>1.3</v>
      </c>
    </row>
    <row r="5960" spans="1:4" ht="13.5" x14ac:dyDescent="0.25">
      <c r="A5960" s="306">
        <v>100270</v>
      </c>
      <c r="B5960" s="305" t="s">
        <v>11617</v>
      </c>
      <c r="C5960" s="305" t="s">
        <v>11552</v>
      </c>
      <c r="D5960" s="575">
        <v>49.45</v>
      </c>
    </row>
    <row r="5961" spans="1:4" ht="13.5" x14ac:dyDescent="0.25">
      <c r="A5961" s="306">
        <v>100271</v>
      </c>
      <c r="B5961" s="305" t="s">
        <v>11618</v>
      </c>
      <c r="C5961" s="305" t="s">
        <v>11565</v>
      </c>
      <c r="D5961" s="575">
        <v>49.48</v>
      </c>
    </row>
    <row r="5962" spans="1:4" ht="13.5" x14ac:dyDescent="0.25">
      <c r="A5962" s="306">
        <v>100272</v>
      </c>
      <c r="B5962" s="305" t="s">
        <v>11619</v>
      </c>
      <c r="C5962" s="305" t="s">
        <v>521</v>
      </c>
      <c r="D5962" s="575">
        <v>0.98</v>
      </c>
    </row>
    <row r="5963" spans="1:4" ht="13.5" x14ac:dyDescent="0.25">
      <c r="A5963" s="306">
        <v>100273</v>
      </c>
      <c r="B5963" s="305" t="s">
        <v>11620</v>
      </c>
      <c r="C5963" s="305" t="s">
        <v>11538</v>
      </c>
      <c r="D5963" s="575">
        <v>2.58</v>
      </c>
    </row>
    <row r="5964" spans="1:4" ht="13.5" x14ac:dyDescent="0.25">
      <c r="A5964" s="306">
        <v>100274</v>
      </c>
      <c r="B5964" s="305" t="s">
        <v>11621</v>
      </c>
      <c r="C5964" s="305" t="s">
        <v>11565</v>
      </c>
      <c r="D5964" s="575">
        <v>22</v>
      </c>
    </row>
    <row r="5965" spans="1:4" ht="13.5" x14ac:dyDescent="0.25">
      <c r="A5965" s="306">
        <v>100275</v>
      </c>
      <c r="B5965" s="305" t="s">
        <v>11622</v>
      </c>
      <c r="C5965" s="305" t="s">
        <v>11565</v>
      </c>
      <c r="D5965" s="575">
        <v>14.22</v>
      </c>
    </row>
    <row r="5966" spans="1:4" ht="13.5" x14ac:dyDescent="0.25">
      <c r="A5966" s="306">
        <v>100276</v>
      </c>
      <c r="B5966" s="305" t="s">
        <v>11623</v>
      </c>
      <c r="C5966" s="305" t="s">
        <v>11565</v>
      </c>
      <c r="D5966" s="575">
        <v>25.96</v>
      </c>
    </row>
    <row r="5967" spans="1:4" ht="13.5" x14ac:dyDescent="0.25">
      <c r="A5967" s="306">
        <v>100277</v>
      </c>
      <c r="B5967" s="305" t="s">
        <v>11624</v>
      </c>
      <c r="C5967" s="305" t="s">
        <v>11565</v>
      </c>
      <c r="D5967" s="575">
        <v>1.37</v>
      </c>
    </row>
    <row r="5968" spans="1:4" ht="13.5" x14ac:dyDescent="0.25">
      <c r="A5968" s="306">
        <v>100278</v>
      </c>
      <c r="B5968" s="305" t="s">
        <v>11625</v>
      </c>
      <c r="C5968" s="305" t="s">
        <v>11552</v>
      </c>
      <c r="D5968" s="575">
        <v>31.56</v>
      </c>
    </row>
    <row r="5969" spans="1:4" ht="13.5" x14ac:dyDescent="0.25">
      <c r="A5969" s="306">
        <v>100279</v>
      </c>
      <c r="B5969" s="305" t="s">
        <v>11626</v>
      </c>
      <c r="C5969" s="305" t="s">
        <v>363</v>
      </c>
      <c r="D5969" s="575">
        <v>0.61</v>
      </c>
    </row>
    <row r="5970" spans="1:4" ht="13.5" x14ac:dyDescent="0.25">
      <c r="A5970" s="306">
        <v>100280</v>
      </c>
      <c r="B5970" s="305" t="s">
        <v>11627</v>
      </c>
      <c r="C5970" s="305" t="s">
        <v>11552</v>
      </c>
      <c r="D5970" s="575">
        <v>14.49</v>
      </c>
    </row>
    <row r="5971" spans="1:4" ht="13.5" x14ac:dyDescent="0.25">
      <c r="A5971" s="306">
        <v>100281</v>
      </c>
      <c r="B5971" s="305" t="s">
        <v>11628</v>
      </c>
      <c r="C5971" s="305" t="s">
        <v>11552</v>
      </c>
      <c r="D5971" s="575">
        <v>2.62</v>
      </c>
    </row>
    <row r="5972" spans="1:4" ht="13.5" x14ac:dyDescent="0.25">
      <c r="A5972" s="306">
        <v>100282</v>
      </c>
      <c r="B5972" s="305" t="s">
        <v>11629</v>
      </c>
      <c r="C5972" s="305" t="s">
        <v>11565</v>
      </c>
      <c r="D5972" s="575">
        <v>123.6</v>
      </c>
    </row>
    <row r="5973" spans="1:4" ht="13.5" x14ac:dyDescent="0.25">
      <c r="A5973" s="306">
        <v>100283</v>
      </c>
      <c r="B5973" s="305" t="s">
        <v>11630</v>
      </c>
      <c r="C5973" s="305" t="s">
        <v>11565</v>
      </c>
      <c r="D5973" s="575">
        <v>19.96</v>
      </c>
    </row>
    <row r="5974" spans="1:4" ht="13.5" x14ac:dyDescent="0.25">
      <c r="A5974" s="306">
        <v>100284</v>
      </c>
      <c r="B5974" s="305" t="s">
        <v>11631</v>
      </c>
      <c r="C5974" s="305" t="s">
        <v>11565</v>
      </c>
      <c r="D5974" s="575">
        <v>7.69</v>
      </c>
    </row>
    <row r="5975" spans="1:4" ht="13.5" x14ac:dyDescent="0.25">
      <c r="A5975" s="306">
        <v>100285</v>
      </c>
      <c r="B5975" s="305" t="s">
        <v>11632</v>
      </c>
      <c r="C5975" s="305" t="s">
        <v>11583</v>
      </c>
      <c r="D5975" s="575">
        <v>33.21</v>
      </c>
    </row>
    <row r="5976" spans="1:4" ht="13.5" x14ac:dyDescent="0.25">
      <c r="A5976" s="306">
        <v>100286</v>
      </c>
      <c r="B5976" s="305" t="s">
        <v>11633</v>
      </c>
      <c r="C5976" s="305" t="s">
        <v>11583</v>
      </c>
      <c r="D5976" s="575">
        <v>10.82</v>
      </c>
    </row>
    <row r="5977" spans="1:4" ht="13.5" x14ac:dyDescent="0.25">
      <c r="A5977" s="306">
        <v>100287</v>
      </c>
      <c r="B5977" s="305" t="s">
        <v>11634</v>
      </c>
      <c r="C5977" s="305" t="s">
        <v>11583</v>
      </c>
      <c r="D5977" s="575">
        <v>10.36</v>
      </c>
    </row>
    <row r="5978" spans="1:4" ht="13.5" x14ac:dyDescent="0.25">
      <c r="A5978" s="306">
        <v>84117</v>
      </c>
      <c r="B5978" s="305" t="s">
        <v>5205</v>
      </c>
      <c r="C5978" s="305" t="s">
        <v>521</v>
      </c>
      <c r="D5978" s="575">
        <v>20.37</v>
      </c>
    </row>
    <row r="5979" spans="1:4" ht="13.5" x14ac:dyDescent="0.25">
      <c r="A5979" s="306">
        <v>84120</v>
      </c>
      <c r="B5979" s="305" t="s">
        <v>5206</v>
      </c>
      <c r="C5979" s="305" t="s">
        <v>521</v>
      </c>
      <c r="D5979" s="575">
        <v>11.5</v>
      </c>
    </row>
    <row r="5980" spans="1:4" ht="13.5" x14ac:dyDescent="0.25">
      <c r="A5980" s="306">
        <v>99802</v>
      </c>
      <c r="B5980" s="305" t="s">
        <v>5207</v>
      </c>
      <c r="C5980" s="305" t="s">
        <v>521</v>
      </c>
      <c r="D5980" s="575">
        <v>0.42</v>
      </c>
    </row>
    <row r="5981" spans="1:4" ht="13.5" x14ac:dyDescent="0.25">
      <c r="A5981" s="306">
        <v>99803</v>
      </c>
      <c r="B5981" s="305" t="s">
        <v>5208</v>
      </c>
      <c r="C5981" s="305" t="s">
        <v>521</v>
      </c>
      <c r="D5981" s="575">
        <v>1.64</v>
      </c>
    </row>
    <row r="5982" spans="1:4" ht="13.5" x14ac:dyDescent="0.25">
      <c r="A5982" s="306">
        <v>99805</v>
      </c>
      <c r="B5982" s="305" t="s">
        <v>5209</v>
      </c>
      <c r="C5982" s="305" t="s">
        <v>521</v>
      </c>
      <c r="D5982" s="575">
        <v>8.57</v>
      </c>
    </row>
    <row r="5983" spans="1:4" ht="13.5" x14ac:dyDescent="0.25">
      <c r="A5983" s="306">
        <v>99806</v>
      </c>
      <c r="B5983" s="305" t="s">
        <v>5210</v>
      </c>
      <c r="C5983" s="305" t="s">
        <v>521</v>
      </c>
      <c r="D5983" s="575">
        <v>0.67</v>
      </c>
    </row>
    <row r="5984" spans="1:4" ht="13.5" x14ac:dyDescent="0.25">
      <c r="A5984" s="306">
        <v>99808</v>
      </c>
      <c r="B5984" s="305" t="s">
        <v>5211</v>
      </c>
      <c r="C5984" s="305" t="s">
        <v>521</v>
      </c>
      <c r="D5984" s="575">
        <v>2.81</v>
      </c>
    </row>
    <row r="5985" spans="1:4" ht="13.5" x14ac:dyDescent="0.25">
      <c r="A5985" s="306">
        <v>99809</v>
      </c>
      <c r="B5985" s="305" t="s">
        <v>5212</v>
      </c>
      <c r="C5985" s="305" t="s">
        <v>521</v>
      </c>
      <c r="D5985" s="575">
        <v>4.67</v>
      </c>
    </row>
    <row r="5986" spans="1:4" ht="13.5" x14ac:dyDescent="0.25">
      <c r="A5986" s="306">
        <v>99811</v>
      </c>
      <c r="B5986" s="305" t="s">
        <v>5213</v>
      </c>
      <c r="C5986" s="305" t="s">
        <v>521</v>
      </c>
      <c r="D5986" s="575">
        <v>2.79</v>
      </c>
    </row>
    <row r="5987" spans="1:4" ht="13.5" x14ac:dyDescent="0.25">
      <c r="A5987" s="306">
        <v>99812</v>
      </c>
      <c r="B5987" s="305" t="s">
        <v>5214</v>
      </c>
      <c r="C5987" s="305" t="s">
        <v>521</v>
      </c>
      <c r="D5987" s="575">
        <v>0.89</v>
      </c>
    </row>
    <row r="5988" spans="1:4" ht="13.5" x14ac:dyDescent="0.25">
      <c r="A5988" s="306">
        <v>99814</v>
      </c>
      <c r="B5988" s="305" t="s">
        <v>5215</v>
      </c>
      <c r="C5988" s="305" t="s">
        <v>521</v>
      </c>
      <c r="D5988" s="575">
        <v>1.51</v>
      </c>
    </row>
    <row r="5989" spans="1:4" ht="13.5" x14ac:dyDescent="0.25">
      <c r="A5989" s="306">
        <v>99822</v>
      </c>
      <c r="B5989" s="305" t="s">
        <v>5216</v>
      </c>
      <c r="C5989" s="305" t="s">
        <v>521</v>
      </c>
      <c r="D5989" s="575">
        <v>0.79</v>
      </c>
    </row>
    <row r="5990" spans="1:4" ht="13.5" x14ac:dyDescent="0.25">
      <c r="A5990" s="306">
        <v>99826</v>
      </c>
      <c r="B5990" s="305" t="s">
        <v>5217</v>
      </c>
      <c r="C5990" s="305" t="s">
        <v>521</v>
      </c>
      <c r="D5990" s="575">
        <v>1.21</v>
      </c>
    </row>
    <row r="5991" spans="1:4" ht="13.5" x14ac:dyDescent="0.25">
      <c r="A5991" s="306">
        <v>71516</v>
      </c>
      <c r="B5991" s="305" t="s">
        <v>5218</v>
      </c>
      <c r="C5991" s="305" t="s">
        <v>363</v>
      </c>
      <c r="D5991" s="575">
        <v>620.9</v>
      </c>
    </row>
    <row r="5992" spans="1:4" ht="13.5" x14ac:dyDescent="0.25">
      <c r="A5992" s="306">
        <v>73361</v>
      </c>
      <c r="B5992" s="305" t="s">
        <v>5219</v>
      </c>
      <c r="C5992" s="305" t="s">
        <v>1456</v>
      </c>
      <c r="D5992" s="575">
        <v>438.28</v>
      </c>
    </row>
    <row r="5993" spans="1:4" ht="13.5" x14ac:dyDescent="0.25">
      <c r="A5993" s="306">
        <v>73714</v>
      </c>
      <c r="B5993" s="305" t="s">
        <v>5220</v>
      </c>
      <c r="C5993" s="305" t="s">
        <v>363</v>
      </c>
      <c r="D5993" s="576">
        <v>1562.24</v>
      </c>
    </row>
    <row r="5994" spans="1:4" ht="13.5" x14ac:dyDescent="0.25">
      <c r="A5994" s="306">
        <v>97010</v>
      </c>
      <c r="B5994" s="305" t="s">
        <v>5221</v>
      </c>
      <c r="C5994" s="305" t="s">
        <v>282</v>
      </c>
      <c r="D5994" s="575">
        <v>35.369999999999997</v>
      </c>
    </row>
    <row r="5995" spans="1:4" ht="13.5" x14ac:dyDescent="0.25">
      <c r="A5995" s="306">
        <v>97011</v>
      </c>
      <c r="B5995" s="305" t="s">
        <v>5222</v>
      </c>
      <c r="C5995" s="305" t="s">
        <v>282</v>
      </c>
      <c r="D5995" s="575">
        <v>28.35</v>
      </c>
    </row>
    <row r="5996" spans="1:4" ht="13.5" x14ac:dyDescent="0.25">
      <c r="A5996" s="306">
        <v>97012</v>
      </c>
      <c r="B5996" s="305" t="s">
        <v>5223</v>
      </c>
      <c r="C5996" s="305" t="s">
        <v>282</v>
      </c>
      <c r="D5996" s="575">
        <v>24.84</v>
      </c>
    </row>
    <row r="5997" spans="1:4" ht="13.5" x14ac:dyDescent="0.25">
      <c r="A5997" s="306">
        <v>97013</v>
      </c>
      <c r="B5997" s="305" t="s">
        <v>5224</v>
      </c>
      <c r="C5997" s="305" t="s">
        <v>282</v>
      </c>
      <c r="D5997" s="575">
        <v>45.71</v>
      </c>
    </row>
    <row r="5998" spans="1:4" ht="13.5" x14ac:dyDescent="0.25">
      <c r="A5998" s="306">
        <v>97014</v>
      </c>
      <c r="B5998" s="305" t="s">
        <v>5225</v>
      </c>
      <c r="C5998" s="305" t="s">
        <v>282</v>
      </c>
      <c r="D5998" s="575">
        <v>35.450000000000003</v>
      </c>
    </row>
    <row r="5999" spans="1:4" ht="13.5" x14ac:dyDescent="0.25">
      <c r="A5999" s="306">
        <v>97015</v>
      </c>
      <c r="B5999" s="305" t="s">
        <v>5226</v>
      </c>
      <c r="C5999" s="305" t="s">
        <v>282</v>
      </c>
      <c r="D5999" s="575">
        <v>30.25</v>
      </c>
    </row>
    <row r="6000" spans="1:4" ht="13.5" x14ac:dyDescent="0.25">
      <c r="A6000" s="306">
        <v>97016</v>
      </c>
      <c r="B6000" s="305" t="s">
        <v>5227</v>
      </c>
      <c r="C6000" s="305" t="s">
        <v>282</v>
      </c>
      <c r="D6000" s="575">
        <v>30</v>
      </c>
    </row>
    <row r="6001" spans="1:4" ht="13.5" x14ac:dyDescent="0.25">
      <c r="A6001" s="306">
        <v>97017</v>
      </c>
      <c r="B6001" s="305" t="s">
        <v>5228</v>
      </c>
      <c r="C6001" s="305" t="s">
        <v>282</v>
      </c>
      <c r="D6001" s="575">
        <v>23.34</v>
      </c>
    </row>
    <row r="6002" spans="1:4" ht="13.5" x14ac:dyDescent="0.25">
      <c r="A6002" s="306">
        <v>97018</v>
      </c>
      <c r="B6002" s="305" t="s">
        <v>5229</v>
      </c>
      <c r="C6002" s="305" t="s">
        <v>282</v>
      </c>
      <c r="D6002" s="575">
        <v>19.87</v>
      </c>
    </row>
    <row r="6003" spans="1:4" ht="13.5" x14ac:dyDescent="0.25">
      <c r="A6003" s="306">
        <v>97031</v>
      </c>
      <c r="B6003" s="305" t="s">
        <v>5230</v>
      </c>
      <c r="C6003" s="305" t="s">
        <v>282</v>
      </c>
      <c r="D6003" s="575">
        <v>49.27</v>
      </c>
    </row>
    <row r="6004" spans="1:4" ht="13.5" x14ac:dyDescent="0.25">
      <c r="A6004" s="306">
        <v>97032</v>
      </c>
      <c r="B6004" s="305" t="s">
        <v>5231</v>
      </c>
      <c r="C6004" s="305" t="s">
        <v>282</v>
      </c>
      <c r="D6004" s="575">
        <v>32.19</v>
      </c>
    </row>
    <row r="6005" spans="1:4" ht="13.5" x14ac:dyDescent="0.25">
      <c r="A6005" s="306">
        <v>97033</v>
      </c>
      <c r="B6005" s="305" t="s">
        <v>5232</v>
      </c>
      <c r="C6005" s="305" t="s">
        <v>282</v>
      </c>
      <c r="D6005" s="575">
        <v>48.07</v>
      </c>
    </row>
    <row r="6006" spans="1:4" ht="13.5" x14ac:dyDescent="0.25">
      <c r="A6006" s="306">
        <v>97034</v>
      </c>
      <c r="B6006" s="305" t="s">
        <v>5233</v>
      </c>
      <c r="C6006" s="305" t="s">
        <v>282</v>
      </c>
      <c r="D6006" s="575">
        <v>30.91</v>
      </c>
    </row>
    <row r="6007" spans="1:4" ht="13.5" x14ac:dyDescent="0.25">
      <c r="A6007" s="306">
        <v>97039</v>
      </c>
      <c r="B6007" s="305" t="s">
        <v>5234</v>
      </c>
      <c r="C6007" s="305" t="s">
        <v>521</v>
      </c>
      <c r="D6007" s="575">
        <v>29.17</v>
      </c>
    </row>
    <row r="6008" spans="1:4" ht="13.5" x14ac:dyDescent="0.25">
      <c r="A6008" s="306">
        <v>97040</v>
      </c>
      <c r="B6008" s="305" t="s">
        <v>5235</v>
      </c>
      <c r="C6008" s="305" t="s">
        <v>521</v>
      </c>
      <c r="D6008" s="575">
        <v>10.42</v>
      </c>
    </row>
    <row r="6009" spans="1:4" ht="13.5" x14ac:dyDescent="0.25">
      <c r="A6009" s="306">
        <v>97041</v>
      </c>
      <c r="B6009" s="305" t="s">
        <v>5236</v>
      </c>
      <c r="C6009" s="305" t="s">
        <v>521</v>
      </c>
      <c r="D6009" s="575">
        <v>100.68</v>
      </c>
    </row>
    <row r="6010" spans="1:4" ht="13.5" x14ac:dyDescent="0.25">
      <c r="A6010" s="306">
        <v>97046</v>
      </c>
      <c r="B6010" s="305" t="s">
        <v>5237</v>
      </c>
      <c r="C6010" s="305" t="s">
        <v>521</v>
      </c>
      <c r="D6010" s="575">
        <v>0.24</v>
      </c>
    </row>
    <row r="6011" spans="1:4" ht="13.5" x14ac:dyDescent="0.25">
      <c r="A6011" s="306">
        <v>97047</v>
      </c>
      <c r="B6011" s="305" t="s">
        <v>5238</v>
      </c>
      <c r="C6011" s="305" t="s">
        <v>521</v>
      </c>
      <c r="D6011" s="575">
        <v>0.09</v>
      </c>
    </row>
    <row r="6012" spans="1:4" ht="13.5" x14ac:dyDescent="0.25">
      <c r="A6012" s="306">
        <v>97048</v>
      </c>
      <c r="B6012" s="305" t="s">
        <v>5239</v>
      </c>
      <c r="C6012" s="305" t="s">
        <v>521</v>
      </c>
      <c r="D6012" s="575">
        <v>7.0000000000000007E-2</v>
      </c>
    </row>
    <row r="6013" spans="1:4" ht="13.5" x14ac:dyDescent="0.25">
      <c r="A6013" s="306">
        <v>97051</v>
      </c>
      <c r="B6013" s="305" t="s">
        <v>5240</v>
      </c>
      <c r="C6013" s="305" t="s">
        <v>282</v>
      </c>
      <c r="D6013" s="575">
        <v>0.5</v>
      </c>
    </row>
    <row r="6014" spans="1:4" ht="13.5" x14ac:dyDescent="0.25">
      <c r="A6014" s="306">
        <v>97053</v>
      </c>
      <c r="B6014" s="305" t="s">
        <v>5241</v>
      </c>
      <c r="C6014" s="305" t="s">
        <v>282</v>
      </c>
      <c r="D6014" s="575">
        <v>30.56</v>
      </c>
    </row>
    <row r="6015" spans="1:4" ht="13.5" x14ac:dyDescent="0.25">
      <c r="A6015" s="306">
        <v>97054</v>
      </c>
      <c r="B6015" s="305" t="s">
        <v>13056</v>
      </c>
      <c r="C6015" s="305" t="s">
        <v>363</v>
      </c>
      <c r="D6015" s="575">
        <v>29.59</v>
      </c>
    </row>
    <row r="6016" spans="1:4" ht="13.5" x14ac:dyDescent="0.25">
      <c r="A6016" s="306">
        <v>97062</v>
      </c>
      <c r="B6016" s="305" t="s">
        <v>5242</v>
      </c>
      <c r="C6016" s="305" t="s">
        <v>521</v>
      </c>
      <c r="D6016" s="575">
        <v>5.0999999999999996</v>
      </c>
    </row>
    <row r="6017" spans="1:4" ht="13.5" x14ac:dyDescent="0.25">
      <c r="A6017" s="306">
        <v>97063</v>
      </c>
      <c r="B6017" s="305" t="s">
        <v>5243</v>
      </c>
      <c r="C6017" s="305" t="s">
        <v>521</v>
      </c>
      <c r="D6017" s="575">
        <v>8.43</v>
      </c>
    </row>
    <row r="6018" spans="1:4" ht="13.5" x14ac:dyDescent="0.25">
      <c r="A6018" s="306">
        <v>97064</v>
      </c>
      <c r="B6018" s="305" t="s">
        <v>5244</v>
      </c>
      <c r="C6018" s="305" t="s">
        <v>282</v>
      </c>
      <c r="D6018" s="575">
        <v>15.53</v>
      </c>
    </row>
    <row r="6019" spans="1:4" ht="13.5" x14ac:dyDescent="0.25">
      <c r="A6019" s="306">
        <v>97065</v>
      </c>
      <c r="B6019" s="305" t="s">
        <v>5245</v>
      </c>
      <c r="C6019" s="305" t="s">
        <v>1456</v>
      </c>
      <c r="D6019" s="575">
        <v>5.37</v>
      </c>
    </row>
    <row r="6020" spans="1:4" ht="13.5" x14ac:dyDescent="0.25">
      <c r="A6020" s="306">
        <v>97066</v>
      </c>
      <c r="B6020" s="305" t="s">
        <v>5246</v>
      </c>
      <c r="C6020" s="305" t="s">
        <v>521</v>
      </c>
      <c r="D6020" s="575">
        <v>51.83</v>
      </c>
    </row>
    <row r="6021" spans="1:4" ht="13.5" x14ac:dyDescent="0.25">
      <c r="A6021" s="306">
        <v>97067</v>
      </c>
      <c r="B6021" s="305" t="s">
        <v>5247</v>
      </c>
      <c r="C6021" s="305" t="s">
        <v>282</v>
      </c>
      <c r="D6021" s="575">
        <v>434.59</v>
      </c>
    </row>
    <row r="6022" spans="1:4" ht="13.5" x14ac:dyDescent="0.25">
      <c r="A6022" s="306">
        <v>85421</v>
      </c>
      <c r="B6022" s="305" t="s">
        <v>5248</v>
      </c>
      <c r="C6022" s="305" t="s">
        <v>521</v>
      </c>
      <c r="D6022" s="575">
        <v>13.67</v>
      </c>
    </row>
    <row r="6023" spans="1:4" ht="13.5" x14ac:dyDescent="0.25">
      <c r="A6023" s="306">
        <v>97621</v>
      </c>
      <c r="B6023" s="305" t="s">
        <v>5249</v>
      </c>
      <c r="C6023" s="305" t="s">
        <v>1456</v>
      </c>
      <c r="D6023" s="575">
        <v>90.22</v>
      </c>
    </row>
    <row r="6024" spans="1:4" ht="13.5" x14ac:dyDescent="0.25">
      <c r="A6024" s="306">
        <v>97622</v>
      </c>
      <c r="B6024" s="305" t="s">
        <v>5250</v>
      </c>
      <c r="C6024" s="305" t="s">
        <v>1456</v>
      </c>
      <c r="D6024" s="575">
        <v>43.97</v>
      </c>
    </row>
    <row r="6025" spans="1:4" ht="13.5" x14ac:dyDescent="0.25">
      <c r="A6025" s="306">
        <v>97623</v>
      </c>
      <c r="B6025" s="305" t="s">
        <v>5251</v>
      </c>
      <c r="C6025" s="305" t="s">
        <v>1456</v>
      </c>
      <c r="D6025" s="575">
        <v>134.69999999999999</v>
      </c>
    </row>
    <row r="6026" spans="1:4" ht="13.5" x14ac:dyDescent="0.25">
      <c r="A6026" s="306">
        <v>97624</v>
      </c>
      <c r="B6026" s="305" t="s">
        <v>5252</v>
      </c>
      <c r="C6026" s="305" t="s">
        <v>1456</v>
      </c>
      <c r="D6026" s="575">
        <v>82.67</v>
      </c>
    </row>
    <row r="6027" spans="1:4" ht="13.5" x14ac:dyDescent="0.25">
      <c r="A6027" s="306">
        <v>97625</v>
      </c>
      <c r="B6027" s="305" t="s">
        <v>5253</v>
      </c>
      <c r="C6027" s="305" t="s">
        <v>1456</v>
      </c>
      <c r="D6027" s="575">
        <v>34.78</v>
      </c>
    </row>
    <row r="6028" spans="1:4" ht="13.5" x14ac:dyDescent="0.25">
      <c r="A6028" s="306">
        <v>97626</v>
      </c>
      <c r="B6028" s="305" t="s">
        <v>5254</v>
      </c>
      <c r="C6028" s="305" t="s">
        <v>1456</v>
      </c>
      <c r="D6028" s="575">
        <v>465.76</v>
      </c>
    </row>
    <row r="6029" spans="1:4" ht="13.5" x14ac:dyDescent="0.25">
      <c r="A6029" s="306">
        <v>97627</v>
      </c>
      <c r="B6029" s="305" t="s">
        <v>5255</v>
      </c>
      <c r="C6029" s="305" t="s">
        <v>1456</v>
      </c>
      <c r="D6029" s="575">
        <v>225.68</v>
      </c>
    </row>
    <row r="6030" spans="1:4" ht="13.5" x14ac:dyDescent="0.25">
      <c r="A6030" s="306">
        <v>97628</v>
      </c>
      <c r="B6030" s="305" t="s">
        <v>5256</v>
      </c>
      <c r="C6030" s="305" t="s">
        <v>1456</v>
      </c>
      <c r="D6030" s="575">
        <v>217.32</v>
      </c>
    </row>
    <row r="6031" spans="1:4" ht="13.5" x14ac:dyDescent="0.25">
      <c r="A6031" s="306">
        <v>97629</v>
      </c>
      <c r="B6031" s="305" t="s">
        <v>5257</v>
      </c>
      <c r="C6031" s="305" t="s">
        <v>1456</v>
      </c>
      <c r="D6031" s="575">
        <v>102.24</v>
      </c>
    </row>
    <row r="6032" spans="1:4" ht="13.5" x14ac:dyDescent="0.25">
      <c r="A6032" s="306">
        <v>97631</v>
      </c>
      <c r="B6032" s="305" t="s">
        <v>5258</v>
      </c>
      <c r="C6032" s="305" t="s">
        <v>521</v>
      </c>
      <c r="D6032" s="575">
        <v>2.54</v>
      </c>
    </row>
    <row r="6033" spans="1:4" ht="13.5" x14ac:dyDescent="0.25">
      <c r="A6033" s="306">
        <v>97632</v>
      </c>
      <c r="B6033" s="305" t="s">
        <v>5259</v>
      </c>
      <c r="C6033" s="305" t="s">
        <v>282</v>
      </c>
      <c r="D6033" s="575">
        <v>2.02</v>
      </c>
    </row>
    <row r="6034" spans="1:4" ht="13.5" x14ac:dyDescent="0.25">
      <c r="A6034" s="306">
        <v>97633</v>
      </c>
      <c r="B6034" s="305" t="s">
        <v>5260</v>
      </c>
      <c r="C6034" s="305" t="s">
        <v>521</v>
      </c>
      <c r="D6034" s="575">
        <v>17.739999999999998</v>
      </c>
    </row>
    <row r="6035" spans="1:4" ht="13.5" x14ac:dyDescent="0.25">
      <c r="A6035" s="306">
        <v>97634</v>
      </c>
      <c r="B6035" s="305" t="s">
        <v>5261</v>
      </c>
      <c r="C6035" s="305" t="s">
        <v>521</v>
      </c>
      <c r="D6035" s="575">
        <v>9.8000000000000007</v>
      </c>
    </row>
    <row r="6036" spans="1:4" ht="13.5" x14ac:dyDescent="0.25">
      <c r="A6036" s="306">
        <v>97635</v>
      </c>
      <c r="B6036" s="305" t="s">
        <v>5262</v>
      </c>
      <c r="C6036" s="305" t="s">
        <v>521</v>
      </c>
      <c r="D6036" s="575">
        <v>12.16</v>
      </c>
    </row>
    <row r="6037" spans="1:4" ht="13.5" x14ac:dyDescent="0.25">
      <c r="A6037" s="306">
        <v>97636</v>
      </c>
      <c r="B6037" s="305" t="s">
        <v>5263</v>
      </c>
      <c r="C6037" s="305" t="s">
        <v>521</v>
      </c>
      <c r="D6037" s="575">
        <v>10.26</v>
      </c>
    </row>
    <row r="6038" spans="1:4" ht="13.5" x14ac:dyDescent="0.25">
      <c r="A6038" s="306">
        <v>97637</v>
      </c>
      <c r="B6038" s="305" t="s">
        <v>5264</v>
      </c>
      <c r="C6038" s="305" t="s">
        <v>521</v>
      </c>
      <c r="D6038" s="575">
        <v>2.14</v>
      </c>
    </row>
    <row r="6039" spans="1:4" ht="13.5" x14ac:dyDescent="0.25">
      <c r="A6039" s="306">
        <v>97638</v>
      </c>
      <c r="B6039" s="305" t="s">
        <v>5265</v>
      </c>
      <c r="C6039" s="305" t="s">
        <v>521</v>
      </c>
      <c r="D6039" s="575">
        <v>6.23</v>
      </c>
    </row>
    <row r="6040" spans="1:4" ht="13.5" x14ac:dyDescent="0.25">
      <c r="A6040" s="306">
        <v>97639</v>
      </c>
      <c r="B6040" s="305" t="s">
        <v>5266</v>
      </c>
      <c r="C6040" s="305" t="s">
        <v>521</v>
      </c>
      <c r="D6040" s="575">
        <v>15.27</v>
      </c>
    </row>
    <row r="6041" spans="1:4" ht="13.5" x14ac:dyDescent="0.25">
      <c r="A6041" s="306">
        <v>97640</v>
      </c>
      <c r="B6041" s="305" t="s">
        <v>5267</v>
      </c>
      <c r="C6041" s="305" t="s">
        <v>521</v>
      </c>
      <c r="D6041" s="575">
        <v>1.34</v>
      </c>
    </row>
    <row r="6042" spans="1:4" ht="13.5" x14ac:dyDescent="0.25">
      <c r="A6042" s="306">
        <v>97641</v>
      </c>
      <c r="B6042" s="305" t="s">
        <v>5268</v>
      </c>
      <c r="C6042" s="305" t="s">
        <v>521</v>
      </c>
      <c r="D6042" s="575">
        <v>3.77</v>
      </c>
    </row>
    <row r="6043" spans="1:4" ht="13.5" x14ac:dyDescent="0.25">
      <c r="A6043" s="306">
        <v>97642</v>
      </c>
      <c r="B6043" s="305" t="s">
        <v>5269</v>
      </c>
      <c r="C6043" s="305" t="s">
        <v>521</v>
      </c>
      <c r="D6043" s="575">
        <v>2.42</v>
      </c>
    </row>
    <row r="6044" spans="1:4" ht="13.5" x14ac:dyDescent="0.25">
      <c r="A6044" s="306">
        <v>97643</v>
      </c>
      <c r="B6044" s="305" t="s">
        <v>5270</v>
      </c>
      <c r="C6044" s="305" t="s">
        <v>521</v>
      </c>
      <c r="D6044" s="575">
        <v>18.62</v>
      </c>
    </row>
    <row r="6045" spans="1:4" ht="13.5" x14ac:dyDescent="0.25">
      <c r="A6045" s="306">
        <v>97644</v>
      </c>
      <c r="B6045" s="305" t="s">
        <v>5271</v>
      </c>
      <c r="C6045" s="305" t="s">
        <v>521</v>
      </c>
      <c r="D6045" s="575">
        <v>7.05</v>
      </c>
    </row>
    <row r="6046" spans="1:4" ht="13.5" x14ac:dyDescent="0.25">
      <c r="A6046" s="306">
        <v>97645</v>
      </c>
      <c r="B6046" s="305" t="s">
        <v>5272</v>
      </c>
      <c r="C6046" s="305" t="s">
        <v>521</v>
      </c>
      <c r="D6046" s="575">
        <v>23.84</v>
      </c>
    </row>
    <row r="6047" spans="1:4" ht="13.5" x14ac:dyDescent="0.25">
      <c r="A6047" s="306">
        <v>97647</v>
      </c>
      <c r="B6047" s="305" t="s">
        <v>5273</v>
      </c>
      <c r="C6047" s="305" t="s">
        <v>521</v>
      </c>
      <c r="D6047" s="575">
        <v>2.62</v>
      </c>
    </row>
    <row r="6048" spans="1:4" ht="13.5" x14ac:dyDescent="0.25">
      <c r="A6048" s="306">
        <v>97648</v>
      </c>
      <c r="B6048" s="305" t="s">
        <v>5274</v>
      </c>
      <c r="C6048" s="305" t="s">
        <v>521</v>
      </c>
      <c r="D6048" s="575">
        <v>1.5</v>
      </c>
    </row>
    <row r="6049" spans="1:4" ht="13.5" x14ac:dyDescent="0.25">
      <c r="A6049" s="306">
        <v>97649</v>
      </c>
      <c r="B6049" s="305" t="s">
        <v>5275</v>
      </c>
      <c r="C6049" s="305" t="s">
        <v>521</v>
      </c>
      <c r="D6049" s="575">
        <v>3.25</v>
      </c>
    </row>
    <row r="6050" spans="1:4" ht="13.5" x14ac:dyDescent="0.25">
      <c r="A6050" s="306">
        <v>97650</v>
      </c>
      <c r="B6050" s="305" t="s">
        <v>5276</v>
      </c>
      <c r="C6050" s="305" t="s">
        <v>521</v>
      </c>
      <c r="D6050" s="575">
        <v>5.64</v>
      </c>
    </row>
    <row r="6051" spans="1:4" ht="13.5" x14ac:dyDescent="0.25">
      <c r="A6051" s="306">
        <v>97651</v>
      </c>
      <c r="B6051" s="305" t="s">
        <v>5277</v>
      </c>
      <c r="C6051" s="305" t="s">
        <v>363</v>
      </c>
      <c r="D6051" s="575">
        <v>62.43</v>
      </c>
    </row>
    <row r="6052" spans="1:4" ht="13.5" x14ac:dyDescent="0.25">
      <c r="A6052" s="306">
        <v>97652</v>
      </c>
      <c r="B6052" s="305" t="s">
        <v>5278</v>
      </c>
      <c r="C6052" s="305" t="s">
        <v>363</v>
      </c>
      <c r="D6052" s="575">
        <v>141.53</v>
      </c>
    </row>
    <row r="6053" spans="1:4" ht="13.5" x14ac:dyDescent="0.25">
      <c r="A6053" s="306">
        <v>97653</v>
      </c>
      <c r="B6053" s="305" t="s">
        <v>5279</v>
      </c>
      <c r="C6053" s="305" t="s">
        <v>363</v>
      </c>
      <c r="D6053" s="575">
        <v>89.86</v>
      </c>
    </row>
    <row r="6054" spans="1:4" ht="13.5" x14ac:dyDescent="0.25">
      <c r="A6054" s="306">
        <v>97654</v>
      </c>
      <c r="B6054" s="305" t="s">
        <v>5280</v>
      </c>
      <c r="C6054" s="305" t="s">
        <v>363</v>
      </c>
      <c r="D6054" s="575">
        <v>111.52</v>
      </c>
    </row>
    <row r="6055" spans="1:4" ht="13.5" x14ac:dyDescent="0.25">
      <c r="A6055" s="306">
        <v>97655</v>
      </c>
      <c r="B6055" s="305" t="s">
        <v>5281</v>
      </c>
      <c r="C6055" s="305" t="s">
        <v>521</v>
      </c>
      <c r="D6055" s="575">
        <v>16.149999999999999</v>
      </c>
    </row>
    <row r="6056" spans="1:4" ht="13.5" x14ac:dyDescent="0.25">
      <c r="A6056" s="306">
        <v>97656</v>
      </c>
      <c r="B6056" s="305" t="s">
        <v>5282</v>
      </c>
      <c r="C6056" s="305" t="s">
        <v>363</v>
      </c>
      <c r="D6056" s="575">
        <v>162.26</v>
      </c>
    </row>
    <row r="6057" spans="1:4" ht="13.5" x14ac:dyDescent="0.25">
      <c r="A6057" s="306">
        <v>97657</v>
      </c>
      <c r="B6057" s="305" t="s">
        <v>5283</v>
      </c>
      <c r="C6057" s="305" t="s">
        <v>363</v>
      </c>
      <c r="D6057" s="575">
        <v>321.60000000000002</v>
      </c>
    </row>
    <row r="6058" spans="1:4" ht="13.5" x14ac:dyDescent="0.25">
      <c r="A6058" s="306">
        <v>97658</v>
      </c>
      <c r="B6058" s="305" t="s">
        <v>5284</v>
      </c>
      <c r="C6058" s="305" t="s">
        <v>363</v>
      </c>
      <c r="D6058" s="575">
        <v>129.22999999999999</v>
      </c>
    </row>
    <row r="6059" spans="1:4" ht="13.5" x14ac:dyDescent="0.25">
      <c r="A6059" s="306">
        <v>97659</v>
      </c>
      <c r="B6059" s="305" t="s">
        <v>5285</v>
      </c>
      <c r="C6059" s="305" t="s">
        <v>363</v>
      </c>
      <c r="D6059" s="575">
        <v>175.04</v>
      </c>
    </row>
    <row r="6060" spans="1:4" ht="13.5" x14ac:dyDescent="0.25">
      <c r="A6060" s="306">
        <v>97660</v>
      </c>
      <c r="B6060" s="305" t="s">
        <v>5286</v>
      </c>
      <c r="C6060" s="305" t="s">
        <v>363</v>
      </c>
      <c r="D6060" s="575">
        <v>0.51</v>
      </c>
    </row>
    <row r="6061" spans="1:4" ht="13.5" x14ac:dyDescent="0.25">
      <c r="A6061" s="306">
        <v>97661</v>
      </c>
      <c r="B6061" s="305" t="s">
        <v>5287</v>
      </c>
      <c r="C6061" s="305" t="s">
        <v>282</v>
      </c>
      <c r="D6061" s="575">
        <v>0.51</v>
      </c>
    </row>
    <row r="6062" spans="1:4" ht="13.5" x14ac:dyDescent="0.25">
      <c r="A6062" s="306">
        <v>97662</v>
      </c>
      <c r="B6062" s="305" t="s">
        <v>5288</v>
      </c>
      <c r="C6062" s="305" t="s">
        <v>282</v>
      </c>
      <c r="D6062" s="575">
        <v>0.36</v>
      </c>
    </row>
    <row r="6063" spans="1:4" ht="13.5" x14ac:dyDescent="0.25">
      <c r="A6063" s="306">
        <v>97663</v>
      </c>
      <c r="B6063" s="305" t="s">
        <v>5289</v>
      </c>
      <c r="C6063" s="305" t="s">
        <v>363</v>
      </c>
      <c r="D6063" s="575">
        <v>9.2799999999999994</v>
      </c>
    </row>
    <row r="6064" spans="1:4" ht="13.5" x14ac:dyDescent="0.25">
      <c r="A6064" s="306">
        <v>97664</v>
      </c>
      <c r="B6064" s="305" t="s">
        <v>5290</v>
      </c>
      <c r="C6064" s="305" t="s">
        <v>363</v>
      </c>
      <c r="D6064" s="575">
        <v>1.1599999999999999</v>
      </c>
    </row>
    <row r="6065" spans="1:4" ht="13.5" x14ac:dyDescent="0.25">
      <c r="A6065" s="306">
        <v>97665</v>
      </c>
      <c r="B6065" s="305" t="s">
        <v>5291</v>
      </c>
      <c r="C6065" s="305" t="s">
        <v>363</v>
      </c>
      <c r="D6065" s="575">
        <v>0.98</v>
      </c>
    </row>
    <row r="6066" spans="1:4" ht="13.5" x14ac:dyDescent="0.25">
      <c r="A6066" s="306">
        <v>97666</v>
      </c>
      <c r="B6066" s="305" t="s">
        <v>5292</v>
      </c>
      <c r="C6066" s="305" t="s">
        <v>363</v>
      </c>
      <c r="D6066" s="575">
        <v>6.76</v>
      </c>
    </row>
    <row r="6067" spans="1:4" ht="13.5" x14ac:dyDescent="0.25">
      <c r="A6067" s="306">
        <v>95967</v>
      </c>
      <c r="B6067" s="305" t="s">
        <v>5293</v>
      </c>
      <c r="C6067" s="305" t="s">
        <v>43</v>
      </c>
      <c r="D6067" s="575">
        <v>119.29</v>
      </c>
    </row>
    <row r="6068" spans="1:4" ht="13.5" x14ac:dyDescent="0.25">
      <c r="A6068" s="306">
        <v>99058</v>
      </c>
      <c r="B6068" s="305" t="s">
        <v>5294</v>
      </c>
      <c r="C6068" s="305" t="s">
        <v>363</v>
      </c>
      <c r="D6068" s="575">
        <v>10.43</v>
      </c>
    </row>
    <row r="6069" spans="1:4" ht="13.5" x14ac:dyDescent="0.25">
      <c r="A6069" s="306">
        <v>99059</v>
      </c>
      <c r="B6069" s="305" t="s">
        <v>5295</v>
      </c>
      <c r="C6069" s="305" t="s">
        <v>282</v>
      </c>
      <c r="D6069" s="575">
        <v>34.520000000000003</v>
      </c>
    </row>
    <row r="6070" spans="1:4" ht="13.5" x14ac:dyDescent="0.25">
      <c r="A6070" s="306">
        <v>99060</v>
      </c>
      <c r="B6070" s="305" t="s">
        <v>13057</v>
      </c>
      <c r="C6070" s="305" t="s">
        <v>363</v>
      </c>
      <c r="D6070" s="575">
        <v>89.31</v>
      </c>
    </row>
    <row r="6071" spans="1:4" ht="13.5" x14ac:dyDescent="0.25">
      <c r="A6071" s="306">
        <v>99061</v>
      </c>
      <c r="B6071" s="305" t="s">
        <v>13058</v>
      </c>
      <c r="C6071" s="305" t="s">
        <v>363</v>
      </c>
      <c r="D6071" s="575">
        <v>60.52</v>
      </c>
    </row>
    <row r="6072" spans="1:4" ht="13.5" x14ac:dyDescent="0.25">
      <c r="A6072" s="306">
        <v>99062</v>
      </c>
      <c r="B6072" s="305" t="s">
        <v>5296</v>
      </c>
      <c r="C6072" s="305" t="s">
        <v>363</v>
      </c>
      <c r="D6072" s="575">
        <v>1.85</v>
      </c>
    </row>
    <row r="6073" spans="1:4" ht="13.5" x14ac:dyDescent="0.25">
      <c r="A6073" s="306">
        <v>99063</v>
      </c>
      <c r="B6073" s="305" t="s">
        <v>5297</v>
      </c>
      <c r="C6073" s="305" t="s">
        <v>282</v>
      </c>
      <c r="D6073" s="575">
        <v>3.02</v>
      </c>
    </row>
    <row r="6074" spans="1:4" ht="13.5" x14ac:dyDescent="0.25">
      <c r="A6074" s="306">
        <v>99064</v>
      </c>
      <c r="B6074" s="305" t="s">
        <v>5298</v>
      </c>
      <c r="C6074" s="305" t="s">
        <v>282</v>
      </c>
      <c r="D6074" s="575">
        <v>0.52</v>
      </c>
    </row>
    <row r="6075" spans="1:4" ht="13.5" x14ac:dyDescent="0.25">
      <c r="A6075" s="306">
        <v>93588</v>
      </c>
      <c r="B6075" s="305" t="s">
        <v>13059</v>
      </c>
      <c r="C6075" s="305" t="s">
        <v>4498</v>
      </c>
      <c r="D6075" s="575">
        <v>1.69</v>
      </c>
    </row>
    <row r="6076" spans="1:4" ht="13.5" x14ac:dyDescent="0.25">
      <c r="A6076" s="306">
        <v>93589</v>
      </c>
      <c r="B6076" s="305" t="s">
        <v>13060</v>
      </c>
      <c r="C6076" s="305" t="s">
        <v>4498</v>
      </c>
      <c r="D6076" s="575">
        <v>1.45</v>
      </c>
    </row>
    <row r="6077" spans="1:4" ht="13.5" x14ac:dyDescent="0.25">
      <c r="A6077" s="306">
        <v>93590</v>
      </c>
      <c r="B6077" s="305" t="s">
        <v>13061</v>
      </c>
      <c r="C6077" s="305" t="s">
        <v>4498</v>
      </c>
      <c r="D6077" s="575">
        <v>0.53</v>
      </c>
    </row>
    <row r="6078" spans="1:4" ht="13.5" x14ac:dyDescent="0.25">
      <c r="A6078" s="306">
        <v>93591</v>
      </c>
      <c r="B6078" s="305" t="s">
        <v>13062</v>
      </c>
      <c r="C6078" s="305" t="s">
        <v>4498</v>
      </c>
      <c r="D6078" s="575">
        <v>1.46</v>
      </c>
    </row>
    <row r="6079" spans="1:4" ht="13.5" x14ac:dyDescent="0.25">
      <c r="A6079" s="306">
        <v>93592</v>
      </c>
      <c r="B6079" s="305" t="s">
        <v>13063</v>
      </c>
      <c r="C6079" s="305" t="s">
        <v>4498</v>
      </c>
      <c r="D6079" s="575">
        <v>1.27</v>
      </c>
    </row>
    <row r="6080" spans="1:4" ht="13.5" x14ac:dyDescent="0.25">
      <c r="A6080" s="306">
        <v>93593</v>
      </c>
      <c r="B6080" s="305" t="s">
        <v>13064</v>
      </c>
      <c r="C6080" s="305" t="s">
        <v>4498</v>
      </c>
      <c r="D6080" s="575">
        <v>0.46</v>
      </c>
    </row>
    <row r="6081" spans="1:4" ht="13.5" x14ac:dyDescent="0.25">
      <c r="A6081" s="306">
        <v>93594</v>
      </c>
      <c r="B6081" s="305" t="s">
        <v>13065</v>
      </c>
      <c r="C6081" s="305" t="s">
        <v>4488</v>
      </c>
      <c r="D6081" s="575">
        <v>1.1200000000000001</v>
      </c>
    </row>
    <row r="6082" spans="1:4" ht="13.5" x14ac:dyDescent="0.25">
      <c r="A6082" s="306">
        <v>93595</v>
      </c>
      <c r="B6082" s="305" t="s">
        <v>13066</v>
      </c>
      <c r="C6082" s="305" t="s">
        <v>4488</v>
      </c>
      <c r="D6082" s="575">
        <v>0.98</v>
      </c>
    </row>
    <row r="6083" spans="1:4" ht="13.5" x14ac:dyDescent="0.25">
      <c r="A6083" s="306">
        <v>93596</v>
      </c>
      <c r="B6083" s="305" t="s">
        <v>13067</v>
      </c>
      <c r="C6083" s="305" t="s">
        <v>4488</v>
      </c>
      <c r="D6083" s="575">
        <v>0.35</v>
      </c>
    </row>
    <row r="6084" spans="1:4" ht="13.5" x14ac:dyDescent="0.25">
      <c r="A6084" s="306">
        <v>93597</v>
      </c>
      <c r="B6084" s="305" t="s">
        <v>13068</v>
      </c>
      <c r="C6084" s="305" t="s">
        <v>4488</v>
      </c>
      <c r="D6084" s="575">
        <v>0.97</v>
      </c>
    </row>
    <row r="6085" spans="1:4" ht="13.5" x14ac:dyDescent="0.25">
      <c r="A6085" s="306">
        <v>93598</v>
      </c>
      <c r="B6085" s="305" t="s">
        <v>13069</v>
      </c>
      <c r="C6085" s="305" t="s">
        <v>4488</v>
      </c>
      <c r="D6085" s="575">
        <v>0.83</v>
      </c>
    </row>
    <row r="6086" spans="1:4" ht="13.5" x14ac:dyDescent="0.25">
      <c r="A6086" s="306">
        <v>93599</v>
      </c>
      <c r="B6086" s="305" t="s">
        <v>13070</v>
      </c>
      <c r="C6086" s="305" t="s">
        <v>4488</v>
      </c>
      <c r="D6086" s="575">
        <v>0.3</v>
      </c>
    </row>
    <row r="6087" spans="1:4" ht="13.5" x14ac:dyDescent="0.25">
      <c r="A6087" s="306">
        <v>95425</v>
      </c>
      <c r="B6087" s="305" t="s">
        <v>13071</v>
      </c>
      <c r="C6087" s="305" t="s">
        <v>4498</v>
      </c>
      <c r="D6087" s="575">
        <v>1.24</v>
      </c>
    </row>
    <row r="6088" spans="1:4" ht="13.5" x14ac:dyDescent="0.25">
      <c r="A6088" s="306">
        <v>95426</v>
      </c>
      <c r="B6088" s="305" t="s">
        <v>13072</v>
      </c>
      <c r="C6088" s="305" t="s">
        <v>4498</v>
      </c>
      <c r="D6088" s="575">
        <v>1.07</v>
      </c>
    </row>
    <row r="6089" spans="1:4" ht="13.5" x14ac:dyDescent="0.25">
      <c r="A6089" s="306">
        <v>95427</v>
      </c>
      <c r="B6089" s="305" t="s">
        <v>13073</v>
      </c>
      <c r="C6089" s="305" t="s">
        <v>4498</v>
      </c>
      <c r="D6089" s="575">
        <v>0.4</v>
      </c>
    </row>
    <row r="6090" spans="1:4" ht="13.5" x14ac:dyDescent="0.25">
      <c r="A6090" s="306">
        <v>95428</v>
      </c>
      <c r="B6090" s="305" t="s">
        <v>13074</v>
      </c>
      <c r="C6090" s="305" t="s">
        <v>4488</v>
      </c>
      <c r="D6090" s="575">
        <v>0.84</v>
      </c>
    </row>
    <row r="6091" spans="1:4" ht="13.5" x14ac:dyDescent="0.25">
      <c r="A6091" s="306">
        <v>95429</v>
      </c>
      <c r="B6091" s="305" t="s">
        <v>13075</v>
      </c>
      <c r="C6091" s="305" t="s">
        <v>4488</v>
      </c>
      <c r="D6091" s="575">
        <v>0.73</v>
      </c>
    </row>
    <row r="6092" spans="1:4" ht="13.5" x14ac:dyDescent="0.25">
      <c r="A6092" s="306">
        <v>95430</v>
      </c>
      <c r="B6092" s="305" t="s">
        <v>13076</v>
      </c>
      <c r="C6092" s="305" t="s">
        <v>4488</v>
      </c>
      <c r="D6092" s="575">
        <v>0.25</v>
      </c>
    </row>
    <row r="6093" spans="1:4" ht="13.5" x14ac:dyDescent="0.25">
      <c r="A6093" s="306">
        <v>95875</v>
      </c>
      <c r="B6093" s="305" t="s">
        <v>13077</v>
      </c>
      <c r="C6093" s="305" t="s">
        <v>4498</v>
      </c>
      <c r="D6093" s="575">
        <v>1.34</v>
      </c>
    </row>
    <row r="6094" spans="1:4" ht="13.5" x14ac:dyDescent="0.25">
      <c r="A6094" s="306">
        <v>95876</v>
      </c>
      <c r="B6094" s="305" t="s">
        <v>13078</v>
      </c>
      <c r="C6094" s="305" t="s">
        <v>4498</v>
      </c>
      <c r="D6094" s="575">
        <v>1.1499999999999999</v>
      </c>
    </row>
    <row r="6095" spans="1:4" ht="13.5" x14ac:dyDescent="0.25">
      <c r="A6095" s="306">
        <v>95877</v>
      </c>
      <c r="B6095" s="305" t="s">
        <v>13079</v>
      </c>
      <c r="C6095" s="305" t="s">
        <v>4498</v>
      </c>
      <c r="D6095" s="575">
        <v>0.98</v>
      </c>
    </row>
    <row r="6096" spans="1:4" ht="13.5" x14ac:dyDescent="0.25">
      <c r="A6096" s="306">
        <v>95878</v>
      </c>
      <c r="B6096" s="305" t="s">
        <v>13080</v>
      </c>
      <c r="C6096" s="305" t="s">
        <v>4488</v>
      </c>
      <c r="D6096" s="575">
        <v>0.89</v>
      </c>
    </row>
    <row r="6097" spans="1:4" ht="13.5" x14ac:dyDescent="0.25">
      <c r="A6097" s="306">
        <v>95879</v>
      </c>
      <c r="B6097" s="305" t="s">
        <v>13081</v>
      </c>
      <c r="C6097" s="305" t="s">
        <v>4488</v>
      </c>
      <c r="D6097" s="575">
        <v>0.78</v>
      </c>
    </row>
    <row r="6098" spans="1:4" ht="13.5" x14ac:dyDescent="0.25">
      <c r="A6098" s="306">
        <v>95880</v>
      </c>
      <c r="B6098" s="305" t="s">
        <v>13082</v>
      </c>
      <c r="C6098" s="305" t="s">
        <v>4488</v>
      </c>
      <c r="D6098" s="575">
        <v>0.66</v>
      </c>
    </row>
    <row r="6099" spans="1:4" ht="13.5" x14ac:dyDescent="0.25">
      <c r="A6099" s="306">
        <v>97912</v>
      </c>
      <c r="B6099" s="305" t="s">
        <v>13083</v>
      </c>
      <c r="C6099" s="305" t="s">
        <v>4498</v>
      </c>
      <c r="D6099" s="575">
        <v>2.0699999999999998</v>
      </c>
    </row>
    <row r="6100" spans="1:4" ht="13.5" x14ac:dyDescent="0.25">
      <c r="A6100" s="306">
        <v>97913</v>
      </c>
      <c r="B6100" s="305" t="s">
        <v>13084</v>
      </c>
      <c r="C6100" s="305" t="s">
        <v>4498</v>
      </c>
      <c r="D6100" s="575">
        <v>1.79</v>
      </c>
    </row>
    <row r="6101" spans="1:4" ht="13.5" x14ac:dyDescent="0.25">
      <c r="A6101" s="306">
        <v>97914</v>
      </c>
      <c r="B6101" s="305" t="s">
        <v>13085</v>
      </c>
      <c r="C6101" s="305" t="s">
        <v>4498</v>
      </c>
      <c r="D6101" s="575">
        <v>1.65</v>
      </c>
    </row>
    <row r="6102" spans="1:4" ht="13.5" x14ac:dyDescent="0.25">
      <c r="A6102" s="306">
        <v>97915</v>
      </c>
      <c r="B6102" s="305" t="s">
        <v>13086</v>
      </c>
      <c r="C6102" s="305" t="s">
        <v>4498</v>
      </c>
      <c r="D6102" s="575">
        <v>0.66</v>
      </c>
    </row>
    <row r="6103" spans="1:4" ht="13.5" x14ac:dyDescent="0.25">
      <c r="A6103" s="306">
        <v>100937</v>
      </c>
      <c r="B6103" s="305" t="s">
        <v>13087</v>
      </c>
      <c r="C6103" s="305" t="s">
        <v>4498</v>
      </c>
      <c r="D6103" s="575">
        <v>4.95</v>
      </c>
    </row>
    <row r="6104" spans="1:4" ht="13.5" x14ac:dyDescent="0.25">
      <c r="A6104" s="306">
        <v>100938</v>
      </c>
      <c r="B6104" s="305" t="s">
        <v>13088</v>
      </c>
      <c r="C6104" s="305" t="s">
        <v>4498</v>
      </c>
      <c r="D6104" s="575">
        <v>4.04</v>
      </c>
    </row>
    <row r="6105" spans="1:4" ht="13.5" x14ac:dyDescent="0.25">
      <c r="A6105" s="306">
        <v>100939</v>
      </c>
      <c r="B6105" s="305" t="s">
        <v>13089</v>
      </c>
      <c r="C6105" s="305" t="s">
        <v>4498</v>
      </c>
      <c r="D6105" s="575">
        <v>3.5</v>
      </c>
    </row>
    <row r="6106" spans="1:4" ht="13.5" x14ac:dyDescent="0.25">
      <c r="A6106" s="306">
        <v>100940</v>
      </c>
      <c r="B6106" s="305" t="s">
        <v>13090</v>
      </c>
      <c r="C6106" s="305" t="s">
        <v>4498</v>
      </c>
      <c r="D6106" s="575">
        <v>2.99</v>
      </c>
    </row>
    <row r="6107" spans="1:4" ht="13.5" x14ac:dyDescent="0.25">
      <c r="A6107" s="306">
        <v>100941</v>
      </c>
      <c r="B6107" s="305" t="s">
        <v>13091</v>
      </c>
      <c r="C6107" s="305" t="s">
        <v>4488</v>
      </c>
      <c r="D6107" s="575">
        <v>3.29</v>
      </c>
    </row>
    <row r="6108" spans="1:4" ht="13.5" x14ac:dyDescent="0.25">
      <c r="A6108" s="306">
        <v>100942</v>
      </c>
      <c r="B6108" s="305" t="s">
        <v>13092</v>
      </c>
      <c r="C6108" s="305" t="s">
        <v>4488</v>
      </c>
      <c r="D6108" s="575">
        <v>2.69</v>
      </c>
    </row>
    <row r="6109" spans="1:4" ht="13.5" x14ac:dyDescent="0.25">
      <c r="A6109" s="306">
        <v>100943</v>
      </c>
      <c r="B6109" s="305" t="s">
        <v>13093</v>
      </c>
      <c r="C6109" s="305" t="s">
        <v>4488</v>
      </c>
      <c r="D6109" s="575">
        <v>2.33</v>
      </c>
    </row>
    <row r="6110" spans="1:4" ht="13.5" x14ac:dyDescent="0.25">
      <c r="A6110" s="306">
        <v>100944</v>
      </c>
      <c r="B6110" s="305" t="s">
        <v>13094</v>
      </c>
      <c r="C6110" s="305" t="s">
        <v>4488</v>
      </c>
      <c r="D6110" s="575">
        <v>2</v>
      </c>
    </row>
    <row r="6111" spans="1:4" ht="13.5" x14ac:dyDescent="0.25">
      <c r="A6111" s="306">
        <v>100945</v>
      </c>
      <c r="B6111" s="305" t="s">
        <v>13095</v>
      </c>
      <c r="C6111" s="305" t="s">
        <v>4488</v>
      </c>
      <c r="D6111" s="575">
        <v>1.44</v>
      </c>
    </row>
    <row r="6112" spans="1:4" ht="13.5" x14ac:dyDescent="0.25">
      <c r="A6112" s="306">
        <v>100946</v>
      </c>
      <c r="B6112" s="305" t="s">
        <v>13096</v>
      </c>
      <c r="C6112" s="305" t="s">
        <v>4488</v>
      </c>
      <c r="D6112" s="575">
        <v>1.24</v>
      </c>
    </row>
    <row r="6113" spans="1:4" ht="13.5" x14ac:dyDescent="0.25">
      <c r="A6113" s="306">
        <v>100947</v>
      </c>
      <c r="B6113" s="305" t="s">
        <v>13097</v>
      </c>
      <c r="C6113" s="305" t="s">
        <v>4488</v>
      </c>
      <c r="D6113" s="575">
        <v>1.1399999999999999</v>
      </c>
    </row>
    <row r="6114" spans="1:4" ht="13.5" x14ac:dyDescent="0.25">
      <c r="A6114" s="306">
        <v>100948</v>
      </c>
      <c r="B6114" s="305" t="s">
        <v>13098</v>
      </c>
      <c r="C6114" s="305" t="s">
        <v>4488</v>
      </c>
      <c r="D6114" s="575">
        <v>0.45</v>
      </c>
    </row>
    <row r="6115" spans="1:4" ht="13.5" x14ac:dyDescent="0.25">
      <c r="A6115" s="306">
        <v>100949</v>
      </c>
      <c r="B6115" s="305" t="s">
        <v>13099</v>
      </c>
      <c r="C6115" s="305" t="s">
        <v>4488</v>
      </c>
      <c r="D6115" s="575">
        <v>3.44</v>
      </c>
    </row>
    <row r="6116" spans="1:4" ht="13.5" x14ac:dyDescent="0.25">
      <c r="A6116" s="306">
        <v>100950</v>
      </c>
      <c r="B6116" s="305" t="s">
        <v>13100</v>
      </c>
      <c r="C6116" s="305" t="s">
        <v>4488</v>
      </c>
      <c r="D6116" s="575">
        <v>1.87</v>
      </c>
    </row>
    <row r="6117" spans="1:4" ht="13.5" x14ac:dyDescent="0.25">
      <c r="A6117" s="306">
        <v>100951</v>
      </c>
      <c r="B6117" s="305" t="s">
        <v>13101</v>
      </c>
      <c r="C6117" s="305" t="s">
        <v>4488</v>
      </c>
      <c r="D6117" s="575">
        <v>1.61</v>
      </c>
    </row>
    <row r="6118" spans="1:4" ht="13.5" x14ac:dyDescent="0.25">
      <c r="A6118" s="306">
        <v>100952</v>
      </c>
      <c r="B6118" s="305" t="s">
        <v>13102</v>
      </c>
      <c r="C6118" s="305" t="s">
        <v>4488</v>
      </c>
      <c r="D6118" s="575">
        <v>1.49</v>
      </c>
    </row>
    <row r="6119" spans="1:4" ht="13.5" x14ac:dyDescent="0.25">
      <c r="A6119" s="306">
        <v>100953</v>
      </c>
      <c r="B6119" s="305" t="s">
        <v>13103</v>
      </c>
      <c r="C6119" s="305" t="s">
        <v>4488</v>
      </c>
      <c r="D6119" s="575">
        <v>0.57999999999999996</v>
      </c>
    </row>
    <row r="6120" spans="1:4" ht="13.5" x14ac:dyDescent="0.25">
      <c r="A6120" s="306">
        <v>100954</v>
      </c>
      <c r="B6120" s="305" t="s">
        <v>13104</v>
      </c>
      <c r="C6120" s="305" t="s">
        <v>4488</v>
      </c>
      <c r="D6120" s="575">
        <v>4.46</v>
      </c>
    </row>
    <row r="6121" spans="1:4" ht="13.5" x14ac:dyDescent="0.25">
      <c r="A6121" s="306">
        <v>100955</v>
      </c>
      <c r="B6121" s="305" t="s">
        <v>13105</v>
      </c>
      <c r="C6121" s="305" t="s">
        <v>4498</v>
      </c>
      <c r="D6121" s="575">
        <v>2.71</v>
      </c>
    </row>
    <row r="6122" spans="1:4" ht="13.5" x14ac:dyDescent="0.25">
      <c r="A6122" s="306">
        <v>100956</v>
      </c>
      <c r="B6122" s="305" t="s">
        <v>13106</v>
      </c>
      <c r="C6122" s="305" t="s">
        <v>4498</v>
      </c>
      <c r="D6122" s="575">
        <v>2.35</v>
      </c>
    </row>
    <row r="6123" spans="1:4" ht="13.5" x14ac:dyDescent="0.25">
      <c r="A6123" s="306">
        <v>100957</v>
      </c>
      <c r="B6123" s="305" t="s">
        <v>13107</v>
      </c>
      <c r="C6123" s="305" t="s">
        <v>4498</v>
      </c>
      <c r="D6123" s="575">
        <v>2.16</v>
      </c>
    </row>
    <row r="6124" spans="1:4" ht="13.5" x14ac:dyDescent="0.25">
      <c r="A6124" s="306">
        <v>100958</v>
      </c>
      <c r="B6124" s="305" t="s">
        <v>13108</v>
      </c>
      <c r="C6124" s="305" t="s">
        <v>4498</v>
      </c>
      <c r="D6124" s="575">
        <v>0.86</v>
      </c>
    </row>
    <row r="6125" spans="1:4" ht="13.5" x14ac:dyDescent="0.25">
      <c r="A6125" s="306">
        <v>100959</v>
      </c>
      <c r="B6125" s="305" t="s">
        <v>13109</v>
      </c>
      <c r="C6125" s="305" t="s">
        <v>4498</v>
      </c>
      <c r="D6125" s="575">
        <v>6.47</v>
      </c>
    </row>
    <row r="6126" spans="1:4" ht="13.5" x14ac:dyDescent="0.25">
      <c r="A6126" s="306">
        <v>100960</v>
      </c>
      <c r="B6126" s="305" t="s">
        <v>13110</v>
      </c>
      <c r="C6126" s="305" t="s">
        <v>4498</v>
      </c>
      <c r="D6126" s="575">
        <v>1.94</v>
      </c>
    </row>
    <row r="6127" spans="1:4" ht="13.5" x14ac:dyDescent="0.25">
      <c r="A6127" s="306">
        <v>100961</v>
      </c>
      <c r="B6127" s="305" t="s">
        <v>13111</v>
      </c>
      <c r="C6127" s="305" t="s">
        <v>4498</v>
      </c>
      <c r="D6127" s="575">
        <v>1.68</v>
      </c>
    </row>
    <row r="6128" spans="1:4" ht="13.5" x14ac:dyDescent="0.25">
      <c r="A6128" s="306">
        <v>100962</v>
      </c>
      <c r="B6128" s="305" t="s">
        <v>13112</v>
      </c>
      <c r="C6128" s="305" t="s">
        <v>4498</v>
      </c>
      <c r="D6128" s="575">
        <v>1.53</v>
      </c>
    </row>
    <row r="6129" spans="1:4" ht="13.5" x14ac:dyDescent="0.25">
      <c r="A6129" s="306">
        <v>100963</v>
      </c>
      <c r="B6129" s="305" t="s">
        <v>13113</v>
      </c>
      <c r="C6129" s="305" t="s">
        <v>4498</v>
      </c>
      <c r="D6129" s="575">
        <v>0.6</v>
      </c>
    </row>
    <row r="6130" spans="1:4" ht="13.5" x14ac:dyDescent="0.25">
      <c r="A6130" s="306">
        <v>100964</v>
      </c>
      <c r="B6130" s="305" t="s">
        <v>13114</v>
      </c>
      <c r="C6130" s="305" t="s">
        <v>4498</v>
      </c>
      <c r="D6130" s="575">
        <v>4.67</v>
      </c>
    </row>
    <row r="6131" spans="1:4" ht="13.5" x14ac:dyDescent="0.25">
      <c r="A6131" s="306">
        <v>100973</v>
      </c>
      <c r="B6131" s="305" t="s">
        <v>13115</v>
      </c>
      <c r="C6131" s="305" t="s">
        <v>1456</v>
      </c>
      <c r="D6131" s="575">
        <v>5.12</v>
      </c>
    </row>
    <row r="6132" spans="1:4" ht="13.5" x14ac:dyDescent="0.25">
      <c r="A6132" s="306">
        <v>100974</v>
      </c>
      <c r="B6132" s="305" t="s">
        <v>13116</v>
      </c>
      <c r="C6132" s="305" t="s">
        <v>1456</v>
      </c>
      <c r="D6132" s="575">
        <v>4.84</v>
      </c>
    </row>
    <row r="6133" spans="1:4" ht="13.5" x14ac:dyDescent="0.25">
      <c r="A6133" s="306">
        <v>100975</v>
      </c>
      <c r="B6133" s="305" t="s">
        <v>13117</v>
      </c>
      <c r="C6133" s="305" t="s">
        <v>1456</v>
      </c>
      <c r="D6133" s="575">
        <v>4.82</v>
      </c>
    </row>
    <row r="6134" spans="1:4" ht="13.5" x14ac:dyDescent="0.25">
      <c r="A6134" s="306">
        <v>93176</v>
      </c>
      <c r="B6134" s="305" t="s">
        <v>5299</v>
      </c>
      <c r="C6134" s="305" t="s">
        <v>4488</v>
      </c>
      <c r="D6134" s="575">
        <v>0.46</v>
      </c>
    </row>
    <row r="6135" spans="1:4" ht="13.5" x14ac:dyDescent="0.25">
      <c r="A6135" s="306">
        <v>93177</v>
      </c>
      <c r="B6135" s="305" t="s">
        <v>5300</v>
      </c>
      <c r="C6135" s="305" t="s">
        <v>4488</v>
      </c>
      <c r="D6135" s="575">
        <v>1.64</v>
      </c>
    </row>
    <row r="6136" spans="1:4" ht="13.5" x14ac:dyDescent="0.25">
      <c r="A6136" s="306">
        <v>93178</v>
      </c>
      <c r="B6136" s="305" t="s">
        <v>5301</v>
      </c>
      <c r="C6136" s="305" t="s">
        <v>4488</v>
      </c>
      <c r="D6136" s="575">
        <v>0.53</v>
      </c>
    </row>
    <row r="6137" spans="1:4" ht="13.5" x14ac:dyDescent="0.25">
      <c r="A6137" s="306">
        <v>93179</v>
      </c>
      <c r="B6137" s="305" t="s">
        <v>5302</v>
      </c>
      <c r="C6137" s="305" t="s">
        <v>4488</v>
      </c>
      <c r="D6137" s="575">
        <v>1.82</v>
      </c>
    </row>
    <row r="6138" spans="1:4" ht="13.5" x14ac:dyDescent="0.25">
      <c r="A6138" s="306">
        <v>100965</v>
      </c>
      <c r="B6138" s="305" t="s">
        <v>13118</v>
      </c>
      <c r="C6138" s="305" t="s">
        <v>4488</v>
      </c>
      <c r="D6138" s="575">
        <v>0.97</v>
      </c>
    </row>
    <row r="6139" spans="1:4" ht="13.5" x14ac:dyDescent="0.25">
      <c r="A6139" s="306">
        <v>100966</v>
      </c>
      <c r="B6139" s="305" t="s">
        <v>13119</v>
      </c>
      <c r="C6139" s="305" t="s">
        <v>4488</v>
      </c>
      <c r="D6139" s="575">
        <v>0.83</v>
      </c>
    </row>
    <row r="6140" spans="1:4" ht="13.5" x14ac:dyDescent="0.25">
      <c r="A6140" s="306">
        <v>100967</v>
      </c>
      <c r="B6140" s="305" t="s">
        <v>13120</v>
      </c>
      <c r="C6140" s="305" t="s">
        <v>4488</v>
      </c>
      <c r="D6140" s="575">
        <v>0.77</v>
      </c>
    </row>
    <row r="6141" spans="1:4" ht="13.5" x14ac:dyDescent="0.25">
      <c r="A6141" s="306">
        <v>100968</v>
      </c>
      <c r="B6141" s="305" t="s">
        <v>13121</v>
      </c>
      <c r="C6141" s="305" t="s">
        <v>4488</v>
      </c>
      <c r="D6141" s="575">
        <v>0.3</v>
      </c>
    </row>
    <row r="6142" spans="1:4" ht="13.5" x14ac:dyDescent="0.25">
      <c r="A6142" s="306">
        <v>100969</v>
      </c>
      <c r="B6142" s="305" t="s">
        <v>13122</v>
      </c>
      <c r="C6142" s="305" t="s">
        <v>4488</v>
      </c>
      <c r="D6142" s="575">
        <v>1.29</v>
      </c>
    </row>
    <row r="6143" spans="1:4" ht="13.5" x14ac:dyDescent="0.25">
      <c r="A6143" s="306">
        <v>100970</v>
      </c>
      <c r="B6143" s="305" t="s">
        <v>13123</v>
      </c>
      <c r="C6143" s="305" t="s">
        <v>4488</v>
      </c>
      <c r="D6143" s="575">
        <v>1.0900000000000001</v>
      </c>
    </row>
    <row r="6144" spans="1:4" ht="13.5" x14ac:dyDescent="0.25">
      <c r="A6144" s="306">
        <v>100971</v>
      </c>
      <c r="B6144" s="305" t="s">
        <v>13124</v>
      </c>
      <c r="C6144" s="305" t="s">
        <v>4488</v>
      </c>
      <c r="D6144" s="575">
        <v>1.02</v>
      </c>
    </row>
    <row r="6145" spans="1:4" ht="13.5" x14ac:dyDescent="0.25">
      <c r="A6145" s="306">
        <v>100972</v>
      </c>
      <c r="B6145" s="305" t="s">
        <v>13125</v>
      </c>
      <c r="C6145" s="305" t="s">
        <v>4488</v>
      </c>
      <c r="D6145" s="575">
        <v>0.4</v>
      </c>
    </row>
    <row r="6146" spans="1:4" ht="13.5" x14ac:dyDescent="0.25">
      <c r="A6146" s="306">
        <v>101019</v>
      </c>
      <c r="B6146" s="305" t="s">
        <v>13126</v>
      </c>
      <c r="C6146" s="305" t="s">
        <v>4492</v>
      </c>
      <c r="D6146" s="575">
        <v>492.39</v>
      </c>
    </row>
    <row r="6147" spans="1:4" ht="13.5" x14ac:dyDescent="0.25">
      <c r="A6147" s="306">
        <v>101479</v>
      </c>
      <c r="B6147" s="305" t="s">
        <v>13127</v>
      </c>
      <c r="C6147" s="305" t="s">
        <v>4492</v>
      </c>
      <c r="D6147" s="575">
        <v>98.29</v>
      </c>
    </row>
    <row r="6148" spans="1:4" ht="13.5" x14ac:dyDescent="0.25">
      <c r="A6148" s="306">
        <v>100976</v>
      </c>
      <c r="B6148" s="305" t="s">
        <v>13128</v>
      </c>
      <c r="C6148" s="305" t="s">
        <v>1456</v>
      </c>
      <c r="D6148" s="575">
        <v>4.7300000000000004</v>
      </c>
    </row>
    <row r="6149" spans="1:4" ht="13.5" x14ac:dyDescent="0.25">
      <c r="A6149" s="306">
        <v>100977</v>
      </c>
      <c r="B6149" s="305" t="s">
        <v>13129</v>
      </c>
      <c r="C6149" s="305" t="s">
        <v>1456</v>
      </c>
      <c r="D6149" s="575">
        <v>4.41</v>
      </c>
    </row>
    <row r="6150" spans="1:4" ht="13.5" x14ac:dyDescent="0.25">
      <c r="A6150" s="306">
        <v>100978</v>
      </c>
      <c r="B6150" s="305" t="s">
        <v>13130</v>
      </c>
      <c r="C6150" s="305" t="s">
        <v>1456</v>
      </c>
      <c r="D6150" s="575">
        <v>3.89</v>
      </c>
    </row>
    <row r="6151" spans="1:4" ht="13.5" x14ac:dyDescent="0.25">
      <c r="A6151" s="306">
        <v>100979</v>
      </c>
      <c r="B6151" s="305" t="s">
        <v>13131</v>
      </c>
      <c r="C6151" s="305" t="s">
        <v>1456</v>
      </c>
      <c r="D6151" s="575">
        <v>3.69</v>
      </c>
    </row>
    <row r="6152" spans="1:4" ht="13.5" x14ac:dyDescent="0.25">
      <c r="A6152" s="306">
        <v>100980</v>
      </c>
      <c r="B6152" s="305" t="s">
        <v>13132</v>
      </c>
      <c r="C6152" s="305" t="s">
        <v>1456</v>
      </c>
      <c r="D6152" s="575">
        <v>3.5</v>
      </c>
    </row>
    <row r="6153" spans="1:4" ht="13.5" x14ac:dyDescent="0.25">
      <c r="A6153" s="306">
        <v>100981</v>
      </c>
      <c r="B6153" s="305" t="s">
        <v>13133</v>
      </c>
      <c r="C6153" s="305" t="s">
        <v>1456</v>
      </c>
      <c r="D6153" s="575">
        <v>5.4</v>
      </c>
    </row>
    <row r="6154" spans="1:4" ht="13.5" x14ac:dyDescent="0.25">
      <c r="A6154" s="306">
        <v>100982</v>
      </c>
      <c r="B6154" s="305" t="s">
        <v>13134</v>
      </c>
      <c r="C6154" s="305" t="s">
        <v>1456</v>
      </c>
      <c r="D6154" s="575">
        <v>5.07</v>
      </c>
    </row>
    <row r="6155" spans="1:4" ht="13.5" x14ac:dyDescent="0.25">
      <c r="A6155" s="306">
        <v>100983</v>
      </c>
      <c r="B6155" s="305" t="s">
        <v>13135</v>
      </c>
      <c r="C6155" s="305" t="s">
        <v>1456</v>
      </c>
      <c r="D6155" s="575">
        <v>5.03</v>
      </c>
    </row>
    <row r="6156" spans="1:4" ht="13.5" x14ac:dyDescent="0.25">
      <c r="A6156" s="306">
        <v>100984</v>
      </c>
      <c r="B6156" s="305" t="s">
        <v>13136</v>
      </c>
      <c r="C6156" s="305" t="s">
        <v>1456</v>
      </c>
      <c r="D6156" s="575">
        <v>4.92</v>
      </c>
    </row>
    <row r="6157" spans="1:4" ht="13.5" x14ac:dyDescent="0.25">
      <c r="A6157" s="306">
        <v>100985</v>
      </c>
      <c r="B6157" s="305" t="s">
        <v>13137</v>
      </c>
      <c r="C6157" s="305" t="s">
        <v>1456</v>
      </c>
      <c r="D6157" s="575">
        <v>4.1500000000000004</v>
      </c>
    </row>
    <row r="6158" spans="1:4" ht="13.5" x14ac:dyDescent="0.25">
      <c r="A6158" s="306">
        <v>100986</v>
      </c>
      <c r="B6158" s="305" t="s">
        <v>13138</v>
      </c>
      <c r="C6158" s="305" t="s">
        <v>1456</v>
      </c>
      <c r="D6158" s="575">
        <v>4.88</v>
      </c>
    </row>
    <row r="6159" spans="1:4" ht="13.5" x14ac:dyDescent="0.25">
      <c r="A6159" s="306">
        <v>100987</v>
      </c>
      <c r="B6159" s="305" t="s">
        <v>13139</v>
      </c>
      <c r="C6159" s="305" t="s">
        <v>1456</v>
      </c>
      <c r="D6159" s="575">
        <v>5.55</v>
      </c>
    </row>
    <row r="6160" spans="1:4" ht="13.5" x14ac:dyDescent="0.25">
      <c r="A6160" s="306">
        <v>100988</v>
      </c>
      <c r="B6160" s="305" t="s">
        <v>13140</v>
      </c>
      <c r="C6160" s="305" t="s">
        <v>1456</v>
      </c>
      <c r="D6160" s="575">
        <v>5.88</v>
      </c>
    </row>
    <row r="6161" spans="1:4" ht="13.5" x14ac:dyDescent="0.25">
      <c r="A6161" s="306">
        <v>100989</v>
      </c>
      <c r="B6161" s="305" t="s">
        <v>13141</v>
      </c>
      <c r="C6161" s="305" t="s">
        <v>4492</v>
      </c>
      <c r="D6161" s="575">
        <v>3.41</v>
      </c>
    </row>
    <row r="6162" spans="1:4" ht="13.5" x14ac:dyDescent="0.25">
      <c r="A6162" s="306">
        <v>100990</v>
      </c>
      <c r="B6162" s="305" t="s">
        <v>13142</v>
      </c>
      <c r="C6162" s="305" t="s">
        <v>4492</v>
      </c>
      <c r="D6162" s="575">
        <v>3.23</v>
      </c>
    </row>
    <row r="6163" spans="1:4" ht="13.5" x14ac:dyDescent="0.25">
      <c r="A6163" s="306">
        <v>100991</v>
      </c>
      <c r="B6163" s="305" t="s">
        <v>13143</v>
      </c>
      <c r="C6163" s="305" t="s">
        <v>4492</v>
      </c>
      <c r="D6163" s="575">
        <v>3.23</v>
      </c>
    </row>
    <row r="6164" spans="1:4" ht="13.5" x14ac:dyDescent="0.25">
      <c r="A6164" s="306">
        <v>100992</v>
      </c>
      <c r="B6164" s="305" t="s">
        <v>13144</v>
      </c>
      <c r="C6164" s="305" t="s">
        <v>4492</v>
      </c>
      <c r="D6164" s="575">
        <v>3.16</v>
      </c>
    </row>
    <row r="6165" spans="1:4" ht="13.5" x14ac:dyDescent="0.25">
      <c r="A6165" s="306">
        <v>100993</v>
      </c>
      <c r="B6165" s="305" t="s">
        <v>13145</v>
      </c>
      <c r="C6165" s="305" t="s">
        <v>4492</v>
      </c>
      <c r="D6165" s="575">
        <v>2.94</v>
      </c>
    </row>
    <row r="6166" spans="1:4" ht="13.5" x14ac:dyDescent="0.25">
      <c r="A6166" s="306">
        <v>100994</v>
      </c>
      <c r="B6166" s="305" t="s">
        <v>13146</v>
      </c>
      <c r="C6166" s="305" t="s">
        <v>4492</v>
      </c>
      <c r="D6166" s="575">
        <v>2.59</v>
      </c>
    </row>
    <row r="6167" spans="1:4" ht="13.5" x14ac:dyDescent="0.25">
      <c r="A6167" s="306">
        <v>100995</v>
      </c>
      <c r="B6167" s="305" t="s">
        <v>13147</v>
      </c>
      <c r="C6167" s="305" t="s">
        <v>4492</v>
      </c>
      <c r="D6167" s="575">
        <v>2.46</v>
      </c>
    </row>
    <row r="6168" spans="1:4" ht="13.5" x14ac:dyDescent="0.25">
      <c r="A6168" s="306">
        <v>100996</v>
      </c>
      <c r="B6168" s="305" t="s">
        <v>13148</v>
      </c>
      <c r="C6168" s="305" t="s">
        <v>4492</v>
      </c>
      <c r="D6168" s="575">
        <v>2.3199999999999998</v>
      </c>
    </row>
    <row r="6169" spans="1:4" ht="13.5" x14ac:dyDescent="0.25">
      <c r="A6169" s="306">
        <v>100997</v>
      </c>
      <c r="B6169" s="305" t="s">
        <v>13149</v>
      </c>
      <c r="C6169" s="305" t="s">
        <v>4492</v>
      </c>
      <c r="D6169" s="575">
        <v>3.61</v>
      </c>
    </row>
    <row r="6170" spans="1:4" ht="13.5" x14ac:dyDescent="0.25">
      <c r="A6170" s="306">
        <v>100998</v>
      </c>
      <c r="B6170" s="305" t="s">
        <v>13150</v>
      </c>
      <c r="C6170" s="305" t="s">
        <v>4492</v>
      </c>
      <c r="D6170" s="575">
        <v>3.39</v>
      </c>
    </row>
    <row r="6171" spans="1:4" ht="13.5" x14ac:dyDescent="0.25">
      <c r="A6171" s="306">
        <v>100999</v>
      </c>
      <c r="B6171" s="305" t="s">
        <v>13151</v>
      </c>
      <c r="C6171" s="305" t="s">
        <v>4492</v>
      </c>
      <c r="D6171" s="575">
        <v>3.37</v>
      </c>
    </row>
    <row r="6172" spans="1:4" ht="13.5" x14ac:dyDescent="0.25">
      <c r="A6172" s="306">
        <v>101000</v>
      </c>
      <c r="B6172" s="305" t="s">
        <v>13152</v>
      </c>
      <c r="C6172" s="305" t="s">
        <v>4492</v>
      </c>
      <c r="D6172" s="575">
        <v>3.29</v>
      </c>
    </row>
    <row r="6173" spans="1:4" ht="13.5" x14ac:dyDescent="0.25">
      <c r="A6173" s="306">
        <v>101001</v>
      </c>
      <c r="B6173" s="305" t="s">
        <v>13153</v>
      </c>
      <c r="C6173" s="305" t="s">
        <v>4492</v>
      </c>
      <c r="D6173" s="575">
        <v>2.77</v>
      </c>
    </row>
    <row r="6174" spans="1:4" ht="13.5" x14ac:dyDescent="0.25">
      <c r="A6174" s="306">
        <v>101002</v>
      </c>
      <c r="B6174" s="305" t="s">
        <v>13154</v>
      </c>
      <c r="C6174" s="305" t="s">
        <v>4492</v>
      </c>
      <c r="D6174" s="575">
        <v>3.25</v>
      </c>
    </row>
    <row r="6175" spans="1:4" ht="13.5" x14ac:dyDescent="0.25">
      <c r="A6175" s="306">
        <v>101003</v>
      </c>
      <c r="B6175" s="305" t="s">
        <v>13155</v>
      </c>
      <c r="C6175" s="305" t="s">
        <v>4492</v>
      </c>
      <c r="D6175" s="575">
        <v>3.69</v>
      </c>
    </row>
    <row r="6176" spans="1:4" ht="13.5" x14ac:dyDescent="0.25">
      <c r="A6176" s="306">
        <v>101004</v>
      </c>
      <c r="B6176" s="305" t="s">
        <v>13156</v>
      </c>
      <c r="C6176" s="305" t="s">
        <v>4492</v>
      </c>
      <c r="D6176" s="575">
        <v>3.92</v>
      </c>
    </row>
    <row r="6177" spans="1:4" ht="13.5" x14ac:dyDescent="0.25">
      <c r="A6177" s="306">
        <v>101005</v>
      </c>
      <c r="B6177" s="305" t="s">
        <v>13157</v>
      </c>
      <c r="C6177" s="305" t="s">
        <v>1456</v>
      </c>
      <c r="D6177" s="575">
        <v>10.33</v>
      </c>
    </row>
    <row r="6178" spans="1:4" ht="13.5" x14ac:dyDescent="0.25">
      <c r="A6178" s="306">
        <v>101006</v>
      </c>
      <c r="B6178" s="305" t="s">
        <v>13158</v>
      </c>
      <c r="C6178" s="305" t="s">
        <v>1456</v>
      </c>
      <c r="D6178" s="575">
        <v>11.09</v>
      </c>
    </row>
    <row r="6179" spans="1:4" ht="13.5" x14ac:dyDescent="0.25">
      <c r="A6179" s="306">
        <v>101007</v>
      </c>
      <c r="B6179" s="305" t="s">
        <v>13159</v>
      </c>
      <c r="C6179" s="305" t="s">
        <v>1456</v>
      </c>
      <c r="D6179" s="575">
        <v>2.99</v>
      </c>
    </row>
    <row r="6180" spans="1:4" ht="13.5" x14ac:dyDescent="0.25">
      <c r="A6180" s="306">
        <v>101008</v>
      </c>
      <c r="B6180" s="305" t="s">
        <v>13160</v>
      </c>
      <c r="C6180" s="305" t="s">
        <v>1456</v>
      </c>
      <c r="D6180" s="575">
        <v>2.93</v>
      </c>
    </row>
    <row r="6181" spans="1:4" ht="13.5" x14ac:dyDescent="0.25">
      <c r="A6181" s="306">
        <v>101009</v>
      </c>
      <c r="B6181" s="305" t="s">
        <v>13161</v>
      </c>
      <c r="C6181" s="305" t="s">
        <v>4492</v>
      </c>
      <c r="D6181" s="575">
        <v>22.59</v>
      </c>
    </row>
    <row r="6182" spans="1:4" ht="13.5" x14ac:dyDescent="0.25">
      <c r="A6182" s="306">
        <v>101010</v>
      </c>
      <c r="B6182" s="305" t="s">
        <v>13162</v>
      </c>
      <c r="C6182" s="305" t="s">
        <v>4492</v>
      </c>
      <c r="D6182" s="575">
        <v>14.22</v>
      </c>
    </row>
    <row r="6183" spans="1:4" ht="13.5" x14ac:dyDescent="0.25">
      <c r="A6183" s="306">
        <v>101013</v>
      </c>
      <c r="B6183" s="305" t="s">
        <v>13163</v>
      </c>
      <c r="C6183" s="305" t="s">
        <v>4492</v>
      </c>
      <c r="D6183" s="575">
        <v>25.68</v>
      </c>
    </row>
    <row r="6184" spans="1:4" ht="13.5" x14ac:dyDescent="0.25">
      <c r="A6184" s="306">
        <v>101014</v>
      </c>
      <c r="B6184" s="305" t="s">
        <v>13164</v>
      </c>
      <c r="C6184" s="305" t="s">
        <v>4492</v>
      </c>
      <c r="D6184" s="575">
        <v>23.52</v>
      </c>
    </row>
    <row r="6185" spans="1:4" ht="13.5" x14ac:dyDescent="0.25">
      <c r="A6185" s="306">
        <v>101015</v>
      </c>
      <c r="B6185" s="305" t="s">
        <v>13165</v>
      </c>
      <c r="C6185" s="305" t="s">
        <v>4492</v>
      </c>
      <c r="D6185" s="575">
        <v>19.32</v>
      </c>
    </row>
    <row r="6186" spans="1:4" ht="13.5" x14ac:dyDescent="0.25">
      <c r="A6186" s="306">
        <v>101016</v>
      </c>
      <c r="B6186" s="305" t="s">
        <v>13166</v>
      </c>
      <c r="C6186" s="305" t="s">
        <v>4492</v>
      </c>
      <c r="D6186" s="575">
        <v>22.37</v>
      </c>
    </row>
    <row r="6187" spans="1:4" ht="13.5" x14ac:dyDescent="0.25">
      <c r="A6187" s="306">
        <v>101017</v>
      </c>
      <c r="B6187" s="305" t="s">
        <v>13167</v>
      </c>
      <c r="C6187" s="305" t="s">
        <v>4492</v>
      </c>
      <c r="D6187" s="575">
        <v>16.97</v>
      </c>
    </row>
    <row r="6188" spans="1:4" ht="13.5" x14ac:dyDescent="0.25">
      <c r="A6188" s="306">
        <v>101018</v>
      </c>
      <c r="B6188" s="305" t="s">
        <v>13168</v>
      </c>
      <c r="C6188" s="305" t="s">
        <v>4492</v>
      </c>
      <c r="D6188" s="575">
        <v>13.94</v>
      </c>
    </row>
    <row r="6189" spans="1:4" ht="13.5" x14ac:dyDescent="0.25">
      <c r="A6189" s="306">
        <v>101463</v>
      </c>
      <c r="B6189" s="305" t="s">
        <v>13169</v>
      </c>
      <c r="C6189" s="305" t="s">
        <v>4492</v>
      </c>
      <c r="D6189" s="575">
        <v>25.75</v>
      </c>
    </row>
    <row r="6190" spans="1:4" ht="13.5" x14ac:dyDescent="0.25">
      <c r="A6190" s="306">
        <v>101464</v>
      </c>
      <c r="B6190" s="305" t="s">
        <v>13170</v>
      </c>
      <c r="C6190" s="305" t="s">
        <v>4492</v>
      </c>
      <c r="D6190" s="575">
        <v>19.78</v>
      </c>
    </row>
    <row r="6191" spans="1:4" ht="13.5" x14ac:dyDescent="0.25">
      <c r="A6191" s="306">
        <v>101465</v>
      </c>
      <c r="B6191" s="305" t="s">
        <v>13171</v>
      </c>
      <c r="C6191" s="305" t="s">
        <v>4492</v>
      </c>
      <c r="D6191" s="575">
        <v>15.12</v>
      </c>
    </row>
    <row r="6192" spans="1:4" ht="13.5" x14ac:dyDescent="0.25">
      <c r="A6192" s="306">
        <v>101466</v>
      </c>
      <c r="B6192" s="305" t="s">
        <v>13172</v>
      </c>
      <c r="C6192" s="305" t="s">
        <v>4492</v>
      </c>
      <c r="D6192" s="575">
        <v>12.3</v>
      </c>
    </row>
    <row r="6193" spans="1:4" ht="13.5" x14ac:dyDescent="0.25">
      <c r="A6193" s="306">
        <v>101467</v>
      </c>
      <c r="B6193" s="305" t="s">
        <v>13173</v>
      </c>
      <c r="C6193" s="305" t="s">
        <v>4492</v>
      </c>
      <c r="D6193" s="575">
        <v>10.29</v>
      </c>
    </row>
    <row r="6194" spans="1:4" ht="13.5" x14ac:dyDescent="0.25">
      <c r="A6194" s="306">
        <v>101468</v>
      </c>
      <c r="B6194" s="305" t="s">
        <v>13174</v>
      </c>
      <c r="C6194" s="305" t="s">
        <v>4492</v>
      </c>
      <c r="D6194" s="575">
        <v>9.42</v>
      </c>
    </row>
    <row r="6195" spans="1:4" ht="13.5" x14ac:dyDescent="0.25">
      <c r="A6195" s="306">
        <v>101469</v>
      </c>
      <c r="B6195" s="305" t="s">
        <v>13175</v>
      </c>
      <c r="C6195" s="305" t="s">
        <v>4492</v>
      </c>
      <c r="D6195" s="575">
        <v>21.07</v>
      </c>
    </row>
    <row r="6196" spans="1:4" ht="13.5" x14ac:dyDescent="0.25">
      <c r="A6196" s="306">
        <v>101470</v>
      </c>
      <c r="B6196" s="305" t="s">
        <v>13176</v>
      </c>
      <c r="C6196" s="305" t="s">
        <v>4492</v>
      </c>
      <c r="D6196" s="575">
        <v>16.73</v>
      </c>
    </row>
    <row r="6197" spans="1:4" ht="13.5" x14ac:dyDescent="0.25">
      <c r="A6197" s="306">
        <v>101471</v>
      </c>
      <c r="B6197" s="305" t="s">
        <v>13177</v>
      </c>
      <c r="C6197" s="305" t="s">
        <v>4492</v>
      </c>
      <c r="D6197" s="575">
        <v>14.35</v>
      </c>
    </row>
    <row r="6198" spans="1:4" ht="13.5" x14ac:dyDescent="0.25">
      <c r="A6198" s="306">
        <v>101472</v>
      </c>
      <c r="B6198" s="305" t="s">
        <v>13178</v>
      </c>
      <c r="C6198" s="305" t="s">
        <v>4492</v>
      </c>
      <c r="D6198" s="575">
        <v>11.18</v>
      </c>
    </row>
    <row r="6199" spans="1:4" ht="13.5" x14ac:dyDescent="0.25">
      <c r="A6199" s="306">
        <v>101473</v>
      </c>
      <c r="B6199" s="305" t="s">
        <v>13179</v>
      </c>
      <c r="C6199" s="305" t="s">
        <v>4492</v>
      </c>
      <c r="D6199" s="575">
        <v>16.079999999999998</v>
      </c>
    </row>
    <row r="6200" spans="1:4" ht="13.5" x14ac:dyDescent="0.25">
      <c r="A6200" s="306">
        <v>101474</v>
      </c>
      <c r="B6200" s="305" t="s">
        <v>13180</v>
      </c>
      <c r="C6200" s="305" t="s">
        <v>4492</v>
      </c>
      <c r="D6200" s="575">
        <v>11.5</v>
      </c>
    </row>
    <row r="6201" spans="1:4" ht="13.5" x14ac:dyDescent="0.25">
      <c r="A6201" s="306">
        <v>101475</v>
      </c>
      <c r="B6201" s="305" t="s">
        <v>13181</v>
      </c>
      <c r="C6201" s="305" t="s">
        <v>4492</v>
      </c>
      <c r="D6201" s="575">
        <v>10.199999999999999</v>
      </c>
    </row>
    <row r="6202" spans="1:4" ht="13.5" x14ac:dyDescent="0.25">
      <c r="A6202" s="306">
        <v>101476</v>
      </c>
      <c r="B6202" s="305" t="s">
        <v>13182</v>
      </c>
      <c r="C6202" s="305" t="s">
        <v>4492</v>
      </c>
      <c r="D6202" s="575">
        <v>9.1</v>
      </c>
    </row>
    <row r="6203" spans="1:4" ht="13.5" x14ac:dyDescent="0.25">
      <c r="A6203" s="306">
        <v>101477</v>
      </c>
      <c r="B6203" s="305" t="s">
        <v>13183</v>
      </c>
      <c r="C6203" s="305" t="s">
        <v>4492</v>
      </c>
      <c r="D6203" s="575">
        <v>7.45</v>
      </c>
    </row>
    <row r="6204" spans="1:4" ht="13.5" x14ac:dyDescent="0.25">
      <c r="A6204" s="306">
        <v>101478</v>
      </c>
      <c r="B6204" s="305" t="s">
        <v>13184</v>
      </c>
      <c r="C6204" s="305" t="s">
        <v>4492</v>
      </c>
      <c r="D6204" s="575">
        <v>6.34</v>
      </c>
    </row>
    <row r="6205" spans="1:4" ht="13.5" x14ac:dyDescent="0.25">
      <c r="A6205" s="306">
        <v>101480</v>
      </c>
      <c r="B6205" s="305" t="s">
        <v>13185</v>
      </c>
      <c r="C6205" s="305" t="s">
        <v>4492</v>
      </c>
      <c r="D6205" s="575">
        <v>37.700000000000003</v>
      </c>
    </row>
    <row r="6206" spans="1:4" ht="13.5" x14ac:dyDescent="0.25">
      <c r="A6206" s="306">
        <v>101481</v>
      </c>
      <c r="B6206" s="305" t="s">
        <v>13186</v>
      </c>
      <c r="C6206" s="305" t="s">
        <v>4492</v>
      </c>
      <c r="D6206" s="575">
        <v>27.22</v>
      </c>
    </row>
    <row r="6207" spans="1:4" ht="13.5" x14ac:dyDescent="0.25">
      <c r="A6207" s="306">
        <v>101482</v>
      </c>
      <c r="B6207" s="305" t="s">
        <v>13187</v>
      </c>
      <c r="C6207" s="305" t="s">
        <v>4492</v>
      </c>
      <c r="D6207" s="575">
        <v>20.34</v>
      </c>
    </row>
    <row r="6208" spans="1:4" ht="13.5" x14ac:dyDescent="0.25">
      <c r="A6208" s="306">
        <v>101483</v>
      </c>
      <c r="B6208" s="305" t="s">
        <v>13188</v>
      </c>
      <c r="C6208" s="305" t="s">
        <v>4492</v>
      </c>
      <c r="D6208" s="575">
        <v>21.12</v>
      </c>
    </row>
    <row r="6209" spans="1:4" ht="13.5" x14ac:dyDescent="0.25">
      <c r="A6209" s="306">
        <v>101484</v>
      </c>
      <c r="B6209" s="305" t="s">
        <v>13189</v>
      </c>
      <c r="C6209" s="305" t="s">
        <v>4492</v>
      </c>
      <c r="D6209" s="575">
        <v>109.48</v>
      </c>
    </row>
    <row r="6210" spans="1:4" ht="13.5" x14ac:dyDescent="0.25">
      <c r="A6210" s="306">
        <v>101485</v>
      </c>
      <c r="B6210" s="305" t="s">
        <v>13190</v>
      </c>
      <c r="C6210" s="305" t="s">
        <v>4492</v>
      </c>
      <c r="D6210" s="575">
        <v>84.02</v>
      </c>
    </row>
    <row r="6211" spans="1:4" ht="13.5" x14ac:dyDescent="0.25">
      <c r="A6211" s="306">
        <v>101486</v>
      </c>
      <c r="B6211" s="305" t="s">
        <v>13191</v>
      </c>
      <c r="C6211" s="305" t="s">
        <v>4492</v>
      </c>
      <c r="D6211" s="575">
        <v>75.7</v>
      </c>
    </row>
    <row r="6212" spans="1:4" ht="13.5" x14ac:dyDescent="0.25">
      <c r="A6212" s="306">
        <v>101487</v>
      </c>
      <c r="B6212" s="305" t="s">
        <v>13192</v>
      </c>
      <c r="C6212" s="305" t="s">
        <v>4492</v>
      </c>
      <c r="D6212" s="575">
        <v>55.42</v>
      </c>
    </row>
    <row r="6213" spans="1:4" ht="13.5" x14ac:dyDescent="0.25">
      <c r="A6213" s="306">
        <v>101488</v>
      </c>
      <c r="B6213" s="305" t="s">
        <v>13193</v>
      </c>
      <c r="C6213" s="305" t="s">
        <v>4492</v>
      </c>
      <c r="D6213" s="575">
        <v>47.95</v>
      </c>
    </row>
    <row r="6214" spans="1:4" ht="13.5" x14ac:dyDescent="0.25">
      <c r="A6214" s="306">
        <v>101188</v>
      </c>
      <c r="B6214" s="305" t="s">
        <v>13194</v>
      </c>
      <c r="C6214" s="305" t="s">
        <v>282</v>
      </c>
      <c r="D6214" s="575">
        <v>4.38</v>
      </c>
    </row>
    <row r="6215" spans="1:4" ht="13.5" x14ac:dyDescent="0.25">
      <c r="A6215" s="306">
        <v>101189</v>
      </c>
      <c r="B6215" s="305" t="s">
        <v>13195</v>
      </c>
      <c r="C6215" s="305" t="s">
        <v>282</v>
      </c>
      <c r="D6215" s="575">
        <v>42.38</v>
      </c>
    </row>
    <row r="6216" spans="1:4" ht="13.5" x14ac:dyDescent="0.25">
      <c r="A6216" s="306">
        <v>101190</v>
      </c>
      <c r="B6216" s="305" t="s">
        <v>13196</v>
      </c>
      <c r="C6216" s="305" t="s">
        <v>282</v>
      </c>
      <c r="D6216" s="575">
        <v>41.95</v>
      </c>
    </row>
    <row r="6217" spans="1:4" ht="13.5" x14ac:dyDescent="0.25">
      <c r="A6217" s="306">
        <v>101191</v>
      </c>
      <c r="B6217" s="305" t="s">
        <v>13197</v>
      </c>
      <c r="C6217" s="305" t="s">
        <v>282</v>
      </c>
      <c r="D6217" s="575">
        <v>42.16</v>
      </c>
    </row>
    <row r="6218" spans="1:4" ht="13.5" x14ac:dyDescent="0.25">
      <c r="A6218" s="306">
        <v>101192</v>
      </c>
      <c r="B6218" s="305" t="s">
        <v>13198</v>
      </c>
      <c r="C6218" s="305" t="s">
        <v>282</v>
      </c>
      <c r="D6218" s="575">
        <v>43.31</v>
      </c>
    </row>
    <row r="6219" spans="1:4" ht="13.5" x14ac:dyDescent="0.25">
      <c r="A6219" s="306">
        <v>101193</v>
      </c>
      <c r="B6219" s="305" t="s">
        <v>13199</v>
      </c>
      <c r="C6219" s="305" t="s">
        <v>282</v>
      </c>
      <c r="D6219" s="575">
        <v>39.32</v>
      </c>
    </row>
    <row r="6220" spans="1:4" ht="13.5" x14ac:dyDescent="0.25">
      <c r="A6220" s="306">
        <v>101194</v>
      </c>
      <c r="B6220" s="305" t="s">
        <v>13200</v>
      </c>
      <c r="C6220" s="305" t="s">
        <v>282</v>
      </c>
      <c r="D6220" s="575">
        <v>39.53</v>
      </c>
    </row>
    <row r="6221" spans="1:4" ht="13.5" x14ac:dyDescent="0.25">
      <c r="A6221" s="306">
        <v>101197</v>
      </c>
      <c r="B6221" s="305" t="s">
        <v>13201</v>
      </c>
      <c r="C6221" s="305" t="s">
        <v>282</v>
      </c>
      <c r="D6221" s="575">
        <v>87.2</v>
      </c>
    </row>
    <row r="6222" spans="1:4" ht="13.5" x14ac:dyDescent="0.25">
      <c r="A6222" s="306">
        <v>101198</v>
      </c>
      <c r="B6222" s="305" t="s">
        <v>13202</v>
      </c>
      <c r="C6222" s="305" t="s">
        <v>282</v>
      </c>
      <c r="D6222" s="575">
        <v>59.77</v>
      </c>
    </row>
    <row r="6223" spans="1:4" ht="13.5" x14ac:dyDescent="0.25">
      <c r="A6223" s="306">
        <v>101199</v>
      </c>
      <c r="B6223" s="305" t="s">
        <v>13203</v>
      </c>
      <c r="C6223" s="305" t="s">
        <v>282</v>
      </c>
      <c r="D6223" s="575">
        <v>60.3</v>
      </c>
    </row>
    <row r="6224" spans="1:4" ht="13.5" x14ac:dyDescent="0.25">
      <c r="A6224" s="306">
        <v>101200</v>
      </c>
      <c r="B6224" s="305" t="s">
        <v>13204</v>
      </c>
      <c r="C6224" s="305" t="s">
        <v>282</v>
      </c>
      <c r="D6224" s="575">
        <v>28.88</v>
      </c>
    </row>
    <row r="6225" spans="1:4" ht="13.5" x14ac:dyDescent="0.25">
      <c r="A6225" s="306">
        <v>101201</v>
      </c>
      <c r="B6225" s="305" t="s">
        <v>13205</v>
      </c>
      <c r="C6225" s="305" t="s">
        <v>282</v>
      </c>
      <c r="D6225" s="575">
        <v>37.729999999999997</v>
      </c>
    </row>
    <row r="6226" spans="1:4" ht="13.5" x14ac:dyDescent="0.25">
      <c r="A6226" s="306">
        <v>101202</v>
      </c>
      <c r="B6226" s="305" t="s">
        <v>13206</v>
      </c>
      <c r="C6226" s="305" t="s">
        <v>282</v>
      </c>
      <c r="D6226" s="575">
        <v>29.16</v>
      </c>
    </row>
    <row r="6227" spans="1:4" ht="13.5" x14ac:dyDescent="0.25">
      <c r="A6227" s="306">
        <v>101203</v>
      </c>
      <c r="B6227" s="305" t="s">
        <v>13207</v>
      </c>
      <c r="C6227" s="305" t="s">
        <v>282</v>
      </c>
      <c r="D6227" s="575">
        <v>28.63</v>
      </c>
    </row>
    <row r="6228" spans="1:4" ht="13.5" x14ac:dyDescent="0.25">
      <c r="A6228" s="306">
        <v>101204</v>
      </c>
      <c r="B6228" s="305" t="s">
        <v>13208</v>
      </c>
      <c r="C6228" s="305" t="s">
        <v>282</v>
      </c>
      <c r="D6228" s="575">
        <v>28.84</v>
      </c>
    </row>
    <row r="6229" spans="1:4" ht="13.5" x14ac:dyDescent="0.25">
      <c r="A6229" s="306">
        <v>101205</v>
      </c>
      <c r="B6229" s="305" t="s">
        <v>13209</v>
      </c>
      <c r="C6229" s="305" t="s">
        <v>282</v>
      </c>
      <c r="D6229" s="575">
        <v>29.16</v>
      </c>
    </row>
    <row r="6230" spans="1:4" ht="13.5" x14ac:dyDescent="0.25">
      <c r="A6230" s="305" t="s">
        <v>5303</v>
      </c>
      <c r="B6230" s="305" t="s">
        <v>5304</v>
      </c>
      <c r="C6230" s="305" t="s">
        <v>521</v>
      </c>
      <c r="D6230" s="575">
        <v>119.38</v>
      </c>
    </row>
    <row r="6231" spans="1:4" ht="13.5" x14ac:dyDescent="0.25">
      <c r="A6231" s="306">
        <v>98509</v>
      </c>
      <c r="B6231" s="305" t="s">
        <v>5305</v>
      </c>
      <c r="C6231" s="305" t="s">
        <v>363</v>
      </c>
      <c r="D6231" s="575">
        <v>104.66</v>
      </c>
    </row>
    <row r="6232" spans="1:4" ht="13.5" x14ac:dyDescent="0.25">
      <c r="A6232" s="306">
        <v>98510</v>
      </c>
      <c r="B6232" s="305" t="s">
        <v>5306</v>
      </c>
      <c r="C6232" s="305" t="s">
        <v>363</v>
      </c>
      <c r="D6232" s="575">
        <v>138.16</v>
      </c>
    </row>
    <row r="6233" spans="1:4" ht="13.5" x14ac:dyDescent="0.25">
      <c r="A6233" s="306">
        <v>98511</v>
      </c>
      <c r="B6233" s="305" t="s">
        <v>5307</v>
      </c>
      <c r="C6233" s="305" t="s">
        <v>363</v>
      </c>
      <c r="D6233" s="575">
        <v>273.88</v>
      </c>
    </row>
    <row r="6234" spans="1:4" ht="13.5" x14ac:dyDescent="0.25">
      <c r="A6234" s="306">
        <v>98516</v>
      </c>
      <c r="B6234" s="305" t="s">
        <v>5308</v>
      </c>
      <c r="C6234" s="305" t="s">
        <v>363</v>
      </c>
      <c r="D6234" s="575">
        <v>424.11</v>
      </c>
    </row>
    <row r="6235" spans="1:4" ht="13.5" x14ac:dyDescent="0.25">
      <c r="A6235" s="306">
        <v>98519</v>
      </c>
      <c r="B6235" s="305" t="s">
        <v>5309</v>
      </c>
      <c r="C6235" s="305" t="s">
        <v>521</v>
      </c>
      <c r="D6235" s="575">
        <v>1.65</v>
      </c>
    </row>
    <row r="6236" spans="1:4" ht="13.5" x14ac:dyDescent="0.25">
      <c r="A6236" s="306">
        <v>98520</v>
      </c>
      <c r="B6236" s="305" t="s">
        <v>5310</v>
      </c>
      <c r="C6236" s="305" t="s">
        <v>521</v>
      </c>
      <c r="D6236" s="575">
        <v>5.62</v>
      </c>
    </row>
    <row r="6237" spans="1:4" ht="13.5" x14ac:dyDescent="0.25">
      <c r="A6237" s="306">
        <v>98521</v>
      </c>
      <c r="B6237" s="305" t="s">
        <v>5311</v>
      </c>
      <c r="C6237" s="305" t="s">
        <v>521</v>
      </c>
      <c r="D6237" s="575">
        <v>0.28999999999999998</v>
      </c>
    </row>
    <row r="6238" spans="1:4" ht="13.5" x14ac:dyDescent="0.25">
      <c r="A6238" s="306">
        <v>98522</v>
      </c>
      <c r="B6238" s="305" t="s">
        <v>5312</v>
      </c>
      <c r="C6238" s="305" t="s">
        <v>282</v>
      </c>
      <c r="D6238" s="575">
        <v>104.18</v>
      </c>
    </row>
    <row r="6239" spans="1:4" ht="13.5" x14ac:dyDescent="0.25">
      <c r="A6239" s="306">
        <v>98524</v>
      </c>
      <c r="B6239" s="305" t="s">
        <v>5313</v>
      </c>
      <c r="C6239" s="305" t="s">
        <v>521</v>
      </c>
      <c r="D6239" s="575">
        <v>2.62</v>
      </c>
    </row>
    <row r="6240" spans="1:4" ht="13.5" x14ac:dyDescent="0.25">
      <c r="A6240" s="306">
        <v>98503</v>
      </c>
      <c r="B6240" s="305" t="s">
        <v>5314</v>
      </c>
      <c r="C6240" s="305" t="s">
        <v>521</v>
      </c>
      <c r="D6240" s="575">
        <v>20.9</v>
      </c>
    </row>
    <row r="6241" spans="1:4" ht="13.5" x14ac:dyDescent="0.25">
      <c r="A6241" s="306">
        <v>98504</v>
      </c>
      <c r="B6241" s="305" t="s">
        <v>5315</v>
      </c>
      <c r="C6241" s="305" t="s">
        <v>521</v>
      </c>
      <c r="D6241" s="575">
        <v>11.98</v>
      </c>
    </row>
    <row r="6242" spans="1:4" ht="13.5" x14ac:dyDescent="0.25">
      <c r="A6242" s="306">
        <v>98505</v>
      </c>
      <c r="B6242" s="305" t="s">
        <v>5316</v>
      </c>
      <c r="C6242" s="305" t="s">
        <v>521</v>
      </c>
      <c r="D6242" s="575">
        <v>148.36000000000001</v>
      </c>
    </row>
    <row r="6243" spans="1:4" ht="13.5" x14ac:dyDescent="0.25">
      <c r="A6243" s="306">
        <v>98525</v>
      </c>
      <c r="B6243" s="305" t="s">
        <v>5317</v>
      </c>
      <c r="C6243" s="305" t="s">
        <v>521</v>
      </c>
      <c r="D6243" s="575">
        <v>0.26</v>
      </c>
    </row>
    <row r="6244" spans="1:4" ht="13.5" x14ac:dyDescent="0.25">
      <c r="A6244" s="306">
        <v>98526</v>
      </c>
      <c r="B6244" s="305" t="s">
        <v>5318</v>
      </c>
      <c r="C6244" s="305" t="s">
        <v>363</v>
      </c>
      <c r="D6244" s="575">
        <v>56.25</v>
      </c>
    </row>
    <row r="6245" spans="1:4" ht="13.5" x14ac:dyDescent="0.25">
      <c r="A6245" s="306">
        <v>98527</v>
      </c>
      <c r="B6245" s="305" t="s">
        <v>5319</v>
      </c>
      <c r="C6245" s="305" t="s">
        <v>363</v>
      </c>
      <c r="D6245" s="575">
        <v>121.12</v>
      </c>
    </row>
    <row r="6246" spans="1:4" ht="13.5" x14ac:dyDescent="0.25">
      <c r="A6246" s="306">
        <v>98528</v>
      </c>
      <c r="B6246" s="305" t="s">
        <v>5320</v>
      </c>
      <c r="C6246" s="305" t="s">
        <v>363</v>
      </c>
      <c r="D6246" s="575">
        <v>177.12</v>
      </c>
    </row>
    <row r="6247" spans="1:4" ht="13.5" x14ac:dyDescent="0.25">
      <c r="A6247" s="306">
        <v>98529</v>
      </c>
      <c r="B6247" s="305" t="s">
        <v>5321</v>
      </c>
      <c r="C6247" s="305" t="s">
        <v>363</v>
      </c>
      <c r="D6247" s="575">
        <v>56.64</v>
      </c>
    </row>
    <row r="6248" spans="1:4" ht="13.5" x14ac:dyDescent="0.25">
      <c r="A6248" s="306">
        <v>98530</v>
      </c>
      <c r="B6248" s="305" t="s">
        <v>5322</v>
      </c>
      <c r="C6248" s="305" t="s">
        <v>363</v>
      </c>
      <c r="D6248" s="575">
        <v>100.9</v>
      </c>
    </row>
    <row r="6249" spans="1:4" ht="13.5" x14ac:dyDescent="0.25">
      <c r="A6249" s="306">
        <v>98531</v>
      </c>
      <c r="B6249" s="305" t="s">
        <v>5323</v>
      </c>
      <c r="C6249" s="305" t="s">
        <v>363</v>
      </c>
      <c r="D6249" s="575">
        <v>203.24</v>
      </c>
    </row>
    <row r="6250" spans="1:4" ht="13.5" x14ac:dyDescent="0.25">
      <c r="A6250" s="306">
        <v>98532</v>
      </c>
      <c r="B6250" s="305" t="s">
        <v>5324</v>
      </c>
      <c r="C6250" s="305" t="s">
        <v>363</v>
      </c>
      <c r="D6250" s="575">
        <v>72.41</v>
      </c>
    </row>
    <row r="6251" spans="1:4" ht="13.5" x14ac:dyDescent="0.25">
      <c r="A6251" s="306">
        <v>98533</v>
      </c>
      <c r="B6251" s="305" t="s">
        <v>5325</v>
      </c>
      <c r="C6251" s="305" t="s">
        <v>363</v>
      </c>
      <c r="D6251" s="575">
        <v>200.71</v>
      </c>
    </row>
    <row r="6252" spans="1:4" ht="13.5" x14ac:dyDescent="0.25">
      <c r="A6252" s="306">
        <v>98534</v>
      </c>
      <c r="B6252" s="305" t="s">
        <v>5326</v>
      </c>
      <c r="C6252" s="305" t="s">
        <v>363</v>
      </c>
      <c r="D6252" s="575">
        <v>511.33</v>
      </c>
    </row>
    <row r="6253" spans="1:4" ht="13.5" x14ac:dyDescent="0.25">
      <c r="A6253" s="306">
        <v>98535</v>
      </c>
      <c r="B6253" s="305" t="s">
        <v>5327</v>
      </c>
      <c r="C6253" s="305" t="s">
        <v>363</v>
      </c>
      <c r="D6253" s="575">
        <v>814.22</v>
      </c>
    </row>
    <row r="6254" spans="1:4" ht="13.5" x14ac:dyDescent="0.25">
      <c r="A6254" s="306">
        <v>88238</v>
      </c>
      <c r="B6254" s="305" t="s">
        <v>5328</v>
      </c>
      <c r="C6254" s="305" t="s">
        <v>43</v>
      </c>
      <c r="D6254" s="575">
        <v>15.62</v>
      </c>
    </row>
    <row r="6255" spans="1:4" ht="13.5" x14ac:dyDescent="0.25">
      <c r="A6255" s="306">
        <v>88239</v>
      </c>
      <c r="B6255" s="305" t="s">
        <v>5329</v>
      </c>
      <c r="C6255" s="305" t="s">
        <v>43</v>
      </c>
      <c r="D6255" s="575">
        <v>16.72</v>
      </c>
    </row>
    <row r="6256" spans="1:4" ht="13.5" x14ac:dyDescent="0.25">
      <c r="A6256" s="306">
        <v>88240</v>
      </c>
      <c r="B6256" s="305" t="s">
        <v>5330</v>
      </c>
      <c r="C6256" s="305" t="s">
        <v>43</v>
      </c>
      <c r="D6256" s="575">
        <v>17.239999999999998</v>
      </c>
    </row>
    <row r="6257" spans="1:4" ht="13.5" x14ac:dyDescent="0.25">
      <c r="A6257" s="306">
        <v>88241</v>
      </c>
      <c r="B6257" s="305" t="s">
        <v>5331</v>
      </c>
      <c r="C6257" s="305" t="s">
        <v>43</v>
      </c>
      <c r="D6257" s="575">
        <v>15.99</v>
      </c>
    </row>
    <row r="6258" spans="1:4" ht="13.5" x14ac:dyDescent="0.25">
      <c r="A6258" s="306">
        <v>88242</v>
      </c>
      <c r="B6258" s="305" t="s">
        <v>5332</v>
      </c>
      <c r="C6258" s="305" t="s">
        <v>43</v>
      </c>
      <c r="D6258" s="575">
        <v>17.23</v>
      </c>
    </row>
    <row r="6259" spans="1:4" ht="13.5" x14ac:dyDescent="0.25">
      <c r="A6259" s="306">
        <v>88243</v>
      </c>
      <c r="B6259" s="305" t="s">
        <v>5333</v>
      </c>
      <c r="C6259" s="305" t="s">
        <v>43</v>
      </c>
      <c r="D6259" s="575">
        <v>20.46</v>
      </c>
    </row>
    <row r="6260" spans="1:4" ht="13.5" x14ac:dyDescent="0.25">
      <c r="A6260" s="306">
        <v>88245</v>
      </c>
      <c r="B6260" s="305" t="s">
        <v>5334</v>
      </c>
      <c r="C6260" s="305" t="s">
        <v>43</v>
      </c>
      <c r="D6260" s="575">
        <v>23.17</v>
      </c>
    </row>
    <row r="6261" spans="1:4" ht="13.5" x14ac:dyDescent="0.25">
      <c r="A6261" s="306">
        <v>88246</v>
      </c>
      <c r="B6261" s="305" t="s">
        <v>5335</v>
      </c>
      <c r="C6261" s="305" t="s">
        <v>43</v>
      </c>
      <c r="D6261" s="575">
        <v>22.74</v>
      </c>
    </row>
    <row r="6262" spans="1:4" ht="13.5" x14ac:dyDescent="0.25">
      <c r="A6262" s="306">
        <v>88247</v>
      </c>
      <c r="B6262" s="305" t="s">
        <v>5336</v>
      </c>
      <c r="C6262" s="305" t="s">
        <v>43</v>
      </c>
      <c r="D6262" s="575">
        <v>16.25</v>
      </c>
    </row>
    <row r="6263" spans="1:4" ht="13.5" x14ac:dyDescent="0.25">
      <c r="A6263" s="306">
        <v>88248</v>
      </c>
      <c r="B6263" s="305" t="s">
        <v>5337</v>
      </c>
      <c r="C6263" s="305" t="s">
        <v>43</v>
      </c>
      <c r="D6263" s="575">
        <v>15.2</v>
      </c>
    </row>
    <row r="6264" spans="1:4" ht="13.5" x14ac:dyDescent="0.25">
      <c r="A6264" s="306">
        <v>88249</v>
      </c>
      <c r="B6264" s="305" t="s">
        <v>5338</v>
      </c>
      <c r="C6264" s="305" t="s">
        <v>43</v>
      </c>
      <c r="D6264" s="575">
        <v>16.25</v>
      </c>
    </row>
    <row r="6265" spans="1:4" ht="13.5" x14ac:dyDescent="0.25">
      <c r="A6265" s="306">
        <v>88250</v>
      </c>
      <c r="B6265" s="305" t="s">
        <v>5339</v>
      </c>
      <c r="C6265" s="305" t="s">
        <v>43</v>
      </c>
      <c r="D6265" s="575">
        <v>15.28</v>
      </c>
    </row>
    <row r="6266" spans="1:4" ht="13.5" x14ac:dyDescent="0.25">
      <c r="A6266" s="306">
        <v>88251</v>
      </c>
      <c r="B6266" s="305" t="s">
        <v>5340</v>
      </c>
      <c r="C6266" s="305" t="s">
        <v>43</v>
      </c>
      <c r="D6266" s="575">
        <v>16.41</v>
      </c>
    </row>
    <row r="6267" spans="1:4" ht="13.5" x14ac:dyDescent="0.25">
      <c r="A6267" s="306">
        <v>88252</v>
      </c>
      <c r="B6267" s="305" t="s">
        <v>5341</v>
      </c>
      <c r="C6267" s="305" t="s">
        <v>43</v>
      </c>
      <c r="D6267" s="575">
        <v>17.78</v>
      </c>
    </row>
    <row r="6268" spans="1:4" ht="13.5" x14ac:dyDescent="0.25">
      <c r="A6268" s="306">
        <v>88253</v>
      </c>
      <c r="B6268" s="305" t="s">
        <v>5342</v>
      </c>
      <c r="C6268" s="305" t="s">
        <v>43</v>
      </c>
      <c r="D6268" s="575">
        <v>14.33</v>
      </c>
    </row>
    <row r="6269" spans="1:4" ht="13.5" x14ac:dyDescent="0.25">
      <c r="A6269" s="306">
        <v>88255</v>
      </c>
      <c r="B6269" s="305" t="s">
        <v>5343</v>
      </c>
      <c r="C6269" s="305" t="s">
        <v>43</v>
      </c>
      <c r="D6269" s="575">
        <v>37.36</v>
      </c>
    </row>
    <row r="6270" spans="1:4" ht="13.5" x14ac:dyDescent="0.25">
      <c r="A6270" s="306">
        <v>88256</v>
      </c>
      <c r="B6270" s="305" t="s">
        <v>5344</v>
      </c>
      <c r="C6270" s="305" t="s">
        <v>43</v>
      </c>
      <c r="D6270" s="575">
        <v>21.8</v>
      </c>
    </row>
    <row r="6271" spans="1:4" ht="13.5" x14ac:dyDescent="0.25">
      <c r="A6271" s="306">
        <v>88257</v>
      </c>
      <c r="B6271" s="305" t="s">
        <v>5345</v>
      </c>
      <c r="C6271" s="305" t="s">
        <v>43</v>
      </c>
      <c r="D6271" s="575">
        <v>19.7</v>
      </c>
    </row>
    <row r="6272" spans="1:4" ht="13.5" x14ac:dyDescent="0.25">
      <c r="A6272" s="306">
        <v>88258</v>
      </c>
      <c r="B6272" s="305" t="s">
        <v>5346</v>
      </c>
      <c r="C6272" s="305" t="s">
        <v>43</v>
      </c>
      <c r="D6272" s="575">
        <v>13.07</v>
      </c>
    </row>
    <row r="6273" spans="1:4" ht="13.5" x14ac:dyDescent="0.25">
      <c r="A6273" s="306">
        <v>88259</v>
      </c>
      <c r="B6273" s="305" t="s">
        <v>5347</v>
      </c>
      <c r="C6273" s="305" t="s">
        <v>43</v>
      </c>
      <c r="D6273" s="575">
        <v>23.76</v>
      </c>
    </row>
    <row r="6274" spans="1:4" ht="13.5" x14ac:dyDescent="0.25">
      <c r="A6274" s="306">
        <v>88260</v>
      </c>
      <c r="B6274" s="305" t="s">
        <v>5348</v>
      </c>
      <c r="C6274" s="305" t="s">
        <v>43</v>
      </c>
      <c r="D6274" s="575">
        <v>20.68</v>
      </c>
    </row>
    <row r="6275" spans="1:4" ht="13.5" x14ac:dyDescent="0.25">
      <c r="A6275" s="306">
        <v>88261</v>
      </c>
      <c r="B6275" s="305" t="s">
        <v>5349</v>
      </c>
      <c r="C6275" s="305" t="s">
        <v>43</v>
      </c>
      <c r="D6275" s="575">
        <v>19.93</v>
      </c>
    </row>
    <row r="6276" spans="1:4" ht="13.5" x14ac:dyDescent="0.25">
      <c r="A6276" s="306">
        <v>88262</v>
      </c>
      <c r="B6276" s="305" t="s">
        <v>5350</v>
      </c>
      <c r="C6276" s="305" t="s">
        <v>43</v>
      </c>
      <c r="D6276" s="575">
        <v>19.920000000000002</v>
      </c>
    </row>
    <row r="6277" spans="1:4" ht="13.5" x14ac:dyDescent="0.25">
      <c r="A6277" s="306">
        <v>88263</v>
      </c>
      <c r="B6277" s="305" t="s">
        <v>5351</v>
      </c>
      <c r="C6277" s="305" t="s">
        <v>43</v>
      </c>
      <c r="D6277" s="575">
        <v>17.239999999999998</v>
      </c>
    </row>
    <row r="6278" spans="1:4" ht="13.5" x14ac:dyDescent="0.25">
      <c r="A6278" s="306">
        <v>88264</v>
      </c>
      <c r="B6278" s="305" t="s">
        <v>5352</v>
      </c>
      <c r="C6278" s="305" t="s">
        <v>43</v>
      </c>
      <c r="D6278" s="575">
        <v>21.08</v>
      </c>
    </row>
    <row r="6279" spans="1:4" ht="13.5" x14ac:dyDescent="0.25">
      <c r="A6279" s="306">
        <v>88265</v>
      </c>
      <c r="B6279" s="305" t="s">
        <v>5353</v>
      </c>
      <c r="C6279" s="305" t="s">
        <v>43</v>
      </c>
      <c r="D6279" s="575">
        <v>34.15</v>
      </c>
    </row>
    <row r="6280" spans="1:4" ht="13.5" x14ac:dyDescent="0.25">
      <c r="A6280" s="306">
        <v>88266</v>
      </c>
      <c r="B6280" s="305" t="s">
        <v>5354</v>
      </c>
      <c r="C6280" s="305" t="s">
        <v>43</v>
      </c>
      <c r="D6280" s="575">
        <v>24.98</v>
      </c>
    </row>
    <row r="6281" spans="1:4" ht="13.5" x14ac:dyDescent="0.25">
      <c r="A6281" s="306">
        <v>88267</v>
      </c>
      <c r="B6281" s="305" t="s">
        <v>5355</v>
      </c>
      <c r="C6281" s="305" t="s">
        <v>43</v>
      </c>
      <c r="D6281" s="575">
        <v>19.64</v>
      </c>
    </row>
    <row r="6282" spans="1:4" ht="13.5" x14ac:dyDescent="0.25">
      <c r="A6282" s="306">
        <v>88268</v>
      </c>
      <c r="B6282" s="305" t="s">
        <v>5356</v>
      </c>
      <c r="C6282" s="305" t="s">
        <v>43</v>
      </c>
      <c r="D6282" s="575">
        <v>21.08</v>
      </c>
    </row>
    <row r="6283" spans="1:4" ht="13.5" x14ac:dyDescent="0.25">
      <c r="A6283" s="306">
        <v>88269</v>
      </c>
      <c r="B6283" s="305" t="s">
        <v>5357</v>
      </c>
      <c r="C6283" s="305" t="s">
        <v>43</v>
      </c>
      <c r="D6283" s="575">
        <v>19.760000000000002</v>
      </c>
    </row>
    <row r="6284" spans="1:4" ht="13.5" x14ac:dyDescent="0.25">
      <c r="A6284" s="306">
        <v>88270</v>
      </c>
      <c r="B6284" s="305" t="s">
        <v>5358</v>
      </c>
      <c r="C6284" s="305" t="s">
        <v>43</v>
      </c>
      <c r="D6284" s="575">
        <v>20.52</v>
      </c>
    </row>
    <row r="6285" spans="1:4" ht="13.5" x14ac:dyDescent="0.25">
      <c r="A6285" s="306">
        <v>88272</v>
      </c>
      <c r="B6285" s="305" t="s">
        <v>5359</v>
      </c>
      <c r="C6285" s="305" t="s">
        <v>43</v>
      </c>
      <c r="D6285" s="575">
        <v>21.29</v>
      </c>
    </row>
    <row r="6286" spans="1:4" ht="13.5" x14ac:dyDescent="0.25">
      <c r="A6286" s="306">
        <v>88273</v>
      </c>
      <c r="B6286" s="305" t="s">
        <v>5360</v>
      </c>
      <c r="C6286" s="305" t="s">
        <v>43</v>
      </c>
      <c r="D6286" s="575">
        <v>20.28</v>
      </c>
    </row>
    <row r="6287" spans="1:4" ht="13.5" x14ac:dyDescent="0.25">
      <c r="A6287" s="306">
        <v>88274</v>
      </c>
      <c r="B6287" s="305" t="s">
        <v>5361</v>
      </c>
      <c r="C6287" s="305" t="s">
        <v>43</v>
      </c>
      <c r="D6287" s="575">
        <v>22.36</v>
      </c>
    </row>
    <row r="6288" spans="1:4" ht="13.5" x14ac:dyDescent="0.25">
      <c r="A6288" s="306">
        <v>88275</v>
      </c>
      <c r="B6288" s="305" t="s">
        <v>5362</v>
      </c>
      <c r="C6288" s="305" t="s">
        <v>43</v>
      </c>
      <c r="D6288" s="575">
        <v>23.73</v>
      </c>
    </row>
    <row r="6289" spans="1:4" ht="13.5" x14ac:dyDescent="0.25">
      <c r="A6289" s="306">
        <v>88277</v>
      </c>
      <c r="B6289" s="305" t="s">
        <v>5363</v>
      </c>
      <c r="C6289" s="305" t="s">
        <v>43</v>
      </c>
      <c r="D6289" s="575">
        <v>43.35</v>
      </c>
    </row>
    <row r="6290" spans="1:4" ht="13.5" x14ac:dyDescent="0.25">
      <c r="A6290" s="306">
        <v>88278</v>
      </c>
      <c r="B6290" s="305" t="s">
        <v>5364</v>
      </c>
      <c r="C6290" s="305" t="s">
        <v>43</v>
      </c>
      <c r="D6290" s="575">
        <v>19.37</v>
      </c>
    </row>
    <row r="6291" spans="1:4" ht="13.5" x14ac:dyDescent="0.25">
      <c r="A6291" s="306">
        <v>88279</v>
      </c>
      <c r="B6291" s="305" t="s">
        <v>5365</v>
      </c>
      <c r="C6291" s="305" t="s">
        <v>43</v>
      </c>
      <c r="D6291" s="575">
        <v>34.020000000000003</v>
      </c>
    </row>
    <row r="6292" spans="1:4" ht="13.5" x14ac:dyDescent="0.25">
      <c r="A6292" s="306">
        <v>88281</v>
      </c>
      <c r="B6292" s="305" t="s">
        <v>5366</v>
      </c>
      <c r="C6292" s="305" t="s">
        <v>43</v>
      </c>
      <c r="D6292" s="575">
        <v>17.46</v>
      </c>
    </row>
    <row r="6293" spans="1:4" ht="13.5" x14ac:dyDescent="0.25">
      <c r="A6293" s="306">
        <v>88282</v>
      </c>
      <c r="B6293" s="305" t="s">
        <v>5367</v>
      </c>
      <c r="C6293" s="305" t="s">
        <v>43</v>
      </c>
      <c r="D6293" s="575">
        <v>18.28</v>
      </c>
    </row>
    <row r="6294" spans="1:4" ht="13.5" x14ac:dyDescent="0.25">
      <c r="A6294" s="306">
        <v>88283</v>
      </c>
      <c r="B6294" s="305" t="s">
        <v>5368</v>
      </c>
      <c r="C6294" s="305" t="s">
        <v>43</v>
      </c>
      <c r="D6294" s="575">
        <v>23.07</v>
      </c>
    </row>
    <row r="6295" spans="1:4" ht="13.5" x14ac:dyDescent="0.25">
      <c r="A6295" s="306">
        <v>88284</v>
      </c>
      <c r="B6295" s="305" t="s">
        <v>5369</v>
      </c>
      <c r="C6295" s="305" t="s">
        <v>43</v>
      </c>
      <c r="D6295" s="575">
        <v>19.579999999999998</v>
      </c>
    </row>
    <row r="6296" spans="1:4" ht="13.5" x14ac:dyDescent="0.25">
      <c r="A6296" s="306">
        <v>88285</v>
      </c>
      <c r="B6296" s="305" t="s">
        <v>5370</v>
      </c>
      <c r="C6296" s="305" t="s">
        <v>43</v>
      </c>
      <c r="D6296" s="575">
        <v>23.25</v>
      </c>
    </row>
    <row r="6297" spans="1:4" ht="13.5" x14ac:dyDescent="0.25">
      <c r="A6297" s="306">
        <v>88286</v>
      </c>
      <c r="B6297" s="305" t="s">
        <v>5371</v>
      </c>
      <c r="C6297" s="305" t="s">
        <v>43</v>
      </c>
      <c r="D6297" s="575">
        <v>22.01</v>
      </c>
    </row>
    <row r="6298" spans="1:4" ht="13.5" x14ac:dyDescent="0.25">
      <c r="A6298" s="306">
        <v>88288</v>
      </c>
      <c r="B6298" s="305" t="s">
        <v>5372</v>
      </c>
      <c r="C6298" s="305" t="s">
        <v>43</v>
      </c>
      <c r="D6298" s="575">
        <v>17.809999999999999</v>
      </c>
    </row>
    <row r="6299" spans="1:4" ht="13.5" x14ac:dyDescent="0.25">
      <c r="A6299" s="306">
        <v>88291</v>
      </c>
      <c r="B6299" s="305" t="s">
        <v>5373</v>
      </c>
      <c r="C6299" s="305" t="s">
        <v>43</v>
      </c>
      <c r="D6299" s="575">
        <v>16.91</v>
      </c>
    </row>
    <row r="6300" spans="1:4" ht="13.5" x14ac:dyDescent="0.25">
      <c r="A6300" s="306">
        <v>88292</v>
      </c>
      <c r="B6300" s="305" t="s">
        <v>5374</v>
      </c>
      <c r="C6300" s="305" t="s">
        <v>43</v>
      </c>
      <c r="D6300" s="575">
        <v>20.76</v>
      </c>
    </row>
    <row r="6301" spans="1:4" ht="13.5" x14ac:dyDescent="0.25">
      <c r="A6301" s="306">
        <v>88293</v>
      </c>
      <c r="B6301" s="305" t="s">
        <v>5375</v>
      </c>
      <c r="C6301" s="305" t="s">
        <v>43</v>
      </c>
      <c r="D6301" s="575">
        <v>19.88</v>
      </c>
    </row>
    <row r="6302" spans="1:4" ht="13.5" x14ac:dyDescent="0.25">
      <c r="A6302" s="306">
        <v>88294</v>
      </c>
      <c r="B6302" s="305" t="s">
        <v>5376</v>
      </c>
      <c r="C6302" s="305" t="s">
        <v>43</v>
      </c>
      <c r="D6302" s="575">
        <v>21.44</v>
      </c>
    </row>
    <row r="6303" spans="1:4" ht="13.5" x14ac:dyDescent="0.25">
      <c r="A6303" s="306">
        <v>88295</v>
      </c>
      <c r="B6303" s="305" t="s">
        <v>5377</v>
      </c>
      <c r="C6303" s="305" t="s">
        <v>43</v>
      </c>
      <c r="D6303" s="575">
        <v>19.11</v>
      </c>
    </row>
    <row r="6304" spans="1:4" ht="13.5" x14ac:dyDescent="0.25">
      <c r="A6304" s="306">
        <v>88296</v>
      </c>
      <c r="B6304" s="305" t="s">
        <v>5378</v>
      </c>
      <c r="C6304" s="305" t="s">
        <v>43</v>
      </c>
      <c r="D6304" s="575">
        <v>23.65</v>
      </c>
    </row>
    <row r="6305" spans="1:4" ht="13.5" x14ac:dyDescent="0.25">
      <c r="A6305" s="306">
        <v>88297</v>
      </c>
      <c r="B6305" s="305" t="s">
        <v>5379</v>
      </c>
      <c r="C6305" s="305" t="s">
        <v>43</v>
      </c>
      <c r="D6305" s="575">
        <v>22.14</v>
      </c>
    </row>
    <row r="6306" spans="1:4" ht="13.5" x14ac:dyDescent="0.25">
      <c r="A6306" s="306">
        <v>88298</v>
      </c>
      <c r="B6306" s="305" t="s">
        <v>5380</v>
      </c>
      <c r="C6306" s="305" t="s">
        <v>43</v>
      </c>
      <c r="D6306" s="575">
        <v>19.03</v>
      </c>
    </row>
    <row r="6307" spans="1:4" ht="13.5" x14ac:dyDescent="0.25">
      <c r="A6307" s="306">
        <v>88299</v>
      </c>
      <c r="B6307" s="305" t="s">
        <v>5381</v>
      </c>
      <c r="C6307" s="305" t="s">
        <v>43</v>
      </c>
      <c r="D6307" s="575">
        <v>20.16</v>
      </c>
    </row>
    <row r="6308" spans="1:4" ht="13.5" x14ac:dyDescent="0.25">
      <c r="A6308" s="306">
        <v>88300</v>
      </c>
      <c r="B6308" s="305" t="s">
        <v>5382</v>
      </c>
      <c r="C6308" s="305" t="s">
        <v>43</v>
      </c>
      <c r="D6308" s="575">
        <v>23.81</v>
      </c>
    </row>
    <row r="6309" spans="1:4" ht="13.5" x14ac:dyDescent="0.25">
      <c r="A6309" s="306">
        <v>88301</v>
      </c>
      <c r="B6309" s="305" t="s">
        <v>5383</v>
      </c>
      <c r="C6309" s="305" t="s">
        <v>43</v>
      </c>
      <c r="D6309" s="575">
        <v>21.17</v>
      </c>
    </row>
    <row r="6310" spans="1:4" ht="13.5" x14ac:dyDescent="0.25">
      <c r="A6310" s="306">
        <v>88302</v>
      </c>
      <c r="B6310" s="305" t="s">
        <v>5384</v>
      </c>
      <c r="C6310" s="305" t="s">
        <v>43</v>
      </c>
      <c r="D6310" s="575">
        <v>20.67</v>
      </c>
    </row>
    <row r="6311" spans="1:4" ht="13.5" x14ac:dyDescent="0.25">
      <c r="A6311" s="306">
        <v>88303</v>
      </c>
      <c r="B6311" s="305" t="s">
        <v>5385</v>
      </c>
      <c r="C6311" s="305" t="s">
        <v>43</v>
      </c>
      <c r="D6311" s="575">
        <v>20.97</v>
      </c>
    </row>
    <row r="6312" spans="1:4" ht="13.5" x14ac:dyDescent="0.25">
      <c r="A6312" s="306">
        <v>88304</v>
      </c>
      <c r="B6312" s="305" t="s">
        <v>5386</v>
      </c>
      <c r="C6312" s="305" t="s">
        <v>43</v>
      </c>
      <c r="D6312" s="575">
        <v>18.32</v>
      </c>
    </row>
    <row r="6313" spans="1:4" ht="13.5" x14ac:dyDescent="0.25">
      <c r="A6313" s="306">
        <v>88306</v>
      </c>
      <c r="B6313" s="305" t="s">
        <v>5387</v>
      </c>
      <c r="C6313" s="305" t="s">
        <v>43</v>
      </c>
      <c r="D6313" s="575">
        <v>19.61</v>
      </c>
    </row>
    <row r="6314" spans="1:4" ht="13.5" x14ac:dyDescent="0.25">
      <c r="A6314" s="306">
        <v>88307</v>
      </c>
      <c r="B6314" s="305" t="s">
        <v>5388</v>
      </c>
      <c r="C6314" s="305" t="s">
        <v>43</v>
      </c>
      <c r="D6314" s="575">
        <v>22.58</v>
      </c>
    </row>
    <row r="6315" spans="1:4" ht="13.5" x14ac:dyDescent="0.25">
      <c r="A6315" s="306">
        <v>88308</v>
      </c>
      <c r="B6315" s="305" t="s">
        <v>5389</v>
      </c>
      <c r="C6315" s="305" t="s">
        <v>43</v>
      </c>
      <c r="D6315" s="575">
        <v>23.58</v>
      </c>
    </row>
    <row r="6316" spans="1:4" ht="13.5" x14ac:dyDescent="0.25">
      <c r="A6316" s="306">
        <v>88309</v>
      </c>
      <c r="B6316" s="305" t="s">
        <v>5390</v>
      </c>
      <c r="C6316" s="305" t="s">
        <v>43</v>
      </c>
      <c r="D6316" s="575">
        <v>20.43</v>
      </c>
    </row>
    <row r="6317" spans="1:4" ht="13.5" x14ac:dyDescent="0.25">
      <c r="A6317" s="306">
        <v>88310</v>
      </c>
      <c r="B6317" s="305" t="s">
        <v>5391</v>
      </c>
      <c r="C6317" s="305" t="s">
        <v>43</v>
      </c>
      <c r="D6317" s="575">
        <v>21.17</v>
      </c>
    </row>
    <row r="6318" spans="1:4" ht="13.5" x14ac:dyDescent="0.25">
      <c r="A6318" s="306">
        <v>88311</v>
      </c>
      <c r="B6318" s="305" t="s">
        <v>5392</v>
      </c>
      <c r="C6318" s="305" t="s">
        <v>43</v>
      </c>
      <c r="D6318" s="575">
        <v>24.06</v>
      </c>
    </row>
    <row r="6319" spans="1:4" ht="13.5" x14ac:dyDescent="0.25">
      <c r="A6319" s="306">
        <v>88312</v>
      </c>
      <c r="B6319" s="305" t="s">
        <v>5393</v>
      </c>
      <c r="C6319" s="305" t="s">
        <v>43</v>
      </c>
      <c r="D6319" s="575">
        <v>22.29</v>
      </c>
    </row>
    <row r="6320" spans="1:4" ht="13.5" x14ac:dyDescent="0.25">
      <c r="A6320" s="306">
        <v>88313</v>
      </c>
      <c r="B6320" s="305" t="s">
        <v>5394</v>
      </c>
      <c r="C6320" s="305" t="s">
        <v>43</v>
      </c>
      <c r="D6320" s="575">
        <v>20.21</v>
      </c>
    </row>
    <row r="6321" spans="1:4" ht="13.5" x14ac:dyDescent="0.25">
      <c r="A6321" s="306">
        <v>88314</v>
      </c>
      <c r="B6321" s="305" t="s">
        <v>5395</v>
      </c>
      <c r="C6321" s="305" t="s">
        <v>43</v>
      </c>
      <c r="D6321" s="575">
        <v>15.23</v>
      </c>
    </row>
    <row r="6322" spans="1:4" ht="13.5" x14ac:dyDescent="0.25">
      <c r="A6322" s="306">
        <v>88315</v>
      </c>
      <c r="B6322" s="305" t="s">
        <v>5396</v>
      </c>
      <c r="C6322" s="305" t="s">
        <v>43</v>
      </c>
      <c r="D6322" s="575">
        <v>20.329999999999998</v>
      </c>
    </row>
    <row r="6323" spans="1:4" ht="13.5" x14ac:dyDescent="0.25">
      <c r="A6323" s="306">
        <v>88316</v>
      </c>
      <c r="B6323" s="305" t="s">
        <v>5397</v>
      </c>
      <c r="C6323" s="305" t="s">
        <v>43</v>
      </c>
      <c r="D6323" s="575">
        <v>16.940000000000001</v>
      </c>
    </row>
    <row r="6324" spans="1:4" ht="13.5" x14ac:dyDescent="0.25">
      <c r="A6324" s="306">
        <v>88317</v>
      </c>
      <c r="B6324" s="305" t="s">
        <v>5398</v>
      </c>
      <c r="C6324" s="305" t="s">
        <v>43</v>
      </c>
      <c r="D6324" s="575">
        <v>21.52</v>
      </c>
    </row>
    <row r="6325" spans="1:4" ht="13.5" x14ac:dyDescent="0.25">
      <c r="A6325" s="306">
        <v>88318</v>
      </c>
      <c r="B6325" s="305" t="s">
        <v>5399</v>
      </c>
      <c r="C6325" s="305" t="s">
        <v>43</v>
      </c>
      <c r="D6325" s="575">
        <v>23.67</v>
      </c>
    </row>
    <row r="6326" spans="1:4" ht="13.5" x14ac:dyDescent="0.25">
      <c r="A6326" s="306">
        <v>88320</v>
      </c>
      <c r="B6326" s="305" t="s">
        <v>5400</v>
      </c>
      <c r="C6326" s="305" t="s">
        <v>43</v>
      </c>
      <c r="D6326" s="575">
        <v>23.34</v>
      </c>
    </row>
    <row r="6327" spans="1:4" ht="13.5" x14ac:dyDescent="0.25">
      <c r="A6327" s="306">
        <v>88321</v>
      </c>
      <c r="B6327" s="305" t="s">
        <v>5401</v>
      </c>
      <c r="C6327" s="305" t="s">
        <v>43</v>
      </c>
      <c r="D6327" s="575">
        <v>25.44</v>
      </c>
    </row>
    <row r="6328" spans="1:4" ht="13.5" x14ac:dyDescent="0.25">
      <c r="A6328" s="306">
        <v>88322</v>
      </c>
      <c r="B6328" s="305" t="s">
        <v>5402</v>
      </c>
      <c r="C6328" s="305" t="s">
        <v>43</v>
      </c>
      <c r="D6328" s="575">
        <v>20.92</v>
      </c>
    </row>
    <row r="6329" spans="1:4" ht="13.5" x14ac:dyDescent="0.25">
      <c r="A6329" s="306">
        <v>88323</v>
      </c>
      <c r="B6329" s="305" t="s">
        <v>5403</v>
      </c>
      <c r="C6329" s="305" t="s">
        <v>43</v>
      </c>
      <c r="D6329" s="575">
        <v>19.89</v>
      </c>
    </row>
    <row r="6330" spans="1:4" ht="13.5" x14ac:dyDescent="0.25">
      <c r="A6330" s="306">
        <v>88324</v>
      </c>
      <c r="B6330" s="305" t="s">
        <v>5404</v>
      </c>
      <c r="C6330" s="305" t="s">
        <v>43</v>
      </c>
      <c r="D6330" s="575">
        <v>20.69</v>
      </c>
    </row>
    <row r="6331" spans="1:4" ht="13.5" x14ac:dyDescent="0.25">
      <c r="A6331" s="306">
        <v>88325</v>
      </c>
      <c r="B6331" s="305" t="s">
        <v>5405</v>
      </c>
      <c r="C6331" s="305" t="s">
        <v>43</v>
      </c>
      <c r="D6331" s="575">
        <v>20.58</v>
      </c>
    </row>
    <row r="6332" spans="1:4" ht="13.5" x14ac:dyDescent="0.25">
      <c r="A6332" s="306">
        <v>88326</v>
      </c>
      <c r="B6332" s="305" t="s">
        <v>5406</v>
      </c>
      <c r="C6332" s="305" t="s">
        <v>43</v>
      </c>
      <c r="D6332" s="575">
        <v>21.98</v>
      </c>
    </row>
    <row r="6333" spans="1:4" ht="13.5" x14ac:dyDescent="0.25">
      <c r="A6333" s="306">
        <v>88377</v>
      </c>
      <c r="B6333" s="305" t="s">
        <v>5407</v>
      </c>
      <c r="C6333" s="305" t="s">
        <v>43</v>
      </c>
      <c r="D6333" s="575">
        <v>16.46</v>
      </c>
    </row>
    <row r="6334" spans="1:4" ht="13.5" x14ac:dyDescent="0.25">
      <c r="A6334" s="306">
        <v>88441</v>
      </c>
      <c r="B6334" s="305" t="s">
        <v>5408</v>
      </c>
      <c r="C6334" s="305" t="s">
        <v>43</v>
      </c>
      <c r="D6334" s="575">
        <v>19.739999999999998</v>
      </c>
    </row>
    <row r="6335" spans="1:4" ht="13.5" x14ac:dyDescent="0.25">
      <c r="A6335" s="306">
        <v>88597</v>
      </c>
      <c r="B6335" s="305" t="s">
        <v>5409</v>
      </c>
      <c r="C6335" s="305" t="s">
        <v>43</v>
      </c>
      <c r="D6335" s="575">
        <v>66.72</v>
      </c>
    </row>
    <row r="6336" spans="1:4" ht="13.5" x14ac:dyDescent="0.25">
      <c r="A6336" s="306">
        <v>90766</v>
      </c>
      <c r="B6336" s="305" t="s">
        <v>5410</v>
      </c>
      <c r="C6336" s="305" t="s">
        <v>43</v>
      </c>
      <c r="D6336" s="575">
        <v>16.18</v>
      </c>
    </row>
    <row r="6337" spans="1:4" ht="13.5" x14ac:dyDescent="0.25">
      <c r="A6337" s="306">
        <v>90767</v>
      </c>
      <c r="B6337" s="305" t="s">
        <v>5411</v>
      </c>
      <c r="C6337" s="305" t="s">
        <v>43</v>
      </c>
      <c r="D6337" s="575">
        <v>14.47</v>
      </c>
    </row>
    <row r="6338" spans="1:4" ht="13.5" x14ac:dyDescent="0.25">
      <c r="A6338" s="306">
        <v>90768</v>
      </c>
      <c r="B6338" s="305" t="s">
        <v>5412</v>
      </c>
      <c r="C6338" s="305" t="s">
        <v>43</v>
      </c>
      <c r="D6338" s="575">
        <v>65</v>
      </c>
    </row>
    <row r="6339" spans="1:4" ht="13.5" x14ac:dyDescent="0.25">
      <c r="A6339" s="306">
        <v>90769</v>
      </c>
      <c r="B6339" s="305" t="s">
        <v>5413</v>
      </c>
      <c r="C6339" s="305" t="s">
        <v>43</v>
      </c>
      <c r="D6339" s="575">
        <v>91.91</v>
      </c>
    </row>
    <row r="6340" spans="1:4" ht="13.5" x14ac:dyDescent="0.25">
      <c r="A6340" s="306">
        <v>90770</v>
      </c>
      <c r="B6340" s="305" t="s">
        <v>5414</v>
      </c>
      <c r="C6340" s="305" t="s">
        <v>43</v>
      </c>
      <c r="D6340" s="575">
        <v>121.21</v>
      </c>
    </row>
    <row r="6341" spans="1:4" ht="13.5" x14ac:dyDescent="0.25">
      <c r="A6341" s="306">
        <v>90771</v>
      </c>
      <c r="B6341" s="305" t="s">
        <v>5415</v>
      </c>
      <c r="C6341" s="305" t="s">
        <v>43</v>
      </c>
      <c r="D6341" s="575">
        <v>58.99</v>
      </c>
    </row>
    <row r="6342" spans="1:4" ht="13.5" x14ac:dyDescent="0.25">
      <c r="A6342" s="306">
        <v>90772</v>
      </c>
      <c r="B6342" s="305" t="s">
        <v>5416</v>
      </c>
      <c r="C6342" s="305" t="s">
        <v>43</v>
      </c>
      <c r="D6342" s="575">
        <v>15.35</v>
      </c>
    </row>
    <row r="6343" spans="1:4" ht="13.5" x14ac:dyDescent="0.25">
      <c r="A6343" s="306">
        <v>90773</v>
      </c>
      <c r="B6343" s="305" t="s">
        <v>5417</v>
      </c>
      <c r="C6343" s="305" t="s">
        <v>43</v>
      </c>
      <c r="D6343" s="575">
        <v>50.57</v>
      </c>
    </row>
    <row r="6344" spans="1:4" ht="13.5" x14ac:dyDescent="0.25">
      <c r="A6344" s="306">
        <v>90775</v>
      </c>
      <c r="B6344" s="305" t="s">
        <v>5418</v>
      </c>
      <c r="C6344" s="305" t="s">
        <v>43</v>
      </c>
      <c r="D6344" s="575">
        <v>42.26</v>
      </c>
    </row>
    <row r="6345" spans="1:4" ht="13.5" x14ac:dyDescent="0.25">
      <c r="A6345" s="306">
        <v>90776</v>
      </c>
      <c r="B6345" s="305" t="s">
        <v>5419</v>
      </c>
      <c r="C6345" s="305" t="s">
        <v>43</v>
      </c>
      <c r="D6345" s="575">
        <v>19.010000000000002</v>
      </c>
    </row>
    <row r="6346" spans="1:4" ht="13.5" x14ac:dyDescent="0.25">
      <c r="A6346" s="306">
        <v>90777</v>
      </c>
      <c r="B6346" s="305" t="s">
        <v>5420</v>
      </c>
      <c r="C6346" s="305" t="s">
        <v>43</v>
      </c>
      <c r="D6346" s="575">
        <v>88.24</v>
      </c>
    </row>
    <row r="6347" spans="1:4" ht="13.5" x14ac:dyDescent="0.25">
      <c r="A6347" s="306">
        <v>90778</v>
      </c>
      <c r="B6347" s="305" t="s">
        <v>5421</v>
      </c>
      <c r="C6347" s="305" t="s">
        <v>43</v>
      </c>
      <c r="D6347" s="575">
        <v>100.28</v>
      </c>
    </row>
    <row r="6348" spans="1:4" ht="13.5" x14ac:dyDescent="0.25">
      <c r="A6348" s="306">
        <v>90779</v>
      </c>
      <c r="B6348" s="305" t="s">
        <v>5422</v>
      </c>
      <c r="C6348" s="305" t="s">
        <v>43</v>
      </c>
      <c r="D6348" s="575">
        <v>136.72999999999999</v>
      </c>
    </row>
    <row r="6349" spans="1:4" ht="13.5" x14ac:dyDescent="0.25">
      <c r="A6349" s="306">
        <v>90780</v>
      </c>
      <c r="B6349" s="305" t="s">
        <v>5423</v>
      </c>
      <c r="C6349" s="305" t="s">
        <v>43</v>
      </c>
      <c r="D6349" s="575">
        <v>28.09</v>
      </c>
    </row>
    <row r="6350" spans="1:4" ht="13.5" x14ac:dyDescent="0.25">
      <c r="A6350" s="306">
        <v>90781</v>
      </c>
      <c r="B6350" s="305" t="s">
        <v>5424</v>
      </c>
      <c r="C6350" s="305" t="s">
        <v>43</v>
      </c>
      <c r="D6350" s="575">
        <v>33.67</v>
      </c>
    </row>
    <row r="6351" spans="1:4" ht="13.5" x14ac:dyDescent="0.25">
      <c r="A6351" s="306">
        <v>91677</v>
      </c>
      <c r="B6351" s="305" t="s">
        <v>5425</v>
      </c>
      <c r="C6351" s="305" t="s">
        <v>43</v>
      </c>
      <c r="D6351" s="575">
        <v>129.16999999999999</v>
      </c>
    </row>
    <row r="6352" spans="1:4" ht="13.5" x14ac:dyDescent="0.25">
      <c r="A6352" s="306">
        <v>91678</v>
      </c>
      <c r="B6352" s="305" t="s">
        <v>5426</v>
      </c>
      <c r="C6352" s="305" t="s">
        <v>43</v>
      </c>
      <c r="D6352" s="575">
        <v>123.75</v>
      </c>
    </row>
    <row r="6353" spans="1:4" ht="13.5" x14ac:dyDescent="0.25">
      <c r="A6353" s="306">
        <v>93558</v>
      </c>
      <c r="B6353" s="305" t="s">
        <v>5427</v>
      </c>
      <c r="C6353" s="305" t="s">
        <v>5428</v>
      </c>
      <c r="D6353" s="576">
        <v>3251.2</v>
      </c>
    </row>
    <row r="6354" spans="1:4" ht="13.5" x14ac:dyDescent="0.25">
      <c r="A6354" s="306">
        <v>93559</v>
      </c>
      <c r="B6354" s="305" t="s">
        <v>5409</v>
      </c>
      <c r="C6354" s="305" t="s">
        <v>5428</v>
      </c>
      <c r="D6354" s="576">
        <v>11674.02</v>
      </c>
    </row>
    <row r="6355" spans="1:4" ht="13.5" x14ac:dyDescent="0.25">
      <c r="A6355" s="306">
        <v>93560</v>
      </c>
      <c r="B6355" s="305" t="s">
        <v>5417</v>
      </c>
      <c r="C6355" s="305" t="s">
        <v>5428</v>
      </c>
      <c r="D6355" s="576">
        <v>8852.7999999999993</v>
      </c>
    </row>
    <row r="6356" spans="1:4" ht="13.5" x14ac:dyDescent="0.25">
      <c r="A6356" s="306">
        <v>93561</v>
      </c>
      <c r="B6356" s="305" t="s">
        <v>5418</v>
      </c>
      <c r="C6356" s="305" t="s">
        <v>5428</v>
      </c>
      <c r="D6356" s="576">
        <v>7400.87</v>
      </c>
    </row>
    <row r="6357" spans="1:4" ht="13.5" x14ac:dyDescent="0.25">
      <c r="A6357" s="306">
        <v>93562</v>
      </c>
      <c r="B6357" s="305" t="s">
        <v>5415</v>
      </c>
      <c r="C6357" s="305" t="s">
        <v>5428</v>
      </c>
      <c r="D6357" s="576">
        <v>10324.469999999999</v>
      </c>
    </row>
    <row r="6358" spans="1:4" ht="13.5" x14ac:dyDescent="0.25">
      <c r="A6358" s="306">
        <v>93563</v>
      </c>
      <c r="B6358" s="305" t="s">
        <v>5410</v>
      </c>
      <c r="C6358" s="305" t="s">
        <v>5428</v>
      </c>
      <c r="D6358" s="576">
        <v>2840.23</v>
      </c>
    </row>
    <row r="6359" spans="1:4" ht="13.5" x14ac:dyDescent="0.25">
      <c r="A6359" s="306">
        <v>93564</v>
      </c>
      <c r="B6359" s="305" t="s">
        <v>5411</v>
      </c>
      <c r="C6359" s="305" t="s">
        <v>5428</v>
      </c>
      <c r="D6359" s="576">
        <v>2536.86</v>
      </c>
    </row>
    <row r="6360" spans="1:4" ht="13.5" x14ac:dyDescent="0.25">
      <c r="A6360" s="306">
        <v>93565</v>
      </c>
      <c r="B6360" s="305" t="s">
        <v>5420</v>
      </c>
      <c r="C6360" s="305" t="s">
        <v>5428</v>
      </c>
      <c r="D6360" s="576">
        <v>15402.7</v>
      </c>
    </row>
    <row r="6361" spans="1:4" ht="13.5" x14ac:dyDescent="0.25">
      <c r="A6361" s="306">
        <v>93566</v>
      </c>
      <c r="B6361" s="305" t="s">
        <v>5416</v>
      </c>
      <c r="C6361" s="305" t="s">
        <v>5428</v>
      </c>
      <c r="D6361" s="576">
        <v>2699.88</v>
      </c>
    </row>
    <row r="6362" spans="1:4" ht="13.5" x14ac:dyDescent="0.25">
      <c r="A6362" s="306">
        <v>93567</v>
      </c>
      <c r="B6362" s="305" t="s">
        <v>5421</v>
      </c>
      <c r="C6362" s="305" t="s">
        <v>5428</v>
      </c>
      <c r="D6362" s="576">
        <v>17505.36</v>
      </c>
    </row>
    <row r="6363" spans="1:4" ht="13.5" x14ac:dyDescent="0.25">
      <c r="A6363" s="306">
        <v>93568</v>
      </c>
      <c r="B6363" s="305" t="s">
        <v>5422</v>
      </c>
      <c r="C6363" s="305" t="s">
        <v>5428</v>
      </c>
      <c r="D6363" s="576">
        <v>23860.1</v>
      </c>
    </row>
    <row r="6364" spans="1:4" ht="13.5" x14ac:dyDescent="0.25">
      <c r="A6364" s="306">
        <v>93569</v>
      </c>
      <c r="B6364" s="305" t="s">
        <v>5429</v>
      </c>
      <c r="C6364" s="305" t="s">
        <v>5428</v>
      </c>
      <c r="D6364" s="576">
        <v>11365.1</v>
      </c>
    </row>
    <row r="6365" spans="1:4" ht="13.5" x14ac:dyDescent="0.25">
      <c r="A6365" s="306">
        <v>93570</v>
      </c>
      <c r="B6365" s="305" t="s">
        <v>5430</v>
      </c>
      <c r="C6365" s="305" t="s">
        <v>5428</v>
      </c>
      <c r="D6365" s="576">
        <v>16063.86</v>
      </c>
    </row>
    <row r="6366" spans="1:4" ht="13.5" x14ac:dyDescent="0.25">
      <c r="A6366" s="306">
        <v>93571</v>
      </c>
      <c r="B6366" s="305" t="s">
        <v>5431</v>
      </c>
      <c r="C6366" s="305" t="s">
        <v>5428</v>
      </c>
      <c r="D6366" s="576">
        <v>21177.07</v>
      </c>
    </row>
    <row r="6367" spans="1:4" ht="13.5" x14ac:dyDescent="0.25">
      <c r="A6367" s="306">
        <v>93572</v>
      </c>
      <c r="B6367" s="305" t="s">
        <v>5432</v>
      </c>
      <c r="C6367" s="305" t="s">
        <v>5428</v>
      </c>
      <c r="D6367" s="576">
        <v>3334.13</v>
      </c>
    </row>
    <row r="6368" spans="1:4" ht="13.5" x14ac:dyDescent="0.25">
      <c r="A6368" s="306">
        <v>94295</v>
      </c>
      <c r="B6368" s="305" t="s">
        <v>5423</v>
      </c>
      <c r="C6368" s="305" t="s">
        <v>5428</v>
      </c>
      <c r="D6368" s="576">
        <v>4919.18</v>
      </c>
    </row>
    <row r="6369" spans="1:4" ht="13.5" x14ac:dyDescent="0.25">
      <c r="A6369" s="306">
        <v>94296</v>
      </c>
      <c r="B6369" s="305" t="s">
        <v>5424</v>
      </c>
      <c r="C6369" s="305" t="s">
        <v>5428</v>
      </c>
      <c r="D6369" s="576">
        <v>5895.72</v>
      </c>
    </row>
    <row r="6370" spans="1:4" ht="13.5" x14ac:dyDescent="0.25">
      <c r="A6370" s="306">
        <v>95308</v>
      </c>
      <c r="B6370" s="305" t="s">
        <v>5433</v>
      </c>
      <c r="C6370" s="305" t="s">
        <v>43</v>
      </c>
      <c r="D6370" s="575">
        <v>0.08</v>
      </c>
    </row>
    <row r="6371" spans="1:4" ht="13.5" x14ac:dyDescent="0.25">
      <c r="A6371" s="306">
        <v>95309</v>
      </c>
      <c r="B6371" s="305" t="s">
        <v>5434</v>
      </c>
      <c r="C6371" s="305" t="s">
        <v>43</v>
      </c>
      <c r="D6371" s="575">
        <v>0.12</v>
      </c>
    </row>
    <row r="6372" spans="1:4" ht="13.5" x14ac:dyDescent="0.25">
      <c r="A6372" s="306">
        <v>95310</v>
      </c>
      <c r="B6372" s="305" t="s">
        <v>5435</v>
      </c>
      <c r="C6372" s="305" t="s">
        <v>43</v>
      </c>
      <c r="D6372" s="575">
        <v>0.1</v>
      </c>
    </row>
    <row r="6373" spans="1:4" ht="13.5" x14ac:dyDescent="0.25">
      <c r="A6373" s="306">
        <v>95311</v>
      </c>
      <c r="B6373" s="305" t="s">
        <v>5436</v>
      </c>
      <c r="C6373" s="305" t="s">
        <v>43</v>
      </c>
      <c r="D6373" s="575">
        <v>0.08</v>
      </c>
    </row>
    <row r="6374" spans="1:4" ht="13.5" x14ac:dyDescent="0.25">
      <c r="A6374" s="306">
        <v>95312</v>
      </c>
      <c r="B6374" s="305" t="s">
        <v>5437</v>
      </c>
      <c r="C6374" s="305" t="s">
        <v>43</v>
      </c>
      <c r="D6374" s="575">
        <v>0.12</v>
      </c>
    </row>
    <row r="6375" spans="1:4" ht="13.5" x14ac:dyDescent="0.25">
      <c r="A6375" s="306">
        <v>95313</v>
      </c>
      <c r="B6375" s="305" t="s">
        <v>5438</v>
      </c>
      <c r="C6375" s="305" t="s">
        <v>43</v>
      </c>
      <c r="D6375" s="575">
        <v>0.12</v>
      </c>
    </row>
    <row r="6376" spans="1:4" ht="13.5" x14ac:dyDescent="0.25">
      <c r="A6376" s="306">
        <v>95314</v>
      </c>
      <c r="B6376" s="305" t="s">
        <v>5439</v>
      </c>
      <c r="C6376" s="305" t="s">
        <v>43</v>
      </c>
      <c r="D6376" s="575">
        <v>0.14000000000000001</v>
      </c>
    </row>
    <row r="6377" spans="1:4" ht="13.5" x14ac:dyDescent="0.25">
      <c r="A6377" s="306">
        <v>95315</v>
      </c>
      <c r="B6377" s="305" t="s">
        <v>5440</v>
      </c>
      <c r="C6377" s="305" t="s">
        <v>43</v>
      </c>
      <c r="D6377" s="575">
        <v>0.18</v>
      </c>
    </row>
    <row r="6378" spans="1:4" ht="13.5" x14ac:dyDescent="0.25">
      <c r="A6378" s="306">
        <v>95316</v>
      </c>
      <c r="B6378" s="305" t="s">
        <v>5441</v>
      </c>
      <c r="C6378" s="305" t="s">
        <v>43</v>
      </c>
      <c r="D6378" s="575">
        <v>0.28000000000000003</v>
      </c>
    </row>
    <row r="6379" spans="1:4" ht="13.5" x14ac:dyDescent="0.25">
      <c r="A6379" s="306">
        <v>95317</v>
      </c>
      <c r="B6379" s="305" t="s">
        <v>5442</v>
      </c>
      <c r="C6379" s="305" t="s">
        <v>43</v>
      </c>
      <c r="D6379" s="575">
        <v>0.13</v>
      </c>
    </row>
    <row r="6380" spans="1:4" ht="13.5" x14ac:dyDescent="0.25">
      <c r="A6380" s="306">
        <v>95318</v>
      </c>
      <c r="B6380" s="305" t="s">
        <v>5443</v>
      </c>
      <c r="C6380" s="305" t="s">
        <v>43</v>
      </c>
      <c r="D6380" s="575">
        <v>0.08</v>
      </c>
    </row>
    <row r="6381" spans="1:4" ht="13.5" x14ac:dyDescent="0.25">
      <c r="A6381" s="306">
        <v>95319</v>
      </c>
      <c r="B6381" s="305" t="s">
        <v>5444</v>
      </c>
      <c r="C6381" s="305" t="s">
        <v>43</v>
      </c>
      <c r="D6381" s="575">
        <v>0.08</v>
      </c>
    </row>
    <row r="6382" spans="1:4" ht="13.5" x14ac:dyDescent="0.25">
      <c r="A6382" s="306">
        <v>95320</v>
      </c>
      <c r="B6382" s="305" t="s">
        <v>5445</v>
      </c>
      <c r="C6382" s="305" t="s">
        <v>43</v>
      </c>
      <c r="D6382" s="575">
        <v>0.09</v>
      </c>
    </row>
    <row r="6383" spans="1:4" ht="13.5" x14ac:dyDescent="0.25">
      <c r="A6383" s="306">
        <v>95321</v>
      </c>
      <c r="B6383" s="305" t="s">
        <v>5446</v>
      </c>
      <c r="C6383" s="305" t="s">
        <v>43</v>
      </c>
      <c r="D6383" s="575">
        <v>0.1</v>
      </c>
    </row>
    <row r="6384" spans="1:4" ht="13.5" x14ac:dyDescent="0.25">
      <c r="A6384" s="306">
        <v>95322</v>
      </c>
      <c r="B6384" s="305" t="s">
        <v>5447</v>
      </c>
      <c r="C6384" s="305" t="s">
        <v>43</v>
      </c>
      <c r="D6384" s="575">
        <v>7.0000000000000007E-2</v>
      </c>
    </row>
    <row r="6385" spans="1:4" ht="13.5" x14ac:dyDescent="0.25">
      <c r="A6385" s="306">
        <v>95323</v>
      </c>
      <c r="B6385" s="305" t="s">
        <v>5448</v>
      </c>
      <c r="C6385" s="305" t="s">
        <v>43</v>
      </c>
      <c r="D6385" s="575">
        <v>0.2</v>
      </c>
    </row>
    <row r="6386" spans="1:4" ht="13.5" x14ac:dyDescent="0.25">
      <c r="A6386" s="306">
        <v>95324</v>
      </c>
      <c r="B6386" s="305" t="s">
        <v>5449</v>
      </c>
      <c r="C6386" s="305" t="s">
        <v>43</v>
      </c>
      <c r="D6386" s="575">
        <v>0.17</v>
      </c>
    </row>
    <row r="6387" spans="1:4" ht="13.5" x14ac:dyDescent="0.25">
      <c r="A6387" s="306">
        <v>95325</v>
      </c>
      <c r="B6387" s="305" t="s">
        <v>5450</v>
      </c>
      <c r="C6387" s="305" t="s">
        <v>43</v>
      </c>
      <c r="D6387" s="575">
        <v>0.19</v>
      </c>
    </row>
    <row r="6388" spans="1:4" ht="13.5" x14ac:dyDescent="0.25">
      <c r="A6388" s="306">
        <v>95326</v>
      </c>
      <c r="B6388" s="305" t="s">
        <v>5451</v>
      </c>
      <c r="C6388" s="305" t="s">
        <v>43</v>
      </c>
      <c r="D6388" s="575">
        <v>0.04</v>
      </c>
    </row>
    <row r="6389" spans="1:4" ht="13.5" x14ac:dyDescent="0.25">
      <c r="A6389" s="306">
        <v>95327</v>
      </c>
      <c r="B6389" s="305" t="s">
        <v>5452</v>
      </c>
      <c r="C6389" s="305" t="s">
        <v>43</v>
      </c>
      <c r="D6389" s="575">
        <v>0.19</v>
      </c>
    </row>
    <row r="6390" spans="1:4" ht="13.5" x14ac:dyDescent="0.25">
      <c r="A6390" s="306">
        <v>95328</v>
      </c>
      <c r="B6390" s="305" t="s">
        <v>5453</v>
      </c>
      <c r="C6390" s="305" t="s">
        <v>43</v>
      </c>
      <c r="D6390" s="575">
        <v>0.12</v>
      </c>
    </row>
    <row r="6391" spans="1:4" ht="13.5" x14ac:dyDescent="0.25">
      <c r="A6391" s="306">
        <v>95329</v>
      </c>
      <c r="B6391" s="305" t="s">
        <v>5454</v>
      </c>
      <c r="C6391" s="305" t="s">
        <v>43</v>
      </c>
      <c r="D6391" s="575">
        <v>0.15</v>
      </c>
    </row>
    <row r="6392" spans="1:4" ht="13.5" x14ac:dyDescent="0.25">
      <c r="A6392" s="306">
        <v>95330</v>
      </c>
      <c r="B6392" s="305" t="s">
        <v>5455</v>
      </c>
      <c r="C6392" s="305" t="s">
        <v>43</v>
      </c>
      <c r="D6392" s="575">
        <v>0.11</v>
      </c>
    </row>
    <row r="6393" spans="1:4" ht="13.5" x14ac:dyDescent="0.25">
      <c r="A6393" s="306">
        <v>95331</v>
      </c>
      <c r="B6393" s="305" t="s">
        <v>5456</v>
      </c>
      <c r="C6393" s="305" t="s">
        <v>43</v>
      </c>
      <c r="D6393" s="575">
        <v>0.1</v>
      </c>
    </row>
    <row r="6394" spans="1:4" ht="13.5" x14ac:dyDescent="0.25">
      <c r="A6394" s="306">
        <v>95332</v>
      </c>
      <c r="B6394" s="305" t="s">
        <v>5457</v>
      </c>
      <c r="C6394" s="305" t="s">
        <v>43</v>
      </c>
      <c r="D6394" s="575">
        <v>0.4</v>
      </c>
    </row>
    <row r="6395" spans="1:4" ht="13.5" x14ac:dyDescent="0.25">
      <c r="A6395" s="306">
        <v>95333</v>
      </c>
      <c r="B6395" s="305" t="s">
        <v>5458</v>
      </c>
      <c r="C6395" s="305" t="s">
        <v>43</v>
      </c>
      <c r="D6395" s="575">
        <v>0.73</v>
      </c>
    </row>
    <row r="6396" spans="1:4" ht="13.5" x14ac:dyDescent="0.25">
      <c r="A6396" s="306">
        <v>95334</v>
      </c>
      <c r="B6396" s="305" t="s">
        <v>5459</v>
      </c>
      <c r="C6396" s="305" t="s">
        <v>43</v>
      </c>
      <c r="D6396" s="575">
        <v>0.42</v>
      </c>
    </row>
    <row r="6397" spans="1:4" ht="13.5" x14ac:dyDescent="0.25">
      <c r="A6397" s="306">
        <v>95335</v>
      </c>
      <c r="B6397" s="305" t="s">
        <v>5460</v>
      </c>
      <c r="C6397" s="305" t="s">
        <v>43</v>
      </c>
      <c r="D6397" s="575">
        <v>0.18</v>
      </c>
    </row>
    <row r="6398" spans="1:4" ht="13.5" x14ac:dyDescent="0.25">
      <c r="A6398" s="306">
        <v>95336</v>
      </c>
      <c r="B6398" s="305" t="s">
        <v>5461</v>
      </c>
      <c r="C6398" s="305" t="s">
        <v>43</v>
      </c>
      <c r="D6398" s="575">
        <v>0.12</v>
      </c>
    </row>
    <row r="6399" spans="1:4" ht="13.5" x14ac:dyDescent="0.25">
      <c r="A6399" s="306">
        <v>95337</v>
      </c>
      <c r="B6399" s="305" t="s">
        <v>5462</v>
      </c>
      <c r="C6399" s="305" t="s">
        <v>43</v>
      </c>
      <c r="D6399" s="575">
        <v>0.11</v>
      </c>
    </row>
    <row r="6400" spans="1:4" ht="13.5" x14ac:dyDescent="0.25">
      <c r="A6400" s="306">
        <v>95338</v>
      </c>
      <c r="B6400" s="305" t="s">
        <v>5463</v>
      </c>
      <c r="C6400" s="305" t="s">
        <v>43</v>
      </c>
      <c r="D6400" s="575">
        <v>0.22</v>
      </c>
    </row>
    <row r="6401" spans="1:4" ht="13.5" x14ac:dyDescent="0.25">
      <c r="A6401" s="306">
        <v>95339</v>
      </c>
      <c r="B6401" s="305" t="s">
        <v>5464</v>
      </c>
      <c r="C6401" s="305" t="s">
        <v>43</v>
      </c>
      <c r="D6401" s="575">
        <v>0.19</v>
      </c>
    </row>
    <row r="6402" spans="1:4" ht="13.5" x14ac:dyDescent="0.25">
      <c r="A6402" s="306">
        <v>95340</v>
      </c>
      <c r="B6402" s="305" t="s">
        <v>5465</v>
      </c>
      <c r="C6402" s="305" t="s">
        <v>43</v>
      </c>
      <c r="D6402" s="575">
        <v>0.15</v>
      </c>
    </row>
    <row r="6403" spans="1:4" ht="13.5" x14ac:dyDescent="0.25">
      <c r="A6403" s="306">
        <v>95341</v>
      </c>
      <c r="B6403" s="305" t="s">
        <v>5466</v>
      </c>
      <c r="C6403" s="305" t="s">
        <v>43</v>
      </c>
      <c r="D6403" s="575">
        <v>0.17</v>
      </c>
    </row>
    <row r="6404" spans="1:4" ht="13.5" x14ac:dyDescent="0.25">
      <c r="A6404" s="306">
        <v>95342</v>
      </c>
      <c r="B6404" s="305" t="s">
        <v>5467</v>
      </c>
      <c r="C6404" s="305" t="s">
        <v>43</v>
      </c>
      <c r="D6404" s="575">
        <v>0.11</v>
      </c>
    </row>
    <row r="6405" spans="1:4" ht="13.5" x14ac:dyDescent="0.25">
      <c r="A6405" s="306">
        <v>95343</v>
      </c>
      <c r="B6405" s="305" t="s">
        <v>5468</v>
      </c>
      <c r="C6405" s="305" t="s">
        <v>43</v>
      </c>
      <c r="D6405" s="575">
        <v>0.39</v>
      </c>
    </row>
    <row r="6406" spans="1:4" ht="13.5" x14ac:dyDescent="0.25">
      <c r="A6406" s="306">
        <v>95344</v>
      </c>
      <c r="B6406" s="305" t="s">
        <v>5469</v>
      </c>
      <c r="C6406" s="305" t="s">
        <v>43</v>
      </c>
      <c r="D6406" s="575">
        <v>0.12</v>
      </c>
    </row>
    <row r="6407" spans="1:4" ht="13.5" x14ac:dyDescent="0.25">
      <c r="A6407" s="306">
        <v>95345</v>
      </c>
      <c r="B6407" s="305" t="s">
        <v>5470</v>
      </c>
      <c r="C6407" s="305" t="s">
        <v>43</v>
      </c>
      <c r="D6407" s="575">
        <v>0.6</v>
      </c>
    </row>
    <row r="6408" spans="1:4" ht="13.5" x14ac:dyDescent="0.25">
      <c r="A6408" s="306">
        <v>95346</v>
      </c>
      <c r="B6408" s="305" t="s">
        <v>5471</v>
      </c>
      <c r="C6408" s="305" t="s">
        <v>43</v>
      </c>
      <c r="D6408" s="575">
        <v>0.04</v>
      </c>
    </row>
    <row r="6409" spans="1:4" ht="13.5" x14ac:dyDescent="0.25">
      <c r="A6409" s="306">
        <v>95347</v>
      </c>
      <c r="B6409" s="305" t="s">
        <v>5472</v>
      </c>
      <c r="C6409" s="305" t="s">
        <v>43</v>
      </c>
      <c r="D6409" s="575">
        <v>0.04</v>
      </c>
    </row>
    <row r="6410" spans="1:4" ht="13.5" x14ac:dyDescent="0.25">
      <c r="A6410" s="306">
        <v>95348</v>
      </c>
      <c r="B6410" s="305" t="s">
        <v>5473</v>
      </c>
      <c r="C6410" s="305" t="s">
        <v>43</v>
      </c>
      <c r="D6410" s="575">
        <v>0.06</v>
      </c>
    </row>
    <row r="6411" spans="1:4" ht="13.5" x14ac:dyDescent="0.25">
      <c r="A6411" s="306">
        <v>95349</v>
      </c>
      <c r="B6411" s="305" t="s">
        <v>5474</v>
      </c>
      <c r="C6411" s="305" t="s">
        <v>43</v>
      </c>
      <c r="D6411" s="575">
        <v>0.05</v>
      </c>
    </row>
    <row r="6412" spans="1:4" ht="13.5" x14ac:dyDescent="0.25">
      <c r="A6412" s="306">
        <v>95350</v>
      </c>
      <c r="B6412" s="305" t="s">
        <v>5475</v>
      </c>
      <c r="C6412" s="305" t="s">
        <v>43</v>
      </c>
      <c r="D6412" s="575">
        <v>0.06</v>
      </c>
    </row>
    <row r="6413" spans="1:4" ht="13.5" x14ac:dyDescent="0.25">
      <c r="A6413" s="306">
        <v>95351</v>
      </c>
      <c r="B6413" s="305" t="s">
        <v>5476</v>
      </c>
      <c r="C6413" s="305" t="s">
        <v>43</v>
      </c>
      <c r="D6413" s="575">
        <v>0.2</v>
      </c>
    </row>
    <row r="6414" spans="1:4" ht="13.5" x14ac:dyDescent="0.25">
      <c r="A6414" s="306">
        <v>95352</v>
      </c>
      <c r="B6414" s="305" t="s">
        <v>5477</v>
      </c>
      <c r="C6414" s="305" t="s">
        <v>43</v>
      </c>
      <c r="D6414" s="575">
        <v>0.09</v>
      </c>
    </row>
    <row r="6415" spans="1:4" ht="13.5" x14ac:dyDescent="0.25">
      <c r="A6415" s="306">
        <v>95354</v>
      </c>
      <c r="B6415" s="305" t="s">
        <v>5478</v>
      </c>
      <c r="C6415" s="305" t="s">
        <v>43</v>
      </c>
      <c r="D6415" s="575">
        <v>7.0000000000000007E-2</v>
      </c>
    </row>
    <row r="6416" spans="1:4" ht="13.5" x14ac:dyDescent="0.25">
      <c r="A6416" s="306">
        <v>95355</v>
      </c>
      <c r="B6416" s="305" t="s">
        <v>5479</v>
      </c>
      <c r="C6416" s="305" t="s">
        <v>43</v>
      </c>
      <c r="D6416" s="575">
        <v>0.09</v>
      </c>
    </row>
    <row r="6417" spans="1:4" ht="13.5" x14ac:dyDescent="0.25">
      <c r="A6417" s="306">
        <v>95356</v>
      </c>
      <c r="B6417" s="305" t="s">
        <v>5480</v>
      </c>
      <c r="C6417" s="305" t="s">
        <v>43</v>
      </c>
      <c r="D6417" s="575">
        <v>0.09</v>
      </c>
    </row>
    <row r="6418" spans="1:4" ht="13.5" x14ac:dyDescent="0.25">
      <c r="A6418" s="306">
        <v>95357</v>
      </c>
      <c r="B6418" s="305" t="s">
        <v>5481</v>
      </c>
      <c r="C6418" s="305" t="s">
        <v>43</v>
      </c>
      <c r="D6418" s="575">
        <v>0.13</v>
      </c>
    </row>
    <row r="6419" spans="1:4" ht="13.5" x14ac:dyDescent="0.25">
      <c r="A6419" s="306">
        <v>95358</v>
      </c>
      <c r="B6419" s="305" t="s">
        <v>5482</v>
      </c>
      <c r="C6419" s="305" t="s">
        <v>43</v>
      </c>
      <c r="D6419" s="575">
        <v>0.16</v>
      </c>
    </row>
    <row r="6420" spans="1:4" ht="13.5" x14ac:dyDescent="0.25">
      <c r="A6420" s="306">
        <v>95359</v>
      </c>
      <c r="B6420" s="305" t="s">
        <v>5483</v>
      </c>
      <c r="C6420" s="305" t="s">
        <v>43</v>
      </c>
      <c r="D6420" s="575">
        <v>0.21</v>
      </c>
    </row>
    <row r="6421" spans="1:4" ht="13.5" x14ac:dyDescent="0.25">
      <c r="A6421" s="306">
        <v>95360</v>
      </c>
      <c r="B6421" s="305" t="s">
        <v>5484</v>
      </c>
      <c r="C6421" s="305" t="s">
        <v>43</v>
      </c>
      <c r="D6421" s="575">
        <v>0.14000000000000001</v>
      </c>
    </row>
    <row r="6422" spans="1:4" ht="13.5" x14ac:dyDescent="0.25">
      <c r="A6422" s="306">
        <v>95361</v>
      </c>
      <c r="B6422" s="305" t="s">
        <v>5485</v>
      </c>
      <c r="C6422" s="305" t="s">
        <v>43</v>
      </c>
      <c r="D6422" s="575">
        <v>0.08</v>
      </c>
    </row>
    <row r="6423" spans="1:4" ht="13.5" x14ac:dyDescent="0.25">
      <c r="A6423" s="306">
        <v>95362</v>
      </c>
      <c r="B6423" s="305" t="s">
        <v>5486</v>
      </c>
      <c r="C6423" s="305" t="s">
        <v>43</v>
      </c>
      <c r="D6423" s="575">
        <v>0.09</v>
      </c>
    </row>
    <row r="6424" spans="1:4" ht="13.5" x14ac:dyDescent="0.25">
      <c r="A6424" s="306">
        <v>95363</v>
      </c>
      <c r="B6424" s="305" t="s">
        <v>5487</v>
      </c>
      <c r="C6424" s="305" t="s">
        <v>43</v>
      </c>
      <c r="D6424" s="575">
        <v>0.11</v>
      </c>
    </row>
    <row r="6425" spans="1:4" ht="13.5" x14ac:dyDescent="0.25">
      <c r="A6425" s="306">
        <v>95364</v>
      </c>
      <c r="B6425" s="305" t="s">
        <v>5488</v>
      </c>
      <c r="C6425" s="305" t="s">
        <v>43</v>
      </c>
      <c r="D6425" s="575">
        <v>0.09</v>
      </c>
    </row>
    <row r="6426" spans="1:4" ht="13.5" x14ac:dyDescent="0.25">
      <c r="A6426" s="306">
        <v>95365</v>
      </c>
      <c r="B6426" s="305" t="s">
        <v>5489</v>
      </c>
      <c r="C6426" s="305" t="s">
        <v>43</v>
      </c>
      <c r="D6426" s="575">
        <v>0.09</v>
      </c>
    </row>
    <row r="6427" spans="1:4" ht="13.5" x14ac:dyDescent="0.25">
      <c r="A6427" s="306">
        <v>95366</v>
      </c>
      <c r="B6427" s="305" t="s">
        <v>5490</v>
      </c>
      <c r="C6427" s="305" t="s">
        <v>43</v>
      </c>
      <c r="D6427" s="575">
        <v>0.09</v>
      </c>
    </row>
    <row r="6428" spans="1:4" ht="13.5" x14ac:dyDescent="0.25">
      <c r="A6428" s="306">
        <v>95367</v>
      </c>
      <c r="B6428" s="305" t="s">
        <v>5491</v>
      </c>
      <c r="C6428" s="305" t="s">
        <v>43</v>
      </c>
      <c r="D6428" s="575">
        <v>0.08</v>
      </c>
    </row>
    <row r="6429" spans="1:4" ht="13.5" x14ac:dyDescent="0.25">
      <c r="A6429" s="306">
        <v>95368</v>
      </c>
      <c r="B6429" s="305" t="s">
        <v>5492</v>
      </c>
      <c r="C6429" s="305" t="s">
        <v>43</v>
      </c>
      <c r="D6429" s="575">
        <v>0.12</v>
      </c>
    </row>
    <row r="6430" spans="1:4" ht="13.5" x14ac:dyDescent="0.25">
      <c r="A6430" s="306">
        <v>95369</v>
      </c>
      <c r="B6430" s="305" t="s">
        <v>5493</v>
      </c>
      <c r="C6430" s="305" t="s">
        <v>43</v>
      </c>
      <c r="D6430" s="575">
        <v>0.1</v>
      </c>
    </row>
    <row r="6431" spans="1:4" ht="13.5" x14ac:dyDescent="0.25">
      <c r="A6431" s="306">
        <v>95370</v>
      </c>
      <c r="B6431" s="305" t="s">
        <v>5494</v>
      </c>
      <c r="C6431" s="305" t="s">
        <v>43</v>
      </c>
      <c r="D6431" s="575">
        <v>0.18</v>
      </c>
    </row>
    <row r="6432" spans="1:4" ht="13.5" x14ac:dyDescent="0.25">
      <c r="A6432" s="306">
        <v>95371</v>
      </c>
      <c r="B6432" s="305" t="s">
        <v>5495</v>
      </c>
      <c r="C6432" s="305" t="s">
        <v>43</v>
      </c>
      <c r="D6432" s="575">
        <v>0.22</v>
      </c>
    </row>
    <row r="6433" spans="1:4" ht="13.5" x14ac:dyDescent="0.25">
      <c r="A6433" s="306">
        <v>95372</v>
      </c>
      <c r="B6433" s="305" t="s">
        <v>5496</v>
      </c>
      <c r="C6433" s="305" t="s">
        <v>43</v>
      </c>
      <c r="D6433" s="575">
        <v>0.15</v>
      </c>
    </row>
    <row r="6434" spans="1:4" ht="13.5" x14ac:dyDescent="0.25">
      <c r="A6434" s="306">
        <v>95373</v>
      </c>
      <c r="B6434" s="305" t="s">
        <v>5497</v>
      </c>
      <c r="C6434" s="305" t="s">
        <v>43</v>
      </c>
      <c r="D6434" s="575">
        <v>0.18</v>
      </c>
    </row>
    <row r="6435" spans="1:4" ht="13.5" x14ac:dyDescent="0.25">
      <c r="A6435" s="306">
        <v>95374</v>
      </c>
      <c r="B6435" s="305" t="s">
        <v>5498</v>
      </c>
      <c r="C6435" s="305" t="s">
        <v>43</v>
      </c>
      <c r="D6435" s="575">
        <v>0.16</v>
      </c>
    </row>
    <row r="6436" spans="1:4" ht="13.5" x14ac:dyDescent="0.25">
      <c r="A6436" s="306">
        <v>95375</v>
      </c>
      <c r="B6436" s="305" t="s">
        <v>5499</v>
      </c>
      <c r="C6436" s="305" t="s">
        <v>43</v>
      </c>
      <c r="D6436" s="575">
        <v>0.23</v>
      </c>
    </row>
    <row r="6437" spans="1:4" ht="13.5" x14ac:dyDescent="0.25">
      <c r="A6437" s="306">
        <v>95376</v>
      </c>
      <c r="B6437" s="305" t="s">
        <v>5500</v>
      </c>
      <c r="C6437" s="305" t="s">
        <v>43</v>
      </c>
      <c r="D6437" s="575">
        <v>0.03</v>
      </c>
    </row>
    <row r="6438" spans="1:4" ht="13.5" x14ac:dyDescent="0.25">
      <c r="A6438" s="306">
        <v>95377</v>
      </c>
      <c r="B6438" s="305" t="s">
        <v>5501</v>
      </c>
      <c r="C6438" s="305" t="s">
        <v>43</v>
      </c>
      <c r="D6438" s="575">
        <v>0.12</v>
      </c>
    </row>
    <row r="6439" spans="1:4" ht="13.5" x14ac:dyDescent="0.25">
      <c r="A6439" s="306">
        <v>95378</v>
      </c>
      <c r="B6439" s="305" t="s">
        <v>5502</v>
      </c>
      <c r="C6439" s="305" t="s">
        <v>43</v>
      </c>
      <c r="D6439" s="575">
        <v>0.17</v>
      </c>
    </row>
    <row r="6440" spans="1:4" ht="13.5" x14ac:dyDescent="0.25">
      <c r="A6440" s="306">
        <v>95379</v>
      </c>
      <c r="B6440" s="305" t="s">
        <v>5503</v>
      </c>
      <c r="C6440" s="305" t="s">
        <v>43</v>
      </c>
      <c r="D6440" s="575">
        <v>0.12</v>
      </c>
    </row>
    <row r="6441" spans="1:4" ht="13.5" x14ac:dyDescent="0.25">
      <c r="A6441" s="306">
        <v>95380</v>
      </c>
      <c r="B6441" s="305" t="s">
        <v>5504</v>
      </c>
      <c r="C6441" s="305" t="s">
        <v>43</v>
      </c>
      <c r="D6441" s="575">
        <v>0.14000000000000001</v>
      </c>
    </row>
    <row r="6442" spans="1:4" ht="13.5" x14ac:dyDescent="0.25">
      <c r="A6442" s="306">
        <v>95382</v>
      </c>
      <c r="B6442" s="305" t="s">
        <v>5505</v>
      </c>
      <c r="C6442" s="305" t="s">
        <v>43</v>
      </c>
      <c r="D6442" s="575">
        <v>0.14000000000000001</v>
      </c>
    </row>
    <row r="6443" spans="1:4" ht="13.5" x14ac:dyDescent="0.25">
      <c r="A6443" s="306">
        <v>95383</v>
      </c>
      <c r="B6443" s="305" t="s">
        <v>5506</v>
      </c>
      <c r="C6443" s="305" t="s">
        <v>43</v>
      </c>
      <c r="D6443" s="575">
        <v>0.13</v>
      </c>
    </row>
    <row r="6444" spans="1:4" ht="13.5" x14ac:dyDescent="0.25">
      <c r="A6444" s="306">
        <v>95384</v>
      </c>
      <c r="B6444" s="305" t="s">
        <v>5507</v>
      </c>
      <c r="C6444" s="305" t="s">
        <v>43</v>
      </c>
      <c r="D6444" s="575">
        <v>0.15</v>
      </c>
    </row>
    <row r="6445" spans="1:4" ht="13.5" x14ac:dyDescent="0.25">
      <c r="A6445" s="306">
        <v>95385</v>
      </c>
      <c r="B6445" s="305" t="s">
        <v>5508</v>
      </c>
      <c r="C6445" s="305" t="s">
        <v>43</v>
      </c>
      <c r="D6445" s="575">
        <v>0.11</v>
      </c>
    </row>
    <row r="6446" spans="1:4" ht="13.5" x14ac:dyDescent="0.25">
      <c r="A6446" s="306">
        <v>95386</v>
      </c>
      <c r="B6446" s="305" t="s">
        <v>5509</v>
      </c>
      <c r="C6446" s="305" t="s">
        <v>43</v>
      </c>
      <c r="D6446" s="575">
        <v>0.13</v>
      </c>
    </row>
    <row r="6447" spans="1:4" ht="13.5" x14ac:dyDescent="0.25">
      <c r="A6447" s="306">
        <v>95387</v>
      </c>
      <c r="B6447" s="305" t="s">
        <v>5510</v>
      </c>
      <c r="C6447" s="305" t="s">
        <v>43</v>
      </c>
      <c r="D6447" s="575">
        <v>0.15</v>
      </c>
    </row>
    <row r="6448" spans="1:4" ht="13.5" x14ac:dyDescent="0.25">
      <c r="A6448" s="306">
        <v>95388</v>
      </c>
      <c r="B6448" s="305" t="s">
        <v>5511</v>
      </c>
      <c r="C6448" s="305" t="s">
        <v>43</v>
      </c>
      <c r="D6448" s="575">
        <v>0.06</v>
      </c>
    </row>
    <row r="6449" spans="1:4" ht="13.5" x14ac:dyDescent="0.25">
      <c r="A6449" s="306">
        <v>95389</v>
      </c>
      <c r="B6449" s="305" t="s">
        <v>5512</v>
      </c>
      <c r="C6449" s="305" t="s">
        <v>43</v>
      </c>
      <c r="D6449" s="575">
        <v>7.0000000000000007E-2</v>
      </c>
    </row>
    <row r="6450" spans="1:4" ht="13.5" x14ac:dyDescent="0.25">
      <c r="A6450" s="306">
        <v>95390</v>
      </c>
      <c r="B6450" s="305" t="s">
        <v>5513</v>
      </c>
      <c r="C6450" s="305" t="s">
        <v>43</v>
      </c>
      <c r="D6450" s="575">
        <v>0.05</v>
      </c>
    </row>
    <row r="6451" spans="1:4" ht="13.5" x14ac:dyDescent="0.25">
      <c r="A6451" s="306">
        <v>95391</v>
      </c>
      <c r="B6451" s="305" t="s">
        <v>5514</v>
      </c>
      <c r="C6451" s="305" t="s">
        <v>43</v>
      </c>
      <c r="D6451" s="575">
        <v>0.22</v>
      </c>
    </row>
    <row r="6452" spans="1:4" ht="13.5" x14ac:dyDescent="0.25">
      <c r="A6452" s="306">
        <v>95392</v>
      </c>
      <c r="B6452" s="305" t="s">
        <v>5515</v>
      </c>
      <c r="C6452" s="305" t="s">
        <v>43</v>
      </c>
      <c r="D6452" s="575">
        <v>0.05</v>
      </c>
    </row>
    <row r="6453" spans="1:4" ht="13.5" x14ac:dyDescent="0.25">
      <c r="A6453" s="306">
        <v>95393</v>
      </c>
      <c r="B6453" s="305" t="s">
        <v>5516</v>
      </c>
      <c r="C6453" s="305" t="s">
        <v>43</v>
      </c>
      <c r="D6453" s="575">
        <v>0.19</v>
      </c>
    </row>
    <row r="6454" spans="1:4" ht="13.5" x14ac:dyDescent="0.25">
      <c r="A6454" s="306">
        <v>95394</v>
      </c>
      <c r="B6454" s="305" t="s">
        <v>5517</v>
      </c>
      <c r="C6454" s="305" t="s">
        <v>43</v>
      </c>
      <c r="D6454" s="575">
        <v>0.36</v>
      </c>
    </row>
    <row r="6455" spans="1:4" ht="13.5" x14ac:dyDescent="0.25">
      <c r="A6455" s="306">
        <v>95395</v>
      </c>
      <c r="B6455" s="305" t="s">
        <v>5518</v>
      </c>
      <c r="C6455" s="305" t="s">
        <v>43</v>
      </c>
      <c r="D6455" s="575">
        <v>0.51</v>
      </c>
    </row>
    <row r="6456" spans="1:4" ht="13.5" x14ac:dyDescent="0.25">
      <c r="A6456" s="306">
        <v>95396</v>
      </c>
      <c r="B6456" s="305" t="s">
        <v>5519</v>
      </c>
      <c r="C6456" s="305" t="s">
        <v>43</v>
      </c>
      <c r="D6456" s="575">
        <v>0.68</v>
      </c>
    </row>
    <row r="6457" spans="1:4" ht="13.5" x14ac:dyDescent="0.25">
      <c r="A6457" s="306">
        <v>95397</v>
      </c>
      <c r="B6457" s="305" t="s">
        <v>5520</v>
      </c>
      <c r="C6457" s="305" t="s">
        <v>43</v>
      </c>
      <c r="D6457" s="575">
        <v>0.2</v>
      </c>
    </row>
    <row r="6458" spans="1:4" ht="13.5" x14ac:dyDescent="0.25">
      <c r="A6458" s="306">
        <v>95398</v>
      </c>
      <c r="B6458" s="305" t="s">
        <v>5521</v>
      </c>
      <c r="C6458" s="305" t="s">
        <v>43</v>
      </c>
      <c r="D6458" s="575">
        <v>0.04</v>
      </c>
    </row>
    <row r="6459" spans="1:4" ht="13.5" x14ac:dyDescent="0.25">
      <c r="A6459" s="306">
        <v>95399</v>
      </c>
      <c r="B6459" s="305" t="s">
        <v>5522</v>
      </c>
      <c r="C6459" s="305" t="s">
        <v>43</v>
      </c>
      <c r="D6459" s="575">
        <v>0.17</v>
      </c>
    </row>
    <row r="6460" spans="1:4" ht="13.5" x14ac:dyDescent="0.25">
      <c r="A6460" s="306">
        <v>95400</v>
      </c>
      <c r="B6460" s="305" t="s">
        <v>5523</v>
      </c>
      <c r="C6460" s="305" t="s">
        <v>43</v>
      </c>
      <c r="D6460" s="575">
        <v>0.14000000000000001</v>
      </c>
    </row>
    <row r="6461" spans="1:4" ht="13.5" x14ac:dyDescent="0.25">
      <c r="A6461" s="306">
        <v>95401</v>
      </c>
      <c r="B6461" s="305" t="s">
        <v>5524</v>
      </c>
      <c r="C6461" s="305" t="s">
        <v>43</v>
      </c>
      <c r="D6461" s="575">
        <v>0.25</v>
      </c>
    </row>
    <row r="6462" spans="1:4" ht="13.5" x14ac:dyDescent="0.25">
      <c r="A6462" s="306">
        <v>95402</v>
      </c>
      <c r="B6462" s="305" t="s">
        <v>5525</v>
      </c>
      <c r="C6462" s="305" t="s">
        <v>43</v>
      </c>
      <c r="D6462" s="575">
        <v>0.88</v>
      </c>
    </row>
    <row r="6463" spans="1:4" ht="13.5" x14ac:dyDescent="0.25">
      <c r="A6463" s="306">
        <v>95403</v>
      </c>
      <c r="B6463" s="305" t="s">
        <v>5526</v>
      </c>
      <c r="C6463" s="305" t="s">
        <v>43</v>
      </c>
      <c r="D6463" s="575">
        <v>1</v>
      </c>
    </row>
    <row r="6464" spans="1:4" ht="13.5" x14ac:dyDescent="0.25">
      <c r="A6464" s="306">
        <v>95404</v>
      </c>
      <c r="B6464" s="305" t="s">
        <v>5527</v>
      </c>
      <c r="C6464" s="305" t="s">
        <v>43</v>
      </c>
      <c r="D6464" s="575">
        <v>1.37</v>
      </c>
    </row>
    <row r="6465" spans="1:4" ht="13.5" x14ac:dyDescent="0.25">
      <c r="A6465" s="306">
        <v>95405</v>
      </c>
      <c r="B6465" s="305" t="s">
        <v>5528</v>
      </c>
      <c r="C6465" s="305" t="s">
        <v>43</v>
      </c>
      <c r="D6465" s="575">
        <v>0.38</v>
      </c>
    </row>
    <row r="6466" spans="1:4" ht="13.5" x14ac:dyDescent="0.25">
      <c r="A6466" s="306">
        <v>95406</v>
      </c>
      <c r="B6466" s="305" t="s">
        <v>5529</v>
      </c>
      <c r="C6466" s="305" t="s">
        <v>43</v>
      </c>
      <c r="D6466" s="575">
        <v>0.18</v>
      </c>
    </row>
    <row r="6467" spans="1:4" ht="13.5" x14ac:dyDescent="0.25">
      <c r="A6467" s="306">
        <v>95407</v>
      </c>
      <c r="B6467" s="305" t="s">
        <v>5530</v>
      </c>
      <c r="C6467" s="305" t="s">
        <v>43</v>
      </c>
      <c r="D6467" s="575">
        <v>2.94</v>
      </c>
    </row>
    <row r="6468" spans="1:4" ht="13.5" x14ac:dyDescent="0.25">
      <c r="A6468" s="306">
        <v>95408</v>
      </c>
      <c r="B6468" s="305" t="s">
        <v>5531</v>
      </c>
      <c r="C6468" s="305" t="s">
        <v>5428</v>
      </c>
      <c r="D6468" s="575">
        <v>6.72</v>
      </c>
    </row>
    <row r="6469" spans="1:4" ht="13.5" x14ac:dyDescent="0.25">
      <c r="A6469" s="306">
        <v>95409</v>
      </c>
      <c r="B6469" s="305" t="s">
        <v>5532</v>
      </c>
      <c r="C6469" s="305" t="s">
        <v>5428</v>
      </c>
      <c r="D6469" s="575">
        <v>30.91</v>
      </c>
    </row>
    <row r="6470" spans="1:4" ht="13.5" x14ac:dyDescent="0.25">
      <c r="A6470" s="306">
        <v>95410</v>
      </c>
      <c r="B6470" s="305" t="s">
        <v>5533</v>
      </c>
      <c r="C6470" s="305" t="s">
        <v>5428</v>
      </c>
      <c r="D6470" s="575">
        <v>23.32</v>
      </c>
    </row>
    <row r="6471" spans="1:4" ht="13.5" x14ac:dyDescent="0.25">
      <c r="A6471" s="306">
        <v>95411</v>
      </c>
      <c r="B6471" s="305" t="s">
        <v>5534</v>
      </c>
      <c r="C6471" s="305" t="s">
        <v>5428</v>
      </c>
      <c r="D6471" s="575">
        <v>19.41</v>
      </c>
    </row>
    <row r="6472" spans="1:4" ht="13.5" x14ac:dyDescent="0.25">
      <c r="A6472" s="306">
        <v>95412</v>
      </c>
      <c r="B6472" s="305" t="s">
        <v>5535</v>
      </c>
      <c r="C6472" s="305" t="s">
        <v>5428</v>
      </c>
      <c r="D6472" s="575">
        <v>27.28</v>
      </c>
    </row>
    <row r="6473" spans="1:4" ht="13.5" x14ac:dyDescent="0.25">
      <c r="A6473" s="306">
        <v>95413</v>
      </c>
      <c r="B6473" s="305" t="s">
        <v>5536</v>
      </c>
      <c r="C6473" s="305" t="s">
        <v>5428</v>
      </c>
      <c r="D6473" s="575">
        <v>7.1</v>
      </c>
    </row>
    <row r="6474" spans="1:4" ht="13.5" x14ac:dyDescent="0.25">
      <c r="A6474" s="306">
        <v>95414</v>
      </c>
      <c r="B6474" s="305" t="s">
        <v>5537</v>
      </c>
      <c r="C6474" s="305" t="s">
        <v>5428</v>
      </c>
      <c r="D6474" s="575">
        <v>25.87</v>
      </c>
    </row>
    <row r="6475" spans="1:4" ht="13.5" x14ac:dyDescent="0.25">
      <c r="A6475" s="306">
        <v>95415</v>
      </c>
      <c r="B6475" s="305" t="s">
        <v>5538</v>
      </c>
      <c r="C6475" s="305" t="s">
        <v>5428</v>
      </c>
      <c r="D6475" s="575">
        <v>117.75</v>
      </c>
    </row>
    <row r="6476" spans="1:4" ht="13.5" x14ac:dyDescent="0.25">
      <c r="A6476" s="306">
        <v>95416</v>
      </c>
      <c r="B6476" s="305" t="s">
        <v>5539</v>
      </c>
      <c r="C6476" s="305" t="s">
        <v>5428</v>
      </c>
      <c r="D6476" s="575">
        <v>6.73</v>
      </c>
    </row>
    <row r="6477" spans="1:4" ht="13.5" x14ac:dyDescent="0.25">
      <c r="A6477" s="306">
        <v>95417</v>
      </c>
      <c r="B6477" s="305" t="s">
        <v>5540</v>
      </c>
      <c r="C6477" s="305" t="s">
        <v>5428</v>
      </c>
      <c r="D6477" s="575">
        <v>134.02000000000001</v>
      </c>
    </row>
    <row r="6478" spans="1:4" ht="13.5" x14ac:dyDescent="0.25">
      <c r="A6478" s="306">
        <v>95418</v>
      </c>
      <c r="B6478" s="305" t="s">
        <v>5541</v>
      </c>
      <c r="C6478" s="305" t="s">
        <v>5428</v>
      </c>
      <c r="D6478" s="575">
        <v>183.2</v>
      </c>
    </row>
    <row r="6479" spans="1:4" ht="13.5" x14ac:dyDescent="0.25">
      <c r="A6479" s="306">
        <v>95419</v>
      </c>
      <c r="B6479" s="305" t="s">
        <v>5542</v>
      </c>
      <c r="C6479" s="305" t="s">
        <v>5428</v>
      </c>
      <c r="D6479" s="575">
        <v>48.96</v>
      </c>
    </row>
    <row r="6480" spans="1:4" ht="13.5" x14ac:dyDescent="0.25">
      <c r="A6480" s="306">
        <v>95420</v>
      </c>
      <c r="B6480" s="305" t="s">
        <v>5543</v>
      </c>
      <c r="C6480" s="305" t="s">
        <v>5428</v>
      </c>
      <c r="D6480" s="575">
        <v>69.540000000000006</v>
      </c>
    </row>
    <row r="6481" spans="1:4" ht="13.5" x14ac:dyDescent="0.25">
      <c r="A6481" s="306">
        <v>95421</v>
      </c>
      <c r="B6481" s="305" t="s">
        <v>5544</v>
      </c>
      <c r="C6481" s="305" t="s">
        <v>5428</v>
      </c>
      <c r="D6481" s="575">
        <v>91.94</v>
      </c>
    </row>
    <row r="6482" spans="1:4" ht="13.5" x14ac:dyDescent="0.25">
      <c r="A6482" s="306">
        <v>95422</v>
      </c>
      <c r="B6482" s="305" t="s">
        <v>5545</v>
      </c>
      <c r="C6482" s="305" t="s">
        <v>5428</v>
      </c>
      <c r="D6482" s="575">
        <v>33.9</v>
      </c>
    </row>
    <row r="6483" spans="1:4" ht="13.5" x14ac:dyDescent="0.25">
      <c r="A6483" s="306">
        <v>95423</v>
      </c>
      <c r="B6483" s="305" t="s">
        <v>5546</v>
      </c>
      <c r="C6483" s="305" t="s">
        <v>5428</v>
      </c>
      <c r="D6483" s="575">
        <v>51.46</v>
      </c>
    </row>
    <row r="6484" spans="1:4" ht="13.5" x14ac:dyDescent="0.25">
      <c r="A6484" s="306">
        <v>95424</v>
      </c>
      <c r="B6484" s="305" t="s">
        <v>5547</v>
      </c>
      <c r="C6484" s="305" t="s">
        <v>5428</v>
      </c>
      <c r="D6484" s="575">
        <v>24.98</v>
      </c>
    </row>
    <row r="6485" spans="1:4" ht="13.5" x14ac:dyDescent="0.25">
      <c r="A6485" s="306">
        <v>100288</v>
      </c>
      <c r="B6485" s="305" t="s">
        <v>11635</v>
      </c>
      <c r="C6485" s="305" t="s">
        <v>43</v>
      </c>
      <c r="D6485" s="575">
        <v>0.04</v>
      </c>
    </row>
    <row r="6486" spans="1:4" ht="13.5" x14ac:dyDescent="0.25">
      <c r="A6486" s="306">
        <v>100289</v>
      </c>
      <c r="B6486" s="305" t="s">
        <v>11636</v>
      </c>
      <c r="C6486" s="305" t="s">
        <v>43</v>
      </c>
      <c r="D6486" s="575">
        <v>17.309999999999999</v>
      </c>
    </row>
    <row r="6487" spans="1:4" ht="13.5" x14ac:dyDescent="0.25">
      <c r="A6487" s="306">
        <v>100290</v>
      </c>
      <c r="B6487" s="305" t="s">
        <v>11637</v>
      </c>
      <c r="C6487" s="305" t="s">
        <v>43</v>
      </c>
      <c r="D6487" s="575">
        <v>0.04</v>
      </c>
    </row>
    <row r="6488" spans="1:4" ht="13.5" x14ac:dyDescent="0.25">
      <c r="A6488" s="306">
        <v>100291</v>
      </c>
      <c r="B6488" s="305" t="s">
        <v>11638</v>
      </c>
      <c r="C6488" s="305" t="s">
        <v>43</v>
      </c>
      <c r="D6488" s="575">
        <v>0.11</v>
      </c>
    </row>
    <row r="6489" spans="1:4" ht="13.5" x14ac:dyDescent="0.25">
      <c r="A6489" s="306">
        <v>100292</v>
      </c>
      <c r="B6489" s="305" t="s">
        <v>11639</v>
      </c>
      <c r="C6489" s="305" t="s">
        <v>43</v>
      </c>
      <c r="D6489" s="575">
        <v>0.44</v>
      </c>
    </row>
    <row r="6490" spans="1:4" ht="13.5" x14ac:dyDescent="0.25">
      <c r="A6490" s="306">
        <v>100293</v>
      </c>
      <c r="B6490" s="305" t="s">
        <v>11640</v>
      </c>
      <c r="C6490" s="305" t="s">
        <v>43</v>
      </c>
      <c r="D6490" s="575">
        <v>0.11</v>
      </c>
    </row>
    <row r="6491" spans="1:4" ht="13.5" x14ac:dyDescent="0.25">
      <c r="A6491" s="306">
        <v>100294</v>
      </c>
      <c r="B6491" s="305" t="s">
        <v>11641</v>
      </c>
      <c r="C6491" s="305" t="s">
        <v>43</v>
      </c>
      <c r="D6491" s="575">
        <v>0.31</v>
      </c>
    </row>
    <row r="6492" spans="1:4" ht="13.5" x14ac:dyDescent="0.25">
      <c r="A6492" s="306">
        <v>100295</v>
      </c>
      <c r="B6492" s="305" t="s">
        <v>11642</v>
      </c>
      <c r="C6492" s="305" t="s">
        <v>43</v>
      </c>
      <c r="D6492" s="575">
        <v>0.33</v>
      </c>
    </row>
    <row r="6493" spans="1:4" ht="13.5" x14ac:dyDescent="0.25">
      <c r="A6493" s="306">
        <v>100296</v>
      </c>
      <c r="B6493" s="305" t="s">
        <v>11643</v>
      </c>
      <c r="C6493" s="305" t="s">
        <v>43</v>
      </c>
      <c r="D6493" s="575">
        <v>0.69</v>
      </c>
    </row>
    <row r="6494" spans="1:4" ht="13.5" x14ac:dyDescent="0.25">
      <c r="A6494" s="306">
        <v>100297</v>
      </c>
      <c r="B6494" s="305" t="s">
        <v>11644</v>
      </c>
      <c r="C6494" s="305" t="s">
        <v>43</v>
      </c>
      <c r="D6494" s="575">
        <v>0.78</v>
      </c>
    </row>
    <row r="6495" spans="1:4" ht="13.5" x14ac:dyDescent="0.25">
      <c r="A6495" s="306">
        <v>100298</v>
      </c>
      <c r="B6495" s="305" t="s">
        <v>11645</v>
      </c>
      <c r="C6495" s="305" t="s">
        <v>43</v>
      </c>
      <c r="D6495" s="575">
        <v>0.24</v>
      </c>
    </row>
    <row r="6496" spans="1:4" ht="13.5" x14ac:dyDescent="0.25">
      <c r="A6496" s="306">
        <v>100299</v>
      </c>
      <c r="B6496" s="305" t="s">
        <v>11646</v>
      </c>
      <c r="C6496" s="305" t="s">
        <v>43</v>
      </c>
      <c r="D6496" s="575">
        <v>0.26</v>
      </c>
    </row>
    <row r="6497" spans="1:4" ht="13.5" x14ac:dyDescent="0.25">
      <c r="A6497" s="306">
        <v>100300</v>
      </c>
      <c r="B6497" s="305" t="s">
        <v>11647</v>
      </c>
      <c r="C6497" s="305" t="s">
        <v>43</v>
      </c>
      <c r="D6497" s="575">
        <v>12.64</v>
      </c>
    </row>
    <row r="6498" spans="1:4" ht="13.5" x14ac:dyDescent="0.25">
      <c r="A6498" s="306">
        <v>100301</v>
      </c>
      <c r="B6498" s="305" t="s">
        <v>11648</v>
      </c>
      <c r="C6498" s="305" t="s">
        <v>43</v>
      </c>
      <c r="D6498" s="575">
        <v>16.93</v>
      </c>
    </row>
    <row r="6499" spans="1:4" ht="13.5" x14ac:dyDescent="0.25">
      <c r="A6499" s="306">
        <v>100302</v>
      </c>
      <c r="B6499" s="305" t="s">
        <v>11649</v>
      </c>
      <c r="C6499" s="305" t="s">
        <v>43</v>
      </c>
      <c r="D6499" s="575">
        <v>128.03</v>
      </c>
    </row>
    <row r="6500" spans="1:4" ht="13.5" x14ac:dyDescent="0.25">
      <c r="A6500" s="306">
        <v>100303</v>
      </c>
      <c r="B6500" s="305" t="s">
        <v>11650</v>
      </c>
      <c r="C6500" s="305" t="s">
        <v>43</v>
      </c>
      <c r="D6500" s="575">
        <v>16.13</v>
      </c>
    </row>
    <row r="6501" spans="1:4" ht="13.5" x14ac:dyDescent="0.25">
      <c r="A6501" s="306">
        <v>100304</v>
      </c>
      <c r="B6501" s="305" t="s">
        <v>11651</v>
      </c>
      <c r="C6501" s="305" t="s">
        <v>43</v>
      </c>
      <c r="D6501" s="575">
        <v>91.45</v>
      </c>
    </row>
    <row r="6502" spans="1:4" ht="13.5" x14ac:dyDescent="0.25">
      <c r="A6502" s="306">
        <v>100305</v>
      </c>
      <c r="B6502" s="305" t="s">
        <v>11652</v>
      </c>
      <c r="C6502" s="305" t="s">
        <v>43</v>
      </c>
      <c r="D6502" s="575">
        <v>89.29</v>
      </c>
    </row>
    <row r="6503" spans="1:4" ht="13.5" x14ac:dyDescent="0.25">
      <c r="A6503" s="306">
        <v>100306</v>
      </c>
      <c r="B6503" s="305" t="s">
        <v>11653</v>
      </c>
      <c r="C6503" s="305" t="s">
        <v>43</v>
      </c>
      <c r="D6503" s="575">
        <v>100.61</v>
      </c>
    </row>
    <row r="6504" spans="1:4" ht="13.5" x14ac:dyDescent="0.25">
      <c r="A6504" s="306">
        <v>100307</v>
      </c>
      <c r="B6504" s="305" t="s">
        <v>11654</v>
      </c>
      <c r="C6504" s="305" t="s">
        <v>43</v>
      </c>
      <c r="D6504" s="575">
        <v>20.86</v>
      </c>
    </row>
    <row r="6505" spans="1:4" ht="13.5" x14ac:dyDescent="0.25">
      <c r="A6505" s="306">
        <v>100308</v>
      </c>
      <c r="B6505" s="305" t="s">
        <v>11655</v>
      </c>
      <c r="C6505" s="305" t="s">
        <v>43</v>
      </c>
      <c r="D6505" s="575">
        <v>15.61</v>
      </c>
    </row>
    <row r="6506" spans="1:4" ht="13.5" x14ac:dyDescent="0.25">
      <c r="A6506" s="306">
        <v>100309</v>
      </c>
      <c r="B6506" s="305" t="s">
        <v>11663</v>
      </c>
      <c r="C6506" s="305" t="s">
        <v>43</v>
      </c>
      <c r="D6506" s="575">
        <v>22.3</v>
      </c>
    </row>
    <row r="6507" spans="1:4" ht="13.5" x14ac:dyDescent="0.25">
      <c r="A6507" s="306">
        <v>100310</v>
      </c>
      <c r="B6507" s="305" t="s">
        <v>11656</v>
      </c>
      <c r="C6507" s="305" t="s">
        <v>5428</v>
      </c>
      <c r="D6507" s="575">
        <v>5.44</v>
      </c>
    </row>
    <row r="6508" spans="1:4" ht="13.5" x14ac:dyDescent="0.25">
      <c r="A6508" s="306">
        <v>100311</v>
      </c>
      <c r="B6508" s="305" t="s">
        <v>11657</v>
      </c>
      <c r="C6508" s="305" t="s">
        <v>5428</v>
      </c>
      <c r="D6508" s="575">
        <v>59.75</v>
      </c>
    </row>
    <row r="6509" spans="1:4" ht="13.5" x14ac:dyDescent="0.25">
      <c r="A6509" s="306">
        <v>100312</v>
      </c>
      <c r="B6509" s="305" t="s">
        <v>11658</v>
      </c>
      <c r="C6509" s="305" t="s">
        <v>5428</v>
      </c>
      <c r="D6509" s="575">
        <v>42.55</v>
      </c>
    </row>
    <row r="6510" spans="1:4" ht="13.5" x14ac:dyDescent="0.25">
      <c r="A6510" s="306">
        <v>100313</v>
      </c>
      <c r="B6510" s="305" t="s">
        <v>11659</v>
      </c>
      <c r="C6510" s="305" t="s">
        <v>5428</v>
      </c>
      <c r="D6510" s="575">
        <v>93.43</v>
      </c>
    </row>
    <row r="6511" spans="1:4" ht="13.5" x14ac:dyDescent="0.25">
      <c r="A6511" s="306">
        <v>100314</v>
      </c>
      <c r="B6511" s="305" t="s">
        <v>11660</v>
      </c>
      <c r="C6511" s="305" t="s">
        <v>5428</v>
      </c>
      <c r="D6511" s="575">
        <v>105.4</v>
      </c>
    </row>
    <row r="6512" spans="1:4" ht="13.5" x14ac:dyDescent="0.25">
      <c r="A6512" s="306">
        <v>100315</v>
      </c>
      <c r="B6512" s="305" t="s">
        <v>11661</v>
      </c>
      <c r="C6512" s="305" t="s">
        <v>5428</v>
      </c>
      <c r="D6512" s="575">
        <v>34.840000000000003</v>
      </c>
    </row>
    <row r="6513" spans="1:4" ht="13.5" x14ac:dyDescent="0.25">
      <c r="A6513" s="306">
        <v>100316</v>
      </c>
      <c r="B6513" s="305" t="s">
        <v>11647</v>
      </c>
      <c r="C6513" s="305" t="s">
        <v>5428</v>
      </c>
      <c r="D6513" s="576">
        <v>2223.1799999999998</v>
      </c>
    </row>
    <row r="6514" spans="1:4" ht="13.5" x14ac:dyDescent="0.25">
      <c r="A6514" s="306">
        <v>100317</v>
      </c>
      <c r="B6514" s="305" t="s">
        <v>11662</v>
      </c>
      <c r="C6514" s="305" t="s">
        <v>5428</v>
      </c>
      <c r="D6514" s="576">
        <v>22378.18</v>
      </c>
    </row>
    <row r="6515" spans="1:4" ht="13.5" x14ac:dyDescent="0.25">
      <c r="A6515" s="306">
        <v>100318</v>
      </c>
      <c r="B6515" s="305" t="s">
        <v>11651</v>
      </c>
      <c r="C6515" s="305" t="s">
        <v>5428</v>
      </c>
      <c r="D6515" s="576">
        <v>15991.78</v>
      </c>
    </row>
    <row r="6516" spans="1:4" ht="13.5" x14ac:dyDescent="0.25">
      <c r="A6516" s="306">
        <v>100319</v>
      </c>
      <c r="B6516" s="305" t="s">
        <v>11652</v>
      </c>
      <c r="C6516" s="305" t="s">
        <v>5428</v>
      </c>
      <c r="D6516" s="576">
        <v>15598.6</v>
      </c>
    </row>
    <row r="6517" spans="1:4" ht="13.5" x14ac:dyDescent="0.25">
      <c r="A6517" s="306">
        <v>100320</v>
      </c>
      <c r="B6517" s="305" t="s">
        <v>11653</v>
      </c>
      <c r="C6517" s="305" t="s">
        <v>5428</v>
      </c>
      <c r="D6517" s="576">
        <v>17574.099999999999</v>
      </c>
    </row>
    <row r="6518" spans="1:4" ht="13.5" x14ac:dyDescent="0.25">
      <c r="A6518" s="306">
        <v>100321</v>
      </c>
      <c r="B6518" s="305" t="s">
        <v>11663</v>
      </c>
      <c r="C6518" s="305" t="s">
        <v>5428</v>
      </c>
      <c r="D6518" s="576">
        <v>3903.37</v>
      </c>
    </row>
    <row r="6519" spans="1:4" ht="13.5" x14ac:dyDescent="0.25">
      <c r="A6519" s="306">
        <v>100533</v>
      </c>
      <c r="B6519" s="305" t="s">
        <v>11864</v>
      </c>
      <c r="C6519" s="305" t="s">
        <v>43</v>
      </c>
      <c r="D6519" s="575">
        <v>32.369999999999997</v>
      </c>
    </row>
    <row r="6520" spans="1:4" ht="13.5" x14ac:dyDescent="0.25">
      <c r="A6520" s="306">
        <v>100534</v>
      </c>
      <c r="B6520" s="305" t="s">
        <v>11864</v>
      </c>
      <c r="C6520" s="305" t="s">
        <v>5428</v>
      </c>
      <c r="D6520" s="576">
        <v>5669.17</v>
      </c>
    </row>
    <row r="6521" spans="1:4" ht="13.5" x14ac:dyDescent="0.25">
      <c r="A6521" s="306">
        <v>100535</v>
      </c>
      <c r="B6521" s="305" t="s">
        <v>11865</v>
      </c>
      <c r="C6521" s="305" t="s">
        <v>43</v>
      </c>
      <c r="D6521" s="575">
        <v>0.38</v>
      </c>
    </row>
    <row r="6522" spans="1:4" ht="13.5" x14ac:dyDescent="0.25">
      <c r="A6522" s="306">
        <v>100536</v>
      </c>
      <c r="B6522" s="305" t="s">
        <v>11866</v>
      </c>
      <c r="C6522" s="305" t="s">
        <v>5428</v>
      </c>
      <c r="D6522" s="575">
        <v>51.46</v>
      </c>
    </row>
    <row r="6523" spans="1:4" ht="13.5" x14ac:dyDescent="0.25">
      <c r="A6523" s="306">
        <v>101284</v>
      </c>
      <c r="B6523" s="305" t="s">
        <v>13210</v>
      </c>
      <c r="C6523" s="305" t="s">
        <v>43</v>
      </c>
      <c r="D6523" s="575">
        <v>1.07</v>
      </c>
    </row>
    <row r="6524" spans="1:4" ht="13.5" x14ac:dyDescent="0.25">
      <c r="A6524" s="306">
        <v>101285</v>
      </c>
      <c r="B6524" s="305" t="s">
        <v>13211</v>
      </c>
      <c r="C6524" s="305" t="s">
        <v>43</v>
      </c>
      <c r="D6524" s="575">
        <v>0.42</v>
      </c>
    </row>
    <row r="6525" spans="1:4" ht="13.5" x14ac:dyDescent="0.25">
      <c r="A6525" s="306">
        <v>101286</v>
      </c>
      <c r="B6525" s="305" t="s">
        <v>13212</v>
      </c>
      <c r="C6525" s="305" t="s">
        <v>5428</v>
      </c>
      <c r="D6525" s="575">
        <v>11.47</v>
      </c>
    </row>
    <row r="6526" spans="1:4" ht="13.5" x14ac:dyDescent="0.25">
      <c r="A6526" s="306">
        <v>101287</v>
      </c>
      <c r="B6526" s="305" t="s">
        <v>13213</v>
      </c>
      <c r="C6526" s="305" t="s">
        <v>5428</v>
      </c>
      <c r="D6526" s="575">
        <v>38.65</v>
      </c>
    </row>
    <row r="6527" spans="1:4" ht="13.5" x14ac:dyDescent="0.25">
      <c r="A6527" s="306">
        <v>101288</v>
      </c>
      <c r="B6527" s="305" t="s">
        <v>13214</v>
      </c>
      <c r="C6527" s="305" t="s">
        <v>5428</v>
      </c>
      <c r="D6527" s="575">
        <v>14.02</v>
      </c>
    </row>
    <row r="6528" spans="1:4" ht="13.5" x14ac:dyDescent="0.25">
      <c r="A6528" s="306">
        <v>101289</v>
      </c>
      <c r="B6528" s="305" t="s">
        <v>13215</v>
      </c>
      <c r="C6528" s="305" t="s">
        <v>5428</v>
      </c>
      <c r="D6528" s="575">
        <v>11.87</v>
      </c>
    </row>
    <row r="6529" spans="1:4" ht="13.5" x14ac:dyDescent="0.25">
      <c r="A6529" s="306">
        <v>101290</v>
      </c>
      <c r="B6529" s="305" t="s">
        <v>13216</v>
      </c>
      <c r="C6529" s="305" t="s">
        <v>5428</v>
      </c>
      <c r="D6529" s="575">
        <v>14.82</v>
      </c>
    </row>
    <row r="6530" spans="1:4" ht="13.5" x14ac:dyDescent="0.25">
      <c r="A6530" s="306">
        <v>101291</v>
      </c>
      <c r="B6530" s="305" t="s">
        <v>13217</v>
      </c>
      <c r="C6530" s="305" t="s">
        <v>5428</v>
      </c>
      <c r="D6530" s="575">
        <v>12.3</v>
      </c>
    </row>
    <row r="6531" spans="1:4" ht="13.5" x14ac:dyDescent="0.25">
      <c r="A6531" s="306">
        <v>101292</v>
      </c>
      <c r="B6531" s="305" t="s">
        <v>13218</v>
      </c>
      <c r="C6531" s="305" t="s">
        <v>5428</v>
      </c>
      <c r="D6531" s="575">
        <v>16.670000000000002</v>
      </c>
    </row>
    <row r="6532" spans="1:4" ht="13.5" x14ac:dyDescent="0.25">
      <c r="A6532" s="306">
        <v>101293</v>
      </c>
      <c r="B6532" s="305" t="s">
        <v>13219</v>
      </c>
      <c r="C6532" s="305" t="s">
        <v>5428</v>
      </c>
      <c r="D6532" s="575">
        <v>19.45</v>
      </c>
    </row>
    <row r="6533" spans="1:4" ht="13.5" x14ac:dyDescent="0.25">
      <c r="A6533" s="306">
        <v>101294</v>
      </c>
      <c r="B6533" s="305" t="s">
        <v>13220</v>
      </c>
      <c r="C6533" s="305" t="s">
        <v>5428</v>
      </c>
      <c r="D6533" s="575">
        <v>25.32</v>
      </c>
    </row>
    <row r="6534" spans="1:4" ht="13.5" x14ac:dyDescent="0.25">
      <c r="A6534" s="306">
        <v>101295</v>
      </c>
      <c r="B6534" s="305" t="s">
        <v>13221</v>
      </c>
      <c r="C6534" s="305" t="s">
        <v>5428</v>
      </c>
      <c r="D6534" s="575">
        <v>15.33</v>
      </c>
    </row>
    <row r="6535" spans="1:4" ht="13.5" x14ac:dyDescent="0.25">
      <c r="A6535" s="306">
        <v>101296</v>
      </c>
      <c r="B6535" s="305" t="s">
        <v>13222</v>
      </c>
      <c r="C6535" s="305" t="s">
        <v>5428</v>
      </c>
      <c r="D6535" s="575">
        <v>17.73</v>
      </c>
    </row>
    <row r="6536" spans="1:4" ht="13.5" x14ac:dyDescent="0.25">
      <c r="A6536" s="306">
        <v>101297</v>
      </c>
      <c r="B6536" s="305" t="s">
        <v>13223</v>
      </c>
      <c r="C6536" s="305" t="s">
        <v>5428</v>
      </c>
      <c r="D6536" s="575">
        <v>11.61</v>
      </c>
    </row>
    <row r="6537" spans="1:4" ht="13.5" x14ac:dyDescent="0.25">
      <c r="A6537" s="306">
        <v>101298</v>
      </c>
      <c r="B6537" s="305" t="s">
        <v>13224</v>
      </c>
      <c r="C6537" s="305" t="s">
        <v>5428</v>
      </c>
      <c r="D6537" s="575">
        <v>11.97</v>
      </c>
    </row>
    <row r="6538" spans="1:4" ht="13.5" x14ac:dyDescent="0.25">
      <c r="A6538" s="306">
        <v>101299</v>
      </c>
      <c r="B6538" s="305" t="s">
        <v>13225</v>
      </c>
      <c r="C6538" s="305" t="s">
        <v>5428</v>
      </c>
      <c r="D6538" s="575">
        <v>16.82</v>
      </c>
    </row>
    <row r="6539" spans="1:4" ht="13.5" x14ac:dyDescent="0.25">
      <c r="A6539" s="306">
        <v>101300</v>
      </c>
      <c r="B6539" s="305" t="s">
        <v>13226</v>
      </c>
      <c r="C6539" s="305" t="s">
        <v>5428</v>
      </c>
      <c r="D6539" s="575">
        <v>13.83</v>
      </c>
    </row>
    <row r="6540" spans="1:4" ht="13.5" x14ac:dyDescent="0.25">
      <c r="A6540" s="306">
        <v>101301</v>
      </c>
      <c r="B6540" s="305" t="s">
        <v>13227</v>
      </c>
      <c r="C6540" s="305" t="s">
        <v>5428</v>
      </c>
      <c r="D6540" s="575">
        <v>10.199999999999999</v>
      </c>
    </row>
    <row r="6541" spans="1:4" ht="13.5" x14ac:dyDescent="0.25">
      <c r="A6541" s="306">
        <v>101302</v>
      </c>
      <c r="B6541" s="305" t="s">
        <v>13228</v>
      </c>
      <c r="C6541" s="305" t="s">
        <v>5428</v>
      </c>
      <c r="D6541" s="575">
        <v>27.81</v>
      </c>
    </row>
    <row r="6542" spans="1:4" ht="13.5" x14ac:dyDescent="0.25">
      <c r="A6542" s="306">
        <v>101303</v>
      </c>
      <c r="B6542" s="305" t="s">
        <v>13229</v>
      </c>
      <c r="C6542" s="305" t="s">
        <v>5428</v>
      </c>
      <c r="D6542" s="575">
        <v>45.12</v>
      </c>
    </row>
    <row r="6543" spans="1:4" ht="13.5" x14ac:dyDescent="0.25">
      <c r="A6543" s="306">
        <v>101304</v>
      </c>
      <c r="B6543" s="305" t="s">
        <v>13230</v>
      </c>
      <c r="C6543" s="305" t="s">
        <v>5428</v>
      </c>
      <c r="D6543" s="575">
        <v>22.99</v>
      </c>
    </row>
    <row r="6544" spans="1:4" ht="13.5" x14ac:dyDescent="0.25">
      <c r="A6544" s="306">
        <v>101305</v>
      </c>
      <c r="B6544" s="305" t="s">
        <v>13231</v>
      </c>
      <c r="C6544" s="305" t="s">
        <v>5428</v>
      </c>
      <c r="D6544" s="575">
        <v>25.78</v>
      </c>
    </row>
    <row r="6545" spans="1:4" ht="13.5" x14ac:dyDescent="0.25">
      <c r="A6545" s="306">
        <v>101306</v>
      </c>
      <c r="B6545" s="305" t="s">
        <v>13232</v>
      </c>
      <c r="C6545" s="305" t="s">
        <v>5428</v>
      </c>
      <c r="D6545" s="575">
        <v>25.62</v>
      </c>
    </row>
    <row r="6546" spans="1:4" ht="13.5" x14ac:dyDescent="0.25">
      <c r="A6546" s="306">
        <v>101307</v>
      </c>
      <c r="B6546" s="305" t="s">
        <v>13233</v>
      </c>
      <c r="C6546" s="305" t="s">
        <v>5428</v>
      </c>
      <c r="D6546" s="575">
        <v>16.829999999999998</v>
      </c>
    </row>
    <row r="6547" spans="1:4" ht="13.5" x14ac:dyDescent="0.25">
      <c r="A6547" s="306">
        <v>101308</v>
      </c>
      <c r="B6547" s="305" t="s">
        <v>13234</v>
      </c>
      <c r="C6547" s="305" t="s">
        <v>5428</v>
      </c>
      <c r="D6547" s="575">
        <v>16.28</v>
      </c>
    </row>
    <row r="6548" spans="1:4" ht="13.5" x14ac:dyDescent="0.25">
      <c r="A6548" s="306">
        <v>101309</v>
      </c>
      <c r="B6548" s="305" t="s">
        <v>13235</v>
      </c>
      <c r="C6548" s="305" t="s">
        <v>5428</v>
      </c>
      <c r="D6548" s="575">
        <v>16.170000000000002</v>
      </c>
    </row>
    <row r="6549" spans="1:4" ht="13.5" x14ac:dyDescent="0.25">
      <c r="A6549" s="306">
        <v>101310</v>
      </c>
      <c r="B6549" s="305" t="s">
        <v>13236</v>
      </c>
      <c r="C6549" s="305" t="s">
        <v>5428</v>
      </c>
      <c r="D6549" s="575">
        <v>20.52</v>
      </c>
    </row>
    <row r="6550" spans="1:4" ht="13.5" x14ac:dyDescent="0.25">
      <c r="A6550" s="306">
        <v>101311</v>
      </c>
      <c r="B6550" s="305" t="s">
        <v>13237</v>
      </c>
      <c r="C6550" s="305" t="s">
        <v>5428</v>
      </c>
      <c r="D6550" s="575">
        <v>16.05</v>
      </c>
    </row>
    <row r="6551" spans="1:4" ht="13.5" x14ac:dyDescent="0.25">
      <c r="A6551" s="306">
        <v>101312</v>
      </c>
      <c r="B6551" s="305" t="s">
        <v>13238</v>
      </c>
      <c r="C6551" s="305" t="s">
        <v>5428</v>
      </c>
      <c r="D6551" s="575">
        <v>14.03</v>
      </c>
    </row>
    <row r="6552" spans="1:4" ht="13.5" x14ac:dyDescent="0.25">
      <c r="A6552" s="306">
        <v>101313</v>
      </c>
      <c r="B6552" s="305" t="s">
        <v>13239</v>
      </c>
      <c r="C6552" s="305" t="s">
        <v>5428</v>
      </c>
      <c r="D6552" s="575">
        <v>54.95</v>
      </c>
    </row>
    <row r="6553" spans="1:4" ht="13.5" x14ac:dyDescent="0.25">
      <c r="A6553" s="306">
        <v>101314</v>
      </c>
      <c r="B6553" s="305" t="s">
        <v>13240</v>
      </c>
      <c r="C6553" s="305" t="s">
        <v>5428</v>
      </c>
      <c r="D6553" s="575">
        <v>99.1</v>
      </c>
    </row>
    <row r="6554" spans="1:4" ht="13.5" x14ac:dyDescent="0.25">
      <c r="A6554" s="306">
        <v>101315</v>
      </c>
      <c r="B6554" s="305" t="s">
        <v>13241</v>
      </c>
      <c r="C6554" s="305" t="s">
        <v>5428</v>
      </c>
      <c r="D6554" s="575">
        <v>56.66</v>
      </c>
    </row>
    <row r="6555" spans="1:4" ht="13.5" x14ac:dyDescent="0.25">
      <c r="A6555" s="306">
        <v>101316</v>
      </c>
      <c r="B6555" s="305" t="s">
        <v>13242</v>
      </c>
      <c r="C6555" s="305" t="s">
        <v>5428</v>
      </c>
      <c r="D6555" s="575">
        <v>25</v>
      </c>
    </row>
    <row r="6556" spans="1:4" ht="13.5" x14ac:dyDescent="0.25">
      <c r="A6556" s="306">
        <v>101317</v>
      </c>
      <c r="B6556" s="305" t="s">
        <v>13243</v>
      </c>
      <c r="C6556" s="305" t="s">
        <v>5428</v>
      </c>
      <c r="D6556" s="575">
        <v>144.44999999999999</v>
      </c>
    </row>
    <row r="6557" spans="1:4" ht="13.5" x14ac:dyDescent="0.25">
      <c r="A6557" s="306">
        <v>101318</v>
      </c>
      <c r="B6557" s="305" t="s">
        <v>13244</v>
      </c>
      <c r="C6557" s="305" t="s">
        <v>5428</v>
      </c>
      <c r="D6557" s="575">
        <v>396.3</v>
      </c>
    </row>
    <row r="6558" spans="1:4" ht="13.5" x14ac:dyDescent="0.25">
      <c r="A6558" s="306">
        <v>101319</v>
      </c>
      <c r="B6558" s="305" t="s">
        <v>13245</v>
      </c>
      <c r="C6558" s="305" t="s">
        <v>5428</v>
      </c>
      <c r="D6558" s="575">
        <v>57.74</v>
      </c>
    </row>
    <row r="6559" spans="1:4" ht="13.5" x14ac:dyDescent="0.25">
      <c r="A6559" s="306">
        <v>101320</v>
      </c>
      <c r="B6559" s="305" t="s">
        <v>13246</v>
      </c>
      <c r="C6559" s="305" t="s">
        <v>5428</v>
      </c>
      <c r="D6559" s="575">
        <v>22.02</v>
      </c>
    </row>
    <row r="6560" spans="1:4" ht="13.5" x14ac:dyDescent="0.25">
      <c r="A6560" s="306">
        <v>101321</v>
      </c>
      <c r="B6560" s="305" t="s">
        <v>13247</v>
      </c>
      <c r="C6560" s="305" t="s">
        <v>5428</v>
      </c>
      <c r="D6560" s="575">
        <v>17.25</v>
      </c>
    </row>
    <row r="6561" spans="1:4" ht="13.5" x14ac:dyDescent="0.25">
      <c r="A6561" s="306">
        <v>101322</v>
      </c>
      <c r="B6561" s="305" t="s">
        <v>13248</v>
      </c>
      <c r="C6561" s="305" t="s">
        <v>5428</v>
      </c>
      <c r="D6561" s="575">
        <v>15.86</v>
      </c>
    </row>
    <row r="6562" spans="1:4" ht="13.5" x14ac:dyDescent="0.25">
      <c r="A6562" s="306">
        <v>101323</v>
      </c>
      <c r="B6562" s="305" t="s">
        <v>13249</v>
      </c>
      <c r="C6562" s="305" t="s">
        <v>5428</v>
      </c>
      <c r="D6562" s="575">
        <v>30.39</v>
      </c>
    </row>
    <row r="6563" spans="1:4" ht="13.5" x14ac:dyDescent="0.25">
      <c r="A6563" s="306">
        <v>101324</v>
      </c>
      <c r="B6563" s="305" t="s">
        <v>13250</v>
      </c>
      <c r="C6563" s="305" t="s">
        <v>5428</v>
      </c>
      <c r="D6563" s="575">
        <v>6.34</v>
      </c>
    </row>
    <row r="6564" spans="1:4" ht="13.5" x14ac:dyDescent="0.25">
      <c r="A6564" s="306">
        <v>101325</v>
      </c>
      <c r="B6564" s="305" t="s">
        <v>13251</v>
      </c>
      <c r="C6564" s="305" t="s">
        <v>5428</v>
      </c>
      <c r="D6564" s="575">
        <v>53.15</v>
      </c>
    </row>
    <row r="6565" spans="1:4" ht="13.5" x14ac:dyDescent="0.25">
      <c r="A6565" s="306">
        <v>101326</v>
      </c>
      <c r="B6565" s="305" t="s">
        <v>13252</v>
      </c>
      <c r="C6565" s="305" t="s">
        <v>5428</v>
      </c>
      <c r="D6565" s="575">
        <v>7.04</v>
      </c>
    </row>
    <row r="6566" spans="1:4" ht="13.5" x14ac:dyDescent="0.25">
      <c r="A6566" s="306">
        <v>101327</v>
      </c>
      <c r="B6566" s="305" t="s">
        <v>13253</v>
      </c>
      <c r="C6566" s="305" t="s">
        <v>5428</v>
      </c>
      <c r="D6566" s="575">
        <v>5.64</v>
      </c>
    </row>
    <row r="6567" spans="1:4" ht="13.5" x14ac:dyDescent="0.25">
      <c r="A6567" s="306">
        <v>101328</v>
      </c>
      <c r="B6567" s="305" t="s">
        <v>13254</v>
      </c>
      <c r="C6567" s="305" t="s">
        <v>5428</v>
      </c>
      <c r="D6567" s="575">
        <v>8.9700000000000006</v>
      </c>
    </row>
    <row r="6568" spans="1:4" ht="13.5" x14ac:dyDescent="0.25">
      <c r="A6568" s="306">
        <v>101329</v>
      </c>
      <c r="B6568" s="305" t="s">
        <v>13255</v>
      </c>
      <c r="C6568" s="305" t="s">
        <v>5428</v>
      </c>
      <c r="D6568" s="575">
        <v>25.87</v>
      </c>
    </row>
    <row r="6569" spans="1:4" ht="13.5" x14ac:dyDescent="0.25">
      <c r="A6569" s="306">
        <v>101330</v>
      </c>
      <c r="B6569" s="305" t="s">
        <v>13256</v>
      </c>
      <c r="C6569" s="305" t="s">
        <v>5428</v>
      </c>
      <c r="D6569" s="575">
        <v>20.98</v>
      </c>
    </row>
    <row r="6570" spans="1:4" ht="13.5" x14ac:dyDescent="0.25">
      <c r="A6570" s="306">
        <v>101331</v>
      </c>
      <c r="B6570" s="305" t="s">
        <v>13257</v>
      </c>
      <c r="C6570" s="305" t="s">
        <v>5428</v>
      </c>
      <c r="D6570" s="575">
        <v>23.74</v>
      </c>
    </row>
    <row r="6571" spans="1:4" ht="13.5" x14ac:dyDescent="0.25">
      <c r="A6571" s="306">
        <v>101332</v>
      </c>
      <c r="B6571" s="305" t="s">
        <v>13258</v>
      </c>
      <c r="C6571" s="305" t="s">
        <v>5428</v>
      </c>
      <c r="D6571" s="575">
        <v>7.33</v>
      </c>
    </row>
    <row r="6572" spans="1:4" ht="13.5" x14ac:dyDescent="0.25">
      <c r="A6572" s="306">
        <v>101333</v>
      </c>
      <c r="B6572" s="305" t="s">
        <v>13259</v>
      </c>
      <c r="C6572" s="305" t="s">
        <v>5428</v>
      </c>
      <c r="D6572" s="575">
        <v>15.09</v>
      </c>
    </row>
    <row r="6573" spans="1:4" ht="13.5" x14ac:dyDescent="0.25">
      <c r="A6573" s="306">
        <v>101334</v>
      </c>
      <c r="B6573" s="305" t="s">
        <v>13260</v>
      </c>
      <c r="C6573" s="305" t="s">
        <v>5428</v>
      </c>
      <c r="D6573" s="575">
        <v>27.19</v>
      </c>
    </row>
    <row r="6574" spans="1:4" ht="13.5" x14ac:dyDescent="0.25">
      <c r="A6574" s="306">
        <v>101335</v>
      </c>
      <c r="B6574" s="305" t="s">
        <v>13261</v>
      </c>
      <c r="C6574" s="305" t="s">
        <v>5428</v>
      </c>
      <c r="D6574" s="575">
        <v>9.0500000000000007</v>
      </c>
    </row>
    <row r="6575" spans="1:4" ht="13.5" x14ac:dyDescent="0.25">
      <c r="A6575" s="306">
        <v>101336</v>
      </c>
      <c r="B6575" s="305" t="s">
        <v>13262</v>
      </c>
      <c r="C6575" s="305" t="s">
        <v>5428</v>
      </c>
      <c r="D6575" s="575">
        <v>27.11</v>
      </c>
    </row>
    <row r="6576" spans="1:4" ht="13.5" x14ac:dyDescent="0.25">
      <c r="A6576" s="306">
        <v>101337</v>
      </c>
      <c r="B6576" s="305" t="s">
        <v>13263</v>
      </c>
      <c r="C6576" s="305" t="s">
        <v>5428</v>
      </c>
      <c r="D6576" s="575">
        <v>12.85</v>
      </c>
    </row>
    <row r="6577" spans="1:4" ht="13.5" x14ac:dyDescent="0.25">
      <c r="A6577" s="306">
        <v>101338</v>
      </c>
      <c r="B6577" s="305" t="s">
        <v>13264</v>
      </c>
      <c r="C6577" s="305" t="s">
        <v>5428</v>
      </c>
      <c r="D6577" s="575">
        <v>14.22</v>
      </c>
    </row>
    <row r="6578" spans="1:4" ht="13.5" x14ac:dyDescent="0.25">
      <c r="A6578" s="306">
        <v>101339</v>
      </c>
      <c r="B6578" s="305" t="s">
        <v>13265</v>
      </c>
      <c r="C6578" s="305" t="s">
        <v>5428</v>
      </c>
      <c r="D6578" s="575">
        <v>9.8800000000000008</v>
      </c>
    </row>
    <row r="6579" spans="1:4" ht="13.5" x14ac:dyDescent="0.25">
      <c r="A6579" s="306">
        <v>101340</v>
      </c>
      <c r="B6579" s="305" t="s">
        <v>13266</v>
      </c>
      <c r="C6579" s="305" t="s">
        <v>5428</v>
      </c>
      <c r="D6579" s="575">
        <v>9.5299999999999994</v>
      </c>
    </row>
    <row r="6580" spans="1:4" ht="13.5" x14ac:dyDescent="0.25">
      <c r="A6580" s="306">
        <v>101341</v>
      </c>
      <c r="B6580" s="305" t="s">
        <v>13267</v>
      </c>
      <c r="C6580" s="305" t="s">
        <v>5428</v>
      </c>
      <c r="D6580" s="575">
        <v>12.83</v>
      </c>
    </row>
    <row r="6581" spans="1:4" ht="13.5" x14ac:dyDescent="0.25">
      <c r="A6581" s="306">
        <v>101342</v>
      </c>
      <c r="B6581" s="305" t="s">
        <v>13268</v>
      </c>
      <c r="C6581" s="305" t="s">
        <v>5428</v>
      </c>
      <c r="D6581" s="575">
        <v>12.16</v>
      </c>
    </row>
    <row r="6582" spans="1:4" ht="13.5" x14ac:dyDescent="0.25">
      <c r="A6582" s="306">
        <v>101343</v>
      </c>
      <c r="B6582" s="305" t="s">
        <v>13269</v>
      </c>
      <c r="C6582" s="305" t="s">
        <v>5428</v>
      </c>
      <c r="D6582" s="575">
        <v>18.46</v>
      </c>
    </row>
    <row r="6583" spans="1:4" ht="13.5" x14ac:dyDescent="0.25">
      <c r="A6583" s="306">
        <v>101344</v>
      </c>
      <c r="B6583" s="305" t="s">
        <v>13270</v>
      </c>
      <c r="C6583" s="305" t="s">
        <v>5428</v>
      </c>
      <c r="D6583" s="575">
        <v>22.74</v>
      </c>
    </row>
    <row r="6584" spans="1:4" ht="13.5" x14ac:dyDescent="0.25">
      <c r="A6584" s="306">
        <v>101345</v>
      </c>
      <c r="B6584" s="305" t="s">
        <v>13271</v>
      </c>
      <c r="C6584" s="305" t="s">
        <v>5428</v>
      </c>
      <c r="D6584" s="575">
        <v>29.58</v>
      </c>
    </row>
    <row r="6585" spans="1:4" ht="13.5" x14ac:dyDescent="0.25">
      <c r="A6585" s="306">
        <v>101346</v>
      </c>
      <c r="B6585" s="305" t="s">
        <v>13272</v>
      </c>
      <c r="C6585" s="305" t="s">
        <v>5428</v>
      </c>
      <c r="D6585" s="575">
        <v>16.53</v>
      </c>
    </row>
    <row r="6586" spans="1:4" ht="13.5" x14ac:dyDescent="0.25">
      <c r="A6586" s="306">
        <v>101347</v>
      </c>
      <c r="B6586" s="305" t="s">
        <v>13273</v>
      </c>
      <c r="C6586" s="305" t="s">
        <v>5428</v>
      </c>
      <c r="D6586" s="575">
        <v>19.21</v>
      </c>
    </row>
    <row r="6587" spans="1:4" ht="13.5" x14ac:dyDescent="0.25">
      <c r="A6587" s="306">
        <v>101348</v>
      </c>
      <c r="B6587" s="305" t="s">
        <v>13274</v>
      </c>
      <c r="C6587" s="305" t="s">
        <v>5428</v>
      </c>
      <c r="D6587" s="575">
        <v>11.5</v>
      </c>
    </row>
    <row r="6588" spans="1:4" ht="13.5" x14ac:dyDescent="0.25">
      <c r="A6588" s="306">
        <v>101349</v>
      </c>
      <c r="B6588" s="305" t="s">
        <v>13275</v>
      </c>
      <c r="C6588" s="305" t="s">
        <v>5428</v>
      </c>
      <c r="D6588" s="575">
        <v>12.36</v>
      </c>
    </row>
    <row r="6589" spans="1:4" ht="13.5" x14ac:dyDescent="0.25">
      <c r="A6589" s="306">
        <v>101350</v>
      </c>
      <c r="B6589" s="305" t="s">
        <v>13276</v>
      </c>
      <c r="C6589" s="305" t="s">
        <v>5428</v>
      </c>
      <c r="D6589" s="575">
        <v>15.17</v>
      </c>
    </row>
    <row r="6590" spans="1:4" ht="13.5" x14ac:dyDescent="0.25">
      <c r="A6590" s="306">
        <v>101351</v>
      </c>
      <c r="B6590" s="305" t="s">
        <v>13277</v>
      </c>
      <c r="C6590" s="305" t="s">
        <v>5428</v>
      </c>
      <c r="D6590" s="575">
        <v>13.14</v>
      </c>
    </row>
    <row r="6591" spans="1:4" ht="13.5" x14ac:dyDescent="0.25">
      <c r="A6591" s="306">
        <v>101352</v>
      </c>
      <c r="B6591" s="305" t="s">
        <v>13278</v>
      </c>
      <c r="C6591" s="305" t="s">
        <v>5428</v>
      </c>
      <c r="D6591" s="575">
        <v>12.76</v>
      </c>
    </row>
    <row r="6592" spans="1:4" ht="13.5" x14ac:dyDescent="0.25">
      <c r="A6592" s="306">
        <v>101353</v>
      </c>
      <c r="B6592" s="305" t="s">
        <v>13279</v>
      </c>
      <c r="C6592" s="305" t="s">
        <v>5428</v>
      </c>
      <c r="D6592" s="575">
        <v>13</v>
      </c>
    </row>
    <row r="6593" spans="1:4" ht="13.5" x14ac:dyDescent="0.25">
      <c r="A6593" s="306">
        <v>101354</v>
      </c>
      <c r="B6593" s="305" t="s">
        <v>13280</v>
      </c>
      <c r="C6593" s="305" t="s">
        <v>5428</v>
      </c>
      <c r="D6593" s="575">
        <v>17.670000000000002</v>
      </c>
    </row>
    <row r="6594" spans="1:4" ht="13.5" x14ac:dyDescent="0.25">
      <c r="A6594" s="306">
        <v>101355</v>
      </c>
      <c r="B6594" s="305" t="s">
        <v>13281</v>
      </c>
      <c r="C6594" s="305" t="s">
        <v>5428</v>
      </c>
      <c r="D6594" s="575">
        <v>10.96</v>
      </c>
    </row>
    <row r="6595" spans="1:4" ht="13.5" x14ac:dyDescent="0.25">
      <c r="A6595" s="306">
        <v>101356</v>
      </c>
      <c r="B6595" s="305" t="s">
        <v>13282</v>
      </c>
      <c r="C6595" s="305" t="s">
        <v>5428</v>
      </c>
      <c r="D6595" s="575">
        <v>25.39</v>
      </c>
    </row>
    <row r="6596" spans="1:4" ht="13.5" x14ac:dyDescent="0.25">
      <c r="A6596" s="306">
        <v>101357</v>
      </c>
      <c r="B6596" s="305" t="s">
        <v>13283</v>
      </c>
      <c r="C6596" s="305" t="s">
        <v>5428</v>
      </c>
      <c r="D6596" s="575">
        <v>30.2</v>
      </c>
    </row>
    <row r="6597" spans="1:4" ht="13.5" x14ac:dyDescent="0.25">
      <c r="A6597" s="306">
        <v>101358</v>
      </c>
      <c r="B6597" s="305" t="s">
        <v>13284</v>
      </c>
      <c r="C6597" s="305" t="s">
        <v>5428</v>
      </c>
      <c r="D6597" s="575">
        <v>20.53</v>
      </c>
    </row>
    <row r="6598" spans="1:4" ht="13.5" x14ac:dyDescent="0.25">
      <c r="A6598" s="306">
        <v>101359</v>
      </c>
      <c r="B6598" s="305" t="s">
        <v>13285</v>
      </c>
      <c r="C6598" s="305" t="s">
        <v>5428</v>
      </c>
      <c r="D6598" s="575">
        <v>24.44</v>
      </c>
    </row>
    <row r="6599" spans="1:4" ht="13.5" x14ac:dyDescent="0.25">
      <c r="A6599" s="306">
        <v>101360</v>
      </c>
      <c r="B6599" s="305" t="s">
        <v>13286</v>
      </c>
      <c r="C6599" s="305" t="s">
        <v>5428</v>
      </c>
      <c r="D6599" s="575">
        <v>22.08</v>
      </c>
    </row>
    <row r="6600" spans="1:4" ht="13.5" x14ac:dyDescent="0.25">
      <c r="A6600" s="306">
        <v>101361</v>
      </c>
      <c r="B6600" s="305" t="s">
        <v>13287</v>
      </c>
      <c r="C6600" s="305" t="s">
        <v>5428</v>
      </c>
      <c r="D6600" s="575">
        <v>31.32</v>
      </c>
    </row>
    <row r="6601" spans="1:4" ht="13.5" x14ac:dyDescent="0.25">
      <c r="A6601" s="306">
        <v>101362</v>
      </c>
      <c r="B6601" s="305" t="s">
        <v>13288</v>
      </c>
      <c r="C6601" s="305" t="s">
        <v>5428</v>
      </c>
      <c r="D6601" s="575">
        <v>5.29</v>
      </c>
    </row>
    <row r="6602" spans="1:4" ht="13.5" x14ac:dyDescent="0.25">
      <c r="A6602" s="306">
        <v>101363</v>
      </c>
      <c r="B6602" s="305" t="s">
        <v>13289</v>
      </c>
      <c r="C6602" s="305" t="s">
        <v>5428</v>
      </c>
      <c r="D6602" s="575">
        <v>16.440000000000001</v>
      </c>
    </row>
    <row r="6603" spans="1:4" ht="13.5" x14ac:dyDescent="0.25">
      <c r="A6603" s="306">
        <v>101364</v>
      </c>
      <c r="B6603" s="305" t="s">
        <v>13290</v>
      </c>
      <c r="C6603" s="305" t="s">
        <v>5428</v>
      </c>
      <c r="D6603" s="575">
        <v>23.58</v>
      </c>
    </row>
    <row r="6604" spans="1:4" ht="13.5" x14ac:dyDescent="0.25">
      <c r="A6604" s="306">
        <v>101365</v>
      </c>
      <c r="B6604" s="305" t="s">
        <v>13291</v>
      </c>
      <c r="C6604" s="305" t="s">
        <v>5428</v>
      </c>
      <c r="D6604" s="575">
        <v>16.93</v>
      </c>
    </row>
    <row r="6605" spans="1:4" ht="13.5" x14ac:dyDescent="0.25">
      <c r="A6605" s="306">
        <v>101366</v>
      </c>
      <c r="B6605" s="305" t="s">
        <v>13292</v>
      </c>
      <c r="C6605" s="305" t="s">
        <v>5428</v>
      </c>
      <c r="D6605" s="575">
        <v>19.22</v>
      </c>
    </row>
    <row r="6606" spans="1:4" ht="13.5" x14ac:dyDescent="0.25">
      <c r="A6606" s="306">
        <v>101367</v>
      </c>
      <c r="B6606" s="305" t="s">
        <v>13293</v>
      </c>
      <c r="C6606" s="305" t="s">
        <v>5428</v>
      </c>
      <c r="D6606" s="575">
        <v>19.7</v>
      </c>
    </row>
    <row r="6607" spans="1:4" ht="13.5" x14ac:dyDescent="0.25">
      <c r="A6607" s="306">
        <v>101368</v>
      </c>
      <c r="B6607" s="305" t="s">
        <v>13294</v>
      </c>
      <c r="C6607" s="305" t="s">
        <v>5428</v>
      </c>
      <c r="D6607" s="575">
        <v>18.649999999999999</v>
      </c>
    </row>
    <row r="6608" spans="1:4" ht="13.5" x14ac:dyDescent="0.25">
      <c r="A6608" s="306">
        <v>101369</v>
      </c>
      <c r="B6608" s="305" t="s">
        <v>13295</v>
      </c>
      <c r="C6608" s="305" t="s">
        <v>5428</v>
      </c>
      <c r="D6608" s="575">
        <v>21</v>
      </c>
    </row>
    <row r="6609" spans="1:4" ht="13.5" x14ac:dyDescent="0.25">
      <c r="A6609" s="306">
        <v>101370</v>
      </c>
      <c r="B6609" s="305" t="s">
        <v>13296</v>
      </c>
      <c r="C6609" s="305" t="s">
        <v>5428</v>
      </c>
      <c r="D6609" s="575">
        <v>16.05</v>
      </c>
    </row>
    <row r="6610" spans="1:4" ht="13.5" x14ac:dyDescent="0.25">
      <c r="A6610" s="306">
        <v>101371</v>
      </c>
      <c r="B6610" s="305" t="s">
        <v>13297</v>
      </c>
      <c r="C6610" s="305" t="s">
        <v>5428</v>
      </c>
      <c r="D6610" s="575">
        <v>21.35</v>
      </c>
    </row>
    <row r="6611" spans="1:4" ht="13.5" x14ac:dyDescent="0.25">
      <c r="A6611" s="306">
        <v>101372</v>
      </c>
      <c r="B6611" s="305" t="s">
        <v>13298</v>
      </c>
      <c r="C6611" s="305" t="s">
        <v>5428</v>
      </c>
      <c r="D6611" s="575">
        <v>5.92</v>
      </c>
    </row>
    <row r="6612" spans="1:4" ht="13.5" x14ac:dyDescent="0.25">
      <c r="A6612" s="306">
        <v>101373</v>
      </c>
      <c r="B6612" s="305" t="s">
        <v>13299</v>
      </c>
      <c r="C6612" s="305" t="s">
        <v>43</v>
      </c>
      <c r="D6612" s="575">
        <v>137.52000000000001</v>
      </c>
    </row>
    <row r="6613" spans="1:4" ht="13.5" x14ac:dyDescent="0.25">
      <c r="A6613" s="306">
        <v>101374</v>
      </c>
      <c r="B6613" s="305" t="s">
        <v>5328</v>
      </c>
      <c r="C6613" s="305" t="s">
        <v>5428</v>
      </c>
      <c r="D6613" s="576">
        <v>2797.91</v>
      </c>
    </row>
    <row r="6614" spans="1:4" ht="13.5" x14ac:dyDescent="0.25">
      <c r="A6614" s="306">
        <v>101375</v>
      </c>
      <c r="B6614" s="305" t="s">
        <v>13300</v>
      </c>
      <c r="C6614" s="305" t="s">
        <v>5428</v>
      </c>
      <c r="D6614" s="576">
        <v>2898.7</v>
      </c>
    </row>
    <row r="6615" spans="1:4" ht="13.5" x14ac:dyDescent="0.25">
      <c r="A6615" s="306">
        <v>101376</v>
      </c>
      <c r="B6615" s="305" t="s">
        <v>13301</v>
      </c>
      <c r="C6615" s="305" t="s">
        <v>5428</v>
      </c>
      <c r="D6615" s="576">
        <v>3067.77</v>
      </c>
    </row>
    <row r="6616" spans="1:4" ht="13.5" x14ac:dyDescent="0.25">
      <c r="A6616" s="306">
        <v>101377</v>
      </c>
      <c r="B6616" s="305" t="s">
        <v>5331</v>
      </c>
      <c r="C6616" s="305" t="s">
        <v>5428</v>
      </c>
      <c r="D6616" s="576">
        <v>2863.7</v>
      </c>
    </row>
    <row r="6617" spans="1:4" ht="13.5" x14ac:dyDescent="0.25">
      <c r="A6617" s="306">
        <v>101378</v>
      </c>
      <c r="B6617" s="305" t="s">
        <v>11648</v>
      </c>
      <c r="C6617" s="305" t="s">
        <v>5428</v>
      </c>
      <c r="D6617" s="576">
        <v>3039.68</v>
      </c>
    </row>
    <row r="6618" spans="1:4" ht="13.5" x14ac:dyDescent="0.25">
      <c r="A6618" s="306">
        <v>101379</v>
      </c>
      <c r="B6618" s="305" t="s">
        <v>13302</v>
      </c>
      <c r="C6618" s="305" t="s">
        <v>5428</v>
      </c>
      <c r="D6618" s="576">
        <v>2935.3</v>
      </c>
    </row>
    <row r="6619" spans="1:4" ht="13.5" x14ac:dyDescent="0.25">
      <c r="A6619" s="306">
        <v>101380</v>
      </c>
      <c r="B6619" s="305" t="s">
        <v>5333</v>
      </c>
      <c r="C6619" s="305" t="s">
        <v>5428</v>
      </c>
      <c r="D6619" s="576">
        <v>3642.78</v>
      </c>
    </row>
    <row r="6620" spans="1:4" ht="13.5" x14ac:dyDescent="0.25">
      <c r="A6620" s="306">
        <v>101381</v>
      </c>
      <c r="B6620" s="305" t="s">
        <v>5334</v>
      </c>
      <c r="C6620" s="305" t="s">
        <v>5428</v>
      </c>
      <c r="D6620" s="576">
        <v>4114.3599999999997</v>
      </c>
    </row>
    <row r="6621" spans="1:4" ht="13.5" x14ac:dyDescent="0.25">
      <c r="A6621" s="306">
        <v>101382</v>
      </c>
      <c r="B6621" s="305" t="s">
        <v>13303</v>
      </c>
      <c r="C6621" s="305" t="s">
        <v>5428</v>
      </c>
      <c r="D6621" s="576">
        <v>4026.34</v>
      </c>
    </row>
    <row r="6622" spans="1:4" ht="13.5" x14ac:dyDescent="0.25">
      <c r="A6622" s="306">
        <v>101383</v>
      </c>
      <c r="B6622" s="305" t="s">
        <v>11650</v>
      </c>
      <c r="C6622" s="305" t="s">
        <v>5428</v>
      </c>
      <c r="D6622" s="576">
        <v>2886.39</v>
      </c>
    </row>
    <row r="6623" spans="1:4" ht="13.5" x14ac:dyDescent="0.25">
      <c r="A6623" s="306">
        <v>101384</v>
      </c>
      <c r="B6623" s="305" t="s">
        <v>5337</v>
      </c>
      <c r="C6623" s="305" t="s">
        <v>5428</v>
      </c>
      <c r="D6623" s="576">
        <v>2715.29</v>
      </c>
    </row>
    <row r="6624" spans="1:4" ht="13.5" x14ac:dyDescent="0.25">
      <c r="A6624" s="306">
        <v>101385</v>
      </c>
      <c r="B6624" s="305" t="s">
        <v>13304</v>
      </c>
      <c r="C6624" s="305" t="s">
        <v>5428</v>
      </c>
      <c r="D6624" s="576">
        <v>2852.53</v>
      </c>
    </row>
    <row r="6625" spans="1:4" ht="13.5" x14ac:dyDescent="0.25">
      <c r="A6625" s="306">
        <v>101386</v>
      </c>
      <c r="B6625" s="305" t="s">
        <v>5339</v>
      </c>
      <c r="C6625" s="305" t="s">
        <v>5428</v>
      </c>
      <c r="D6625" s="576">
        <v>2728.85</v>
      </c>
    </row>
    <row r="6626" spans="1:4" ht="13.5" x14ac:dyDescent="0.25">
      <c r="A6626" s="306">
        <v>101387</v>
      </c>
      <c r="B6626" s="305" t="s">
        <v>13305</v>
      </c>
      <c r="C6626" s="305" t="s">
        <v>5428</v>
      </c>
      <c r="D6626" s="576">
        <v>3078.68</v>
      </c>
    </row>
    <row r="6627" spans="1:4" ht="13.5" x14ac:dyDescent="0.25">
      <c r="A6627" s="306">
        <v>101388</v>
      </c>
      <c r="B6627" s="305" t="s">
        <v>5341</v>
      </c>
      <c r="C6627" s="305" t="s">
        <v>5428</v>
      </c>
      <c r="D6627" s="576">
        <v>3173.92</v>
      </c>
    </row>
    <row r="6628" spans="1:4" ht="13.5" x14ac:dyDescent="0.25">
      <c r="A6628" s="306">
        <v>101389</v>
      </c>
      <c r="B6628" s="305" t="s">
        <v>5342</v>
      </c>
      <c r="C6628" s="305" t="s">
        <v>5428</v>
      </c>
      <c r="D6628" s="576">
        <v>2521.7600000000002</v>
      </c>
    </row>
    <row r="6629" spans="1:4" ht="13.5" x14ac:dyDescent="0.25">
      <c r="A6629" s="306">
        <v>101390</v>
      </c>
      <c r="B6629" s="305" t="s">
        <v>13306</v>
      </c>
      <c r="C6629" s="305" t="s">
        <v>5428</v>
      </c>
      <c r="D6629" s="576">
        <v>6538.85</v>
      </c>
    </row>
    <row r="6630" spans="1:4" ht="13.5" x14ac:dyDescent="0.25">
      <c r="A6630" s="306">
        <v>101391</v>
      </c>
      <c r="B6630" s="305" t="s">
        <v>13307</v>
      </c>
      <c r="C6630" s="305" t="s">
        <v>5428</v>
      </c>
      <c r="D6630" s="576">
        <v>3876.69</v>
      </c>
    </row>
    <row r="6631" spans="1:4" ht="13.5" x14ac:dyDescent="0.25">
      <c r="A6631" s="306">
        <v>101392</v>
      </c>
      <c r="B6631" s="305" t="s">
        <v>13308</v>
      </c>
      <c r="C6631" s="305" t="s">
        <v>5428</v>
      </c>
      <c r="D6631" s="576">
        <v>3493.97</v>
      </c>
    </row>
    <row r="6632" spans="1:4" ht="13.5" x14ac:dyDescent="0.25">
      <c r="A6632" s="306">
        <v>101393</v>
      </c>
      <c r="B6632" s="305" t="s">
        <v>13309</v>
      </c>
      <c r="C6632" s="305" t="s">
        <v>5428</v>
      </c>
      <c r="D6632" s="576">
        <v>4216.13</v>
      </c>
    </row>
    <row r="6633" spans="1:4" ht="13.5" x14ac:dyDescent="0.25">
      <c r="A6633" s="306">
        <v>101394</v>
      </c>
      <c r="B6633" s="305" t="s">
        <v>5348</v>
      </c>
      <c r="C6633" s="305" t="s">
        <v>5428</v>
      </c>
      <c r="D6633" s="576">
        <v>3682.49</v>
      </c>
    </row>
    <row r="6634" spans="1:4" ht="13.5" x14ac:dyDescent="0.25">
      <c r="A6634" s="306">
        <v>101395</v>
      </c>
      <c r="B6634" s="305" t="s">
        <v>13310</v>
      </c>
      <c r="C6634" s="305" t="s">
        <v>5428</v>
      </c>
      <c r="D6634" s="576">
        <v>2987.28</v>
      </c>
    </row>
    <row r="6635" spans="1:4" ht="13.5" x14ac:dyDescent="0.25">
      <c r="A6635" s="306">
        <v>101396</v>
      </c>
      <c r="B6635" s="305" t="s">
        <v>13311</v>
      </c>
      <c r="C6635" s="305" t="s">
        <v>5428</v>
      </c>
      <c r="D6635" s="576">
        <v>3549.14</v>
      </c>
    </row>
    <row r="6636" spans="1:4" ht="13.5" x14ac:dyDescent="0.25">
      <c r="A6636" s="306">
        <v>101397</v>
      </c>
      <c r="B6636" s="305" t="s">
        <v>5350</v>
      </c>
      <c r="C6636" s="305" t="s">
        <v>5428</v>
      </c>
      <c r="D6636" s="576">
        <v>3545.68</v>
      </c>
    </row>
    <row r="6637" spans="1:4" ht="13.5" x14ac:dyDescent="0.25">
      <c r="A6637" s="306">
        <v>101398</v>
      </c>
      <c r="B6637" s="305" t="s">
        <v>13312</v>
      </c>
      <c r="C6637" s="305" t="s">
        <v>5428</v>
      </c>
      <c r="D6637" s="576">
        <v>3068.91</v>
      </c>
    </row>
    <row r="6638" spans="1:4" ht="13.5" x14ac:dyDescent="0.25">
      <c r="A6638" s="306">
        <v>101399</v>
      </c>
      <c r="B6638" s="305" t="s">
        <v>5352</v>
      </c>
      <c r="C6638" s="305" t="s">
        <v>5428</v>
      </c>
      <c r="D6638" s="576">
        <v>3738.11</v>
      </c>
    </row>
    <row r="6639" spans="1:4" ht="13.5" x14ac:dyDescent="0.25">
      <c r="A6639" s="306">
        <v>101400</v>
      </c>
      <c r="B6639" s="305" t="s">
        <v>13313</v>
      </c>
      <c r="C6639" s="305" t="s">
        <v>5428</v>
      </c>
      <c r="D6639" s="576">
        <v>6012.27</v>
      </c>
    </row>
    <row r="6640" spans="1:4" ht="13.5" x14ac:dyDescent="0.25">
      <c r="A6640" s="306">
        <v>101401</v>
      </c>
      <c r="B6640" s="305" t="s">
        <v>5354</v>
      </c>
      <c r="C6640" s="305" t="s">
        <v>5428</v>
      </c>
      <c r="D6640" s="576">
        <v>4419.1899999999996</v>
      </c>
    </row>
    <row r="6641" spans="1:4" ht="13.5" x14ac:dyDescent="0.25">
      <c r="A6641" s="306">
        <v>101402</v>
      </c>
      <c r="B6641" s="305" t="s">
        <v>5355</v>
      </c>
      <c r="C6641" s="305" t="s">
        <v>5428</v>
      </c>
      <c r="D6641" s="576">
        <v>3488.69</v>
      </c>
    </row>
    <row r="6642" spans="1:4" ht="13.5" x14ac:dyDescent="0.25">
      <c r="A6642" s="306">
        <v>101403</v>
      </c>
      <c r="B6642" s="305" t="s">
        <v>13299</v>
      </c>
      <c r="C6642" s="305" t="s">
        <v>5428</v>
      </c>
      <c r="D6642" s="576">
        <v>24013.75</v>
      </c>
    </row>
    <row r="6643" spans="1:4" ht="13.5" x14ac:dyDescent="0.25">
      <c r="A6643" s="306">
        <v>101404</v>
      </c>
      <c r="B6643" s="305" t="s">
        <v>5425</v>
      </c>
      <c r="C6643" s="305" t="s">
        <v>5428</v>
      </c>
      <c r="D6643" s="576">
        <v>22480.27</v>
      </c>
    </row>
    <row r="6644" spans="1:4" ht="13.5" x14ac:dyDescent="0.25">
      <c r="A6644" s="306">
        <v>101405</v>
      </c>
      <c r="B6644" s="305" t="s">
        <v>5426</v>
      </c>
      <c r="C6644" s="305" t="s">
        <v>5428</v>
      </c>
      <c r="D6644" s="576">
        <v>21632.78</v>
      </c>
    </row>
    <row r="6645" spans="1:4" ht="13.5" x14ac:dyDescent="0.25">
      <c r="A6645" s="306">
        <v>101406</v>
      </c>
      <c r="B6645" s="305" t="s">
        <v>5356</v>
      </c>
      <c r="C6645" s="305" t="s">
        <v>5428</v>
      </c>
      <c r="D6645" s="576">
        <v>3751.92</v>
      </c>
    </row>
    <row r="6646" spans="1:4" ht="13.5" x14ac:dyDescent="0.25">
      <c r="A6646" s="306">
        <v>101407</v>
      </c>
      <c r="B6646" s="305" t="s">
        <v>5357</v>
      </c>
      <c r="C6646" s="305" t="s">
        <v>5428</v>
      </c>
      <c r="D6646" s="576">
        <v>3521.58</v>
      </c>
    </row>
    <row r="6647" spans="1:4" ht="13.5" x14ac:dyDescent="0.25">
      <c r="A6647" s="306">
        <v>101408</v>
      </c>
      <c r="B6647" s="305" t="s">
        <v>5358</v>
      </c>
      <c r="C6647" s="305" t="s">
        <v>5428</v>
      </c>
      <c r="D6647" s="576">
        <v>3649.38</v>
      </c>
    </row>
    <row r="6648" spans="1:4" ht="13.5" x14ac:dyDescent="0.25">
      <c r="A6648" s="306">
        <v>101409</v>
      </c>
      <c r="B6648" s="305" t="s">
        <v>13314</v>
      </c>
      <c r="C6648" s="305" t="s">
        <v>5428</v>
      </c>
      <c r="D6648" s="576">
        <v>7621.73</v>
      </c>
    </row>
    <row r="6649" spans="1:4" ht="13.5" x14ac:dyDescent="0.25">
      <c r="A6649" s="306">
        <v>101410</v>
      </c>
      <c r="B6649" s="305" t="s">
        <v>5408</v>
      </c>
      <c r="C6649" s="305" t="s">
        <v>5428</v>
      </c>
      <c r="D6649" s="576">
        <v>3522.45</v>
      </c>
    </row>
    <row r="6650" spans="1:4" ht="13.5" x14ac:dyDescent="0.25">
      <c r="A6650" s="306">
        <v>101411</v>
      </c>
      <c r="B6650" s="305" t="s">
        <v>13315</v>
      </c>
      <c r="C6650" s="305" t="s">
        <v>5428</v>
      </c>
      <c r="D6650" s="576">
        <v>2298.27</v>
      </c>
    </row>
    <row r="6651" spans="1:4" ht="13.5" x14ac:dyDescent="0.25">
      <c r="A6651" s="306">
        <v>101412</v>
      </c>
      <c r="B6651" s="305" t="s">
        <v>13316</v>
      </c>
      <c r="C6651" s="305" t="s">
        <v>5428</v>
      </c>
      <c r="D6651" s="576">
        <v>3791.94</v>
      </c>
    </row>
    <row r="6652" spans="1:4" ht="13.5" x14ac:dyDescent="0.25">
      <c r="A6652" s="306">
        <v>101413</v>
      </c>
      <c r="B6652" s="305" t="s">
        <v>5360</v>
      </c>
      <c r="C6652" s="305" t="s">
        <v>5428</v>
      </c>
      <c r="D6652" s="576">
        <v>3608.88</v>
      </c>
    </row>
    <row r="6653" spans="1:4" ht="13.5" x14ac:dyDescent="0.25">
      <c r="A6653" s="306">
        <v>101414</v>
      </c>
      <c r="B6653" s="305" t="s">
        <v>13317</v>
      </c>
      <c r="C6653" s="305" t="s">
        <v>5428</v>
      </c>
      <c r="D6653" s="576">
        <v>3973.33</v>
      </c>
    </row>
    <row r="6654" spans="1:4" ht="13.5" x14ac:dyDescent="0.25">
      <c r="A6654" s="306">
        <v>101415</v>
      </c>
      <c r="B6654" s="305" t="s">
        <v>13318</v>
      </c>
      <c r="C6654" s="305" t="s">
        <v>5428</v>
      </c>
      <c r="D6654" s="576">
        <v>4200.1899999999996</v>
      </c>
    </row>
    <row r="6655" spans="1:4" ht="13.5" x14ac:dyDescent="0.25">
      <c r="A6655" s="306">
        <v>101416</v>
      </c>
      <c r="B6655" s="305" t="s">
        <v>11655</v>
      </c>
      <c r="C6655" s="305" t="s">
        <v>5428</v>
      </c>
      <c r="D6655" s="576">
        <v>2784.52</v>
      </c>
    </row>
    <row r="6656" spans="1:4" ht="13.5" x14ac:dyDescent="0.25">
      <c r="A6656" s="306">
        <v>101417</v>
      </c>
      <c r="B6656" s="305" t="s">
        <v>13319</v>
      </c>
      <c r="C6656" s="305" t="s">
        <v>5428</v>
      </c>
      <c r="D6656" s="576">
        <v>3704.11</v>
      </c>
    </row>
    <row r="6657" spans="1:4" ht="13.5" x14ac:dyDescent="0.25">
      <c r="A6657" s="306">
        <v>101418</v>
      </c>
      <c r="B6657" s="305" t="s">
        <v>13320</v>
      </c>
      <c r="C6657" s="305" t="s">
        <v>5428</v>
      </c>
      <c r="D6657" s="576">
        <v>3439.23</v>
      </c>
    </row>
    <row r="6658" spans="1:4" ht="13.5" x14ac:dyDescent="0.25">
      <c r="A6658" s="306">
        <v>101419</v>
      </c>
      <c r="B6658" s="305" t="s">
        <v>13321</v>
      </c>
      <c r="C6658" s="305" t="s">
        <v>5428</v>
      </c>
      <c r="D6658" s="576">
        <v>5935.19</v>
      </c>
    </row>
    <row r="6659" spans="1:4" ht="13.5" x14ac:dyDescent="0.25">
      <c r="A6659" s="306">
        <v>101420</v>
      </c>
      <c r="B6659" s="305" t="s">
        <v>13322</v>
      </c>
      <c r="C6659" s="305" t="s">
        <v>5428</v>
      </c>
      <c r="D6659" s="576">
        <v>3109.5</v>
      </c>
    </row>
    <row r="6660" spans="1:4" ht="13.5" x14ac:dyDescent="0.25">
      <c r="A6660" s="306">
        <v>101421</v>
      </c>
      <c r="B6660" s="305" t="s">
        <v>13323</v>
      </c>
      <c r="C6660" s="305" t="s">
        <v>5428</v>
      </c>
      <c r="D6660" s="576">
        <v>4088.85</v>
      </c>
    </row>
    <row r="6661" spans="1:4" ht="13.5" x14ac:dyDescent="0.25">
      <c r="A6661" s="306">
        <v>101422</v>
      </c>
      <c r="B6661" s="305" t="s">
        <v>13324</v>
      </c>
      <c r="C6661" s="305" t="s">
        <v>5428</v>
      </c>
      <c r="D6661" s="576">
        <v>3479.52</v>
      </c>
    </row>
    <row r="6662" spans="1:4" ht="13.5" x14ac:dyDescent="0.25">
      <c r="A6662" s="306">
        <v>101423</v>
      </c>
      <c r="B6662" s="305" t="s">
        <v>13325</v>
      </c>
      <c r="C6662" s="305" t="s">
        <v>5428</v>
      </c>
      <c r="D6662" s="576">
        <v>4118.32</v>
      </c>
    </row>
    <row r="6663" spans="1:4" ht="13.5" x14ac:dyDescent="0.25">
      <c r="A6663" s="306">
        <v>101424</v>
      </c>
      <c r="B6663" s="305" t="s">
        <v>13326</v>
      </c>
      <c r="C6663" s="305" t="s">
        <v>5428</v>
      </c>
      <c r="D6663" s="576">
        <v>3897.56</v>
      </c>
    </row>
    <row r="6664" spans="1:4" ht="13.5" x14ac:dyDescent="0.25">
      <c r="A6664" s="306">
        <v>101425</v>
      </c>
      <c r="B6664" s="305" t="s">
        <v>13327</v>
      </c>
      <c r="C6664" s="305" t="s">
        <v>5428</v>
      </c>
      <c r="D6664" s="576">
        <v>3126.96</v>
      </c>
    </row>
    <row r="6665" spans="1:4" ht="13.5" x14ac:dyDescent="0.25">
      <c r="A6665" s="306">
        <v>101426</v>
      </c>
      <c r="B6665" s="305" t="s">
        <v>13328</v>
      </c>
      <c r="C6665" s="305" t="s">
        <v>5428</v>
      </c>
      <c r="D6665" s="576">
        <v>4001.51</v>
      </c>
    </row>
    <row r="6666" spans="1:4" ht="13.5" x14ac:dyDescent="0.25">
      <c r="A6666" s="306">
        <v>101427</v>
      </c>
      <c r="B6666" s="305" t="s">
        <v>5373</v>
      </c>
      <c r="C6666" s="305" t="s">
        <v>5428</v>
      </c>
      <c r="D6666" s="576">
        <v>3009.41</v>
      </c>
    </row>
    <row r="6667" spans="1:4" ht="13.5" x14ac:dyDescent="0.25">
      <c r="A6667" s="306">
        <v>101428</v>
      </c>
      <c r="B6667" s="305" t="s">
        <v>13329</v>
      </c>
      <c r="C6667" s="305" t="s">
        <v>5428</v>
      </c>
      <c r="D6667" s="576">
        <v>2930.54</v>
      </c>
    </row>
    <row r="6668" spans="1:4" ht="13.5" x14ac:dyDescent="0.25">
      <c r="A6668" s="306">
        <v>101429</v>
      </c>
      <c r="B6668" s="305" t="s">
        <v>13330</v>
      </c>
      <c r="C6668" s="305" t="s">
        <v>5428</v>
      </c>
      <c r="D6668" s="576">
        <v>3683.25</v>
      </c>
    </row>
    <row r="6669" spans="1:4" ht="13.5" x14ac:dyDescent="0.25">
      <c r="A6669" s="306">
        <v>101430</v>
      </c>
      <c r="B6669" s="305" t="s">
        <v>13331</v>
      </c>
      <c r="C6669" s="305" t="s">
        <v>5428</v>
      </c>
      <c r="D6669" s="576">
        <v>3529.89</v>
      </c>
    </row>
    <row r="6670" spans="1:4" ht="13.5" x14ac:dyDescent="0.25">
      <c r="A6670" s="306">
        <v>101431</v>
      </c>
      <c r="B6670" s="305" t="s">
        <v>5376</v>
      </c>
      <c r="C6670" s="305" t="s">
        <v>5428</v>
      </c>
      <c r="D6670" s="576">
        <v>3800</v>
      </c>
    </row>
    <row r="6671" spans="1:4" ht="13.5" x14ac:dyDescent="0.25">
      <c r="A6671" s="306">
        <v>101432</v>
      </c>
      <c r="B6671" s="305" t="s">
        <v>13332</v>
      </c>
      <c r="C6671" s="305" t="s">
        <v>5428</v>
      </c>
      <c r="D6671" s="576">
        <v>3391.14</v>
      </c>
    </row>
    <row r="6672" spans="1:4" ht="13.5" x14ac:dyDescent="0.25">
      <c r="A6672" s="306">
        <v>101433</v>
      </c>
      <c r="B6672" s="305" t="s">
        <v>5378</v>
      </c>
      <c r="C6672" s="305" t="s">
        <v>5428</v>
      </c>
      <c r="D6672" s="576">
        <v>4183.88</v>
      </c>
    </row>
    <row r="6673" spans="1:4" ht="13.5" x14ac:dyDescent="0.25">
      <c r="A6673" s="306">
        <v>101434</v>
      </c>
      <c r="B6673" s="305" t="s">
        <v>13333</v>
      </c>
      <c r="C6673" s="305" t="s">
        <v>5428</v>
      </c>
      <c r="D6673" s="576">
        <v>3480.85</v>
      </c>
    </row>
    <row r="6674" spans="1:4" ht="13.5" x14ac:dyDescent="0.25">
      <c r="A6674" s="306">
        <v>101435</v>
      </c>
      <c r="B6674" s="305" t="s">
        <v>13334</v>
      </c>
      <c r="C6674" s="305" t="s">
        <v>5428</v>
      </c>
      <c r="D6674" s="576">
        <v>3922.82</v>
      </c>
    </row>
    <row r="6675" spans="1:4" ht="13.5" x14ac:dyDescent="0.25">
      <c r="A6675" s="306">
        <v>101436</v>
      </c>
      <c r="B6675" s="305" t="s">
        <v>5380</v>
      </c>
      <c r="C6675" s="305" t="s">
        <v>5428</v>
      </c>
      <c r="D6675" s="576">
        <v>3379.92</v>
      </c>
    </row>
    <row r="6676" spans="1:4" ht="13.5" x14ac:dyDescent="0.25">
      <c r="A6676" s="306">
        <v>101437</v>
      </c>
      <c r="B6676" s="305" t="s">
        <v>13335</v>
      </c>
      <c r="C6676" s="305" t="s">
        <v>5428</v>
      </c>
      <c r="D6676" s="576">
        <v>3577.19</v>
      </c>
    </row>
    <row r="6677" spans="1:4" ht="13.5" x14ac:dyDescent="0.25">
      <c r="A6677" s="306">
        <v>101438</v>
      </c>
      <c r="B6677" s="305" t="s">
        <v>5382</v>
      </c>
      <c r="C6677" s="305" t="s">
        <v>5428</v>
      </c>
      <c r="D6677" s="576">
        <v>4217.54</v>
      </c>
    </row>
    <row r="6678" spans="1:4" ht="13.5" x14ac:dyDescent="0.25">
      <c r="A6678" s="306">
        <v>101439</v>
      </c>
      <c r="B6678" s="305" t="s">
        <v>5383</v>
      </c>
      <c r="C6678" s="305" t="s">
        <v>5428</v>
      </c>
      <c r="D6678" s="576">
        <v>3754.93</v>
      </c>
    </row>
    <row r="6679" spans="1:4" ht="13.5" x14ac:dyDescent="0.25">
      <c r="A6679" s="306">
        <v>101440</v>
      </c>
      <c r="B6679" s="305" t="s">
        <v>13336</v>
      </c>
      <c r="C6679" s="305" t="s">
        <v>5428</v>
      </c>
      <c r="D6679" s="576">
        <v>3668.67</v>
      </c>
    </row>
    <row r="6680" spans="1:4" ht="13.5" x14ac:dyDescent="0.25">
      <c r="A6680" s="306">
        <v>101441</v>
      </c>
      <c r="B6680" s="305" t="s">
        <v>5385</v>
      </c>
      <c r="C6680" s="305" t="s">
        <v>5428</v>
      </c>
      <c r="D6680" s="576">
        <v>3722.62</v>
      </c>
    </row>
    <row r="6681" spans="1:4" ht="13.5" x14ac:dyDescent="0.25">
      <c r="A6681" s="306">
        <v>101442</v>
      </c>
      <c r="B6681" s="305" t="s">
        <v>13337</v>
      </c>
      <c r="C6681" s="305" t="s">
        <v>5428</v>
      </c>
      <c r="D6681" s="576">
        <v>3668.91</v>
      </c>
    </row>
    <row r="6682" spans="1:4" ht="13.5" x14ac:dyDescent="0.25">
      <c r="A6682" s="306">
        <v>101443</v>
      </c>
      <c r="B6682" s="305" t="s">
        <v>5386</v>
      </c>
      <c r="C6682" s="305" t="s">
        <v>5428</v>
      </c>
      <c r="D6682" s="576">
        <v>3257.02</v>
      </c>
    </row>
    <row r="6683" spans="1:4" ht="13.5" x14ac:dyDescent="0.25">
      <c r="A6683" s="306">
        <v>101444</v>
      </c>
      <c r="B6683" s="305" t="s">
        <v>5389</v>
      </c>
      <c r="C6683" s="305" t="s">
        <v>5428</v>
      </c>
      <c r="D6683" s="576">
        <v>4186.1499999999996</v>
      </c>
    </row>
    <row r="6684" spans="1:4" ht="13.5" x14ac:dyDescent="0.25">
      <c r="A6684" s="306">
        <v>101445</v>
      </c>
      <c r="B6684" s="305" t="s">
        <v>5390</v>
      </c>
      <c r="C6684" s="305" t="s">
        <v>5428</v>
      </c>
      <c r="D6684" s="576">
        <v>3632.16</v>
      </c>
    </row>
    <row r="6685" spans="1:4" ht="13.5" x14ac:dyDescent="0.25">
      <c r="A6685" s="306">
        <v>101446</v>
      </c>
      <c r="B6685" s="305" t="s">
        <v>5391</v>
      </c>
      <c r="C6685" s="305" t="s">
        <v>5428</v>
      </c>
      <c r="D6685" s="576">
        <v>3777.73</v>
      </c>
    </row>
    <row r="6686" spans="1:4" ht="13.5" x14ac:dyDescent="0.25">
      <c r="A6686" s="306">
        <v>101447</v>
      </c>
      <c r="B6686" s="305" t="s">
        <v>5392</v>
      </c>
      <c r="C6686" s="305" t="s">
        <v>5428</v>
      </c>
      <c r="D6686" s="576">
        <v>4283.53</v>
      </c>
    </row>
    <row r="6687" spans="1:4" ht="13.5" x14ac:dyDescent="0.25">
      <c r="A6687" s="306">
        <v>101448</v>
      </c>
      <c r="B6687" s="305" t="s">
        <v>5393</v>
      </c>
      <c r="C6687" s="305" t="s">
        <v>5428</v>
      </c>
      <c r="D6687" s="576">
        <v>3978.31</v>
      </c>
    </row>
    <row r="6688" spans="1:4" ht="13.5" x14ac:dyDescent="0.25">
      <c r="A6688" s="306">
        <v>101449</v>
      </c>
      <c r="B6688" s="305" t="s">
        <v>13338</v>
      </c>
      <c r="C6688" s="305" t="s">
        <v>5428</v>
      </c>
      <c r="D6688" s="576">
        <v>3582.38</v>
      </c>
    </row>
    <row r="6689" spans="1:4" ht="13.5" x14ac:dyDescent="0.25">
      <c r="A6689" s="306">
        <v>101450</v>
      </c>
      <c r="B6689" s="305" t="s">
        <v>5395</v>
      </c>
      <c r="C6689" s="305" t="s">
        <v>5428</v>
      </c>
      <c r="D6689" s="576">
        <v>2722.17</v>
      </c>
    </row>
    <row r="6690" spans="1:4" ht="13.5" x14ac:dyDescent="0.25">
      <c r="A6690" s="306">
        <v>101451</v>
      </c>
      <c r="B6690" s="305" t="s">
        <v>5396</v>
      </c>
      <c r="C6690" s="305" t="s">
        <v>5428</v>
      </c>
      <c r="D6690" s="576">
        <v>3618.4</v>
      </c>
    </row>
    <row r="6691" spans="1:4" ht="13.5" x14ac:dyDescent="0.25">
      <c r="A6691" s="306">
        <v>101452</v>
      </c>
      <c r="B6691" s="305" t="s">
        <v>13339</v>
      </c>
      <c r="C6691" s="305" t="s">
        <v>5428</v>
      </c>
      <c r="D6691" s="576">
        <v>3022.36</v>
      </c>
    </row>
    <row r="6692" spans="1:4" ht="13.5" x14ac:dyDescent="0.25">
      <c r="A6692" s="306">
        <v>101453</v>
      </c>
      <c r="B6692" s="305" t="s">
        <v>5398</v>
      </c>
      <c r="C6692" s="305" t="s">
        <v>5428</v>
      </c>
      <c r="D6692" s="576">
        <v>3834.73</v>
      </c>
    </row>
    <row r="6693" spans="1:4" ht="13.5" x14ac:dyDescent="0.25">
      <c r="A6693" s="306">
        <v>101454</v>
      </c>
      <c r="B6693" s="305" t="s">
        <v>13340</v>
      </c>
      <c r="C6693" s="305" t="s">
        <v>5428</v>
      </c>
      <c r="D6693" s="576">
        <v>4212.99</v>
      </c>
    </row>
    <row r="6694" spans="1:4" ht="13.5" x14ac:dyDescent="0.25">
      <c r="A6694" s="306">
        <v>101455</v>
      </c>
      <c r="B6694" s="305" t="s">
        <v>5400</v>
      </c>
      <c r="C6694" s="305" t="s">
        <v>5428</v>
      </c>
      <c r="D6694" s="576">
        <v>4147.29</v>
      </c>
    </row>
    <row r="6695" spans="1:4" ht="13.5" x14ac:dyDescent="0.25">
      <c r="A6695" s="306">
        <v>101456</v>
      </c>
      <c r="B6695" s="305" t="s">
        <v>13341</v>
      </c>
      <c r="C6695" s="305" t="s">
        <v>5428</v>
      </c>
      <c r="D6695" s="576">
        <v>4459.12</v>
      </c>
    </row>
    <row r="6696" spans="1:4" ht="13.5" x14ac:dyDescent="0.25">
      <c r="A6696" s="306">
        <v>101457</v>
      </c>
      <c r="B6696" s="305" t="s">
        <v>13342</v>
      </c>
      <c r="C6696" s="305" t="s">
        <v>5428</v>
      </c>
      <c r="D6696" s="576">
        <v>4218.99</v>
      </c>
    </row>
    <row r="6697" spans="1:4" ht="13.5" x14ac:dyDescent="0.25">
      <c r="A6697" s="306">
        <v>101458</v>
      </c>
      <c r="B6697" s="305" t="s">
        <v>13343</v>
      </c>
      <c r="C6697" s="305" t="s">
        <v>5428</v>
      </c>
      <c r="D6697" s="576">
        <v>3544.67</v>
      </c>
    </row>
    <row r="6698" spans="1:4" ht="13.5" x14ac:dyDescent="0.25">
      <c r="A6698" s="306">
        <v>101459</v>
      </c>
      <c r="B6698" s="305" t="s">
        <v>5405</v>
      </c>
      <c r="C6698" s="305" t="s">
        <v>5428</v>
      </c>
      <c r="D6698" s="576">
        <v>3664.42</v>
      </c>
    </row>
    <row r="6699" spans="1:4" ht="13.5" x14ac:dyDescent="0.25">
      <c r="A6699" s="306">
        <v>101460</v>
      </c>
      <c r="B6699" s="305" t="s">
        <v>11636</v>
      </c>
      <c r="C6699" s="305" t="s">
        <v>5428</v>
      </c>
      <c r="D6699" s="576">
        <v>3094.31</v>
      </c>
    </row>
  </sheetData>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15</vt:i4>
      </vt:variant>
    </vt:vector>
  </HeadingPairs>
  <TitlesOfParts>
    <vt:vector size="26" baseType="lpstr">
      <vt:lpstr>PO</vt:lpstr>
      <vt:lpstr>MC</vt:lpstr>
      <vt:lpstr>CPU</vt:lpstr>
      <vt:lpstr>BDI</vt:lpstr>
      <vt:lpstr>BDI (2)</vt:lpstr>
      <vt:lpstr>Cronograma Fisico - Financeiro</vt:lpstr>
      <vt:lpstr>Curva ABC</vt:lpstr>
      <vt:lpstr>Cotações</vt:lpstr>
      <vt:lpstr>Serviço02</vt:lpstr>
      <vt:lpstr>Material</vt:lpstr>
      <vt:lpstr>MATERIAL02</vt:lpstr>
      <vt:lpstr>BDI!Area_de_impressao</vt:lpstr>
      <vt:lpstr>'BDI (2)'!Area_de_impressao</vt:lpstr>
      <vt:lpstr>Cotações!Area_de_impressao</vt:lpstr>
      <vt:lpstr>CPU!Area_de_impressao</vt:lpstr>
      <vt:lpstr>'Cronograma Fisico - Financeiro'!Area_de_impressao</vt:lpstr>
      <vt:lpstr>'Curva ABC'!Area_de_impressao</vt:lpstr>
      <vt:lpstr>MC!Area_de_impressao</vt:lpstr>
      <vt:lpstr>PO!Area_de_impressao</vt:lpstr>
      <vt:lpstr>BDI!Titulos_de_impressao</vt:lpstr>
      <vt:lpstr>'BDI (2)'!Titulos_de_impressao</vt:lpstr>
      <vt:lpstr>Cotações!Titulos_de_impressao</vt:lpstr>
      <vt:lpstr>CPU!Titulos_de_impressao</vt:lpstr>
      <vt:lpstr>'Cronograma Fisico - Financeiro'!Titulos_de_impressao</vt:lpstr>
      <vt:lpstr>MC!Titulos_de_impressao</vt:lpstr>
      <vt:lpstr>PO!Titulos_de_impressao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 Gurgel Gurgel</dc:creator>
  <cp:keywords/>
  <dc:description/>
  <cp:lastModifiedBy>Engenharia_01</cp:lastModifiedBy>
  <cp:revision/>
  <cp:lastPrinted>2019-12-14T13:45:45Z</cp:lastPrinted>
  <dcterms:created xsi:type="dcterms:W3CDTF">2019-01-15T18:23:15Z</dcterms:created>
  <dcterms:modified xsi:type="dcterms:W3CDTF">2020-12-18T18:07:02Z</dcterms:modified>
  <cp:category/>
  <cp:contentStatus/>
</cp:coreProperties>
</file>